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15.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xl/tables/table33.xml" ContentType="application/vnd.openxmlformats-officedocument.spreadsheetml.table+xml"/>
  <Override PartName="/xl/tables/table41.xml" ContentType="application/vnd.openxmlformats-officedocument.spreadsheetml.table+xml"/>
  <Override PartName="/xl/tables/table4.xml" ContentType="application/vnd.openxmlformats-officedocument.spreadsheetml.table+xml"/>
  <Override PartName="/xl/tables/table38.xml" ContentType="application/vnd.openxmlformats-officedocument.spreadsheetml.table+xml"/>
  <Override PartName="/xl/tables/table37.xml" ContentType="application/vnd.openxmlformats-officedocument.spreadsheetml.table+xml"/>
  <Override PartName="/xl/tables/table3.xml" ContentType="application/vnd.openxmlformats-officedocument.spreadsheetml.table+xml"/>
  <Override PartName="/xl/tables/table36.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35.xml" ContentType="application/vnd.openxmlformats-officedocument.spreadsheetml.table+xml"/>
  <Override PartName="/xl/tables/table32.xml" ContentType="application/vnd.openxmlformats-officedocument.spreadsheetml.table+xml"/>
  <Override PartName="/xl/tables/table25.xml" ContentType="application/vnd.openxmlformats-officedocument.spreadsheetml.table+xml"/>
  <Override PartName="/xl/tables/table12.xml" ContentType="application/vnd.openxmlformats-officedocument.spreadsheetml.table+xml"/>
  <Override PartName="/xl/tables/table30.xml" ContentType="application/vnd.openxmlformats-officedocument.spreadsheetml.table+xml"/>
  <Override PartName="/xl/tables/table28.xml" ContentType="application/vnd.openxmlformats-officedocument.spreadsheetml.table+xml"/>
  <Override PartName="/xl/tables/table34.xml" ContentType="application/vnd.openxmlformats-officedocument.spreadsheetml.table+xml"/>
  <Override PartName="/xl/tables/table40.xml" ContentType="application/vnd.openxmlformats-officedocument.spreadsheetml.table+xml"/>
  <Override PartName="/xl/tables/table26.xml" ContentType="application/vnd.openxmlformats-officedocument.spreadsheetml.table+xml"/>
  <Override PartName="/xl/tables/table14.xml" ContentType="application/vnd.openxmlformats-officedocument.spreadsheetml.table+xml"/>
  <Override PartName="/xl/tables/table27.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13.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45.xml" ContentType="application/vnd.openxmlformats-officedocument.spreadsheetml.table+xml"/>
  <Override PartName="/xl/tables/table7.xml" ContentType="application/vnd.openxmlformats-officedocument.spreadsheetml.table+xml"/>
  <Override PartName="/xl/tables/table44.xml" ContentType="application/vnd.openxmlformats-officedocument.spreadsheetml.table+xml"/>
  <Override PartName="/xl/tables/table39.xml" ContentType="application/vnd.openxmlformats-officedocument.spreadsheetml.table+xml"/>
  <Override PartName="/xl/tables/table5.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6.xml" ContentType="application/vnd.openxmlformats-officedocument.spreadsheetml.table+xml"/>
  <Override PartName="/xl/tables/table29.xml" ContentType="application/vnd.openxmlformats-officedocument.spreadsheetml.table+xml"/>
  <Override PartName="/xl/tables/table31.xml" ContentType="application/vnd.openxmlformats-officedocument.spreadsheetml.table+xml"/>
  <Override PartName="/xl/tables/table46.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worksheets/_rels/sheet13.xml.rels" ContentType="application/vnd.openxmlformats-package.relationships+xml"/>
  <Override PartName="/xl/worksheets/_rels/sheet7.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comments1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17.xml" ContentType="application/vnd.openxmlformats-officedocument.spreadsheetml.comments+xml"/>
  <Override PartName="/xl/comments20.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13.xml" ContentType="application/vnd.openxmlformats-officedocument.spreadsheetml.comments+xml"/>
  <Override PartName="/xl/drawings/vmlDrawing8.vml" ContentType="application/vnd.openxmlformats-officedocument.vmlDrawing"/>
  <Override PartName="/xl/drawings/drawing5.xml" ContentType="application/vnd.openxmlformats-officedocument.drawing+xml"/>
  <Override PartName="/xl/drawings/vmlDrawing4.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drawing4.xml" ContentType="application/vnd.openxmlformats-officedocument.drawing+xml"/>
  <Override PartName="/xl/drawings/vmlDrawing3.vml" ContentType="application/vnd.openxmlformats-officedocument.vmlDrawing"/>
  <Override PartName="/xl/drawings/vmlDrawing15.vml" ContentType="application/vnd.openxmlformats-officedocument.vmlDrawing"/>
  <Override PartName="/xl/drawings/vmlDrawing14.vml" ContentType="application/vnd.openxmlformats-officedocument.vmlDrawing"/>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6.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2"/>
  </bookViews>
  <sheets>
    <sheet name="Instructions" sheetId="1" state="visible" r:id="rId3"/>
    <sheet name="Dashboard" sheetId="2" state="visible" r:id="rId4"/>
    <sheet name="Roadmap" sheetId="3" state="visible" r:id="rId5"/>
    <sheet name="Status Report" sheetId="4" state="visible" r:id="rId6"/>
    <sheet name="Schedule Report" sheetId="5" state="visible" r:id="rId7"/>
    <sheet name="Resource Report" sheetId="6" state="visible" r:id="rId8"/>
    <sheet name="Agile Report" sheetId="7" state="visible" r:id="rId9"/>
    <sheet name="RAID" sheetId="8" state="visible" r:id="rId10"/>
    <sheet name="Decisions" sheetId="9" state="visible" r:id="rId11"/>
    <sheet name="Changes" sheetId="10" state="visible" r:id="rId12"/>
    <sheet name="History" sheetId="11" state="visible" r:id="rId13"/>
    <sheet name="Settings" sheetId="12" state="visible" r:id="rId14"/>
    <sheet name="Tasks" sheetId="13" state="visible" r:id="rId15"/>
    <sheet name="Gantt" sheetId="14" state="visible" r:id="rId16"/>
    <sheet name="Resources" sheetId="15" state="visible" r:id="rId17"/>
    <sheet name="Assignments" sheetId="16" state="visible" r:id="rId18"/>
    <sheet name="Sprints" sheetId="17" state="visible" r:id="rId19"/>
    <sheet name="Holidays" sheetId="18" state="visible" r:id="rId20"/>
    <sheet name="Leave" sheetId="19" state="visible" r:id="rId21"/>
    <sheet name="MSP_Tasks" sheetId="20" state="visible" r:id="rId22"/>
    <sheet name="MSP_Resources" sheetId="21" state="visible" r:id="rId23"/>
    <sheet name="Lists" sheetId="22" state="visible" r:id="rId24"/>
  </sheets>
  <definedNames>
    <definedName function="false" hidden="false" name="agl_CurCommitted" vbProcedure="false">'Agile Report'!$D$15</definedName>
    <definedName function="false" hidden="false" name="agl_CurDone" vbProcedure="false">'Agile Report'!$D$16</definedName>
    <definedName function="false" hidden="false" name="agl_Current" vbProcedure="false">'Agile Report'!$D$14</definedName>
    <definedName function="false" hidden="false" name="agl_Done" vbProcedure="false">'Agile Report'!$D$6</definedName>
    <definedName function="false" hidden="false" name="agl_FinishDate" vbProcedure="false">'Agile Report'!$D$12</definedName>
    <definedName function="false" hidden="false" name="agl_FinishSprint" vbProcedure="false">'Agile Report'!$D$11</definedName>
    <definedName function="false" hidden="false" name="agl_LastClosed" vbProcedure="false">'Agile Report'!$D$10</definedName>
    <definedName function="false" hidden="false" name="agl_Remaining" vbProcedure="false">'Agile Report'!$D$7</definedName>
    <definedName function="false" hidden="false" name="agl_ScheduleFinish" vbProcedure="false">'Agile Report'!$D$13</definedName>
    <definedName function="false" hidden="false" name="agl_SprintsLeft" vbProcedure="false">'Agile Report'!$D$9</definedName>
    <definedName function="false" hidden="false" name="agl_Total" vbProcedure="false">'Agile Report'!$D$5</definedName>
    <definedName function="false" hidden="false" name="agl_Unestimated" vbProcedure="false">'Agile Report'!$D$17</definedName>
    <definedName function="false" hidden="false" name="agl_Velocity" vbProcedure="false">'Agile Report'!$D$8</definedName>
    <definedName function="false" hidden="false" name="asg_ActualCost" vbProcedure="false">AssignmentTable[_ActualCost]</definedName>
    <definedName function="false" hidden="false" name="asg_Cost" vbProcedure="false">AssignmentTable[Cost]</definedName>
    <definedName function="false" hidden="false" name="asg_Critical" vbProcedure="false">AssignmentTable[_Critical]</definedName>
    <definedName function="false" hidden="false" name="asg_FinishWD" vbProcedure="false">AssignmentTable[_FinishWD]</definedName>
    <definedName function="false" hidden="false" name="asg_Key" vbProcedure="false">AssignmentTable[_Key]</definedName>
    <definedName function="false" hidden="false" name="asg_Late" vbProcedure="false">AssignmentTable[_Late]</definedName>
    <definedName function="false" hidden="false" name="asg_OverAllocated" vbProcedure="false">AssignmentTable[_OverAllocated]</definedName>
    <definedName function="false" hidden="false" name="asg_Resource" vbProcedure="false">AssignmentTable[Resource]</definedName>
    <definedName function="false" hidden="false" name="asg_StartWD" vbProcedure="false">AssignmentTable[_StartWD]</definedName>
    <definedName function="false" hidden="false" name="asg_TaskUID" vbProcedure="false">AssignmentTable[Task UID]</definedName>
    <definedName function="false" hidden="false" name="asg_Text" vbProcedure="false">AssignmentTable[_Text]</definedName>
    <definedName function="false" hidden="false" name="asg_Valid" vbProcedure="false">AssignmentTable[_Valid]</definedName>
    <definedName function="false" hidden="false" name="asg_Work" vbProcedure="false">AssignmentTable[Work]</definedName>
    <definedName function="false" hidden="false" name="asg_WorkBeforeStart" vbProcedure="false">AssignmentTable[_WorkBeforeStart]</definedName>
    <definedName function="false" hidden="false" name="asg_WorkDone" vbProcedure="false">AssignmentTable[_WorkDone]</definedName>
    <definedName function="false" hidden="false" name="asg_WorkPerWD" vbProcedure="false">AssignmentTable[_WorkPerWD]</definedName>
    <definedName function="false" hidden="false" name="chg_Cost" vbProcedure="false">ChangeLog[Cost Impact]</definedName>
    <definedName function="false" hidden="false" name="chg_Days" vbProcedure="false">ChangeLog[Schedule Impact]</definedName>
    <definedName function="false" hidden="false" name="chg_Status" vbProcedure="false">ChangeLog[Status]</definedName>
    <definedName function="false" hidden="false" name="CriticalSlackDays" vbProcedure="false">Settings!$C$36</definedName>
    <definedName function="false" hidden="false" name="CurrentSprint" vbProcedure="false">Settings!$C$32</definedName>
    <definedName function="false" hidden="false" name="CurrentSprintEnd" vbProcedure="false">Settings!$C$34</definedName>
    <definedName function="false" hidden="false" name="CurrentSprintStart" vbProcedure="false">Settings!$C$33</definedName>
    <definedName function="false" hidden="false" name="dec_Status" vbProcedure="false">DecisionLog[Status]</definedName>
    <definedName function="false" hidden="false" name="DefaultUnits" vbProcedure="false">Settings!$C$14</definedName>
    <definedName function="false" hidden="false" name="evm_AC" vbProcedure="false">'Status Report'!$D$21</definedName>
    <definedName function="false" hidden="false" name="evm_BAC" vbProcedure="false">'Status Report'!$D$18</definedName>
    <definedName function="false" hidden="false" name="evm_CPI" vbProcedure="false">'Status Report'!$D$25</definedName>
    <definedName function="false" hidden="false" name="evm_CV" vbProcedure="false">'Status Report'!$D$23</definedName>
    <definedName function="false" hidden="false" name="evm_EAC" vbProcedure="false">'Status Report'!$D$26</definedName>
    <definedName function="false" hidden="false" name="evm_ETC" vbProcedure="false">'Status Report'!$D$27</definedName>
    <definedName function="false" hidden="false" name="evm_EV" vbProcedure="false">'Status Report'!$D$20</definedName>
    <definedName function="false" hidden="false" name="evm_PctEarned" vbProcedure="false">'Status Report'!$D$30</definedName>
    <definedName function="false" hidden="false" name="evm_PctPlanned" vbProcedure="false">'Status Report'!$D$31</definedName>
    <definedName function="false" hidden="false" name="evm_PV" vbProcedure="false">'Status Report'!$D$19</definedName>
    <definedName function="false" hidden="false" name="evm_SPI" vbProcedure="false">'Status Report'!$D$24</definedName>
    <definedName function="false" hidden="false" name="evm_SV" vbProcedure="false">'Status Report'!$D$22</definedName>
    <definedName function="false" hidden="false" name="evm_TCPI" vbProcedure="false">'Status Report'!$D$29</definedName>
    <definedName function="false" hidden="false" name="evm_VAC" vbProcedure="false">'Status Report'!$D$28</definedName>
    <definedName function="false" hidden="false" name="FinishVarianceDays" vbProcedure="false">Settings!$C$39</definedName>
    <definedName function="false" hidden="false" name="GanttPeriod" vbProcedure="false">Settings!$C$24</definedName>
    <definedName function="false" hidden="false" name="GanttStart" vbProcedure="false">Settings!$C$23</definedName>
    <definedName function="false" hidden="false" name="gantt_Origin" vbProcedure="false">Gantt!$W$5</definedName>
    <definedName function="false" hidden="false" name="Holidays" vbProcedure="false">HolidayTable[Date]</definedName>
    <definedName function="false" hidden="false" name="HoursPerDay" vbProcedure="false">Settings!$C$13</definedName>
    <definedName function="false" hidden="false" name="leave_Days" vbProcedure="false">{1,2,3,4,5,6,7,8,9,10,11,12,13,14,15,16,17,18,19,20,21,22,23,24,25,26,27,28,29,30,31}</definedName>
    <definedName function="false" hidden="false" name="load_Grid" vbProcedure="false">Sprints!$D$36:$AC$60</definedName>
    <definedName function="false" hidden="false" name="load_Origin" vbProcedure="false">Sprints!$B$34</definedName>
    <definedName function="false" hidden="false" name="LookaheadDays" vbProcedure="false">Settings!$C$40</definedName>
    <definedName function="false" hidden="false" name="LookaheadEnd" vbProcedure="false">Settings!$C$41</definedName>
    <definedName function="false" hidden="false" name="L_ChangeStatus" vbProcedure="false">ListChangeStatus[Change Status]</definedName>
    <definedName function="false" hidden="false" name="L_Constraint" vbProcedure="false">ListConstraint[Constraint]</definedName>
    <definedName function="false" hidden="false" name="L_DecisionStatus" vbProcedure="false">ListDecisionStatus[Decision Status]</definedName>
    <definedName function="false" hidden="false" name="L_DepType" vbProcedure="false">ListDepType[Link Type]</definedName>
    <definedName function="false" hidden="false" name="L_Mode" vbProcedure="false">ListMode[Task Mode]</definedName>
    <definedName function="false" hidden="false" name="L_Period" vbProcedure="false">ListPeriod[Gantt Days per Column]</definedName>
    <definedName function="false" hidden="false" name="L_RAG" vbProcedure="false">ListRAG[RAG]</definedName>
    <definedName function="false" hidden="false" name="L_RAIDStatus" vbProcedure="false">ListRAIDStatus[RAID Status]</definedName>
    <definedName function="false" hidden="false" name="L_RAIDType" vbProcedure="false">ListRAIDType[RAID Type]</definedName>
    <definedName function="false" hidden="false" name="L_ResType" vbProcedure="false">ListResType[Resource Type]</definedName>
    <definedName function="false" hidden="false" name="L_YesNo" vbProcedure="false">ListYesNo[Yes / No]</definedName>
    <definedName function="false" hidden="false" name="NextFreeUID" vbProcedure="false">Settings!$C$49</definedName>
    <definedName function="false" hidden="false" name="OutlineShowLevel" vbProcedure="false">Settings!$C$25</definedName>
    <definedName function="false" hidden="false" name="PlannedFinish" vbProcedure="false">Settings!$C$38</definedName>
    <definedName function="false" hidden="false" name="ProjectFinish" vbProcedure="false">Settings!$C$37</definedName>
    <definedName function="false" hidden="false" name="ProjectManager" vbProcedure="false">Settings!$C$6</definedName>
    <definedName function="false" hidden="false" name="ProjectName" vbProcedure="false">Settings!$C$5</definedName>
    <definedName function="false" hidden="false" name="ProjectRAG" vbProcedure="false">OverallStatus[RAG]</definedName>
    <definedName function="false" hidden="false" name="ProjectStart" vbProcedure="false">Settings!$C$8</definedName>
    <definedName function="false" hidden="false" name="ProjectStartDate" vbProcedure="false">Settings!$C$7</definedName>
    <definedName function="false" hidden="false" name="RAGAmberIndex" vbProcedure="false">Settings!$C$44</definedName>
    <definedName function="false" hidden="false" name="RAGAmberSlipDays" vbProcedure="false">Settings!$C$42</definedName>
    <definedName function="false" hidden="false" name="RAGRedIndex" vbProcedure="false">Settings!$C$45</definedName>
    <definedName function="false" hidden="false" name="RAGRedSlipDays" vbProcedure="false">Settings!$C$43</definedName>
    <definedName function="false" hidden="false" name="RAIDHighScore" vbProcedure="false">Settings!$C$46</definedName>
    <definedName function="false" hidden="false" name="RAIDMediumScore" vbProcedure="false">Settings!$C$47</definedName>
    <definedName function="false" hidden="false" name="raid_Due" vbProcedure="false">RAIDLog[Due]</definedName>
    <definedName function="false" hidden="false" name="raid_Label" vbProcedure="false">RAIDLog[_Label]</definedName>
    <definedName function="false" hidden="false" name="raid_Overdue" vbProcedure="false">RAIDLog[Overdue]</definedName>
    <definedName function="false" hidden="false" name="raid_Owner" vbProcedure="false">RAIDLog[Owner]</definedName>
    <definedName function="false" hidden="false" name="raid_Rating" vbProcedure="false">RAIDLog[Rating]</definedName>
    <definedName function="false" hidden="false" name="raid_Ref" vbProcedure="false">RAIDLog[Ref]</definedName>
    <definedName function="false" hidden="false" name="raid_Response" vbProcedure="false">RAIDLog[Response]</definedName>
    <definedName function="false" hidden="false" name="raid_Score" vbProcedure="false">RAIDLog[Score]</definedName>
    <definedName function="false" hidden="false" name="raid_Status" vbProcedure="false">RAIDLog[Status]</definedName>
    <definedName function="false" hidden="false" name="raid_Task" vbProcedure="false">RAIDLog[Task]</definedName>
    <definedName function="false" hidden="false" name="raid_Title" vbProcedure="false">RAIDLog[Title]</definedName>
    <definedName function="false" hidden="false" name="raid_TopKey" vbProcedure="false">RAIDLog[_TopKey]</definedName>
    <definedName function="false" hidden="false" name="raid_Type" vbProcedure="false">RAIDLog[Type]</definedName>
    <definedName function="false" hidden="false" name="RescheduleAfterStatus" vbProcedure="false">Settings!$C$12</definedName>
    <definedName function="false" hidden="false" name="ResourceWeekStart" vbProcedure="false">Settings!$C$48</definedName>
    <definedName function="false" hidden="false" name="res_Email" vbProcedure="false">ResourceTable[Email]</definedName>
    <definedName function="false" hidden="false" name="res_Group" vbProcedure="false">ResourceTable[Group]</definedName>
    <definedName function="false" hidden="false" name="res_Initials" vbProcedure="false">ResourceTable[Initials]</definedName>
    <definedName function="false" hidden="false" name="res_MaxUnits" vbProcedure="false">ResourceTable[Max Units]</definedName>
    <definedName function="false" hidden="false" name="res_Name" vbProcedure="false">ResourceTable[Resource Name]</definedName>
    <definedName function="false" hidden="false" name="res_Rate" vbProcedure="false">ResourceTable[Std Rate]</definedName>
    <definedName function="false" hidden="false" name="res_Type" vbProcedure="false">ResourceTable[Type]</definedName>
    <definedName function="false" hidden="false" name="rm_Origin" vbProcedure="false">Roadmap!$K$5</definedName>
    <definedName function="false" hidden="false" name="RoadmapStart" vbProcedure="false">Settings!$C$26</definedName>
    <definedName function="false" hidden="false" name="rw_Cum" vbProcedure="false">'Resource Report'!$D$126:$AD$150</definedName>
    <definedName function="false" hidden="false" name="rw_CumOrigin" vbProcedure="false">'Resource Report'!$B$125</definedName>
    <definedName function="false" hidden="false" name="rw_Leave" vbProcedure="false">'Resource Report'!$D$99:$AC$123</definedName>
    <definedName function="false" hidden="false" name="rw_LeaveCol0" vbProcedure="false">'Resource Report'!$D$97:$AC$97</definedName>
    <definedName function="false" hidden="false" name="rw_LeaveCol1" vbProcedure="false">'Resource Report'!$D$98:$AC$98</definedName>
    <definedName function="false" hidden="false" name="rw_LeaveOrigin" vbProcedure="false">'Resource Report'!$B$96</definedName>
    <definedName function="false" hidden="false" name="rw_LeaveRow" vbProcedure="false">'Resource Report'!$C$99:$C$123</definedName>
    <definedName function="false" hidden="false" name="rw_Load" vbProcedure="false">'Resource Report'!$D$36:$AC$60</definedName>
    <definedName function="false" hidden="false" name="rw_LoadOrigin" vbProcedure="false">'Resource Report'!$B$34</definedName>
    <definedName function="false" hidden="false" name="rw_Util" vbProcedure="false">'Resource Report'!$D$68:$AC$92</definedName>
    <definedName function="false" hidden="false" name="rw_UtilOrigin" vbProcedure="false">'Resource Report'!$B$66</definedName>
    <definedName function="false" hidden="false" name="rw_WeekDays" vbProcedure="false">'Resource Report'!$D$35:$AC$35</definedName>
    <definedName function="false" hidden="false" name="Sprint1Start" vbProcedure="false">Settings!$C$27</definedName>
    <definedName function="false" hidden="false" name="SprintCount" vbProcedure="false">Settings!$C$29</definedName>
    <definedName function="false" hidden="false" name="SprintLastEnd" vbProcedure="false">Settings!$C$31</definedName>
    <definedName function="false" hidden="false" name="SprintLength" vbProcedure="false">Settings!$C$28</definedName>
    <definedName function="false" hidden="false" name="SprintPrefix" vbProcedure="false">Settings!$C$30</definedName>
    <definedName function="false" hidden="false" name="spr_Capacity" vbProcedure="false">SprintTable[Capacity]</definedName>
    <definedName function="false" hidden="false" name="spr_Committed" vbProcedure="false">SprintTable[Committed Points]</definedName>
    <definedName function="false" hidden="false" name="spr_Done" vbProcedure="false">SprintTable[Done Points]</definedName>
    <definedName function="false" hidden="false" name="spr_End" vbProcedure="false">SprintTable[End]</definedName>
    <definedName function="false" hidden="false" name="spr_LeaveCol0" vbProcedure="false">SprintTable[_LeaveCol0]</definedName>
    <definedName function="false" hidden="false" name="spr_LeaveCol1" vbProcedure="false">SprintTable[_LeaveCol1]</definedName>
    <definedName function="false" hidden="false" name="spr_LeaveCol2" vbProcedure="false">SprintTable[_LeaveCol2]</definedName>
    <definedName function="false" hidden="false" name="spr_LeaveGrid" vbProcedure="false">Sprints!$D$95:$AC$119</definedName>
    <definedName function="false" hidden="false" name="spr_LeaveOrigin" vbProcedure="false">Sprints!$B$94</definedName>
    <definedName function="false" hidden="false" name="spr_LeaveRow" vbProcedure="false">Sprints!$C$95:$C$119</definedName>
    <definedName function="false" hidden="false" name="spr_Name" vbProcedure="false">SprintTable[Sprint]</definedName>
    <definedName function="false" hidden="false" name="spr_Remaining" vbProcedure="false">SprintTable[Remaining Points]</definedName>
    <definedName function="false" hidden="false" name="spr_Start" vbProcedure="false">SprintTable[Start]</definedName>
    <definedName function="false" hidden="false" name="spr_Status" vbProcedure="false">SprintTable[Status]</definedName>
    <definedName function="false" hidden="false" name="spr_Velocity" vbProcedure="false">SprintTable[Velocity]</definedName>
    <definedName function="false" hidden="false" name="spr_Work" vbProcedure="false">SprintTable[Planned Work]</definedName>
    <definedName function="false" hidden="false" name="spr_WorkDays" vbProcedure="false">SprintTable[Working Days]</definedName>
    <definedName function="false" hidden="false" name="StatusDate" vbProcedure="false">Settings!$C$10</definedName>
    <definedName function="false" hidden="false" name="StatusDateInput" vbProcedure="false">Settings!$C$9</definedName>
    <definedName function="false" hidden="false" name="StatusWorkday" vbProcedure="false">Settings!$C$11</definedName>
    <definedName function="false" hidden="false" name="TotalPoints" vbProcedure="false">Settings!$C$35</definedName>
    <definedName function="false" hidden="false" name="tsk_AC" vbProcedure="false">Tasks[AC]</definedName>
    <definedName function="false" hidden="false" name="tsk_ActCostInput" vbProcedure="false">Tasks[Actual Cost]</definedName>
    <definedName function="false" hidden="false" name="tsk_ActFinish" vbProcedure="false">Tasks[Actual Finish]</definedName>
    <definedName function="false" hidden="false" name="tsk_ActStart" vbProcedure="false">Tasks[Actual Start]</definedName>
    <definedName function="false" hidden="false" name="tsk_BaseCost" vbProcedure="false">Tasks[Baseline Cost]</definedName>
    <definedName function="false" hidden="false" name="tsk_BaseDuration" vbProcedure="false">Tasks[Baseline Duration]</definedName>
    <definedName function="false" hidden="false" name="tsk_BaseFinish" vbProcedure="false">Tasks[Baseline Finish]</definedName>
    <definedName function="false" hidden="false" name="tsk_BaseStart" vbProcedure="false">Tasks[Baseline Start]</definedName>
    <definedName function="false" hidden="false" name="tsk_BaseWork" vbProcedure="false">Tasks[Baseline Work]</definedName>
    <definedName function="false" hidden="false" name="tsk_Budget" vbProcedure="false">Tasks[Budget]</definedName>
    <definedName function="false" hidden="false" name="tsk_CalcFinish" vbProcedure="false">Tasks[_CalcFinish]</definedName>
    <definedName function="false" hidden="false" name="tsk_CalcStart" vbProcedure="false">Tasks[_CalcStart]</definedName>
    <definedName function="false" hidden="false" name="tsk_Constraint" vbProcedure="false">Tasks[Constraint Date]</definedName>
    <definedName function="false" hidden="false" name="tsk_ConstraintCode" vbProcedure="false">Tasks[_ConstraintCode]</definedName>
    <definedName function="false" hidden="false" name="tsk_ConstraintType" vbProcedure="false">Tasks[Constraint]</definedName>
    <definedName function="false" hidden="false" name="tsk_Cost" vbProcedure="false">Tasks[Cost]</definedName>
    <definedName function="false" hidden="false" name="tsk_CostVariance" vbProcedure="false">Tasks[Cost Var]</definedName>
    <definedName function="false" hidden="false" name="tsk_Critical" vbProcedure="false">Tasks[Critical]</definedName>
    <definedName function="false" hidden="false" name="tsk_CriticalKey" vbProcedure="false">Tasks[_CriticalKey]</definedName>
    <definedName function="false" hidden="false" name="tsk_CurrentSprintKey" vbProcedure="false">Tasks[_CurrentSprintKey]</definedName>
    <definedName function="false" hidden="false" name="tsk_Deadline" vbProcedure="false">Tasks[Deadline]</definedName>
    <definedName function="false" hidden="false" name="tsk_DeadlineCheck" vbProcedure="false">Tasks[Deadline Check]</definedName>
    <definedName function="false" hidden="false" name="tsk_DoneDate" vbProcedure="false">Tasks[_DoneDate]</definedName>
    <definedName function="false" hidden="false" name="tsk_DueSoonKey" vbProcedure="false">Tasks[_DueSoonKey]</definedName>
    <definedName function="false" hidden="false" name="tsk_Duration" vbProcedure="false">Tasks[Duration]</definedName>
    <definedName function="false" hidden="false" name="tsk_DurationVariance" vbProcedure="false">Tasks[Duration Var]</definedName>
    <definedName function="false" hidden="false" name="tsk_EV" vbProcedure="false">Tasks[EV]</definedName>
    <definedName function="false" hidden="false" name="tsk_FcFinish" vbProcedure="false">Tasks[Forecast Finish]</definedName>
    <definedName function="false" hidden="false" name="tsk_FcStart" vbProcedure="false">Tasks[Forecast Start]</definedName>
    <definedName function="false" hidden="false" name="tsk_FinishWD" vbProcedure="false">Tasks[_FinishWorkday]</definedName>
    <definedName function="false" hidden="false" name="tsk_FreeSlack" vbProcedure="false">Tasks[Free Slack]</definedName>
    <definedName function="false" hidden="false" name="tsk_ID" vbProcedure="false">Tasks[ID]</definedName>
    <definedName function="false" hidden="false" name="tsk_IsLeaf" vbProcedure="false">Tasks[_IsLeaf]</definedName>
    <definedName function="false" hidden="false" name="tsk_IsSummary" vbProcedure="false">Tasks[_IsSummary]</definedName>
    <definedName function="false" hidden="false" name="tsk_LateFinish" vbProcedure="false">Tasks[Late Finish]</definedName>
    <definedName function="false" hidden="false" name="tsk_LateKey" vbProcedure="false">Tasks[_LateKey]</definedName>
    <definedName function="false" hidden="false" name="tsk_LateStart" vbProcedure="false">Tasks[Late Start]</definedName>
    <definedName function="false" hidden="false" name="tsk_LeafAC" vbProcedure="false">Tasks[_LeafAC]</definedName>
    <definedName function="false" hidden="false" name="tsk_LeafBudget" vbProcedure="false">Tasks[_LeafBudget]</definedName>
    <definedName function="false" hidden="false" name="tsk_LeafCost" vbProcedure="false">Tasks[_LeafCost]</definedName>
    <definedName function="false" hidden="false" name="tsk_LeafEV" vbProcedure="false">Tasks[_LeafEV]</definedName>
    <definedName function="false" hidden="false" name="tsk_LeafFcstFinish" vbProcedure="false">Tasks[_LeafFcstFinish]</definedName>
    <definedName function="false" hidden="false" name="tsk_LeafPoints" vbProcedure="false">Tasks[_LeafPoints]</definedName>
    <definedName function="false" hidden="false" name="tsk_LeafProgress" vbProcedure="false">Tasks[_LeafProgress]</definedName>
    <definedName function="false" hidden="false" name="tsk_LeafPV" vbProcedure="false">Tasks[_LeafPV]</definedName>
    <definedName function="false" hidden="false" name="tsk_LeafTotalCost" vbProcedure="false">Tasks[_LeafTotalCost]</definedName>
    <definedName function="false" hidden="false" name="tsk_LeafWork" vbProcedure="false">Tasks[_LeafWork]</definedName>
    <definedName function="false" hidden="false" name="tsk_LeafWorkDone" vbProcedure="false">Tasks[_LeafWorkDone]</definedName>
    <definedName function="false" hidden="false" name="tsk_Level" vbProcedure="false">Tasks[_Level]</definedName>
    <definedName function="false" hidden="false" name="tsk_LinkCheck" vbProcedure="false">Tasks[Link Check]</definedName>
    <definedName function="false" hidden="false" name="tsk_MilestoneKey" vbProcedure="false">Tasks[_MilestoneKey]</definedName>
    <definedName function="false" hidden="false" name="tsk_MilestoneOrder" vbProcedure="false">Tasks[_MilestoneOrder]</definedName>
    <definedName function="false" hidden="false" name="tsk_Mode" vbProcedure="false">Tasks[Mode]</definedName>
    <definedName function="false" hidden="false" name="tsk_Name" vbProcedure="false">Tasks[Task Name]</definedName>
    <definedName function="false" hidden="false" name="tsk_Notes" vbProcedure="false">Tasks[Notes]</definedName>
    <definedName function="false" hidden="false" name="tsk_OverAllocated" vbProcedure="false">Tasks[Over-allocated]</definedName>
    <definedName function="false" hidden="false" name="tsk_PctInput" vbProcedure="false">Tasks[% Complete]</definedName>
    <definedName function="false" hidden="false" name="tsk_Phase" vbProcedure="false">Tasks[_Phase]</definedName>
    <definedName function="false" hidden="false" name="tsk_PhaseKey" vbProcedure="false">Tasks[_PhaseKey]</definedName>
    <definedName function="false" hidden="false" name="tsk_PlanFinish" vbProcedure="false">Tasks[Planned Finish]</definedName>
    <definedName function="false" hidden="false" name="tsk_PlannedPct" vbProcedure="false">Tasks[_PlannedPct]</definedName>
    <definedName function="false" hidden="false" name="tsk_PlannedSprint" vbProcedure="false">Tasks[Planned Sprint]</definedName>
    <definedName function="false" hidden="false" name="tsk_PlanStart" vbProcedure="false">Tasks[Planned Start]</definedName>
    <definedName function="false" hidden="false" name="tsk_Predecessors" vbProcedure="false">Tasks[Predecessors]</definedName>
    <definedName function="false" hidden="false" name="tsk_Progress" vbProcedure="false">Tasks[Progress]</definedName>
    <definedName function="false" hidden="false" name="tsk_PV" vbProcedure="false">Tasks[PV]</definedName>
    <definedName function="false" hidden="false" name="tsk_Resource" vbProcedure="false">Tasks[Resource]</definedName>
    <definedName function="false" hidden="false" name="tsk_ResourceAC" vbProcedure="false">Tasks[_ResourceAC]</definedName>
    <definedName function="false" hidden="false" name="tsk_ResourceNames" vbProcedure="false">Tasks[Resource Names]</definedName>
    <definedName function="false" hidden="false" name="tsk_Show" vbProcedure="false">Tasks[Show]</definedName>
    <definedName function="false" hidden="false" name="tsk_SourceDuration" vbProcedure="false">Tasks[BL Source Duration]</definedName>
    <definedName function="false" hidden="false" name="tsk_Sprint" vbProcedure="false">Tasks[Sprint]</definedName>
    <definedName function="false" hidden="false" name="tsk_StartSoonKey" vbProcedure="false">Tasks[_StartSoonKey]</definedName>
    <definedName function="false" hidden="false" name="tsk_StartVariance" vbProcedure="false">Tasks[Start Var]</definedName>
    <definedName function="false" hidden="false" name="tsk_StartWD" vbProcedure="false">Tasks[_StartWorkday]</definedName>
    <definedName function="false" hidden="false" name="tsk_Status" vbProcedure="false">Tasks[Status]</definedName>
    <definedName function="false" hidden="false" name="tsk_StoryPoints" vbProcedure="false">Tasks[Story Points]</definedName>
    <definedName function="false" hidden="false" name="tsk_TotalSlack" vbProcedure="false">Tasks[Total Slack]</definedName>
    <definedName function="false" hidden="false" name="tsk_UID" vbProcedure="false">Tasks[UID]</definedName>
    <definedName function="false" hidden="false" name="tsk_UIDPredecessors" vbProcedure="false">Tasks[_UIDPredecessors]</definedName>
    <definedName function="false" hidden="false" name="tsk_Units" vbProcedure="false">Tasks[Units]</definedName>
    <definedName function="false" hidden="false" name="tsk_Variance" vbProcedure="false">Tasks[Finish Var]</definedName>
    <definedName function="false" hidden="false" name="tsk_WBS" vbProcedure="false">Tasks[WBS]</definedName>
    <definedName function="false" hidden="false" name="tsk_Work" vbProcedure="false">Tasks[Work]</definedName>
    <definedName function="false" hidden="false" name="tsk_WorkBeforeStart" vbProcedure="false">Tasks[_WorkBeforeStart]</definedName>
    <definedName function="false" hidden="false" name="tsk_WorkPerWD" vbProcedure="false">Tasks[_WorkPerWorkday]</definedName>
    <definedName function="false" hidden="false" name="tsk_WorkVariance" vbProcedure="false">Tasks[Work Var]</definedName>
    <definedName function="false" hidden="false" name="tsk_WtDone" vbProcedure="false">Tasks[_WeightDone]</definedName>
    <definedName function="false" hidden="false" name="tsk_WtDur" vbProcedure="false">Tasks[_WeightDur]</definedName>
    <definedName function="false" hidden="false" name="util_Origin" vbProcedure="false">Sprints!$B$64</definedName>
    <definedName function="false" hidden="false" name="WorkFri" vbProcedure="false">Settings!$C$19</definedName>
    <definedName function="false" hidden="false" name="WorkMon" vbProcedure="false">Settings!$C$15</definedName>
    <definedName function="false" hidden="false" name="WorkSat" vbProcedure="false">Settings!$C$20</definedName>
    <definedName function="false" hidden="false" name="WorkSun" vbProcedure="false">Settings!$C$21</definedName>
    <definedName function="false" hidden="false" name="WorkThu" vbProcedure="false">Settings!$C$18</definedName>
    <definedName function="false" hidden="false" name="WorkTue" vbProcedure="false">Settings!$C$16</definedName>
    <definedName function="false" hidden="false" name="WorkWed" vbProcedure="false">Settings!$C$17</definedName>
    <definedName function="false" hidden="false" name="WorkWeek" vbProcedure="false">Settings!$C$22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20</xdr:rowOff>
              </xdr:from>
              <xdr:to>
                <xdr:col>4</xdr:col>
                <xdr:colOff>-73</xdr:colOff>
                <xdr:row>4</xdr:row>
                <xdr:rowOff>13</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4"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E4"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E7"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F4"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F7"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4"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7"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4"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7"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0</xdr:row>
                <xdr:rowOff>8</xdr:rowOff>
              </xdr:from>
              <xdr:to>
                <xdr:col>3</xdr:col>
                <xdr:colOff>142</xdr:colOff>
                <xdr:row>4</xdr:row>
                <xdr:rowOff>1</xdr:rowOff>
              </xdr:to>
            </anchor>
          </commentPr>
        </mc:Choice>
        <mc:Fallback/>
      </mc:AlternateContent>
    </comment>
    <comment ref="B18"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0</xdr:row>
                <xdr:rowOff>20</xdr:rowOff>
              </xdr:from>
              <xdr:to>
                <xdr:col>3</xdr:col>
                <xdr:colOff>142</xdr:colOff>
                <xdr:row>4</xdr:row>
                <xdr:rowOff>13</xdr:rowOff>
              </xdr:to>
            </anchor>
          </commentPr>
        </mc:Choice>
        <mc:Fallback/>
      </mc:AlternateContent>
    </comment>
    <comment ref="B36"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1</xdr:row>
                <xdr:rowOff>6</xdr:rowOff>
              </xdr:from>
              <xdr:to>
                <xdr:col>3</xdr:col>
                <xdr:colOff>142</xdr:colOff>
                <xdr:row>4</xdr:row>
                <xdr:rowOff>25</xdr:rowOff>
              </xdr:to>
            </anchor>
          </commentPr>
        </mc:Choice>
        <mc:Fallback/>
      </mc:AlternateContent>
    </comment>
    <comment ref="B54"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1</xdr:row>
                <xdr:rowOff>17</xdr:rowOff>
              </xdr:from>
              <xdr:to>
                <xdr:col>3</xdr:col>
                <xdr:colOff>142</xdr:colOff>
                <xdr:row>5</xdr:row>
                <xdr:rowOff>5</xdr:rowOff>
              </xdr:to>
            </anchor>
          </commentPr>
        </mc:Choice>
        <mc:Fallback/>
      </mc:AlternateContent>
    </comment>
    <comment ref="B72"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2</xdr:row>
                <xdr:rowOff>9</xdr:rowOff>
              </xdr:from>
              <xdr:to>
                <xdr:col>3</xdr:col>
                <xdr:colOff>142</xdr:colOff>
                <xdr:row>5</xdr:row>
                <xdr:rowOff>16</xdr:rowOff>
              </xdr:to>
            </anchor>
          </commentPr>
        </mc:Choice>
        <mc:Fallback/>
      </mc:AlternateContent>
    </comment>
    <comment ref="B9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3</xdr:row>
                <xdr:rowOff>1</xdr:rowOff>
              </xdr:from>
              <xdr:to>
                <xdr:col>3</xdr:col>
                <xdr:colOff>142</xdr:colOff>
                <xdr:row>6</xdr:row>
                <xdr:rowOff>8</xdr:rowOff>
              </xdr:to>
            </anchor>
          </commentPr>
        </mc:Choice>
        <mc:Fallback/>
      </mc:AlternateContent>
    </comment>
    <comment ref="M5" authorId="0">
      <text>
        <r>
          <rPr>
            <sz val="10"/>
            <rFont val="Arial"/>
            <family val="2"/>
          </rPr>
          <t xml:space="preserve">Earned value / planned value. Below 1 = behind.</t>
        </r>
      </text>
      <mc:AlternateContent>
        <mc:Choice Requires="v2">
          <commentPr autoFill="true" autoScale="false" colHidden="false" locked="false" rowHidden="false" textHAlign="justify" textVAlign="top">
            <anchor moveWithCells="false" sizeWithCells="false">
              <xdr:from>
                <xdr:col>2</xdr:col>
                <xdr:colOff>57</xdr:colOff>
                <xdr:row>0</xdr:row>
                <xdr:rowOff>8</xdr:rowOff>
              </xdr:from>
              <xdr:to>
                <xdr:col>3</xdr:col>
                <xdr:colOff>142</xdr:colOff>
                <xdr:row>4</xdr:row>
                <xdr:rowOff>1</xdr:rowOff>
              </xdr:to>
            </anchor>
          </commentPr>
        </mc:Choice>
        <mc:Fallback/>
      </mc:AlternateContent>
    </comment>
    <comment ref="N5" authorId="0">
      <text>
        <r>
          <rPr>
            <sz val="10"/>
            <rFont val="Arial"/>
            <family val="2"/>
          </rPr>
          <t xml:space="preserve">Earned value / actual cost. Below 1 = over cost.</t>
        </r>
      </text>
      <mc:AlternateContent>
        <mc:Choice Requires="v2">
          <commentPr autoFill="true" autoScale="false" colHidden="false" locked="false" rowHidden="false" textHAlign="justify" textVAlign="top">
            <anchor moveWithCells="false" sizeWithCells="false">
              <xdr:from>
                <xdr:col>2</xdr:col>
                <xdr:colOff>57</xdr:colOff>
                <xdr:row>0</xdr:row>
                <xdr:rowOff>8</xdr:rowOff>
              </xdr:from>
              <xdr:to>
                <xdr:col>3</xdr:col>
                <xdr:colOff>142</xdr:colOff>
                <xdr:row>4</xdr:row>
                <xdr:rowOff>1</xdr:rowOff>
              </xdr:to>
            </anchor>
          </commentPr>
        </mc:Choice>
        <mc:Fallback/>
      </mc:AlternateContent>
    </comment>
    <comment ref="O5" authorId="0">
      <text>
        <r>
          <rPr>
            <sz val="10"/>
            <rFont val="Arial"/>
            <family val="2"/>
          </rPr>
          <t xml:space="preserve">Unfinished critical tasks in the phase.</t>
        </r>
      </text>
      <mc:AlternateContent>
        <mc:Choice Requires="v2">
          <commentPr autoFill="true" autoScale="false" colHidden="false" locked="false" rowHidden="false" textHAlign="justify" textVAlign="top">
            <anchor moveWithCells="false" sizeWithCells="false">
              <xdr:from>
                <xdr:col>2</xdr:col>
                <xdr:colOff>57</xdr:colOff>
                <xdr:row>0</xdr:row>
                <xdr:rowOff>8</xdr:rowOff>
              </xdr:from>
              <xdr:to>
                <xdr:col>3</xdr:col>
                <xdr:colOff>142</xdr:colOff>
                <xdr:row>4</xdr:row>
                <xdr:rowOff>1</xdr:rowOff>
              </xdr:to>
            </anchor>
          </commentPr>
        </mc:Choice>
        <mc:Fallback/>
      </mc:AlternateContent>
    </comment>
    <comment ref="P5" authorId="0">
      <text>
        <r>
          <rPr>
            <sz val="10"/>
            <rFont val="Arial"/>
            <family val="2"/>
          </rPr>
          <t xml:space="preserve">Worst of finish slip, SPI and CPI against the Settings thresholds.</t>
        </r>
      </text>
      <mc:AlternateContent>
        <mc:Choice Requires="v2">
          <commentPr autoFill="true" autoScale="false" colHidden="false" locked="false" rowHidden="false" textHAlign="justify" textVAlign="top">
            <anchor moveWithCells="false" sizeWithCells="false">
              <xdr:from>
                <xdr:col>2</xdr:col>
                <xdr:colOff>57</xdr:colOff>
                <xdr:row>0</xdr:row>
                <xdr:rowOff>8</xdr:rowOff>
              </xdr:from>
              <xdr:to>
                <xdr:col>3</xdr:col>
                <xdr:colOff>142</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5" authorId="0">
      <text>
        <r>
          <rPr>
            <sz val="10"/>
            <rFont val="Arial"/>
            <family val="2"/>
          </rPr>
          <t xml:space="preserve">Assigned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Work x Progress.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J5" authorId="0">
      <text>
        <r>
          <rPr>
            <sz val="10"/>
            <rFont val="Arial"/>
            <family val="2"/>
          </rPr>
          <t xml:space="preserve">Unfinished tasks forecast to finish after plan, or not started on time (Schedule Report).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4</xdr:rowOff>
              </xdr:to>
            </anchor>
          </commentPr>
        </mc:Choice>
        <mc:Fallback/>
      </mc:AlternateContent>
    </comment>
    <comment ref="L5" authorId="0">
      <text>
        <r>
          <rPr>
            <sz val="10"/>
            <rFont val="Arial"/>
            <family val="2"/>
          </rPr>
          <t xml:space="preserve">Most hours in any week shown in the grid below.</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M5" authorId="0">
      <text>
        <r>
          <rPr>
            <sz val="10"/>
            <rFont val="Arial"/>
            <family val="2"/>
          </rPr>
          <t xml:space="preserve">Highest weekly utilisation in the grid.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N5" authorId="0">
      <text>
        <r>
          <rPr>
            <sz val="10"/>
            <rFont val="Arial"/>
            <family val="2"/>
          </rPr>
          <t xml:space="preserve">Weeks in the grid above 100% of capacity (after leave).</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O5" authorId="0">
      <text>
        <r>
          <rPr>
            <sz val="10"/>
            <rFont val="Arial"/>
            <family val="2"/>
          </rPr>
          <t xml:space="preserve">Working days of leave in the weeks shown below (Leave sheet).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2</xdr:col>
                <xdr:colOff>57</xdr:colOff>
                <xdr:row>0</xdr:row>
                <xdr:rowOff>8</xdr:rowOff>
              </xdr:from>
              <xdr:to>
                <xdr:col>3</xdr:col>
                <xdr:colOff>-125</xdr:colOff>
                <xdr:row>4</xdr:row>
                <xdr:rowOff>1</xdr:rowOff>
              </xdr:to>
            </anchor>
          </commentPr>
        </mc:Choice>
        <mc:Fallback/>
      </mc:AlternateContent>
    </comment>
    <comment ref="D43" authorId="0">
      <text>
        <r>
          <rPr>
            <sz val="10"/>
            <rFont val="Arial"/>
            <family val="2"/>
          </rPr>
          <t xml:space="preserve">Committed points not yet done at the end of the day (blank after the status date).</t>
        </r>
      </text>
      <mc:AlternateContent>
        <mc:Choice Requires="v2">
          <commentPr autoFill="true" autoScale="false" colHidden="false" locked="false" rowHidden="false" textHAlign="justify" textVAlign="top">
            <anchor moveWithCells="false" sizeWithCells="false">
              <xdr:from>
                <xdr:col>2</xdr:col>
                <xdr:colOff>57</xdr:colOff>
                <xdr:row>0</xdr:row>
                <xdr:rowOff>20</xdr:rowOff>
              </xdr:from>
              <xdr:to>
                <xdr:col>3</xdr:col>
                <xdr:colOff>-125</xdr:colOff>
                <xdr:row>4</xdr:row>
                <xdr:rowOff>13</xdr:rowOff>
              </xdr:to>
            </anchor>
          </commentPr>
        </mc:Choice>
        <mc:Fallback/>
      </mc:AlternateContent>
    </comment>
    <comment ref="E43" authorId="0">
      <text>
        <r>
          <rPr>
            <sz val="10"/>
            <rFont val="Arial"/>
            <family val="2"/>
          </rPr>
          <t xml:space="preserve">Straight line over the sprint's working days.</t>
        </r>
      </text>
      <mc:AlternateContent>
        <mc:Choice Requires="v2">
          <commentPr autoFill="true" autoScale="false" colHidden="false" locked="false" rowHidden="false" textHAlign="justify" textVAlign="top">
            <anchor moveWithCells="false" sizeWithCells="false">
              <xdr:from>
                <xdr:col>2</xdr:col>
                <xdr:colOff>57</xdr:colOff>
                <xdr:row>0</xdr:row>
                <xdr:rowOff>20</xdr:rowOff>
              </xdr:from>
              <xdr:to>
                <xdr:col>3</xdr:col>
                <xdr:colOff>-125</xdr:colOff>
                <xdr:row>4</xdr:row>
                <xdr:rowOff>13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4" authorId="0">
      <text>
        <r>
          <rPr>
            <sz val="10"/>
            <rFont val="Arial"/>
            <family val="2"/>
          </rPr>
          <t xml:space="preserve">Permanent number, quoted in reports and other logs (e.g. RAID 3).</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G4" authorId="0">
      <text>
        <r>
          <rPr>
            <sz val="10"/>
            <rFont val="Arial"/>
            <family val="2"/>
          </rPr>
          <t xml:space="preserve">Date the next action or the mitigation is due.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I4" authorId="0">
      <text>
        <r>
          <rPr>
            <sz val="10"/>
            <rFont val="Arial"/>
            <family val="2"/>
          </rPr>
          <t xml:space="preserve">1 (rare) to 5 (almost certain). Ignored for issues.</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J4" authorId="0">
      <text>
        <r>
          <rPr>
            <sz val="10"/>
            <rFont val="Arial"/>
            <family val="2"/>
          </rPr>
          <t xml:space="preserve">1 (minor) to 5 (severe).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K4" authorId="0">
      <text>
        <r>
          <rPr>
            <sz val="10"/>
            <rFont val="Arial"/>
            <family val="2"/>
          </rPr>
          <t xml:space="preserve">Probability x Impact; an issue counts as probability 5.</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M4" authorId="0">
      <text>
        <r>
          <rPr>
            <sz val="10"/>
            <rFont val="Arial"/>
            <family val="2"/>
          </rPr>
          <t xml:space="preserve">Not closed and the due date is before the status date.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N4" authorId="0">
      <text>
        <r>
          <rPr>
            <sz val="10"/>
            <rFont val="Arial"/>
            <family val="2"/>
          </rPr>
          <t xml:space="preserve">UID of the task this item affects (optional).</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P4" authorId="0">
      <text>
        <r>
          <rPr>
            <sz val="10"/>
            <rFont val="Arial"/>
            <family val="2"/>
          </rPr>
          <t xml:space="preserve">The linked task's forecast finish.</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Q4" authorId="0">
      <text>
        <r>
          <rPr>
            <sz val="10"/>
            <rFont val="Arial"/>
            <family val="2"/>
          </rPr>
          <t xml:space="preserve">Mitigation, contingency or action.</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R4" authorId="0">
      <text>
        <r>
          <rPr>
            <sz val="10"/>
            <rFont val="Arial"/>
            <family val="2"/>
          </rPr>
          <t xml:space="preserve">Latest progress note.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S4" authorId="0">
      <text>
        <r>
          <rPr>
            <sz val="10"/>
            <rFont val="Arial"/>
            <family val="2"/>
          </rPr>
          <t xml:space="preserve">Type, Ref and Title in one cell, for the Status Report.</t>
        </r>
      </text>
      <mc:AlternateContent>
        <mc:Choice Requires="v2">
          <commentPr autoFill="true" autoScale="false" colHidden="tru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T4" authorId="0">
      <text>
        <r>
          <rPr>
            <sz val="10"/>
            <rFont val="Arial"/>
            <family val="2"/>
          </rPr>
          <t xml:space="preserve">Open items ranked by score (the Status Report's top list).</t>
        </r>
      </text>
      <mc:AlternateContent>
        <mc:Choice Requires="v2">
          <commentPr autoFill="true" autoScale="false" colHidden="tru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4" authorId="0">
      <text>
        <r>
          <rPr>
            <sz val="10"/>
            <rFont val="Arial"/>
            <family val="2"/>
          </rPr>
          <t xml:space="preserve">Days a proposed decision has waited, to the status date.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4" authorId="0">
      <text>
        <r>
          <rPr>
            <sz val="10"/>
            <rFont val="Arial"/>
            <family val="2"/>
          </rPr>
          <t xml:space="preserve">Working days (negative = saves time).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 ref="L4" authorId="0">
      <text>
        <r>
          <rPr>
            <sz val="10"/>
            <rFont val="Arial"/>
            <family val="2"/>
          </rPr>
          <t xml:space="preserve">Days an undecided request has waited, to the status date.</t>
        </r>
      </text>
      <mc:AlternateContent>
        <mc:Choice Requires="v2">
          <commentPr autoFill="true" autoScale="false" colHidden="false" locked="false" rowHidden="false" textHAlign="justify" textVAlign="top">
            <anchor moveWithCells="false" sizeWithCells="false">
              <xdr:from>
                <xdr:col>2</xdr:col>
                <xdr:colOff>12</xdr:colOff>
                <xdr:row>0</xdr:row>
                <xdr:rowOff>8</xdr:rowOff>
              </xdr:from>
              <xdr:to>
                <xdr:col>3</xdr:col>
                <xdr:colOff>68</xdr:colOff>
                <xdr:row>3</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 authorId="0">
      <text>
        <r>
          <rPr>
            <sz val="10"/>
            <rFont val="Arial"/>
            <family val="2"/>
          </rPr>
          <t xml:space="preserve">Position in the list; renumbers when rows move (like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5" authorId="0">
      <text>
        <r>
          <rPr>
            <sz val="10"/>
            <rFont val="Arial"/>
            <family val="2"/>
          </rPr>
          <t xml:space="preserve">Permanent number that predecessors refer to. Each task needs a different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C5" authorId="0">
      <text>
        <r>
          <rPr>
            <sz val="10"/>
            <rFont val="Arial"/>
            <family val="2"/>
          </rPr>
          <t xml:space="preserve">Outline number, generated from Level.</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D5" authorId="0">
      <text>
        <r>
          <rPr>
            <sz val="10"/>
            <rFont val="Arial"/>
            <family val="2"/>
          </rPr>
          <t xml:space="preserve">Outline level: 1 = phase, 2 = task, 3 = sub-task ... (at most 1 more than the row above).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xdr:rowOff>
              </xdr:to>
            </anchor>
          </commentPr>
        </mc:Choice>
        <mc:Fallback/>
      </mc:AlternateContent>
    </comment>
    <comment ref="E5" authorId="0">
      <text>
        <r>
          <rPr>
            <sz val="10"/>
            <rFont val="Arial"/>
            <family val="2"/>
          </rPr>
          <t xml:space="preserve">Yes when Level &lt;= Settings &gt; OutlineShowLevel: filter on Yes to collapse the outline to that level (or use the 1 2 3 outline buttons at the top left).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49</xdr:rowOff>
              </xdr:to>
            </anchor>
          </commentPr>
        </mc:Choice>
        <mc:Fallback/>
      </mc:AlternateContent>
    </comment>
    <comment ref="G5" authorId="0">
      <text>
        <r>
          <rPr>
            <sz val="10"/>
            <rFont val="Arial"/>
            <family val="2"/>
          </rPr>
          <t xml:space="preserve">Auto = scheduled from predecessors and the constraint. Manual = starts on the Constraint Date (finish constraints: finishes on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34</xdr:rowOff>
              </xdr:to>
            </anchor>
          </commentPr>
        </mc:Choice>
        <mc:Fallback/>
      </mc:AlternateContent>
    </comment>
    <comment ref="H5" authorId="0">
      <text>
        <r>
          <rPr>
            <sz val="10"/>
            <rFont val="Arial"/>
            <family val="2"/>
          </rPr>
          <t xml:space="preserve">Working days. 0 = milestone.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I5" authorId="0">
      <text>
        <r>
          <rPr>
            <sz val="10"/>
            <rFont val="Arial"/>
            <family val="2"/>
          </rPr>
          <t xml:space="preserve">UID of a predecessor: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J5" authorId="0">
      <text>
        <r>
          <rPr>
            <sz val="10"/>
            <rFont val="Arial"/>
            <family val="2"/>
          </rPr>
          <t xml:space="preserve">FS, SS, FF or SF (blank = FS).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K5" authorId="0">
      <text>
        <r>
          <rPr>
            <sz val="10"/>
            <rFont val="Arial"/>
            <family val="2"/>
          </rPr>
          <t xml:space="preserve">Lag in working days (negative = lead).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L5" authorId="0">
      <text>
        <r>
          <rPr>
            <sz val="10"/>
            <rFont val="Arial"/>
            <family val="2"/>
          </rPr>
          <t xml:space="preserve">UID of a predecessor: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M5" authorId="0">
      <text>
        <r>
          <rPr>
            <sz val="10"/>
            <rFont val="Arial"/>
            <family val="2"/>
          </rPr>
          <t xml:space="preserve">FS, SS, FF or SF (blank = FS).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N5" authorId="0">
      <text>
        <r>
          <rPr>
            <sz val="10"/>
            <rFont val="Arial"/>
            <family val="2"/>
          </rPr>
          <t xml:space="preserve">Lag in working days (negative = lead).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O5" authorId="0">
      <text>
        <r>
          <rPr>
            <sz val="10"/>
            <rFont val="Arial"/>
            <family val="2"/>
          </rPr>
          <t xml:space="preserve">UID of a predecessor: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P5" authorId="0">
      <text>
        <r>
          <rPr>
            <sz val="10"/>
            <rFont val="Arial"/>
            <family val="2"/>
          </rPr>
          <t xml:space="preserve">FS, SS, FF or SF (blank = FS).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Q5" authorId="0">
      <text>
        <r>
          <rPr>
            <sz val="10"/>
            <rFont val="Arial"/>
            <family val="2"/>
          </rPr>
          <t xml:space="preserve">Lag in working days (negative = lead).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R5" authorId="0">
      <text>
        <r>
          <rPr>
            <sz val="10"/>
            <rFont val="Arial"/>
            <family val="2"/>
          </rPr>
          <t xml:space="preserve">UID of a predecessor: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S5" authorId="0">
      <text>
        <r>
          <rPr>
            <sz val="10"/>
            <rFont val="Arial"/>
            <family val="2"/>
          </rPr>
          <t xml:space="preserve">FS, SS, FF or SF (blank = FS).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T5" authorId="0">
      <text>
        <r>
          <rPr>
            <sz val="10"/>
            <rFont val="Arial"/>
            <family val="2"/>
          </rPr>
          <t xml:space="preserve">Lag in working days (negative = lead).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U5" authorId="0">
      <text>
        <r>
          <rPr>
            <sz val="10"/>
            <rFont val="Arial"/>
            <family val="2"/>
          </rPr>
          <t xml:space="preserve">MS Project constraint (dropdown). Blank = Start No Earlier Than when a Constraint Date is entered, otherwise As Soon As Possible. Constraint dates win over links.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49</xdr:rowOff>
              </xdr:to>
            </anchor>
          </commentPr>
        </mc:Choice>
        <mc:Fallback/>
      </mc:AlternateContent>
    </comment>
    <comment ref="V5" authorId="0">
      <text>
        <r>
          <rPr>
            <sz val="10"/>
            <rFont val="Arial"/>
            <family val="2"/>
          </rPr>
          <t xml:space="preserve">Date for the Constraint. Manual tasks are pinned to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W5" authorId="0">
      <text>
        <r>
          <rPr>
            <sz val="10"/>
            <rFont val="Arial"/>
            <family val="2"/>
          </rPr>
          <t xml:space="preserve">Optional deadline; Deadline Check flags a forecast finish after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X5" authorId="0">
      <text>
        <r>
          <rPr>
            <sz val="10"/>
            <rFont val="Arial"/>
            <family val="2"/>
          </rPr>
          <t xml:space="preserve">Baseline Start if a baseline is set, otherwise calculated from durations and links.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xdr:rowOff>
              </xdr:to>
            </anchor>
          </commentPr>
        </mc:Choice>
        <mc:Fallback/>
      </mc:AlternateContent>
    </comment>
    <comment ref="Y5" authorId="0">
      <text>
        <r>
          <rPr>
            <sz val="10"/>
            <rFont val="Arial"/>
            <family val="2"/>
          </rPr>
          <t xml:space="preserve">Baseline Finish if a baseline is set, otherwise calculated.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B5" authorId="0">
      <text>
        <r>
          <rPr>
            <sz val="10"/>
            <rFont val="Arial"/>
            <family val="2"/>
          </rPr>
          <t xml:space="preserve">Current schedule: actuals where entered, otherwise recalculated from predecessors.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C5" authorId="0">
      <text>
        <r>
          <rPr>
            <sz val="10"/>
            <rFont val="Arial"/>
            <family val="2"/>
          </rPr>
          <t xml:space="preserve">Current schedule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D5" authorId="0">
      <text>
        <r>
          <rPr>
            <sz val="10"/>
            <rFont val="Arial"/>
            <family val="2"/>
          </rPr>
          <t xml:space="preserve">Forecast Start minus Planned Start,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E5" authorId="0">
      <text>
        <r>
          <rPr>
            <sz val="10"/>
            <rFont val="Arial"/>
            <family val="2"/>
          </rPr>
          <t xml:space="preserve">Forecast Finish minus Planned Finish,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F5" authorId="0">
      <text>
        <r>
          <rPr>
            <sz val="10"/>
            <rFont val="Arial"/>
            <family val="2"/>
          </rPr>
          <t xml:space="preserve">Latest start that doesn't delay the project finish or a deadline (critical path backward pass).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xdr:rowOff>
              </xdr:to>
            </anchor>
          </commentPr>
        </mc:Choice>
        <mc:Fallback/>
      </mc:AlternateContent>
    </comment>
    <comment ref="AG5" authorId="0">
      <text>
        <r>
          <rPr>
            <sz val="10"/>
            <rFont val="Arial"/>
            <family val="2"/>
          </rPr>
          <t xml:space="preserve">Latest finish that doesn't delay the project finish or a deadline.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H5" authorId="0">
      <text>
        <r>
          <rPr>
            <sz val="10"/>
            <rFont val="Arial"/>
            <family val="2"/>
          </rPr>
          <t xml:space="preserve">Total slack: working days this task can slip before it delays the project or a deadline.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I5" authorId="0">
      <text>
        <r>
          <rPr>
            <sz val="10"/>
            <rFont val="Arial"/>
            <family val="2"/>
          </rPr>
          <t xml:space="preserve">Free slack: working days it can slip before it delays any successor.</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J5" authorId="0">
      <text>
        <r>
          <rPr>
            <sz val="10"/>
            <rFont val="Arial"/>
            <family val="2"/>
          </rPr>
          <t xml:space="preserve">Yes when Total Slack &lt;= CriticalSlackDays (Settings) and the task isn't complete.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L5" authorId="0">
      <text>
        <r>
          <rPr>
            <sz val="10"/>
            <rFont val="Arial"/>
            <family val="2"/>
          </rPr>
          <t xml:space="preserve">Explains predecessor links and constraints that are ignored.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M5" authorId="0">
      <text>
        <r>
          <rPr>
            <sz val="10"/>
            <rFont val="Arial"/>
            <family val="2"/>
          </rPr>
          <t xml:space="preserve">Enter 0-100%. An Actual Finish counts as 100%.</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N5" authorId="0">
      <text>
        <r>
          <rPr>
            <sz val="10"/>
            <rFont val="Arial"/>
            <family val="2"/>
          </rPr>
          <t xml:space="preserve">% Complete, rolled up to summaries (duration-weighted).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P5" authorId="0">
      <text>
        <r>
          <rPr>
            <sz val="10"/>
            <rFont val="Arial"/>
            <family val="2"/>
          </rPr>
          <t xml:space="preserve">The task's person (dropdown). More people on the task: Assignments sheet.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Q5" authorId="0">
      <text>
        <r>
          <rPr>
            <sz val="10"/>
            <rFont val="Arial"/>
            <family val="2"/>
          </rPr>
          <t xml:space="preserve">Share of the resource's time (blank = DefaultUnits).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R5" authorId="0">
      <text>
        <r>
          <rPr>
            <sz val="10"/>
            <rFont val="Arial"/>
            <family val="2"/>
          </rPr>
          <t xml:space="preserve">Everyone on the task: Resource plus the Assignments sheet's rows for its UID (MS Project's Resource Names).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19</xdr:rowOff>
              </xdr:to>
            </anchor>
          </commentPr>
        </mc:Choice>
        <mc:Fallback/>
      </mc:AlternateContent>
    </comment>
    <comment ref="AS5" authorId="0">
      <text>
        <r>
          <rPr>
            <sz val="10"/>
            <rFont val="Arial"/>
            <family val="2"/>
          </rPr>
          <t xml:space="preserve">Yes when this task's resource is over 100% of capacity (after leave) in a week the task runs: see Resource Report. Only weeks shown there count.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49</xdr:rowOff>
              </xdr:to>
            </anchor>
          </commentPr>
        </mc:Choice>
        <mc:Fallback/>
      </mc:AlternateContent>
    </comment>
    <comment ref="AT5" authorId="0">
      <text>
        <r>
          <rPr>
            <sz val="10"/>
            <rFont val="Arial"/>
            <family val="2"/>
          </rPr>
          <t xml:space="preserve">Hours = Duration x HoursPerDay x Units, for each person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V5" authorId="0">
      <text>
        <r>
          <rPr>
            <sz val="10"/>
            <rFont val="Arial"/>
            <family val="2"/>
          </rPr>
          <t xml:space="preserve">Cost to date of a detail task. Blank = Cost x Progress (as MS Project calculates it). Summaries roll up in the AC column.</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19</xdr:rowOff>
              </xdr:to>
            </anchor>
          </commentPr>
        </mc:Choice>
        <mc:Fallback/>
      </mc:AlternateContent>
    </comment>
    <comment ref="AW5" authorId="0">
      <text>
        <r>
          <rPr>
            <sz val="10"/>
            <rFont val="Arial"/>
            <family val="2"/>
          </rPr>
          <t xml:space="preserve">Optional: the sprint this task is planned in (dropdown). Blank = the sprint containing its forecast start.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xdr:rowOff>
              </xdr:to>
            </anchor>
          </commentPr>
        </mc:Choice>
        <mc:Fallback/>
      </mc:AlternateContent>
    </comment>
    <comment ref="AX5" authorId="0">
      <text>
        <r>
          <rPr>
            <sz val="10"/>
            <rFont val="Arial"/>
            <family val="2"/>
          </rPr>
          <t xml:space="preserve">Planned Sprint if entered, otherwise the sprint containing the forecast start.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Y5" authorId="0">
      <text>
        <r>
          <rPr>
            <sz val="10"/>
            <rFont val="Arial"/>
            <family val="2"/>
          </rPr>
          <t xml:space="preserve">Story points (optional estimate for agile reporting). Detail tasks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AZ5" authorId="0">
      <text>
        <r>
          <rPr>
            <sz val="10"/>
            <rFont val="Arial"/>
            <family val="2"/>
          </rPr>
          <t xml:space="preserve">Predecessors in MS Project notation, by ID.</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B5" authorId="0">
      <text>
        <r>
          <rPr>
            <sz val="10"/>
            <rFont val="Arial"/>
            <family val="2"/>
          </rPr>
          <t xml:space="preserve">Copy the 5 BL Source columns, then Paste Special &gt; Values onto the 5 Baseline columns.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4</xdr:rowOff>
              </xdr:to>
            </anchor>
          </commentPr>
        </mc:Choice>
        <mc:Fallback/>
      </mc:AlternateContent>
    </comment>
    <comment ref="BG5" authorId="0">
      <text>
        <r>
          <rPr>
            <sz val="10"/>
            <rFont val="Arial"/>
            <family val="2"/>
          </rPr>
          <t xml:space="preserve">Frozen plan. Filled by pasting values from the BL Source columns.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L5" authorId="0">
      <text>
        <r>
          <rPr>
            <sz val="10"/>
            <rFont val="Arial"/>
            <family val="2"/>
          </rPr>
          <t xml:space="preserve">Duration minus Baseline Duration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M5" authorId="0">
      <text>
        <r>
          <rPr>
            <sz val="10"/>
            <rFont val="Arial"/>
            <family val="2"/>
          </rPr>
          <t xml:space="preserve">Work minus Baseline Work (hours).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N5" authorId="0">
      <text>
        <r>
          <rPr>
            <sz val="10"/>
            <rFont val="Arial"/>
            <family val="2"/>
          </rPr>
          <t xml:space="preserve">Cost minus Baseline Cost.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O5" authorId="0">
      <text>
        <r>
          <rPr>
            <sz val="10"/>
            <rFont val="Arial"/>
            <family val="2"/>
          </rPr>
          <t xml:space="preserve">Budget at completion: Baseline Cost once a baseline is set, otherwise Cost.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P5" authorId="0">
      <text>
        <r>
          <rPr>
            <sz val="10"/>
            <rFont val="Arial"/>
            <family val="2"/>
          </rPr>
          <t xml:space="preserve">Planned value: the budget of the work planned before the status date.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Q5" authorId="0">
      <text>
        <r>
          <rPr>
            <sz val="10"/>
            <rFont val="Arial"/>
            <family val="2"/>
          </rPr>
          <t xml:space="preserve">Earned value: Budget x Progress.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 ref="BR5" authorId="0">
      <text>
        <r>
          <rPr>
            <sz val="10"/>
            <rFont val="Arial"/>
            <family val="2"/>
          </rPr>
          <t xml:space="preserve">Actual cost to date: Actual Cost, or Cost x Progress when it is blank.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4</xdr:col>
                <xdr:colOff>38</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L5" authorId="0">
      <text>
        <r>
          <rPr>
            <sz val="10"/>
            <rFont val="Arial"/>
            <family val="2"/>
          </rPr>
          <t xml:space="preserve">Yes down to Settings &gt; OutlineShowLevel: filter on Yes to collapse the outline.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134</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5" authorId="0">
      <text>
        <r>
          <rPr>
            <sz val="10"/>
            <rFont val="Arial"/>
            <family val="2"/>
          </rPr>
          <t xml:space="preserve">Work, Material or Cost (MS Project resource types).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Availability: 100% = full time.</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G5" authorId="0">
      <text>
        <r>
          <rPr>
            <sz val="10"/>
            <rFont val="Arial"/>
            <family val="2"/>
          </rPr>
          <t xml:space="preserve">Standard rate per hour.</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I5" authorId="0">
      <text>
        <r>
          <rPr>
            <sz val="10"/>
            <rFont val="Arial"/>
            <family val="2"/>
          </rPr>
          <t xml:space="preserve">Detail tasks assigned to this resource (Tasks &gt; Resource, and the Assignments sheet).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J5" authorId="0">
      <text>
        <r>
          <rPr>
            <sz val="10"/>
            <rFont val="Arial"/>
            <family val="2"/>
          </rPr>
          <t xml:space="preserve">Assigned work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K5" authorId="0">
      <text>
        <r>
          <rPr>
            <sz val="10"/>
            <rFont val="Arial"/>
            <family val="2"/>
          </rPr>
          <t xml:space="preserve">Assigned cost.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L5" authorId="0">
      <text>
        <r>
          <rPr>
            <sz val="10"/>
            <rFont val="Arial"/>
            <family val="2"/>
          </rPr>
          <t xml:space="preserve">Cost to date: Actual Cost entered on Tasks (shared by cost between the task's people), or Cost x Progress where blank.</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19</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 authorId="0">
      <text>
        <r>
          <rPr>
            <sz val="10"/>
            <rFont val="Arial"/>
            <family val="2"/>
          </rPr>
          <t xml:space="preserve">UID of a detail task on Tasks.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C5" authorId="0">
      <text>
        <r>
          <rPr>
            <sz val="10"/>
            <rFont val="Arial"/>
            <family val="2"/>
          </rPr>
          <t xml:space="preserve">The task's name (looked up).</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D5" authorId="0">
      <text>
        <r>
          <rPr>
            <sz val="10"/>
            <rFont val="Arial"/>
            <family val="2"/>
          </rPr>
          <t xml:space="preserve">Another person on the task (dropdown). The first person goes on Tasks &gt; Resource.</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E5" authorId="0">
      <text>
        <r>
          <rPr>
            <sz val="10"/>
            <rFont val="Arial"/>
            <family val="2"/>
          </rPr>
          <t xml:space="preserve">Share of the person's time on this task (blank = DefaultUnits).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F5" authorId="0">
      <text>
        <r>
          <rPr>
            <sz val="10"/>
            <rFont val="Arial"/>
            <family val="2"/>
          </rPr>
          <t xml:space="preserve">Hours = the task's Duration x HoursPerDay x Units.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G5" authorId="0">
      <text>
        <r>
          <rPr>
            <sz val="10"/>
            <rFont val="Arial"/>
            <family val="2"/>
          </rPr>
          <t xml:space="preserve">Work x the resource's Std Rate.</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 ref="H5" authorId="0">
      <text>
        <r>
          <rPr>
            <sz val="10"/>
            <rFont val="Arial"/>
            <family val="2"/>
          </rPr>
          <t xml:space="preserve">Explains a row that is ignored.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134</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5" authorId="0">
      <text>
        <r>
          <rPr>
            <sz val="10"/>
            <rFont val="Arial"/>
            <family val="2"/>
          </rPr>
          <t xml:space="preserve">Hours of task work falling in the sprint.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I5" authorId="0">
      <text>
        <r>
          <rPr>
            <sz val="10"/>
            <rFont val="Arial"/>
            <family val="2"/>
          </rPr>
          <t xml:space="preserve">Sum of Work resources' Max Units x HoursPerDay x working days, less the leave of the people in the grids below (Leave sheet).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5</xdr:row>
                <xdr:rowOff>2</xdr:rowOff>
              </xdr:to>
            </anchor>
          </commentPr>
        </mc:Choice>
        <mc:Fallback/>
      </mc:AlternateContent>
    </comment>
    <comment ref="L5" authorId="0">
      <text>
        <r>
          <rPr>
            <sz val="10"/>
            <rFont val="Arial"/>
            <family val="2"/>
          </rPr>
          <t xml:space="preserve">Optional: story points the team can take on in the sprint. Committed Points turn red above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4</xdr:rowOff>
              </xdr:to>
            </anchor>
          </commentPr>
        </mc:Choice>
        <mc:Fallback/>
      </mc:AlternateContent>
    </comment>
    <comment ref="M5" authorId="0">
      <text>
        <r>
          <rPr>
            <sz val="10"/>
            <rFont val="Arial"/>
            <family val="2"/>
          </rPr>
          <t xml:space="preserve">Story points of the tasks in this sprint (Tasks &gt; Sprint).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N5" authorId="0">
      <text>
        <r>
          <rPr>
            <sz val="10"/>
            <rFont val="Arial"/>
            <family val="2"/>
          </rPr>
          <t xml:space="preserve">Story points of tasks finished during the sprint (by Actual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O5" authorId="0">
      <text>
        <r>
          <rPr>
            <sz val="10"/>
            <rFont val="Arial"/>
            <family val="2"/>
          </rPr>
          <t xml:space="preserve">Average Done Points of this and the two previous sprints (closed sprints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P5" authorId="0">
      <text>
        <r>
          <rPr>
            <sz val="10"/>
            <rFont val="Arial"/>
            <family val="2"/>
          </rPr>
          <t xml:space="preserve">Release burndown: story points not yet done at the sprint end (or the status date).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Q5" authorId="0">
      <text>
        <r>
          <rPr>
            <sz val="10"/>
            <rFont val="Arial"/>
            <family val="2"/>
          </rPr>
          <t xml:space="preserve">Points still open at the sprint end if tasks finish on their forecast dates.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R5" authorId="0">
      <text>
        <r>
          <rPr>
            <sz val="10"/>
            <rFont val="Arial"/>
            <family val="2"/>
          </rPr>
          <t xml:space="preserve">Straight line from the total scope to zero at the last sprint.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T5" authorId="0">
      <text>
        <r>
          <rPr>
            <sz val="10"/>
            <rFont val="Arial"/>
            <family val="2"/>
          </rPr>
          <t xml:space="preserve">LeaveTable column of a month the sprint touches (for the leave look-ups).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U5" authorId="0">
      <text>
        <r>
          <rPr>
            <sz val="10"/>
            <rFont val="Arial"/>
            <family val="2"/>
          </rPr>
          <t xml:space="preserve">LeaveTable column of a month the sprint touches (for the leave look-ups).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 ref="V5" authorId="0">
      <text>
        <r>
          <rPr>
            <sz val="10"/>
            <rFont val="Arial"/>
            <family val="2"/>
          </rPr>
          <t xml:space="preserve">LeaveTable column of a month the sprint touches (for the leave look-ups).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2</xdr:col>
                <xdr:colOff>68</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4" authorId="0">
      <text>
        <r>
          <rPr>
            <sz val="10"/>
            <rFont val="Arial"/>
            <family val="2"/>
          </rPr>
          <t xml:space="preserve">Name as on the Resources sheet.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C4" authorId="0">
      <text>
        <r>
          <rPr>
            <sz val="10"/>
            <rFont val="Arial"/>
            <family val="2"/>
          </rPr>
          <t xml:space="preserve">Days off in Jan-26: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D4" authorId="0">
      <text>
        <r>
          <rPr>
            <sz val="10"/>
            <rFont val="Arial"/>
            <family val="2"/>
          </rPr>
          <t xml:space="preserve">Days off in Feb-26: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E4" authorId="0">
      <text>
        <r>
          <rPr>
            <sz val="10"/>
            <rFont val="Arial"/>
            <family val="2"/>
          </rPr>
          <t xml:space="preserve">Days off in Mar-26: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F4" authorId="0">
      <text>
        <r>
          <rPr>
            <sz val="10"/>
            <rFont val="Arial"/>
            <family val="2"/>
          </rPr>
          <t xml:space="preserve">Days off in Apr-26: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G4" authorId="0">
      <text>
        <r>
          <rPr>
            <sz val="10"/>
            <rFont val="Arial"/>
            <family val="2"/>
          </rPr>
          <t xml:space="preserve">Days off in May-26: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H4" authorId="0">
      <text>
        <r>
          <rPr>
            <sz val="10"/>
            <rFont val="Arial"/>
            <family val="2"/>
          </rPr>
          <t xml:space="preserve">Days off in Jun-26: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I4" authorId="0">
      <text>
        <r>
          <rPr>
            <sz val="10"/>
            <rFont val="Arial"/>
            <family val="2"/>
          </rPr>
          <t xml:space="preserve">Days off in Jul-26: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J4" authorId="0">
      <text>
        <r>
          <rPr>
            <sz val="10"/>
            <rFont val="Arial"/>
            <family val="2"/>
          </rPr>
          <t xml:space="preserve">Days off in Aug-26: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K4" authorId="0">
      <text>
        <r>
          <rPr>
            <sz val="10"/>
            <rFont val="Arial"/>
            <family val="2"/>
          </rPr>
          <t xml:space="preserve">Days off in Sep-26: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L4" authorId="0">
      <text>
        <r>
          <rPr>
            <sz val="10"/>
            <rFont val="Arial"/>
            <family val="2"/>
          </rPr>
          <t xml:space="preserve">Days off in Oct-26: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M4" authorId="0">
      <text>
        <r>
          <rPr>
            <sz val="10"/>
            <rFont val="Arial"/>
            <family val="2"/>
          </rPr>
          <t xml:space="preserve">Days off in Nov-26: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N4" authorId="0">
      <text>
        <r>
          <rPr>
            <sz val="10"/>
            <rFont val="Arial"/>
            <family val="2"/>
          </rPr>
          <t xml:space="preserve">Days off in Dec-26: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O4" authorId="0">
      <text>
        <r>
          <rPr>
            <sz val="10"/>
            <rFont val="Arial"/>
            <family val="2"/>
          </rPr>
          <t xml:space="preserve">Days off in Jan-27: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P4" authorId="0">
      <text>
        <r>
          <rPr>
            <sz val="10"/>
            <rFont val="Arial"/>
            <family val="2"/>
          </rPr>
          <t xml:space="preserve">Days off in Feb-27: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Q4" authorId="0">
      <text>
        <r>
          <rPr>
            <sz val="10"/>
            <rFont val="Arial"/>
            <family val="2"/>
          </rPr>
          <t xml:space="preserve">Days off in Mar-27: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R4" authorId="0">
      <text>
        <r>
          <rPr>
            <sz val="10"/>
            <rFont val="Arial"/>
            <family val="2"/>
          </rPr>
          <t xml:space="preserve">Days off in Apr-27: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S4" authorId="0">
      <text>
        <r>
          <rPr>
            <sz val="10"/>
            <rFont val="Arial"/>
            <family val="2"/>
          </rPr>
          <t xml:space="preserve">Days off in May-27: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T4" authorId="0">
      <text>
        <r>
          <rPr>
            <sz val="10"/>
            <rFont val="Arial"/>
            <family val="2"/>
          </rPr>
          <t xml:space="preserve">Days off in Jun-27: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U4" authorId="0">
      <text>
        <r>
          <rPr>
            <sz val="10"/>
            <rFont val="Arial"/>
            <family val="2"/>
          </rPr>
          <t xml:space="preserve">Days off in Jul-27: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V4" authorId="0">
      <text>
        <r>
          <rPr>
            <sz val="10"/>
            <rFont val="Arial"/>
            <family val="2"/>
          </rPr>
          <t xml:space="preserve">Days off in Aug-27: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W4" authorId="0">
      <text>
        <r>
          <rPr>
            <sz val="10"/>
            <rFont val="Arial"/>
            <family val="2"/>
          </rPr>
          <t xml:space="preserve">Days off in Sep-27: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X4" authorId="0">
      <text>
        <r>
          <rPr>
            <sz val="10"/>
            <rFont val="Arial"/>
            <family val="2"/>
          </rPr>
          <t xml:space="preserve">Days off in Oct-27: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Y4" authorId="0">
      <text>
        <r>
          <rPr>
            <sz val="10"/>
            <rFont val="Arial"/>
            <family val="2"/>
          </rPr>
          <t xml:space="preserve">Days off in Nov-27: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Z4" authorId="0">
      <text>
        <r>
          <rPr>
            <sz val="10"/>
            <rFont val="Arial"/>
            <family val="2"/>
          </rPr>
          <t xml:space="preserve">Days off in Dec-27: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A4" authorId="0">
      <text>
        <r>
          <rPr>
            <sz val="10"/>
            <rFont val="Arial"/>
            <family val="2"/>
          </rPr>
          <t xml:space="preserve">Days off in Jan-28: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B4" authorId="0">
      <text>
        <r>
          <rPr>
            <sz val="10"/>
            <rFont val="Arial"/>
            <family val="2"/>
          </rPr>
          <t xml:space="preserve">Days off in Feb-28: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C4" authorId="0">
      <text>
        <r>
          <rPr>
            <sz val="10"/>
            <rFont val="Arial"/>
            <family val="2"/>
          </rPr>
          <t xml:space="preserve">Days off in Mar-28: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D4" authorId="0">
      <text>
        <r>
          <rPr>
            <sz val="10"/>
            <rFont val="Arial"/>
            <family val="2"/>
          </rPr>
          <t xml:space="preserve">Days off in Apr-28: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E4" authorId="0">
      <text>
        <r>
          <rPr>
            <sz val="10"/>
            <rFont val="Arial"/>
            <family val="2"/>
          </rPr>
          <t xml:space="preserve">Days off in May-28: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F4" authorId="0">
      <text>
        <r>
          <rPr>
            <sz val="10"/>
            <rFont val="Arial"/>
            <family val="2"/>
          </rPr>
          <t xml:space="preserve">Days off in Jun-28: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G4" authorId="0">
      <text>
        <r>
          <rPr>
            <sz val="10"/>
            <rFont val="Arial"/>
            <family val="2"/>
          </rPr>
          <t xml:space="preserve">Days off in Jul-28: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H4" authorId="0">
      <text>
        <r>
          <rPr>
            <sz val="10"/>
            <rFont val="Arial"/>
            <family val="2"/>
          </rPr>
          <t xml:space="preserve">Days off in Aug-28: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I4" authorId="0">
      <text>
        <r>
          <rPr>
            <sz val="10"/>
            <rFont val="Arial"/>
            <family val="2"/>
          </rPr>
          <t xml:space="preserve">Days off in Sep-28: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J4" authorId="0">
      <text>
        <r>
          <rPr>
            <sz val="10"/>
            <rFont val="Arial"/>
            <family val="2"/>
          </rPr>
          <t xml:space="preserve">Days off in Oct-28: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K4" authorId="0">
      <text>
        <r>
          <rPr>
            <sz val="10"/>
            <rFont val="Arial"/>
            <family val="2"/>
          </rPr>
          <t xml:space="preserve">Days off in Nov-28: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 ref="AL4" authorId="0">
      <text>
        <r>
          <rPr>
            <sz val="10"/>
            <rFont val="Arial"/>
            <family val="2"/>
          </rPr>
          <t xml:space="preserve">Days off in Dec-28: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53</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X1" authorId="0">
      <text>
        <r>
          <rPr>
            <sz val="10"/>
            <rFont val="Arial"/>
            <family val="2"/>
          </rPr>
          <t xml:space="preserve">Sprint, in MS Project's custom field Text1 (rename it Sprint in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2</xdr:rowOff>
              </xdr:from>
              <xdr:to>
                <xdr:col>2</xdr:col>
                <xdr:colOff>127</xdr:colOff>
                <xdr:row>1</xdr:row>
                <xdr:rowOff>19</xdr:rowOff>
              </xdr:to>
            </anchor>
          </commentPr>
        </mc:Choice>
        <mc:Fallback/>
      </mc:AlternateContent>
    </comment>
    <comment ref="Y1" authorId="0">
      <text>
        <r>
          <rPr>
            <sz val="10"/>
            <rFont val="Arial"/>
            <family val="2"/>
          </rPr>
          <t xml:space="preserve">Story points, in MS Project's custom field Number1.</t>
        </r>
      </text>
      <mc:AlternateContent>
        <mc:Choice Requires="v2">
          <commentPr autoFill="true" autoScale="false" colHidden="false" locked="false" rowHidden="false" textHAlign="justify" textVAlign="top">
            <anchor moveWithCells="false" sizeWithCells="false">
              <xdr:from>
                <xdr:col>1</xdr:col>
                <xdr:colOff>42</xdr:colOff>
                <xdr:row>0</xdr:row>
                <xdr:rowOff>2</xdr:rowOff>
              </xdr:from>
              <xdr:to>
                <xdr:col>2</xdr:col>
                <xdr:colOff>127</xdr:colOff>
                <xdr:row>1</xdr:row>
                <xdr:rowOff>19</xdr:rowOff>
              </xdr:to>
            </anchor>
          </commentPr>
        </mc:Choice>
        <mc:Fallback/>
      </mc:AlternateContent>
    </comment>
  </commentList>
</comments>
</file>

<file path=xl/sharedStrings.xml><?xml version="1.0" encoding="utf-8"?>
<sst xmlns="http://schemas.openxmlformats.org/spreadsheetml/2006/main" count="1240" uniqueCount="864">
  <si>
    <t xml:space="preserve">Project Planner - MS Project-compatible Excel template</t>
  </si>
  <si>
    <t xml:space="preserve">REQUIREMENTS</t>
  </si>
  <si>
    <t xml:space="preserve">Excel version</t>
  </si>
  <si>
    <t xml:space="preserve">Excel 2019 or Microsoft 365 (Windows or Mac), or Excel for the web. No macros needed.</t>
  </si>
  <si>
    <t xml:space="preserve">HOW IT WORKS</t>
  </si>
  <si>
    <t xml:space="preserve">1. Settings</t>
  </si>
  <si>
    <t xml:space="preserve">Set project start and status date (both typed dates; Ctrl+; enters today), working week (Mon-Sun Yes/No), hours/day, Gantt scale and sprint calendar. Add holidays on 'Holidays'. Update the status date whenever you report progress.</t>
  </si>
  <si>
    <t xml:space="preserve">2. Resources</t>
  </si>
  <si>
    <t xml:space="preserve">List people/roles with Max Units and hourly rate. They appear in the Resource dropdown on Tasks and in sprint capacity. More than one person on a task: put the first on Tasks (Resource, Units) and add a row on the Assignments sheet (Task UID, Resource, Units) for each of the others.</t>
  </si>
  <si>
    <t xml:space="preserve">3. Tasks</t>
  </si>
  <si>
    <t xml:space="preserve">One row per task. Enter Level (1 = phase/summary, 2 = task, 3 = sub-task...), Task Name, Duration in working days (0 = milestone), and up to four predecessors by UID with link type (FS, SS, FF, SF) and lag in days (negative = lead). A row becomes a SUMMARY automatically when the rows beneath it have a higher level; its dates, work, cost and progress roll up. Optional Deadline: Deadline Check shows 'Late by Nd'. Hover over a column header for what it means.</t>
  </si>
  <si>
    <t xml:space="preserve">4. Set the baseline</t>
  </si>
  <si>
    <t xml:space="preserve">When the plan is agreed: on Tasks, select the 5 'BL Source' columns (all task rows), Copy, then select the first 'Baseline Start' cell and Paste Special &gt; Values. Planned Start/Finish now stay frozen (like MS Project's Baseline) and the variance columns compare against it. To re-baseline, repeat; to clear it, delete the 5 Baseline columns' contents.</t>
  </si>
  <si>
    <t xml:space="preserve">5. Track progress</t>
  </si>
  <si>
    <t xml:space="preserve">Enter Actual Start, Actual Finish and % Complete. Forecast Start/Finish then use actuals and push every dependent task. Start / Finish / Duration / Work / Cost Var and Status flag slippage. Optionally enter Actual Cost (cost to date) on detail tasks; blank = Cost x Progress.</t>
  </si>
  <si>
    <t xml:space="preserve">Critical path</t>
  </si>
  <si>
    <t xml:space="preserve">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</si>
  <si>
    <t xml:space="preserve">6. Gantt</t>
  </si>
  <si>
    <t xml:space="preserve">Read-only view: dark outline = planned dates, green = done, blue = remaining on track, red = remaining on the critical path, orange = remaining but late vs plan, dark grey = summary, purple = milestone, red cell = deadline, red border = status date. Change GanttStart / GanttPeriod (1 = days, 7 = weeks, 30 = months, 91 = quarters) on Settings to scroll or zoom. Collapse the outline with the 1 2 3 buttons at the top left (rows are grouped by Level), or set Settings &gt; OutlineShowLevel and filter Show = Yes (also on Tasks).</t>
  </si>
  <si>
    <t xml:space="preserve">6b. Roadmap</t>
  </si>
  <si>
    <t xml:space="preserve">One landscape page for sponsors: phases and milestones with their dates, drawn by month (blue = forecast, green = done, amber = late vs plan, outline = planned, purple = milestone, red = deadline missed). Settings &gt; RoadmapStart scrolls the 18 months shown.</t>
  </si>
  <si>
    <t xml:space="preserve">7. Sprints</t>
  </si>
  <si>
    <t xml:space="preserve">Sprint calendar from Settings. Each task is tagged with the sprint its forecast start falls in. Work hours are prorated across sprints per resource, compared against capacity (Max Units x Hours/day x working days); over-allocations turn red. Optional agile columns: Story Points and Planned Sprint on Tasks (Planned Sprint wins over the automatic sprint), Points Capacity on Sprints; the table then shows committed and done points, velocity and the release burndown.</t>
  </si>
  <si>
    <t xml:space="preserve">8. Dashboard</t>
  </si>
  <si>
    <t xml:space="preserve">KPIs (including overall RAG, SPI, CPI, missed deadlines, link problems), status counts, upcoming milestones and sprint load vs capacity.</t>
  </si>
  <si>
    <t xml:space="preserve">9. Status Report</t>
  </si>
  <si>
    <t xml:space="preserve">For steering meetings: overall RAG and RAG by area (schedule, SPI, CPI, deadlines, critical path, plan quality), calculated from the thresholds on Settings (RAG...). Type a PM RAG to override one and say why in Comment. Earned value (BAC, PV, EV, AC, SPI, CPI, EAC, VAC, TCPI) and a commentary box for the period.</t>
  </si>
  <si>
    <t xml:space="preserve">10. Schedule Report</t>
  </si>
  <si>
    <t xml:space="preserve">Phase summary with RAG, all milestones, late tasks, tasks starting and due in the look-ahead window (Settings &gt; LookaheadDays) and open critical tasks. Lists update with every edit; drag a list's bottom corner down to show more rows.</t>
  </si>
  <si>
    <t xml:space="preserve">11. Resource Report</t>
  </si>
  <si>
    <t xml:space="preserve">Per resource: work, done, remaining, cost, actual cost, late and critical tasks, peak week and weeks over capacity. Weekly hours and utilisation grids by week from Settings &gt; ResourceWeekStart (red = over capacity), and a team hours vs capacity chart.</t>
  </si>
  <si>
    <t xml:space="preserve">12. Agile Report</t>
  </si>
  <si>
    <t xml:space="preserve">Story points: scope, done, remaining, velocity (last 3 closed sprints) and the sprint it forecasts finishing in; the current sprint's backlog and daily burndown; release burndown and committed vs done charts.</t>
  </si>
  <si>
    <t xml:space="preserve">Leave</t>
  </si>
  <si>
    <t xml:space="preserve">Leave sheet: one row per person, one column per month (Jan-26 ... Dec-28; add a month by typing e.g. Jan-29 in the next header cell). Type the days off: '16, 17(0.5)' under Nov-26 = all of 16 November and half of the 17th. Weekends and holidays are ignored. Leave lowers capacity on the Resource Report and Sprints and can make a task Over-allocated; it does not move task dates.</t>
  </si>
  <si>
    <t xml:space="preserve">13. RAID</t>
  </si>
  <si>
    <t xml:space="preserve">Risks, assumptions, issues and dependencies: owner, due date, probability and impact (1-5). Score = probability x impact (issues count as probability 5); Rating from Settings &gt; RAIDHighScore / RAIDMediumScore; Overdue when not closed past its due date. Link a task by UID. The Status Report lists the top open items and rates RAID amber when any open item is High.</t>
  </si>
  <si>
    <t xml:space="preserve">14. Decisions and Changes</t>
  </si>
  <si>
    <t xml:space="preserve">Decision log (what, options and reasons, who, status) and change request log (schedule and cost impact, status, who decided). The Status Report totals approved and pending changes. Approving a change doesn't edit the plan: update the tasks, and re-baseline if the sponsor agrees.</t>
  </si>
  <si>
    <t xml:space="preserve">15. History</t>
  </si>
  <si>
    <t xml:space="preserve">On each reporting date, copy the SnapshotNow row on History and Paste Special &gt; Values onto the first empty row of StatusHistory. Trend charts: forecast vs planned finish, earned value S-curve, SPI / CPI and a story-point burn-up that shows scope changes.</t>
  </si>
  <si>
    <t xml:space="preserve">Earned value</t>
  </si>
  <si>
    <t xml:space="preserve">Set a baseline first: without one, Budget = current Cost and PV follows the current plan, so SPI and CPI only show progress against the latest plan. PV = budget of work planned before the status date; EV = Budget x Progress; AC = Actual Cost. SPI = EV/PV, CPI = EV/AC, EAC = AC + (BAC - EV)/CPI.</t>
  </si>
  <si>
    <t xml:space="preserve">CELL COLOURS</t>
  </si>
  <si>
    <t xml:space="preserve">Blue text</t>
  </si>
  <si>
    <t xml:space="preserve">Input - type here.</t>
  </si>
  <si>
    <t xml:space="preserve">Black text on grey</t>
  </si>
  <si>
    <t xml:space="preserve">Formula - do not overwrite. Summary rows grey-out inputs that are ignored.</t>
  </si>
  <si>
    <t xml:space="preserve">Dark blue header</t>
  </si>
  <si>
    <t xml:space="preserve">Input column.  Dark grey header = calculated.  Light grey header = helper column (hidden, grouped).</t>
  </si>
  <si>
    <t xml:space="preserve">RULES (same as MS Project)</t>
  </si>
  <si>
    <t xml:space="preserve">ID and UID</t>
  </si>
  <si>
    <t xml:space="preserve">ID = position of the task (renumbers when rows move, like MS Project). UID = permanent number that predecessors refer to, so links survive inserting, deleting and moving rows. A duplicate or missing UID turns red.</t>
  </si>
  <si>
    <t xml:space="preserve">Inserting tasks</t>
  </si>
  <si>
    <t xml:space="preserve">Tasks is an Excel Table: right-click a row &gt; Insert &gt; Table Rows Above (or type in the row under the table). Every formula fills in automatically. Set the new task's UID to Settings &gt; NextFreeUID (also shown at the top of Tasks).</t>
  </si>
  <si>
    <t xml:space="preserve">Outline levels</t>
  </si>
  <si>
    <t xml:space="preserve">Each row's Level may be at most 1 higher than the row above. A '?' in WBS (red) means a level jump.</t>
  </si>
  <si>
    <t xml:space="preserve">Predecessors</t>
  </si>
  <si>
    <t xml:space="preserve">Enter the predecessor's UID. A predecessor must be a detail task listed ABOVE its successor (order tasks roughly by date). Links that break this, or point to an empty row or a missing UID, are ignored and explained in the Link Check column (red). Summary rows ignore Duration / Predecessors / Actuals - they roll up. The rule keeps the schedule and the critical path consistent and rules out circular references.</t>
  </si>
  <si>
    <t xml:space="preserve">Mode</t>
  </si>
  <si>
    <t xml:space="preserve">Auto = scheduled from predecessors, project start and the constraint. Manual = pinned to the Constraint Date.</t>
  </si>
  <si>
    <t xml:space="preserve">Constraints</t>
  </si>
  <si>
    <t xml:space="preserve">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</si>
  <si>
    <t xml:space="preserve">Rescheduling</t>
  </si>
  <si>
    <t xml:space="preserve">Settings &gt; RescheduleAfterStatus = Yes moves incomplete work to after the status date (like MS Project 'Update Project'), so late tasks push successors.</t>
  </si>
  <si>
    <t xml:space="preserve">Capacity</t>
  </si>
  <si>
    <t xml:space="preserve">Tables grow when you add rows: Tasks starts with 200 rows, Resources 50, Assignments 100, Sprints 26, Holidays 100. The Gantt and MSP_Tasks sheets show the first 200 tasks (the Gantt says so when there are more); the Gantt timeline has 150 columns; the per-resource grids on Sprints and Resource Report show the first 25 resources and the Resource Report 26 weeks. To change these sizes, rebuild with scripts/build_planner.py --tasks / --resources / --assignments / --grid-resources / --sprints / --gantt-columns / --weeks (see README).</t>
  </si>
  <si>
    <t xml:space="preserve">Speed</t>
  </si>
  <si>
    <t xml:space="preserve">An edit recalculates in well under a second for typical plans (about 0.05 s for 200 tasks). Each change to the build is timed in CI; see docs/ARCHITECTURE.md in the repository. Keep the status date typed (not =TODAY()), which would recalculate everything after every edit.</t>
  </si>
  <si>
    <t xml:space="preserve">MOVING TO MICROSOFT PROJECT</t>
  </si>
  <si>
    <t xml:space="preserve">Best: MS Project XML</t>
  </si>
  <si>
    <t xml:space="preserve">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</si>
  <si>
    <t xml:space="preserve">From MS Project</t>
  </si>
  <si>
    <t xml:space="preserve">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</si>
  <si>
    <t xml:space="preserve">Or: Import Wizard</t>
  </si>
  <si>
    <t xml:space="preserve">The MSP_Tasks / MSP_Resources sheets below. Carries less (no calendar or holidays).</t>
  </si>
  <si>
    <t xml:space="preserve">One-time setting</t>
  </si>
  <si>
    <t xml:space="preserve">MS Project &gt; File &gt; Options &gt; Trust Center &gt; Trust Center Settings &gt; Legacy Formats &gt; 'Allow loading files with legacy or non-default file formats'.</t>
  </si>
  <si>
    <t xml:space="preserve">Import</t>
  </si>
  <si>
    <t xml:space="preserve">In MS Project: File &gt; Open &gt; choose this .xlsx &gt; Import Wizard &gt; New map &gt; 'As a new project' &gt; tick Tasks (and Resources) &gt; Tasks source worksheet = MSP_Tasks, Resources = MSP_Resources. Column headers already use MS Project field names, so the wizard maps them automatically. Map 'Predecessors' (by ID) for a new project; 'Unique ID' and 'Unique ID Predecessors' are for merging into an existing one.</t>
  </si>
  <si>
    <t xml:space="preserve">Tip: Start/Finish</t>
  </si>
  <si>
    <t xml:space="preserve">For auto-scheduled tasks map Duration + Predecessors (+ Constraint Type/Date) and set Start/Finish to '(not mapped)' - importing Start/Finish makes MS Project add fixed 'Start No Earlier Than' constraints. Map Baseline Start/Finish to keep the plan, and Actual Start/Finish/% Complete for progress.</t>
  </si>
  <si>
    <t xml:space="preserve">Rows</t>
  </si>
  <si>
    <t xml:space="preserve">Blank MSP_Tasks rows import as blank tasks - delete them in MS Project, or filter the table to non-blank names and copy those rows to a new sheet before importing.</t>
  </si>
  <si>
    <t xml:space="preserve">From MS Project to Excel</t>
  </si>
  <si>
    <t xml:space="preserve">MS Project &gt; File &gt; Save As &gt; Excel Workbook, then paste Name / Outline Level / Duration / Predecessors etc. into the Tasks input columns (split '3FS+2d' into UID, Type, Lag).</t>
  </si>
  <si>
    <t xml:space="preserve">NAMES AND TABLES (Formulas &gt; Name Manager)</t>
  </si>
  <si>
    <t xml:space="preserve">Tables</t>
  </si>
  <si>
    <t xml:space="preserve">Tasks, ResourceTable, AssignmentTable, SprintTable, HolidayTable, GanttView, MSPTasks, MSPResources, KPIs, StatusSummary, NextMilestones, OverallStatus, StatusRAG, EarnedValue, StatusNotes, PhaseSummary, MilestoneReport, LateTasks, StartingSoon, DueSoon, CriticalTasks, ResourceSummary, AgileKPIs, SprintBacklog, SprintBurndown, RAIDLog, DecisionLog, ChangeLog, TopRAID, ChangeControl, SnapshotNow, StatusHistory and the List* dropdown tables. Inside a table, formulas read [@Column] (this row).</t>
  </si>
  <si>
    <t xml:space="preserve">Settings</t>
  </si>
  <si>
    <t xml:space="preserve">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NextFreeUID. Report values: ProjectRAG, evm_BAC, evm_PV, evm_EV, evm_AC, evm_SPI, evm_CPI, evm_EAC ...</t>
  </si>
  <si>
    <t xml:space="preserve">Task columns</t>
  </si>
  <si>
    <t xml:space="preserve">tsk_ID, tsk_UID, tsk_WBS, tsk_Name, tsk_Duration, tsk_PlanStart, tsk_FcFinish, tsk_Status, tsk_Resource, tsk_Work, tsk_Cost ... each is Tasks[Column], so it grows with the table. Other sheets read Tasks only through these names.</t>
  </si>
  <si>
    <t xml:space="preserve">Resources / Sprints</t>
  </si>
  <si>
    <t xml:space="preserve">res_Name, res_MaxUnits, res_Rate, ...  spr_Name, spr_Start, spr_End, spr_WorkDays, spr_Capacity, spr_Work</t>
  </si>
  <si>
    <t xml:space="preserve">Key formulas</t>
  </si>
  <si>
    <t xml:space="preserve">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</si>
  <si>
    <t xml:space="preserve">Key indicator</t>
  </si>
  <si>
    <t xml:space="preserve">Value</t>
  </si>
  <si>
    <t xml:space="preserve">Status</t>
  </si>
  <si>
    <t xml:space="preserve">Count</t>
  </si>
  <si>
    <t xml:space="preserve">Planned start</t>
  </si>
  <si>
    <t xml:space="preserve">Complete</t>
  </si>
  <si>
    <t xml:space="preserve">Planned finish</t>
  </si>
  <si>
    <t xml:space="preserve">In Progress</t>
  </si>
  <si>
    <t xml:space="preserve">Forecast finish</t>
  </si>
  <si>
    <t xml:space="preserve">Behind</t>
  </si>
  <si>
    <t xml:space="preserve">Finish variance (work days)</t>
  </si>
  <si>
    <t xml:space="preserve">Late Start</t>
  </si>
  <si>
    <t xml:space="preserve">Overall progress (duration-weighted)</t>
  </si>
  <si>
    <t xml:space="preserve">Not Started</t>
  </si>
  <si>
    <t xml:space="preserve">Planned progress by status date</t>
  </si>
  <si>
    <t xml:space="preserve">Detail tasks</t>
  </si>
  <si>
    <t xml:space="preserve">Milestones</t>
  </si>
  <si>
    <t xml:space="preserve">Total work (hrs)</t>
  </si>
  <si>
    <t xml:space="preserve">Total cost</t>
  </si>
  <si>
    <t xml:space="preserve">Current sprint</t>
  </si>
  <si>
    <t xml:space="preserve">Baseline</t>
  </si>
  <si>
    <t xml:space="preserve">Open critical tasks</t>
  </si>
  <si>
    <t xml:space="preserve">Missed deadlines</t>
  </si>
  <si>
    <t xml:space="preserve">Link problems (see Tasks &gt; Link Check)</t>
  </si>
  <si>
    <t xml:space="preserve">Overall status (see Status Report)</t>
  </si>
  <si>
    <t xml:space="preserve">Schedule performance (SPI)</t>
  </si>
  <si>
    <t xml:space="preserve">Cost performance (CPI)</t>
  </si>
  <si>
    <t xml:space="preserve">Forecast cost at completion (EAC)</t>
  </si>
  <si>
    <t xml:space="preserve">Story points done / total</t>
  </si>
  <si>
    <t xml:space="preserve">Open risks / issues (see RAID)</t>
  </si>
  <si>
    <t xml:space="preserve">Tasks with an over-allocated resource</t>
  </si>
  <si>
    <t xml:space="preserve">Change requests awaiting decision</t>
  </si>
  <si>
    <t xml:space="preserve">Next milestones (forecast)</t>
  </si>
  <si>
    <t xml:space="preserve">Forecast date</t>
  </si>
  <si>
    <t xml:space="preserve">_Task</t>
  </si>
  <si>
    <t xml:space="preserve">WBS</t>
  </si>
  <si>
    <t xml:space="preserve">Phase</t>
  </si>
  <si>
    <t xml:space="preserve">Planned Start</t>
  </si>
  <si>
    <t xml:space="preserve">Planned Finish</t>
  </si>
  <si>
    <t xml:space="preserve">Start</t>
  </si>
  <si>
    <t xml:space="preserve">Finish</t>
  </si>
  <si>
    <t xml:space="preserve">Progress</t>
  </si>
  <si>
    <t xml:space="preserve">Finish Var</t>
  </si>
  <si>
    <t xml:space="preserve">Milestone</t>
  </si>
  <si>
    <t xml:space="preserve">Planned</t>
  </si>
  <si>
    <t xml:space="preserve">Deadline</t>
  </si>
  <si>
    <t xml:space="preserve">Forecast</t>
  </si>
  <si>
    <t xml:space="preserve">Deadline Check</t>
  </si>
  <si>
    <t xml:space="preserve">Done</t>
  </si>
  <si>
    <t xml:space="preserve">Late vs plan</t>
  </si>
  <si>
    <t xml:space="preserve">Planned (outline)</t>
  </si>
  <si>
    <t xml:space="preserve">Deadline missed</t>
  </si>
  <si>
    <t xml:space="preserve">Status date month</t>
  </si>
  <si>
    <t xml:space="preserve">Months: Settings &gt; RoadmapStart. Lists: drag a table's corner down for more rows. The timeline is conditional formatting only.</t>
  </si>
  <si>
    <t xml:space="preserve">Area</t>
  </si>
  <si>
    <t xml:space="preserve">Measure</t>
  </si>
  <si>
    <t xml:space="preserve">Calculated</t>
  </si>
  <si>
    <t xml:space="preserve">PM RAG</t>
  </si>
  <si>
    <t xml:space="preserve">RAG</t>
  </si>
  <si>
    <t xml:space="preserve">Comment</t>
  </si>
  <si>
    <t xml:space="preserve">Overall</t>
  </si>
  <si>
    <t xml:space="preserve">Worst of the areas below</t>
  </si>
  <si>
    <t xml:space="preserve">Schedule</t>
  </si>
  <si>
    <t xml:space="preserve">Forecast finish vs plan (working days)</t>
  </si>
  <si>
    <t xml:space="preserve">Schedule performance</t>
  </si>
  <si>
    <t xml:space="preserve">SPI = earned value / planned value</t>
  </si>
  <si>
    <t xml:space="preserve">Cost performance</t>
  </si>
  <si>
    <t xml:space="preserve">CPI = earned value / actual cost</t>
  </si>
  <si>
    <t xml:space="preserve">Deadlines</t>
  </si>
  <si>
    <t xml:space="preserve">Tasks forecast to miss their deadline</t>
  </si>
  <si>
    <t xml:space="preserve">Critical tasks forecast to finish late</t>
  </si>
  <si>
    <t xml:space="preserve">RAID</t>
  </si>
  <si>
    <t xml:space="preserve">Open high-rated risks, issues, dependencies, assumptions</t>
  </si>
  <si>
    <t xml:space="preserve">Plan quality</t>
  </si>
  <si>
    <t xml:space="preserve">Ignored links and outline errors (see Tasks)</t>
  </si>
  <si>
    <t xml:space="preserve">EARNED VALUE at the status date</t>
  </si>
  <si>
    <t xml:space="preserve">Meaning</t>
  </si>
  <si>
    <t xml:space="preserve">Budget at completion (BAC)</t>
  </si>
  <si>
    <t xml:space="preserve">Baseline Cost once a baseline is set, otherwise Cost.</t>
  </si>
  <si>
    <t xml:space="preserve">Planned value (PV)</t>
  </si>
  <si>
    <t xml:space="preserve">Budget of the work planned before the status date.</t>
  </si>
  <si>
    <t xml:space="preserve">Earned value (EV)</t>
  </si>
  <si>
    <t xml:space="preserve">Budget of the work done (Budget x Progress).</t>
  </si>
  <si>
    <t xml:space="preserve">Actual cost (AC)</t>
  </si>
  <si>
    <t xml:space="preserve">Actual Cost on Tasks; Cost x Progress where blank.</t>
  </si>
  <si>
    <t xml:space="preserve">Schedule variance (SV)</t>
  </si>
  <si>
    <t xml:space="preserve">EV - PV. Negative = behind plan.</t>
  </si>
  <si>
    <t xml:space="preserve">Cost variance (CV)</t>
  </si>
  <si>
    <t xml:space="preserve">EV - AC. Negative = over cost.</t>
  </si>
  <si>
    <t xml:space="preserve">Schedule performance index (SPI)</t>
  </si>
  <si>
    <t xml:space="preserve">EV / PV. Below 1 = behind.</t>
  </si>
  <si>
    <t xml:space="preserve">Cost performance index (CPI)</t>
  </si>
  <si>
    <t xml:space="preserve">EV / AC. Below 1 = over cost.</t>
  </si>
  <si>
    <t xml:space="preserve">Estimate at completion (EAC)</t>
  </si>
  <si>
    <t xml:space="preserve">AC + (BAC - EV) / CPI: forecast cost at the current CPI.</t>
  </si>
  <si>
    <t xml:space="preserve">Estimate to complete (ETC)</t>
  </si>
  <si>
    <t xml:space="preserve">EAC - AC: forecast cost of the remaining work.</t>
  </si>
  <si>
    <t xml:space="preserve">Variance at completion (VAC)</t>
  </si>
  <si>
    <t xml:space="preserve">BAC - EAC. Negative = forecast overrun.</t>
  </si>
  <si>
    <t xml:space="preserve">To-complete performance index (TCPI)</t>
  </si>
  <si>
    <t xml:space="preserve">CPI the remaining work needs to finish on budget.</t>
  </si>
  <si>
    <t xml:space="preserve">% complete (earned)</t>
  </si>
  <si>
    <t xml:space="preserve">EV / BAC.</t>
  </si>
  <si>
    <t xml:space="preserve">% complete (planned)</t>
  </si>
  <si>
    <t xml:space="preserve">PV / BAC.</t>
  </si>
  <si>
    <t xml:space="preserve">Item</t>
  </si>
  <si>
    <t xml:space="preserve">Response</t>
  </si>
  <si>
    <t xml:space="preserve">Owner</t>
  </si>
  <si>
    <t xml:space="preserve">Due</t>
  </si>
  <si>
    <t xml:space="preserve">Score</t>
  </si>
  <si>
    <t xml:space="preserve">Rating</t>
  </si>
  <si>
    <t xml:space="preserve">Task</t>
  </si>
  <si>
    <t xml:space="preserve">CHANGE CONTROL AND DECISIONS</t>
  </si>
  <si>
    <t xml:space="preserve">Source</t>
  </si>
  <si>
    <t xml:space="preserve">Changes</t>
  </si>
  <si>
    <t xml:space="preserve">Change requests approved or implemented</t>
  </si>
  <si>
    <t xml:space="preserve">Approved schedule impact (working days)</t>
  </si>
  <si>
    <t xml:space="preserve">Approved cost impact</t>
  </si>
  <si>
    <t xml:space="preserve">Cost impact awaiting decision</t>
  </si>
  <si>
    <t xml:space="preserve">Decisions awaiting approval</t>
  </si>
  <si>
    <t xml:space="preserve">Decisions</t>
  </si>
  <si>
    <t xml:space="preserve">Overdue RAID actions</t>
  </si>
  <si>
    <t xml:space="preserve">COMMENTARY for this period (type in the Notes column)</t>
  </si>
  <si>
    <t xml:space="preserve">Section</t>
  </si>
  <si>
    <t xml:space="preserve">Notes</t>
  </si>
  <si>
    <t xml:space="preserve">Summary</t>
  </si>
  <si>
    <t xml:space="preserve">Achievements this period</t>
  </si>
  <si>
    <t xml:space="preserve">Planned for next period</t>
  </si>
  <si>
    <t xml:space="preserve">Issues and escalations</t>
  </si>
  <si>
    <t xml:space="preserve">Decisions needed</t>
  </si>
  <si>
    <t xml:space="preserve">Risks to watch</t>
  </si>
  <si>
    <t xml:space="preserve">Forecast Finish</t>
  </si>
  <si>
    <t xml:space="preserve">Budget</t>
  </si>
  <si>
    <t xml:space="preserve">PV</t>
  </si>
  <si>
    <t xml:space="preserve">EV</t>
  </si>
  <si>
    <t xml:space="preserve">AC</t>
  </si>
  <si>
    <t xml:space="preserve">SPI</t>
  </si>
  <si>
    <t xml:space="preserve">CPI</t>
  </si>
  <si>
    <t xml:space="preserve">Open Critical</t>
  </si>
  <si>
    <t xml:space="preserve">Resource</t>
  </si>
  <si>
    <t xml:space="preserve">Critical</t>
  </si>
  <si>
    <t xml:space="preserve">Forecast Start</t>
  </si>
  <si>
    <t xml:space="preserve">Duration</t>
  </si>
  <si>
    <t xml:space="preserve">Total Slack</t>
  </si>
  <si>
    <t xml:space="preserve">RESOURCES</t>
  </si>
  <si>
    <t xml:space="preserve">Max Units</t>
  </si>
  <si>
    <t xml:space="preserve">Tasks</t>
  </si>
  <si>
    <t xml:space="preserve">Work</t>
  </si>
  <si>
    <t xml:space="preserve">Work Done</t>
  </si>
  <si>
    <t xml:space="preserve">Remaining</t>
  </si>
  <si>
    <t xml:space="preserve">Cost</t>
  </si>
  <si>
    <t xml:space="preserve">Actual Cost</t>
  </si>
  <si>
    <t xml:space="preserve">Late Tasks</t>
  </si>
  <si>
    <t xml:space="preserve">Peak Week (h)</t>
  </si>
  <si>
    <t xml:space="preserve">Peak Use</t>
  </si>
  <si>
    <t xml:space="preserve">Weeks Over</t>
  </si>
  <si>
    <t xml:space="preserve">Leave Days</t>
  </si>
  <si>
    <t xml:space="preserve">Weekly hours by resource</t>
  </si>
  <si>
    <t xml:space="preserve">Working days</t>
  </si>
  <si>
    <t xml:space="preserve">Team hours</t>
  </si>
  <si>
    <t xml:space="preserve">Team capacity</t>
  </si>
  <si>
    <t xml:space="preserve">Weekly utilisation by resource (hours / capacity after leave)</t>
  </si>
  <si>
    <t xml:space="preserve">Leave by resource (working days, from the Leave sheet)</t>
  </si>
  <si>
    <t xml:space="preserve">_Leave Row</t>
  </si>
  <si>
    <t xml:space="preserve">_Leave column: week month</t>
  </si>
  <si>
    <t xml:space="preserve">_Leave column: next month</t>
  </si>
  <si>
    <t xml:space="preserve">Cumulative hours at each week boundary (helper for the weekly grids)</t>
  </si>
  <si>
    <t xml:space="preserve">RELEASE</t>
  </si>
  <si>
    <t xml:space="preserve">Total story points (scope)</t>
  </si>
  <si>
    <t xml:space="preserve">Done by the status date</t>
  </si>
  <si>
    <t xml:space="preserve">Velocity (average of the last 3 closed sprints)</t>
  </si>
  <si>
    <t xml:space="preserve">Sprints needed at that velocity</t>
  </si>
  <si>
    <t xml:space="preserve">Sprints closed</t>
  </si>
  <si>
    <t xml:space="preserve">Forecast to finish in</t>
  </si>
  <si>
    <t xml:space="preserve">Forecast finish (velocity)</t>
  </si>
  <si>
    <t xml:space="preserve">Forecast finish (schedule)</t>
  </si>
  <si>
    <t xml:space="preserve">Current sprint: committed points</t>
  </si>
  <si>
    <t xml:space="preserve">Current sprint: done so far</t>
  </si>
  <si>
    <t xml:space="preserve">Tasks without story points (not milestones)</t>
  </si>
  <si>
    <t xml:space="preserve">Story Points</t>
  </si>
  <si>
    <t xml:space="preserve">CURRENT SPRINT BURNDOWN (story points of the tasks in the sprint)</t>
  </si>
  <si>
    <t xml:space="preserve">Day</t>
  </si>
  <si>
    <t xml:space="preserve">Ideal</t>
  </si>
  <si>
    <t xml:space="preserve">_ChartDay</t>
  </si>
  <si>
    <t xml:space="preserve">_ChartRemaining</t>
  </si>
  <si>
    <t xml:space="preserve">_ChartIdeal</t>
  </si>
  <si>
    <t xml:space="preserve">RAID Log: Risks, Assumptions, Issues, Dependencies</t>
  </si>
  <si>
    <t xml:space="preserve">Type in the blue columns. Score = Probability x Impact (1-5 each; an issue counts as probability 5). Rating thresholds: Settings &gt; RAIDHighScore / RAIDMediumScore. Link a task by its UID.</t>
  </si>
  <si>
    <t xml:space="preserve">Ref</t>
  </si>
  <si>
    <t xml:space="preserve">Type</t>
  </si>
  <si>
    <t xml:space="preserve">Title</t>
  </si>
  <si>
    <t xml:space="preserve">Raised</t>
  </si>
  <si>
    <t xml:space="preserve">Probability</t>
  </si>
  <si>
    <t xml:space="preserve">Impact</t>
  </si>
  <si>
    <t xml:space="preserve">Overdue</t>
  </si>
  <si>
    <t xml:space="preserve">Task UID</t>
  </si>
  <si>
    <t xml:space="preserve">Task Finish</t>
  </si>
  <si>
    <t xml:space="preserve">Update</t>
  </si>
  <si>
    <t xml:space="preserve">_Label</t>
  </si>
  <si>
    <t xml:space="preserve">_TopKey</t>
  </si>
  <si>
    <t xml:space="preserve">Risk</t>
  </si>
  <si>
    <t xml:space="preserve">Payment provider certification takes longer than planned</t>
  </si>
  <si>
    <t xml:space="preserve">Jordan Lee</t>
  </si>
  <si>
    <t xml:space="preserve">Open</t>
  </si>
  <si>
    <t xml:space="preserve">Start the certification paperwork now; book the provider's test slot.</t>
  </si>
  <si>
    <t xml:space="preserve">Paperwork submitted 20-Oct.</t>
  </si>
  <si>
    <t xml:space="preserve">UX designer on leave for two weeks in November</t>
  </si>
  <si>
    <t xml:space="preserve">Casey Kim</t>
  </si>
  <si>
    <t xml:space="preserve">Agree cover with the design agency.</t>
  </si>
  <si>
    <t xml:space="preserve">Issue</t>
  </si>
  <si>
    <t xml:space="preserve">Core API endpoints running 6 days behind plan</t>
  </si>
  <si>
    <t xml:space="preserve">Priya Sharma</t>
  </si>
  <si>
    <t xml:space="preserve">Add a second developer for two weeks (change request CR 2).</t>
  </si>
  <si>
    <t xml:space="preserve">Escalated to sponsor.</t>
  </si>
  <si>
    <t xml:space="preserve">Assumption</t>
  </si>
  <si>
    <t xml:space="preserve">Client UAT team available from 7 December</t>
  </si>
  <si>
    <t xml:space="preserve">Morgan Patel</t>
  </si>
  <si>
    <t xml:space="preserve">Confirm names and dates at the November steering committee.</t>
  </si>
  <si>
    <t xml:space="preserve">Dependency</t>
  </si>
  <si>
    <t xml:space="preserve">Test environment delivered by IT operations by 9 November</t>
  </si>
  <si>
    <t xml:space="preserve">Alex Chen</t>
  </si>
  <si>
    <t xml:space="preserve">Weekly check-in with IT operations.</t>
  </si>
  <si>
    <t xml:space="preserve">Hardware ordered.</t>
  </si>
  <si>
    <t xml:space="preserve">Scope creep on the reporting screens</t>
  </si>
  <si>
    <t xml:space="preserve">Closed</t>
  </si>
  <si>
    <t xml:space="preserve">Reporting screens moved to phase 2 (decision D 2).</t>
  </si>
  <si>
    <t xml:space="preserve">Closed 09-Oct.</t>
  </si>
  <si>
    <t xml:space="preserve">Decision Log</t>
  </si>
  <si>
    <t xml:space="preserve">One row per decision. Link the task (UID) and RAID item it relates to.</t>
  </si>
  <si>
    <t xml:space="preserve">Date</t>
  </si>
  <si>
    <t xml:space="preserve">Decision</t>
  </si>
  <si>
    <t xml:space="preserve">Options and Reasons</t>
  </si>
  <si>
    <t xml:space="preserve">Decided By</t>
  </si>
  <si>
    <t xml:space="preserve">Waiting (days)</t>
  </si>
  <si>
    <t xml:space="preserve">RAID Ref</t>
  </si>
  <si>
    <t xml:space="preserve">Use the existing identity provider for customer log-in</t>
  </si>
  <si>
    <t xml:space="preserve">Options: build our own, buy a new service, reuse. Reuse is cheapest and already security-approved.</t>
  </si>
  <si>
    <t xml:space="preserve">Steering committee</t>
  </si>
  <si>
    <t xml:space="preserve">Approved</t>
  </si>
  <si>
    <t xml:space="preserve">Move the reporting screens to phase 2</t>
  </si>
  <si>
    <t xml:space="preserve">Keeps the Build deadline (06-Nov). Reporting is not needed for go-live.</t>
  </si>
  <si>
    <t xml:space="preserve">Sponsor</t>
  </si>
  <si>
    <t xml:space="preserve">Add a second developer to the core API for two weeks</t>
  </si>
  <si>
    <t xml:space="preserve">Recovers about 4 of the 6 days' slip. Cost in change request CR 2.</t>
  </si>
  <si>
    <t xml:space="preserve">Proposed</t>
  </si>
  <si>
    <t xml:space="preserve">Change Request Log</t>
  </si>
  <si>
    <t xml:space="preserve">Schedule impact in working days (negative = saves time) and cost impact as estimated when raised. Approving a request doesn't change the plan: update the tasks, and re-baseline if agreed.</t>
  </si>
  <si>
    <t xml:space="preserve">Requested By</t>
  </si>
  <si>
    <t xml:space="preserve">Reason</t>
  </si>
  <si>
    <t xml:space="preserve">Schedule Impact</t>
  </si>
  <si>
    <t xml:space="preserve">Cost Impact</t>
  </si>
  <si>
    <t xml:space="preserve">Decided</t>
  </si>
  <si>
    <t xml:space="preserve">Marketing</t>
  </si>
  <si>
    <t xml:space="preserve">Add a newsletter sign-up to the portal</t>
  </si>
  <si>
    <t xml:space="preserve">Supports the launch campaign.</t>
  </si>
  <si>
    <t xml:space="preserve">Second developer on the core API for two weeks</t>
  </si>
  <si>
    <t xml:space="preserve">Recovers most of the API slip (RAID 3).</t>
  </si>
  <si>
    <t xml:space="preserve">Under Review</t>
  </si>
  <si>
    <t xml:space="preserve">Sales</t>
  </si>
  <si>
    <t xml:space="preserve">Live chat on every page</t>
  </si>
  <si>
    <t xml:space="preserve">Nice to have; not needed for go-live.</t>
  </si>
  <si>
    <t xml:space="preserve">Rejected</t>
  </si>
  <si>
    <t xml:space="preserve">Status History</t>
  </si>
  <si>
    <t xml:space="preserve">On each reporting date: select the SnapshotNow row below, Copy, then click the first empty row of StatusHistory and Paste Special &gt; Values. The trend charts update from StatusHistory.</t>
  </si>
  <si>
    <t xml:space="preserve">Status Date</t>
  </si>
  <si>
    <t xml:space="preserve">% Earned</t>
  </si>
  <si>
    <t xml:space="preserve">% Planned</t>
  </si>
  <si>
    <t xml:space="preserve">BAC</t>
  </si>
  <si>
    <t xml:space="preserve">EAC</t>
  </si>
  <si>
    <t xml:space="preserve">Points Done</t>
  </si>
  <si>
    <t xml:space="preserve">Total Points</t>
  </si>
  <si>
    <t xml:space="preserve">Open Risks</t>
  </si>
  <si>
    <t xml:space="preserve">Open Issues</t>
  </si>
  <si>
    <t xml:space="preserve">Pending Changes</t>
  </si>
  <si>
    <t xml:space="preserve">StatusHistory: one row per reporting date (values pasted from SnapshotNow)</t>
  </si>
  <si>
    <t xml:space="preserve">Green</t>
  </si>
  <si>
    <t xml:space="preserve">Amber</t>
  </si>
  <si>
    <t xml:space="preserve">Project Settings</t>
  </si>
  <si>
    <t xml:space="preserve">Blue = edit me. Grey = calculated. Column D shows the defined name every formula uses for that setting.</t>
  </si>
  <si>
    <t xml:space="preserve">Setting</t>
  </si>
  <si>
    <t xml:space="preserve">Named range</t>
  </si>
  <si>
    <t xml:space="preserve">Project name</t>
  </si>
  <si>
    <t xml:space="preserve">Customer Portal Implementation</t>
  </si>
  <si>
    <t xml:space="preserve">ProjectName</t>
  </si>
  <si>
    <t xml:space="preserve">Shown on every sheet title.</t>
  </si>
  <si>
    <t xml:space="preserve">Project manager</t>
  </si>
  <si>
    <t xml:space="preserve">ProjectManager</t>
  </si>
  <si>
    <t xml:space="preserve">Project start date</t>
  </si>
  <si>
    <t xml:space="preserve">ProjectStartDate</t>
  </si>
  <si>
    <t xml:space="preserve">Required. Tasks without predecessors start here (moved to the next working day if needed).</t>
  </si>
  <si>
    <t xml:space="preserve">Project start (in use)</t>
  </si>
  <si>
    <t xml:space="preserve">ProjectStart</t>
  </si>
  <si>
    <t xml:space="preserve">Copy of the date above (dates show as 1900 until it is entered).</t>
  </si>
  <si>
    <t xml:space="preserve">Status date</t>
  </si>
  <si>
    <t xml:space="preserve">StatusDateInput</t>
  </si>
  <si>
    <t xml:space="preserve">The date progress is reported as of. Type it, or press Ctrl+; for today. It is a typed date rather than TODAY() on purpose: TODAY() would make Excel recalculate the whole schedule after every edit.</t>
  </si>
  <si>
    <t xml:space="preserve">Status date (in use)</t>
  </si>
  <si>
    <t xml:space="preserve">StatusDate</t>
  </si>
  <si>
    <t xml:space="preserve">The project start until a status date is entered. Drives Status, the red status-date line on the Gantt and rescheduling of late work.</t>
  </si>
  <si>
    <t xml:space="preserve">First working day on/after status date</t>
  </si>
  <si>
    <t xml:space="preserve">StatusWorkday</t>
  </si>
  <si>
    <t xml:space="preserve">Reschedule incomplete work after status date?</t>
  </si>
  <si>
    <t xml:space="preserve">Yes</t>
  </si>
  <si>
    <t xml:space="preserve">RescheduleAfterStatus</t>
  </si>
  <si>
    <t xml:space="preserve">Yes = like MS Project 'move incomplete parts after status date': unstarted tasks can't start before the status date and in-progress tasks finish their remaining duration after it, pushing all successors.</t>
  </si>
  <si>
    <t xml:space="preserve">Working hours per day</t>
  </si>
  <si>
    <t xml:space="preserve">HoursPerDay</t>
  </si>
  <si>
    <t xml:space="preserve">Work (hrs) = Duration x Hours/day x Units.</t>
  </si>
  <si>
    <t xml:space="preserve">Default assignment units</t>
  </si>
  <si>
    <t xml:space="preserve">DefaultUnits</t>
  </si>
  <si>
    <t xml:space="preserve">Used when a task has a resource but Units is blank. 100% = full time.</t>
  </si>
  <si>
    <t xml:space="preserve">Monday is a working day</t>
  </si>
  <si>
    <t xml:space="preserve">WorkMon</t>
  </si>
  <si>
    <t xml:space="preserve">Working-week calendar (Yes/No). Feeds every WORKDAY / NETWORKDAYS formula.</t>
  </si>
  <si>
    <t xml:space="preserve">Tuesday is a working day</t>
  </si>
  <si>
    <t xml:space="preserve">WorkTue</t>
  </si>
  <si>
    <t xml:space="preserve">Wednesday is a working day</t>
  </si>
  <si>
    <t xml:space="preserve">WorkWed</t>
  </si>
  <si>
    <t xml:space="preserve">Thursday is a working day</t>
  </si>
  <si>
    <t xml:space="preserve">WorkThu</t>
  </si>
  <si>
    <t xml:space="preserve">Friday is a working day</t>
  </si>
  <si>
    <t xml:space="preserve">WorkFri</t>
  </si>
  <si>
    <t xml:space="preserve">Saturday is a working day</t>
  </si>
  <si>
    <t xml:space="preserve">No</t>
  </si>
  <si>
    <t xml:space="preserve">WorkSat</t>
  </si>
  <si>
    <t xml:space="preserve">Sunday is a working day</t>
  </si>
  <si>
    <t xml:space="preserve">WorkSun</t>
  </si>
  <si>
    <t xml:space="preserve">Weekend mask (calculated)</t>
  </si>
  <si>
    <t xml:space="preserve">WorkWeek</t>
  </si>
  <si>
    <t xml:space="preserve">7-character Mon..Sun string used by WORKDAY.INTL (1 = non-working).</t>
  </si>
  <si>
    <t xml:space="preserve">Gantt timeline start</t>
  </si>
  <si>
    <t xml:space="preserve">GanttStart</t>
  </si>
  <si>
    <t xml:space="preserve">Defaults to the Monday of the project start week. Overwrite with any date to scroll the timeline.</t>
  </si>
  <si>
    <t xml:space="preserve">Gantt days per column</t>
  </si>
  <si>
    <t xml:space="preserve">GanttPeriod</t>
  </si>
  <si>
    <t xml:space="preserve">1 = daily timeline, 7 = weekly, 30 = monthly (calendar months), 91 = quarterly (calendar quarters).</t>
  </si>
  <si>
    <t xml:space="preserve">Show tasks down to outline level</t>
  </si>
  <si>
    <t xml:space="preserve">OutlineShowLevel</t>
  </si>
  <si>
    <t xml:space="preserve">Tasks and Gantt &gt; Show is Yes for rows at this level or above: filter Show = Yes to see only phases (1), phases and tasks (2) ... Reapply the filter (Data &gt; Reapply) after changing it.</t>
  </si>
  <si>
    <t xml:space="preserve">Roadmap first month</t>
  </si>
  <si>
    <t xml:space="preserve">RoadmapStart</t>
  </si>
  <si>
    <t xml:space="preserve">The Roadmap sheet's first month. Overwrite with the first of any month to scroll it.</t>
  </si>
  <si>
    <t xml:space="preserve">Sprint 1 start date</t>
  </si>
  <si>
    <t xml:space="preserve">Sprint1Start</t>
  </si>
  <si>
    <t xml:space="preserve">Defaults to the project start. Overwrite to align with your sprint calendar.</t>
  </si>
  <si>
    <t xml:space="preserve">Sprint length (calendar days)</t>
  </si>
  <si>
    <t xml:space="preserve">SprintLength</t>
  </si>
  <si>
    <t xml:space="preserve">14 = two-week sprints.</t>
  </si>
  <si>
    <t xml:space="preserve">Number of sprints</t>
  </si>
  <si>
    <t xml:space="preserve">SprintCount</t>
  </si>
  <si>
    <t xml:space="preserve">Up to the number of rows in the Sprints table (26; add rows to the table for more). Tasks outside the sprint range are labelled 'Backlog'.</t>
  </si>
  <si>
    <t xml:space="preserve">Sprint name prefix</t>
  </si>
  <si>
    <t xml:space="preserve">Sprint </t>
  </si>
  <si>
    <t xml:space="preserve">SprintPrefix</t>
  </si>
  <si>
    <t xml:space="preserve">Sprint names = prefix &amp; number.</t>
  </si>
  <si>
    <t xml:space="preserve">Last sprint end (calculated)</t>
  </si>
  <si>
    <t xml:space="preserve">SprintLastEnd</t>
  </si>
  <si>
    <t xml:space="preserve">Sprint containing the status date (calculated)</t>
  </si>
  <si>
    <t xml:space="preserve">CurrentSprint</t>
  </si>
  <si>
    <t xml:space="preserve">Blank outside the sprint calendar. Agile Report shows its backlog and daily burndown.</t>
  </si>
  <si>
    <t xml:space="preserve">Current sprint start (calculated)</t>
  </si>
  <si>
    <t xml:space="preserve">CurrentSprintStart</t>
  </si>
  <si>
    <t xml:space="preserve">Current sprint end (calculated)</t>
  </si>
  <si>
    <t xml:space="preserve">CurrentSprintEnd</t>
  </si>
  <si>
    <t xml:space="preserve">Total story points (calculated)</t>
  </si>
  <si>
    <t xml:space="preserve">TotalPoints</t>
  </si>
  <si>
    <t xml:space="preserve">Story points on all detail tasks: the release scope for burndown and burn-up.</t>
  </si>
  <si>
    <t xml:space="preserve">Critical when total slack is at most (days)</t>
  </si>
  <si>
    <t xml:space="preserve">CriticalSlackDays</t>
  </si>
  <si>
    <t xml:space="preserve">0 = only tasks with no slack (or negative slack from a missed deadline) are critical, like MS Project.</t>
  </si>
  <si>
    <t xml:space="preserve">Forecast project finish (calculated)</t>
  </si>
  <si>
    <t xml:space="preserve">ProjectFinish</t>
  </si>
  <si>
    <t xml:space="preserve">The critical path's backward pass starts here (the detail tasks' early finish).</t>
  </si>
  <si>
    <t xml:space="preserve">Planned project finish (calculated)</t>
  </si>
  <si>
    <t xml:space="preserve">PlannedFinish</t>
  </si>
  <si>
    <t xml:space="preserve">Baseline finish once a baseline is set.</t>
  </si>
  <si>
    <t xml:space="preserve">Project finish variance (calculated, working days)</t>
  </si>
  <si>
    <t xml:space="preserve">FinishVarianceDays</t>
  </si>
  <si>
    <t xml:space="preserve">Forecast finish minus planned finish. Positive = late.</t>
  </si>
  <si>
    <t xml:space="preserve">Look-ahead window (working days)</t>
  </si>
  <si>
    <t xml:space="preserve">LookaheadDays</t>
  </si>
  <si>
    <t xml:space="preserve">Schedule Report lists tasks starting or due within this many working days of the status date.</t>
  </si>
  <si>
    <t xml:space="preserve">Look-ahead window ends (calculated)</t>
  </si>
  <si>
    <t xml:space="preserve">LookaheadEnd</t>
  </si>
  <si>
    <t xml:space="preserve">RAG: amber when the finish slips by (working days)</t>
  </si>
  <si>
    <t xml:space="preserve">RAGAmberSlipDays</t>
  </si>
  <si>
    <t xml:space="preserve">Status Report thresholds. A finish slip of at least this many working days is amber.</t>
  </si>
  <si>
    <t xml:space="preserve">RAG: red when the finish slips by (working days)</t>
  </si>
  <si>
    <t xml:space="preserve">RAGRedSlipDays</t>
  </si>
  <si>
    <t xml:space="preserve">RAG: amber when SPI or CPI is below</t>
  </si>
  <si>
    <t xml:space="preserve">RAGAmberIndex</t>
  </si>
  <si>
    <t xml:space="preserve">SPI = earned value / planned value; CPI = earned value / actual cost. 1.00 = on plan.</t>
  </si>
  <si>
    <t xml:space="preserve">RAG: red when SPI or CPI is below</t>
  </si>
  <si>
    <t xml:space="preserve">RAGRedIndex</t>
  </si>
  <si>
    <t xml:space="preserve">RAID: high rating from score</t>
  </si>
  <si>
    <t xml:space="preserve">RAIDHighScore</t>
  </si>
  <si>
    <t xml:space="preserve">Score = probability x impact (1-25). At or above this a risk or issue is rated High.</t>
  </si>
  <si>
    <t xml:space="preserve">RAID: medium rating from score</t>
  </si>
  <si>
    <t xml:space="preserve">RAIDMediumScore</t>
  </si>
  <si>
    <t xml:space="preserve">Resource Report first week</t>
  </si>
  <si>
    <t xml:space="preserve">ResourceWeekStart</t>
  </si>
  <si>
    <t xml:space="preserve">Defaults to the Monday two weeks before the status date. Overwrite with any Monday to scroll the weekly grids.</t>
  </si>
  <si>
    <t xml:space="preserve">Next free task UID (calculated)</t>
  </si>
  <si>
    <t xml:space="preserve">NextFreeUID</t>
  </si>
  <si>
    <t xml:space="preserve">Give a newly inserted task row this UID (see Instructions &gt; Inserting tasks).</t>
  </si>
  <si>
    <t xml:space="preserve">Type in BLUE columns only. Level = outline level (1 = phase, 2 = task, 3 = sub-task). Predecessors refer to the UID column. Planned = Baseline once set, otherwise calculated from Duration + Predecessors. Forecast also uses Actuals, so slips ripple to every successor. Insert rows inside the table: formulas fill in automatically.</t>
  </si>
  <si>
    <t xml:space="preserve">IDENTITY</t>
  </si>
  <si>
    <t xml:space="preserve">SCHEDULING INPUTS</t>
  </si>
  <si>
    <t xml:space="preserve">PLAN / ACTUAL / FORECAST</t>
  </si>
  <si>
    <t xml:space="preserve">VARIANCE</t>
  </si>
  <si>
    <t xml:space="preserve">CRITICAL PATH</t>
  </si>
  <si>
    <t xml:space="preserve">CHECKS</t>
  </si>
  <si>
    <t xml:space="preserve">PROGRESS</t>
  </si>
  <si>
    <t xml:space="preserve">RESOURCES &amp; SPRINT</t>
  </si>
  <si>
    <t xml:space="preserve">SET BASELINE: copy these 5 columns, then Paste Special &gt; Values onto the 5 Baseline columns</t>
  </si>
  <si>
    <t xml:space="preserve">VARIANCE vs BASELINE</t>
  </si>
  <si>
    <t xml:space="preserve">EARNED VALUE (at status date)</t>
  </si>
  <si>
    <t xml:space="preserve">HELPER COLUMNS (hidden - click + above to show)</t>
  </si>
  <si>
    <t xml:space="preserve">ID</t>
  </si>
  <si>
    <t xml:space="preserve">UID</t>
  </si>
  <si>
    <t xml:space="preserve">Level</t>
  </si>
  <si>
    <t xml:space="preserve">Show</t>
  </si>
  <si>
    <t xml:space="preserve">Task Name</t>
  </si>
  <si>
    <t xml:space="preserve">Pred1 UID</t>
  </si>
  <si>
    <t xml:space="preserve">Pred1 Type</t>
  </si>
  <si>
    <t xml:space="preserve">Pred1 Lag</t>
  </si>
  <si>
    <t xml:space="preserve">Pred2 UID</t>
  </si>
  <si>
    <t xml:space="preserve">Pred2 Type</t>
  </si>
  <si>
    <t xml:space="preserve">Pred2 Lag</t>
  </si>
  <si>
    <t xml:space="preserve">Pred3 UID</t>
  </si>
  <si>
    <t xml:space="preserve">Pred3 Type</t>
  </si>
  <si>
    <t xml:space="preserve">Pred3 Lag</t>
  </si>
  <si>
    <t xml:space="preserve">Pred4 UID</t>
  </si>
  <si>
    <t xml:space="preserve">Pred4 Type</t>
  </si>
  <si>
    <t xml:space="preserve">Pred4 Lag</t>
  </si>
  <si>
    <t xml:space="preserve">Constraint</t>
  </si>
  <si>
    <t xml:space="preserve">Constraint Date</t>
  </si>
  <si>
    <t xml:space="preserve">Actual Start</t>
  </si>
  <si>
    <t xml:space="preserve">Actual Finish</t>
  </si>
  <si>
    <t xml:space="preserve">Start Var</t>
  </si>
  <si>
    <t xml:space="preserve">Late Finish</t>
  </si>
  <si>
    <t xml:space="preserve">Free Slack</t>
  </si>
  <si>
    <t xml:space="preserve">Link Check</t>
  </si>
  <si>
    <t xml:space="preserve">% Complete</t>
  </si>
  <si>
    <t xml:space="preserve">Units</t>
  </si>
  <si>
    <t xml:space="preserve">Resource Names</t>
  </si>
  <si>
    <t xml:space="preserve">Over-allocated</t>
  </si>
  <si>
    <t xml:space="preserve">Planned Sprint</t>
  </si>
  <si>
    <t xml:space="preserve">Sprint</t>
  </si>
  <si>
    <t xml:space="preserve">BL Source Start</t>
  </si>
  <si>
    <t xml:space="preserve">BL Source Finish</t>
  </si>
  <si>
    <t xml:space="preserve">BL Source Duration</t>
  </si>
  <si>
    <t xml:space="preserve">BL Source Work</t>
  </si>
  <si>
    <t xml:space="preserve">BL Source Cost</t>
  </si>
  <si>
    <t xml:space="preserve">Baseline Start</t>
  </si>
  <si>
    <t xml:space="preserve">Baseline Finish</t>
  </si>
  <si>
    <t xml:space="preserve">Baseline Duration</t>
  </si>
  <si>
    <t xml:space="preserve">Baseline Work</t>
  </si>
  <si>
    <t xml:space="preserve">Baseline Cost</t>
  </si>
  <si>
    <t xml:space="preserve">Duration Var</t>
  </si>
  <si>
    <t xml:space="preserve">Work Var</t>
  </si>
  <si>
    <t xml:space="preserve">Cost Var</t>
  </si>
  <si>
    <t xml:space="preserve">_Level</t>
  </si>
  <si>
    <t xml:space="preserve">_Row</t>
  </si>
  <si>
    <t xml:space="preserve">_ParentRow</t>
  </si>
  <si>
    <t xml:space="preserve">_NextLevel</t>
  </si>
  <si>
    <t xml:space="preserve">_IsSummary</t>
  </si>
  <si>
    <t xml:space="preserve">_Descendants</t>
  </si>
  <si>
    <t xml:space="preserve">_IsLeaf</t>
  </si>
  <si>
    <t xml:space="preserve">_Pred1Pos</t>
  </si>
  <si>
    <t xml:space="preserve">_Pred2Pos</t>
  </si>
  <si>
    <t xml:space="preserve">_Pred3Pos</t>
  </si>
  <si>
    <t xml:space="preserve">_Pred4Pos</t>
  </si>
  <si>
    <t xml:space="preserve">_ConstraintCode</t>
  </si>
  <si>
    <t xml:space="preserve">_ConstraintStart</t>
  </si>
  <si>
    <t xml:space="preserve">_ConstraintLow</t>
  </si>
  <si>
    <t xml:space="preserve">_ConstraintHigh</t>
  </si>
  <si>
    <t xml:space="preserve">_LeafCalcStart</t>
  </si>
  <si>
    <t xml:space="preserve">_LeafCalcFinish</t>
  </si>
  <si>
    <t xml:space="preserve">_LeafFcstStart</t>
  </si>
  <si>
    <t xml:space="preserve">_LeafFcstFinish</t>
  </si>
  <si>
    <t xml:space="preserve">_LeafProgress</t>
  </si>
  <si>
    <t xml:space="preserve">_LeafWork</t>
  </si>
  <si>
    <t xml:space="preserve">_LeafCost</t>
  </si>
  <si>
    <t xml:space="preserve">_LeafTotalWork</t>
  </si>
  <si>
    <t xml:space="preserve">_LeafTotalCost</t>
  </si>
  <si>
    <t xml:space="preserve">_ResourceAC</t>
  </si>
  <si>
    <t xml:space="preserve">_Pred1FinishKey</t>
  </si>
  <si>
    <t xml:space="preserve">_Pred2FinishKey</t>
  </si>
  <si>
    <t xml:space="preserve">_Pred3FinishKey</t>
  </si>
  <si>
    <t xml:space="preserve">_Pred4FinishKey</t>
  </si>
  <si>
    <t xml:space="preserve">_Pred1SlackKey</t>
  </si>
  <si>
    <t xml:space="preserve">_Pred2SlackKey</t>
  </si>
  <si>
    <t xml:space="preserve">_Pred3SlackKey</t>
  </si>
  <si>
    <t xml:space="preserve">_Pred4SlackKey</t>
  </si>
  <si>
    <t xml:space="preserve">_LastSuccessorRow</t>
  </si>
  <si>
    <t xml:space="preserve">_SuccessorFinishLimit</t>
  </si>
  <si>
    <t xml:space="preserve">_LeafLateFinish</t>
  </si>
  <si>
    <t xml:space="preserve">_LeafLateStart</t>
  </si>
  <si>
    <t xml:space="preserve">_LeafTotalSlack</t>
  </si>
  <si>
    <t xml:space="preserve">_LeafCritical</t>
  </si>
  <si>
    <t xml:space="preserve">_AlapShift</t>
  </si>
  <si>
    <t xml:space="preserve">_ShownCalcStart</t>
  </si>
  <si>
    <t xml:space="preserve">_ShownCalcFinish</t>
  </si>
  <si>
    <t xml:space="preserve">_ShownFcstStart</t>
  </si>
  <si>
    <t xml:space="preserve">_ShownFcstFinish</t>
  </si>
  <si>
    <t xml:space="preserve">_CalcStart</t>
  </si>
  <si>
    <t xml:space="preserve">_CalcFinish</t>
  </si>
  <si>
    <t xml:space="preserve">_Pred1Problem</t>
  </si>
  <si>
    <t xml:space="preserve">_Pred2Problem</t>
  </si>
  <si>
    <t xml:space="preserve">_Pred3Problem</t>
  </si>
  <si>
    <t xml:space="preserve">_Pred4Problem</t>
  </si>
  <si>
    <t xml:space="preserve">_Pred1PlanDriver</t>
  </si>
  <si>
    <t xml:space="preserve">_Pred2PlanDriver</t>
  </si>
  <si>
    <t xml:space="preserve">_Pred3PlanDriver</t>
  </si>
  <si>
    <t xml:space="preserve">_Pred4PlanDriver</t>
  </si>
  <si>
    <t xml:space="preserve">_Pred1FcstDriver</t>
  </si>
  <si>
    <t xml:space="preserve">_Pred2FcstDriver</t>
  </si>
  <si>
    <t xml:space="preserve">_Pred3FcstDriver</t>
  </si>
  <si>
    <t xml:space="preserve">_Pred4FcstDriver</t>
  </si>
  <si>
    <t xml:space="preserve">_StartWorkday</t>
  </si>
  <si>
    <t xml:space="preserve">_FinishWorkday</t>
  </si>
  <si>
    <t xml:space="preserve">_WorkPerWorkday</t>
  </si>
  <si>
    <t xml:space="preserve">_WorkBeforeStart</t>
  </si>
  <si>
    <t xml:space="preserve">_WeightDur</t>
  </si>
  <si>
    <t xml:space="preserve">_WeightDone</t>
  </si>
  <si>
    <t xml:space="preserve">_UIDPredecessors</t>
  </si>
  <si>
    <t xml:space="preserve">_MilestoneKey</t>
  </si>
  <si>
    <t xml:space="preserve">_PlannedPct</t>
  </si>
  <si>
    <t xml:space="preserve">_LeafBudget</t>
  </si>
  <si>
    <t xml:space="preserve">_LeafPV</t>
  </si>
  <si>
    <t xml:space="preserve">_LeafEV</t>
  </si>
  <si>
    <t xml:space="preserve">_LeafAC</t>
  </si>
  <si>
    <t xml:space="preserve">_Phase</t>
  </si>
  <si>
    <t xml:space="preserve">_PhaseKey</t>
  </si>
  <si>
    <t xml:space="preserve">_MilestoneOrder</t>
  </si>
  <si>
    <t xml:space="preserve">_LateKey</t>
  </si>
  <si>
    <t xml:space="preserve">_StartSoonKey</t>
  </si>
  <si>
    <t xml:space="preserve">_DueSoonKey</t>
  </si>
  <si>
    <t xml:space="preserve">_CriticalKey</t>
  </si>
  <si>
    <t xml:space="preserve">_LeafWorkDone</t>
  </si>
  <si>
    <t xml:space="preserve">_DoneDate</t>
  </si>
  <si>
    <t xml:space="preserve">_LeafPoints</t>
  </si>
  <si>
    <t xml:space="preserve">_CurrentSprintKey</t>
  </si>
  <si>
    <t xml:space="preserve">Initiation</t>
  </si>
  <si>
    <t xml:space="preserve">Auto</t>
  </si>
  <si>
    <t xml:space="preserve">Phase 1 - summary rows roll up dates, work, cost and progress automatically.</t>
  </si>
  <si>
    <t xml:space="preserve">Project charter &amp; scope statement</t>
  </si>
  <si>
    <t xml:space="preserve">Took 1 extra day for sponsor sign-off.</t>
  </si>
  <si>
    <t xml:space="preserve">Stakeholder kickoff workshop</t>
  </si>
  <si>
    <t xml:space="preserve">FS</t>
  </si>
  <si>
    <t xml:space="preserve">Kickoff complete</t>
  </si>
  <si>
    <t xml:space="preserve">Milestone (Duration 0).</t>
  </si>
  <si>
    <t xml:space="preserve">Requirements &amp; Design</t>
  </si>
  <si>
    <t xml:space="preserve">Requirements gathering</t>
  </si>
  <si>
    <t xml:space="preserve">Solution architecture</t>
  </si>
  <si>
    <t xml:space="preserve">SS</t>
  </si>
  <si>
    <t xml:space="preserve">Start-to-Start + 3 day lag example.</t>
  </si>
  <si>
    <t xml:space="preserve">UX wireframes &amp; prototype</t>
  </si>
  <si>
    <t xml:space="preserve">Design sign-off</t>
  </si>
  <si>
    <t xml:space="preserve">Two predecessors - waits for the later one.</t>
  </si>
  <si>
    <t xml:space="preserve">Build</t>
  </si>
  <si>
    <t xml:space="preserve">Backend</t>
  </si>
  <si>
    <t xml:space="preserve">Level-2 summary with sub-tasks.</t>
  </si>
  <si>
    <t xml:space="preserve">Data model &amp; database setup</t>
  </si>
  <si>
    <t xml:space="preserve">Core API endpoints</t>
  </si>
  <si>
    <t xml:space="preserve">In progress - enter % Complete; forecast finish adjusts.</t>
  </si>
  <si>
    <t xml:space="preserve">Payment gateway integration</t>
  </si>
  <si>
    <t xml:space="preserve">Frontend</t>
  </si>
  <si>
    <t xml:space="preserve">UI component library</t>
  </si>
  <si>
    <t xml:space="preserve">Sam Rivera</t>
  </si>
  <si>
    <t xml:space="preserve">Feature screens</t>
  </si>
  <si>
    <t xml:space="preserve">Accessibility review</t>
  </si>
  <si>
    <t xml:space="preserve">FF</t>
  </si>
  <si>
    <t xml:space="preserve">Finish-to-Finish + 1 day; 50% units.</t>
  </si>
  <si>
    <t xml:space="preserve">Build complete</t>
  </si>
  <si>
    <t xml:space="preserve">Milestone with a deadline of 06-Nov (see Deadline Check).</t>
  </si>
  <si>
    <t xml:space="preserve">Test &amp; Release</t>
  </si>
  <si>
    <t xml:space="preserve">System integration testing</t>
  </si>
  <si>
    <t xml:space="preserve">Taylor Morgan</t>
  </si>
  <si>
    <t xml:space="preserve">User acceptance testing</t>
  </si>
  <si>
    <t xml:space="preserve">Start No Earlier Than</t>
  </si>
  <si>
    <t xml:space="preserve">Constraint: Start No Earlier Than 07-Dec (client availability).</t>
  </si>
  <si>
    <t xml:space="preserve">Training &amp; user guides</t>
  </si>
  <si>
    <t xml:space="preserve">Go-live readiness review</t>
  </si>
  <si>
    <t xml:space="preserve">Three predecessors.</t>
  </si>
  <si>
    <t xml:space="preserve">Go-live</t>
  </si>
  <si>
    <t xml:space="preserve">Milestone with a deadline of 18-Dec.</t>
  </si>
  <si>
    <t xml:space="preserve">Hypercare support</t>
  </si>
  <si>
    <t xml:space="preserve">Project Close</t>
  </si>
  <si>
    <t xml:space="preserve">Steering committee update</t>
  </si>
  <si>
    <t xml:space="preserve">Manual</t>
  </si>
  <si>
    <t xml:space="preserve">Manual mode example: fixed on its Constraint Date.</t>
  </si>
  <si>
    <t xml:space="preserve">Lessons learned</t>
  </si>
  <si>
    <t xml:space="preserve">Project closed</t>
  </si>
  <si>
    <t xml:space="preserve">Done (% complete)</t>
  </si>
  <si>
    <t xml:space="preserve">Remaining - on track</t>
  </si>
  <si>
    <t xml:space="preserve">Remaining - late vs plan</t>
  </si>
  <si>
    <t xml:space="preserve">Remaining - critical</t>
  </si>
  <si>
    <t xml:space="preserve">Summary (forecast)</t>
  </si>
  <si>
    <t xml:space="preserve">Milestone (forecast)</t>
  </si>
  <si>
    <t xml:space="preserve">Non-working day</t>
  </si>
  <si>
    <t xml:space="preserve">Timeline: conditional formatting only (no formulas), so it costs no recalculation.</t>
  </si>
  <si>
    <t xml:space="preserve">Dur</t>
  </si>
  <si>
    <t xml:space="preserve">%</t>
  </si>
  <si>
    <t xml:space="preserve">_IsMilestone</t>
  </si>
  <si>
    <t xml:space="preserve">_DoneFrom</t>
  </si>
  <si>
    <t xml:space="preserve">_DoneTo</t>
  </si>
  <si>
    <t xml:space="preserve">_RemFrom</t>
  </si>
  <si>
    <t xml:space="preserve">_RemTo</t>
  </si>
  <si>
    <t xml:space="preserve">_Late</t>
  </si>
  <si>
    <t xml:space="preserve">_Deadline</t>
  </si>
  <si>
    <t xml:space="preserve">_Critical</t>
  </si>
  <si>
    <t xml:space="preserve">Resource Sheet</t>
  </si>
  <si>
    <t xml:space="preserve">Like MS Project's Resource Sheet. Names here feed the Resource dropdown on Tasks. Add rows to the table for more people.</t>
  </si>
  <si>
    <t xml:space="preserve">Resource Name</t>
  </si>
  <si>
    <t xml:space="preserve">Initials</t>
  </si>
  <si>
    <t xml:space="preserve">Group</t>
  </si>
  <si>
    <t xml:space="preserve">Std Rate</t>
  </si>
  <si>
    <t xml:space="preserve">Email</t>
  </si>
  <si>
    <t xml:space="preserve">PS</t>
  </si>
  <si>
    <t xml:space="preserve">Project Manager</t>
  </si>
  <si>
    <t xml:space="preserve">priya@example.com</t>
  </si>
  <si>
    <t xml:space="preserve">MP</t>
  </si>
  <si>
    <t xml:space="preserve">Business Analyst</t>
  </si>
  <si>
    <t xml:space="preserve">morgan@example.com</t>
  </si>
  <si>
    <t xml:space="preserve">Solution Architect</t>
  </si>
  <si>
    <t xml:space="preserve">alex@example.com</t>
  </si>
  <si>
    <t xml:space="preserve">CK</t>
  </si>
  <si>
    <t xml:space="preserve">UX Designer</t>
  </si>
  <si>
    <t xml:space="preserve">casey@example.com</t>
  </si>
  <si>
    <t xml:space="preserve">JL</t>
  </si>
  <si>
    <t xml:space="preserve">Backend Developer</t>
  </si>
  <si>
    <t xml:space="preserve">jordan@example.com</t>
  </si>
  <si>
    <t xml:space="preserve">SR</t>
  </si>
  <si>
    <t xml:space="preserve">Frontend Developer</t>
  </si>
  <si>
    <t xml:space="preserve">sam@example.com</t>
  </si>
  <si>
    <t xml:space="preserve">TM</t>
  </si>
  <si>
    <t xml:space="preserve">QA Engineer</t>
  </si>
  <si>
    <t xml:space="preserve">taylor@example.com</t>
  </si>
  <si>
    <t xml:space="preserve">Assignments</t>
  </si>
  <si>
    <t xml:space="preserve">More than one person on a task: the first goes on Tasks (Resource, Units); add a row here for each other person. Work, cost, the Resource Report and Sprints include them. Add rows to the table for more.</t>
  </si>
  <si>
    <t xml:space="preserve">Check</t>
  </si>
  <si>
    <t xml:space="preserve">_TaskPos</t>
  </si>
  <si>
    <t xml:space="preserve">_Valid</t>
  </si>
  <si>
    <t xml:space="preserve">_Key</t>
  </si>
  <si>
    <t xml:space="preserve">_Text</t>
  </si>
  <si>
    <t xml:space="preserve">_StartWD</t>
  </si>
  <si>
    <t xml:space="preserve">_FinishWD</t>
  </si>
  <si>
    <t xml:space="preserve">_WorkPerWD</t>
  </si>
  <si>
    <t xml:space="preserve">_WorkDone</t>
  </si>
  <si>
    <t xml:space="preserve">_ActualCost</t>
  </si>
  <si>
    <t xml:space="preserve">_OverAllocated</t>
  </si>
  <si>
    <t xml:space="preserve">Sprint calendar from Settings (Sprint1Start, SprintLength, SprintCount); add rows to the table for more sprints. Each task's work is spread evenly over its forecast working days, then summed per sprint.</t>
  </si>
  <si>
    <t xml:space="preserve">End</t>
  </si>
  <si>
    <t xml:space="preserve">Working Days</t>
  </si>
  <si>
    <t xml:space="preserve">Goal</t>
  </si>
  <si>
    <t xml:space="preserve">Tasks Starting</t>
  </si>
  <si>
    <t xml:space="preserve">Planned Work</t>
  </si>
  <si>
    <t xml:space="preserve">Utilisation</t>
  </si>
  <si>
    <t xml:space="preserve">Points Capacity</t>
  </si>
  <si>
    <t xml:space="preserve">Committed Points</t>
  </si>
  <si>
    <t xml:space="preserve">Done Points</t>
  </si>
  <si>
    <t xml:space="preserve">Velocity</t>
  </si>
  <si>
    <t xml:space="preserve">Remaining Points</t>
  </si>
  <si>
    <t xml:space="preserve">Forecast Remaining</t>
  </si>
  <si>
    <t xml:space="preserve">Ideal Remaining</t>
  </si>
  <si>
    <t xml:space="preserve">_LeaveCol0</t>
  </si>
  <si>
    <t xml:space="preserve">_LeaveCol1</t>
  </si>
  <si>
    <t xml:space="preserve">_LeaveCol2</t>
  </si>
  <si>
    <t xml:space="preserve">Charter &amp; kickoff</t>
  </si>
  <si>
    <t xml:space="preserve">Requirements</t>
  </si>
  <si>
    <t xml:space="preserve">Design &amp; architecture</t>
  </si>
  <si>
    <t xml:space="preserve">Foundations: DB + components</t>
  </si>
  <si>
    <t xml:space="preserve">Core APIs + screens</t>
  </si>
  <si>
    <t xml:space="preserve">Payments + screens</t>
  </si>
  <si>
    <t xml:space="preserve">Feature complete</t>
  </si>
  <si>
    <t xml:space="preserve">System testing</t>
  </si>
  <si>
    <t xml:space="preserve">UAT</t>
  </si>
  <si>
    <t xml:space="preserve">Release &amp; hypercare</t>
  </si>
  <si>
    <t xml:space="preserve">Hypercare</t>
  </si>
  <si>
    <t xml:space="preserve">Close-out</t>
  </si>
  <si>
    <t xml:space="preserve">Resource load by sprint (hours)  -  red = over capacity (Max Units x HoursPerDay x working days, less leave)</t>
  </si>
  <si>
    <t xml:space="preserve">Sprint start</t>
  </si>
  <si>
    <t xml:space="preserve">Resource utilisation by sprint (% of capacity after leave)</t>
  </si>
  <si>
    <t xml:space="preserve">Leave days by sprint (helper for the utilisation grid)</t>
  </si>
  <si>
    <t xml:space="preserve">Holidays &amp; Non-Working Days</t>
  </si>
  <si>
    <t xml:space="preserve">Every date in this table is skipped by all scheduling formulas (named range: Holidays). Add rows to the table as needed.</t>
  </si>
  <si>
    <t xml:space="preserve">Description</t>
  </si>
  <si>
    <t xml:space="preserve">Christmas Eve (example - replace with your calendar)</t>
  </si>
  <si>
    <t xml:space="preserve">Christmas Day (example)</t>
  </si>
  <si>
    <t xml:space="preserve">New Year's Eve (example)</t>
  </si>
  <si>
    <t xml:space="preserve">New Year's Day (example)</t>
  </si>
  <si>
    <t xml:space="preserve">One row per person, one column per month. Type the days off, e.g. "16, 17(0.5)" under Nov-26 = all of 16 November and half of the 17th. Leave lowers capacity (Resource Report, Sprints) but doesn't move tasks. Add a month by typing its name (e.g. "Jan-29") in the header cell after the last month.</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</si>
  <si>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</si>
  <si>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</si>
  <si>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</si>
  <si>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</si>
  <si>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</si>
  <si>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</si>
  <si>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</si>
  <si>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</si>
  <si>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</si>
  <si>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</si>
  <si>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</si>
  <si>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</si>
  <si>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</si>
  <si>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</si>
  <si>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</si>
  <si>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</si>
  <si>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</si>
  <si>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</si>
  <si>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</si>
  <si>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</si>
  <si>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</si>
  <si>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</si>
  <si>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</si>
  <si>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</si>
  <si>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</si>
  <si>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</si>
  <si>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</si>
  <si>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</si>
  <si>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May-28</t>
  </si>
  <si>
    <t xml:space="preserve">Jun-28</t>
  </si>
  <si>
    <t xml:space="preserve">Jul-28</t>
  </si>
  <si>
    <t xml:space="preserve">Aug-28</t>
  </si>
  <si>
    <t xml:space="preserve">Sep-28</t>
  </si>
  <si>
    <t xml:space="preserve">Oct-28</t>
  </si>
  <si>
    <t xml:space="preserve">Nov-28</t>
  </si>
  <si>
    <t xml:space="preserve">Dec-28</t>
  </si>
  <si>
    <t xml:space="preserve">16, 17(0.5), 18, 19, 20, 23, 24, 25, 26, 27</t>
  </si>
  <si>
    <t xml:space="preserve">30</t>
  </si>
  <si>
    <t xml:space="preserve">21, 22, 23(0.5)</t>
  </si>
  <si>
    <t xml:space="preserve">2(0.5)</t>
  </si>
  <si>
    <t xml:space="preserve">28, 29, 30</t>
  </si>
  <si>
    <t xml:space="preserve">Unique ID</t>
  </si>
  <si>
    <t xml:space="preserve">Name</t>
  </si>
  <si>
    <t xml:space="preserve">Outline Level</t>
  </si>
  <si>
    <t xml:space="preserve">Task Mode</t>
  </si>
  <si>
    <t xml:space="preserve">Unique ID Predecessors</t>
  </si>
  <si>
    <t xml:space="preserve">Constraint Type</t>
  </si>
  <si>
    <t xml:space="preserve">Text1</t>
  </si>
  <si>
    <t xml:space="preserve">Number1</t>
  </si>
  <si>
    <t xml:space="preserve">Standard Rate</t>
  </si>
  <si>
    <t xml:space="preserve">Email Address</t>
  </si>
  <si>
    <t xml:space="preserve">Link Type</t>
  </si>
  <si>
    <t xml:space="preserve">Yes / No</t>
  </si>
  <si>
    <t xml:space="preserve">Resource Type</t>
  </si>
  <si>
    <t xml:space="preserve">Gantt Days per Column</t>
  </si>
  <si>
    <t xml:space="preserve">RAID Type</t>
  </si>
  <si>
    <t xml:space="preserve">RAID Status</t>
  </si>
  <si>
    <t xml:space="preserve">Decision Status</t>
  </si>
  <si>
    <t xml:space="preserve">Change Status</t>
  </si>
  <si>
    <t xml:space="preserve">As Soon As Possible</t>
  </si>
  <si>
    <t xml:space="preserve">Submitted</t>
  </si>
  <si>
    <t xml:space="preserve">As Late As Possible</t>
  </si>
  <si>
    <t xml:space="preserve">Material</t>
  </si>
  <si>
    <t xml:space="preserve">Must Start On</t>
  </si>
  <si>
    <t xml:space="preserve">Red</t>
  </si>
  <si>
    <t xml:space="preserve">SF</t>
  </si>
  <si>
    <t xml:space="preserve">Must Finish On</t>
  </si>
  <si>
    <t xml:space="preserve">Superseded</t>
  </si>
  <si>
    <t xml:space="preserve">Implemented</t>
  </si>
  <si>
    <t xml:space="preserve">Start No Later Than</t>
  </si>
  <si>
    <t xml:space="preserve">Finish No Earlier Than</t>
  </si>
  <si>
    <t xml:space="preserve">Finish No Later Than</t>
  </si>
  <si>
    <t xml:space="preserve">Dropdown sources. Add a value by typing it in the row under a list: the table and its named range grow.</t>
  </si>
</sst>
</file>

<file path=xl/styles.xml><?xml version="1.0" encoding="utf-8"?>
<styleSheet xmlns="http://schemas.openxmlformats.org/spreadsheetml/2006/main">
  <numFmts count="24">
    <numFmt numFmtId="164" formatCode=";;;"/>
    <numFmt numFmtId="165" formatCode="General"/>
    <numFmt numFmtId="166" formatCode="ddd\ dd\-mmm\-yy"/>
    <numFmt numFmtId="167" formatCode="\+0;\-0;0"/>
    <numFmt numFmtId="168" formatCode="0%"/>
    <numFmt numFmtId="169" formatCode="0"/>
    <numFmt numFmtId="170" formatCode="#,##0"/>
    <numFmt numFmtId="171" formatCode="#,##0.00"/>
    <numFmt numFmtId="172" formatCode="@"/>
    <numFmt numFmtId="173" formatCode="0.00"/>
    <numFmt numFmtId="174" formatCode="mmm"/>
    <numFmt numFmtId="175" formatCode="General"/>
    <numFmt numFmtId="176" formatCode="dd\-mmm\-yy"/>
    <numFmt numFmtId="177" formatCode="0.#"/>
    <numFmt numFmtId="178" formatCode="dd\-mmm"/>
    <numFmt numFmtId="179" formatCode="#,##0;;\-"/>
    <numFmt numFmtId="180" formatCode="0%;;\-"/>
    <numFmt numFmtId="181" formatCode="0.#;;\-"/>
    <numFmt numFmtId="182" formatCode="0.0"/>
    <numFmt numFmtId="183" formatCode="mmm\-yy"/>
    <numFmt numFmtId="184" formatCode="#,##0.0"/>
    <numFmt numFmtId="185" formatCode="mm/dd/yy"/>
    <numFmt numFmtId="186" formatCode="d"/>
    <numFmt numFmtId="187" formatCode="dd\-mmm;;\-"/>
  </numFmts>
  <fonts count="36">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i val="true"/>
      <sz val="10"/>
      <color rgb="FF595959"/>
      <name val="Arial"/>
      <family val="0"/>
      <charset val="1"/>
    </font>
    <font>
      <b val="true"/>
      <sz val="11"/>
      <name val="Arial"/>
      <family val="0"/>
      <charset val="1"/>
    </font>
    <font>
      <b val="true"/>
      <sz val="10"/>
      <color rgb="FF548235"/>
      <name val="Arial"/>
      <family val="0"/>
      <charset val="1"/>
    </font>
    <font>
      <b val="true"/>
      <sz val="10"/>
      <color rgb="FF2F75B5"/>
      <name val="Arial"/>
      <family val="0"/>
      <charset val="1"/>
    </font>
    <font>
      <b val="true"/>
      <sz val="10"/>
      <color rgb="FFC00000"/>
      <name val="Arial"/>
      <family val="0"/>
      <charset val="1"/>
    </font>
    <font>
      <b val="true"/>
      <sz val="10"/>
      <color rgb="FFC55A11"/>
      <name val="Arial"/>
      <family val="0"/>
      <charset val="1"/>
    </font>
    <font>
      <b val="true"/>
      <sz val="10"/>
      <color rgb="FF7F7F7F"/>
      <name val="Arial"/>
      <family val="0"/>
      <charset val="1"/>
    </font>
    <font>
      <b val="true"/>
      <sz val="18"/>
      <color rgb="FF000000"/>
      <name val="Calibri"/>
      <family val="2"/>
    </font>
    <font>
      <sz val="10"/>
      <color rgb="FF000000"/>
      <name val="Calibri"/>
      <family val="2"/>
    </font>
    <font>
      <b val="true"/>
      <sz val="16"/>
      <color rgb="FF1F4E78"/>
      <name val="Arial"/>
      <family val="0"/>
      <charset val="1"/>
    </font>
    <font>
      <b val="true"/>
      <sz val="10"/>
      <color rgb="FF404040"/>
      <name val="Arial"/>
      <family val="0"/>
      <charset val="1"/>
    </font>
    <font>
      <b val="true"/>
      <sz val="8"/>
      <color rgb="FF404040"/>
      <name val="Arial"/>
      <family val="0"/>
      <charset val="1"/>
    </font>
    <font>
      <b val="true"/>
      <sz val="8"/>
      <color rgb="FFFFFFFF"/>
      <name val="Arial"/>
      <family val="0"/>
      <charset val="1"/>
    </font>
    <font>
      <b val="true"/>
      <sz val="10"/>
      <color rgb="FF1F4E78"/>
      <name val="Arial"/>
      <family val="0"/>
      <charset val="1"/>
    </font>
    <font>
      <sz val="10"/>
      <color rgb="FF404040"/>
      <name val="Arial"/>
      <family val="0"/>
      <charset val="1"/>
    </font>
    <font>
      <sz val="8"/>
      <name val="Arial"/>
      <family val="0"/>
      <charset val="1"/>
    </font>
    <font>
      <sz val="10"/>
      <name val="Arial"/>
      <family val="2"/>
    </font>
    <font>
      <b val="true"/>
      <sz val="12"/>
      <color rgb="FF1F4E78"/>
      <name val="Arial"/>
      <family val="0"/>
      <charset val="1"/>
    </font>
    <font>
      <i val="true"/>
      <sz val="9"/>
      <name val="Arial"/>
      <family val="0"/>
      <charset val="1"/>
    </font>
    <font>
      <i val="true"/>
      <sz val="8"/>
      <color rgb="FF7F7F7F"/>
      <name val="Arial"/>
      <family val="0"/>
      <charset val="1"/>
    </font>
    <font>
      <sz val="8"/>
      <color rgb="FF7F7F7F"/>
      <name val="Arial"/>
      <family val="0"/>
      <charset val="1"/>
    </font>
    <font>
      <i val="true"/>
      <sz val="10"/>
      <name val="Arial"/>
      <family val="0"/>
      <charset val="1"/>
    </font>
    <font>
      <b val="true"/>
      <sz val="10"/>
      <color rgb="FF000000"/>
      <name val="Calibri"/>
      <family val="2"/>
    </font>
    <font>
      <sz val="10"/>
      <color rgb="FF7F7F7F"/>
      <name val="Arial"/>
      <family val="0"/>
      <charset val="1"/>
    </font>
    <font>
      <sz val="9"/>
      <name val="Arial"/>
      <family val="0"/>
      <charset val="1"/>
    </font>
    <font>
      <sz val="8"/>
      <color rgb="FF404040"/>
      <name val="Arial"/>
      <family val="0"/>
      <charset val="1"/>
    </font>
    <font>
      <sz val="8"/>
      <color rgb="FFFFFFFF"/>
      <name val="Arial"/>
      <family val="0"/>
      <charset val="1"/>
    </font>
  </fonts>
  <fills count="15">
    <fill>
      <patternFill patternType="none"/>
    </fill>
    <fill>
      <patternFill patternType="gray125"/>
    </fill>
    <fill>
      <patternFill patternType="solid">
        <fgColor rgb="FF1F4E78"/>
        <bgColor rgb="FF1F3864"/>
      </patternFill>
    </fill>
    <fill>
      <patternFill patternType="solid">
        <fgColor rgb="FFF2F2F2"/>
        <bgColor rgb="FFEDEDED"/>
      </patternFill>
    </fill>
    <fill>
      <patternFill patternType="solid">
        <fgColor rgb="FF595959"/>
        <bgColor rgb="FF404040"/>
      </patternFill>
    </fill>
    <fill>
      <patternFill patternType="solid">
        <fgColor rgb="FFA6A6A6"/>
        <bgColor rgb="FF878787"/>
      </patternFill>
    </fill>
    <fill>
      <patternFill patternType="solid">
        <fgColor rgb="FF5B9BD5"/>
        <bgColor rgb="FF4F81BD"/>
      </patternFill>
    </fill>
    <fill>
      <patternFill patternType="solid">
        <fgColor rgb="FF70AD47"/>
        <bgColor rgb="FF98B855"/>
      </patternFill>
    </fill>
    <fill>
      <patternFill patternType="solid">
        <fgColor rgb="FFF4B183"/>
        <bgColor rgb="FFFFC7CE"/>
      </patternFill>
    </fill>
    <fill>
      <patternFill patternType="solid">
        <fgColor rgb="FF7030A0"/>
        <bgColor rgb="FF800080"/>
      </patternFill>
    </fill>
    <fill>
      <patternFill patternType="solid">
        <fgColor rgb="FFC00000"/>
        <bgColor rgb="FF9C0006"/>
      </patternFill>
    </fill>
    <fill>
      <patternFill patternType="solid">
        <fgColor rgb="FF9DC3E6"/>
        <bgColor rgb="FFA6A6A6"/>
      </patternFill>
    </fill>
    <fill>
      <patternFill patternType="solid">
        <fgColor rgb="FFE06666"/>
        <bgColor rgb="FFC0504D"/>
      </patternFill>
    </fill>
    <fill>
      <patternFill patternType="solid">
        <fgColor rgb="FF404040"/>
        <bgColor rgb="FF1F3864"/>
      </patternFill>
    </fill>
    <fill>
      <patternFill patternType="solid">
        <fgColor rgb="FFEDEDED"/>
        <bgColor rgb="FFF2F2F2"/>
      </patternFill>
    </fill>
  </fills>
  <borders count="6">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medium">
        <color rgb="FF1F3864"/>
      </top>
      <bottom style="medium">
        <color rgb="FF1F3864"/>
      </bottom>
      <diagonal/>
    </border>
    <border diagonalUp="false" diagonalDown="false">
      <left style="thin">
        <color rgb="FFFF0000"/>
      </left>
      <right/>
      <top/>
      <bottom/>
      <diagonal/>
    </border>
    <border diagonalUp="false" diagonalDown="false">
      <left/>
      <right/>
      <top style="thin">
        <color rgb="FF1F3864"/>
      </top>
      <bottom style="thin">
        <color rgb="FF1F3864"/>
      </bottom>
      <diagonal/>
    </border>
    <border diagonalUp="false" diagonalDown="false">
      <left style="medium">
        <color rgb="FFFF0000"/>
      </left>
      <right/>
      <top/>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8">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right"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right"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right"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true" applyProtection="false">
      <alignment horizontal="right"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71" fontId="10" fillId="3" borderId="1" xfId="0" applyFont="true" applyBorder="true" applyAlignment="true" applyProtection="false">
      <alignment horizontal="right" vertical="bottom" textRotation="0" wrapText="false" indent="0" shrinkToFit="false"/>
      <protection locked="true" hidden="false"/>
    </xf>
    <xf numFmtId="172" fontId="10" fillId="3" borderId="1" xfId="0" applyFont="true" applyBorder="true" applyAlignment="true" applyProtection="false">
      <alignment horizontal="right" vertical="bottom" textRotation="0" wrapText="false" indent="0" shrinkToFit="false"/>
      <protection locked="true" hidden="false"/>
    </xf>
    <xf numFmtId="173" fontId="10" fillId="3"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74" fontId="21" fillId="4" borderId="0" xfId="0" applyFont="true" applyBorder="false" applyAlignment="true" applyProtection="false">
      <alignment horizontal="center"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center" vertical="center" textRotation="0" wrapText="true" indent="0" shrinkToFit="false"/>
      <protection locked="true" hidden="false"/>
    </xf>
    <xf numFmtId="175" fontId="23" fillId="3" borderId="1" xfId="0" applyFont="true" applyBorder="true" applyAlignment="false" applyProtection="false">
      <alignment horizontal="general" vertical="bottom" textRotation="0" wrapText="false" indent="0" shrinkToFit="false"/>
      <protection locked="true" hidden="false"/>
    </xf>
    <xf numFmtId="176" fontId="7" fillId="3" borderId="1" xfId="0" applyFont="true" applyBorder="true" applyAlignment="true" applyProtection="false">
      <alignment horizontal="center" vertical="bottom" textRotation="0" wrapText="false" indent="0" shrinkToFit="false"/>
      <protection locked="true" hidden="false"/>
    </xf>
    <xf numFmtId="168" fontId="7" fillId="3" borderId="1" xfId="0" applyFont="true" applyBorder="true" applyAlignment="true" applyProtection="false">
      <alignment horizontal="center" vertical="bottom" textRotation="0" wrapText="false" indent="0" shrinkToFit="false"/>
      <protection locked="true" hidden="false"/>
    </xf>
    <xf numFmtId="167" fontId="7" fillId="3" borderId="1" xfId="0" applyFont="tru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5" fontId="0" fillId="8" borderId="0" xfId="0" applyFont="fals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5" fontId="0" fillId="10" borderId="0" xfId="0" applyFont="false" applyBorder="fals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false"/>
      <protection locked="true" hidden="false"/>
    </xf>
    <xf numFmtId="169" fontId="7" fillId="3" borderId="1" xfId="0" applyFont="true" applyBorder="true" applyAlignment="true" applyProtection="false">
      <alignment horizontal="right" vertical="bottom" textRotation="0" wrapText="false" indent="0" shrinkToFit="false"/>
      <protection locked="true" hidden="false"/>
    </xf>
    <xf numFmtId="170" fontId="6" fillId="3" borderId="1" xfId="0" applyFont="true" applyBorder="true" applyAlignment="false" applyProtection="false">
      <alignment horizontal="general" vertical="bottom" textRotation="0" wrapText="false" indent="0" shrinkToFit="false"/>
      <protection locked="true" hidden="false"/>
    </xf>
    <xf numFmtId="173" fontId="6" fillId="3" borderId="1" xfId="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75" fontId="7" fillId="3" borderId="1" xfId="0" applyFont="true" applyBorder="true" applyAlignment="true" applyProtection="false">
      <alignment horizontal="center"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70" fontId="7" fillId="3" borderId="1" xfId="0" applyFont="true" applyBorder="true" applyAlignment="true" applyProtection="false">
      <alignment horizontal="center" vertical="bottom" textRotation="0" wrapText="false" indent="0" shrinkToFit="false"/>
      <protection locked="true" hidden="false"/>
    </xf>
    <xf numFmtId="173" fontId="7" fillId="3" borderId="1" xfId="0" applyFont="true" applyBorder="true" applyAlignment="true" applyProtection="false">
      <alignment horizontal="center" vertical="bottom" textRotation="0" wrapText="false" indent="0" shrinkToFit="false"/>
      <protection locked="true" hidden="false"/>
    </xf>
    <xf numFmtId="169" fontId="7" fillId="3" borderId="1" xfId="0" applyFont="true" applyBorder="true" applyAlignment="true" applyProtection="false">
      <alignment horizontal="center"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77" fontId="7" fillId="3" borderId="1" xfId="0" applyFont="true" applyBorder="true" applyAlignment="true" applyProtection="false">
      <alignment horizontal="center"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78" fontId="5" fillId="4" borderId="1" xfId="0" applyFont="true" applyBorder="true" applyAlignment="true" applyProtection="false">
      <alignment horizontal="center" vertical="center" textRotation="0" wrapText="tru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9" fontId="7" fillId="0" borderId="1" xfId="0" applyFont="true" applyBorder="true" applyAlignment="false" applyProtection="false">
      <alignment horizontal="general" vertical="bottom" textRotation="0" wrapText="false" indent="0" shrinkToFit="false"/>
      <protection locked="true" hidden="false"/>
    </xf>
    <xf numFmtId="179" fontId="6" fillId="3" borderId="1" xfId="0" applyFont="true" applyBorder="true" applyAlignment="false" applyProtection="false">
      <alignment horizontal="general" vertical="bottom" textRotation="0" wrapText="false" indent="0" shrinkToFit="false"/>
      <protection locked="true" hidden="false"/>
    </xf>
    <xf numFmtId="180" fontId="7" fillId="0" borderId="1" xfId="0" applyFont="true" applyBorder="tru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75" fontId="29" fillId="0" borderId="0" xfId="0" applyFont="true" applyBorder="false" applyAlignment="false" applyProtection="false">
      <alignment horizontal="general" vertical="bottom" textRotation="0" wrapText="false" indent="0" shrinkToFit="false"/>
      <protection locked="true" hidden="false"/>
    </xf>
    <xf numFmtId="181" fontId="7" fillId="0" borderId="1"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7" fontId="7" fillId="3" borderId="1" xfId="0" applyFont="true" applyBorder="true" applyAlignment="true" applyProtection="false">
      <alignment horizontal="right" vertical="bottom" textRotation="0" wrapText="false" indent="0" shrinkToFit="false"/>
      <protection locked="true" hidden="false"/>
    </xf>
    <xf numFmtId="182" fontId="7" fillId="3" borderId="1" xfId="0" applyFont="true" applyBorder="true" applyAlignment="true" applyProtection="false">
      <alignment horizontal="right" vertical="bottom" textRotation="0" wrapText="false" indent="0" shrinkToFit="false"/>
      <protection locked="true" hidden="false"/>
    </xf>
    <xf numFmtId="172"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81" fontId="7" fillId="3" borderId="1" xfId="0" applyFont="true" applyBorder="true" applyAlignment="true" applyProtection="false">
      <alignment horizontal="center" vertical="bottom" textRotation="0" wrapText="false" indent="0" shrinkToFit="false"/>
      <protection locked="true" hidden="false"/>
    </xf>
    <xf numFmtId="177" fontId="7" fillId="3" borderId="1" xfId="0" applyFont="true" applyBorder="true" applyAlignment="false" applyProtection="false">
      <alignment horizontal="general" vertical="bottom" textRotation="0" wrapText="false" indent="0" shrinkToFit="false"/>
      <protection locked="true" hidden="false"/>
    </xf>
    <xf numFmtId="165" fontId="23" fillId="3" borderId="1" xfId="0" applyFont="true" applyBorder="true" applyAlignment="false" applyProtection="false">
      <alignment horizontal="general" vertical="bottom" textRotation="0" wrapText="false" indent="0" shrinkToFit="false"/>
      <protection locked="true" hidden="false"/>
    </xf>
    <xf numFmtId="177" fontId="23" fillId="3"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73" fontId="8" fillId="0" borderId="1" xfId="0" applyFont="true" applyBorder="true" applyAlignment="true" applyProtection="false">
      <alignment horizontal="center" vertical="bottom" textRotation="0" wrapText="false" indent="0" shrinkToFit="false"/>
      <protection locked="true" hidden="false"/>
    </xf>
    <xf numFmtId="177" fontId="8" fillId="0"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72" fontId="8" fillId="0" borderId="1" xfId="0" applyFont="true" applyBorder="true" applyAlignment="true" applyProtection="false">
      <alignment horizontal="center"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82"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83" fontId="8"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84" fontId="7" fillId="3"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84" fontId="8" fillId="0" borderId="1" xfId="0" applyFont="true" applyBorder="true" applyAlignment="false" applyProtection="false">
      <alignment horizontal="general" vertical="bottom" textRotation="0" wrapText="false" indent="0" shrinkToFit="false"/>
      <protection locked="true" hidden="false"/>
    </xf>
    <xf numFmtId="175" fontId="23" fillId="3" borderId="1" xfId="0" applyFont="true" applyBorder="true" applyAlignment="false" applyProtection="false">
      <alignment horizontal="general" vertical="bottom" textRotation="0" wrapText="false" indent="0" shrinkToFit="false"/>
      <protection locked="true" hidden="false"/>
    </xf>
    <xf numFmtId="166" fontId="23" fillId="3" borderId="1" xfId="0" applyFont="true" applyBorder="true" applyAlignment="false" applyProtection="false">
      <alignment horizontal="general" vertical="bottom" textRotation="0" wrapText="false" indent="0" shrinkToFit="false"/>
      <protection locked="true" hidden="false"/>
    </xf>
    <xf numFmtId="185" fontId="23" fillId="3" borderId="1" xfId="0" applyFont="true" applyBorder="true" applyAlignment="false" applyProtection="false">
      <alignment horizontal="general"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33" fillId="0" borderId="0" xfId="0" applyFont="true" applyBorder="false" applyAlignment="false" applyProtection="false">
      <alignment horizontal="general" vertical="bottom" textRotation="0" wrapText="false" indent="0" shrinkToFit="false"/>
      <protection locked="true" hidden="false"/>
    </xf>
    <xf numFmtId="165" fontId="0" fillId="11" borderId="0" xfId="0" applyFont="false" applyBorder="false" applyAlignment="false" applyProtection="false">
      <alignment horizontal="general" vertical="bottom" textRotation="0" wrapText="false" indent="0" shrinkToFit="false"/>
      <protection locked="true" hidden="false"/>
    </xf>
    <xf numFmtId="165" fontId="0" fillId="12" borderId="0" xfId="0" applyFont="false" applyBorder="false" applyAlignment="false" applyProtection="false">
      <alignment horizontal="general" vertical="bottom" textRotation="0" wrapText="false" indent="0" shrinkToFit="false"/>
      <protection locked="true" hidden="false"/>
    </xf>
    <xf numFmtId="165" fontId="0" fillId="13" borderId="0" xfId="0" applyFont="false" applyBorder="fals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0" fillId="14" borderId="0" xfId="0" applyFont="false" applyBorder="false" applyAlignment="fals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center" vertical="center" textRotation="0" wrapText="false" indent="0" shrinkToFit="false"/>
      <protection locked="true" hidden="false"/>
    </xf>
    <xf numFmtId="165" fontId="20" fillId="0" borderId="0" xfId="0" applyFont="true" applyBorder="false" applyAlignment="true" applyProtection="false">
      <alignment horizontal="left" vertical="center" textRotation="0" wrapText="false" indent="0" shrinkToFit="false"/>
      <protection locked="true" hidden="false"/>
    </xf>
    <xf numFmtId="186" fontId="35" fillId="4" borderId="0" xfId="0" applyFont="true" applyBorder="false" applyAlignment="true" applyProtection="false">
      <alignment horizontal="center" vertical="center" textRotation="0" wrapText="false" indent="0" shrinkToFit="false"/>
      <protection locked="true" hidden="false"/>
    </xf>
    <xf numFmtId="175" fontId="33" fillId="3" borderId="1" xfId="0" applyFont="true" applyBorder="true" applyAlignment="true" applyProtection="false">
      <alignment horizontal="center" vertical="bottom" textRotation="0" wrapText="false" indent="0" shrinkToFit="false"/>
      <protection locked="true" hidden="false"/>
    </xf>
    <xf numFmtId="165" fontId="33" fillId="3" borderId="1" xfId="0" applyFont="true" applyBorder="true" applyAlignment="false" applyProtection="false">
      <alignment horizontal="general" vertical="bottom" textRotation="0" wrapText="false" indent="0" shrinkToFit="false"/>
      <protection locked="true" hidden="false"/>
    </xf>
    <xf numFmtId="176" fontId="33" fillId="3" borderId="1" xfId="0" applyFont="true" applyBorder="true" applyAlignment="false" applyProtection="false">
      <alignment horizontal="general" vertical="bottom" textRotation="0" wrapText="false" indent="0" shrinkToFit="false"/>
      <protection locked="true" hidden="false"/>
    </xf>
    <xf numFmtId="168" fontId="33" fillId="3" borderId="1" xfId="0" applyFont="true" applyBorder="true" applyAlignment="true" applyProtection="false">
      <alignment horizontal="center" vertical="bottom" textRotation="0" wrapText="false" indent="0" shrinkToFit="false"/>
      <protection locked="true" hidden="false"/>
    </xf>
    <xf numFmtId="165" fontId="33" fillId="3" borderId="1" xfId="0" applyFont="true" applyBorder="true" applyAlignment="true" applyProtection="false">
      <alignment horizontal="center" vertical="bottom" textRotation="0" wrapText="false" indent="0" shrinkToFit="false"/>
      <protection locked="true" hidden="false"/>
    </xf>
    <xf numFmtId="175" fontId="33" fillId="3" borderId="1" xfId="0" applyFont="true" applyBorder="true" applyAlignment="false" applyProtection="false">
      <alignment horizontal="general" vertical="bottom" textRotation="0" wrapText="false" indent="0" shrinkToFit="false"/>
      <protection locked="true" hidden="false"/>
    </xf>
    <xf numFmtId="175" fontId="33" fillId="3" borderId="1" xfId="0" applyFont="true" applyBorder="true" applyAlignment="false" applyProtection="false">
      <alignment horizontal="general" vertical="bottom" textRotation="0" wrapText="false" indent="0" shrinkToFit="false"/>
      <protection locked="true" hidden="false"/>
    </xf>
    <xf numFmtId="187" fontId="33" fillId="3" borderId="1" xfId="0" applyFont="true" applyBorder="true" applyAlignment="false" applyProtection="false">
      <alignment horizontal="general" vertical="bottom" textRotation="0" wrapText="false" indent="0" shrinkToFit="false"/>
      <protection locked="true" hidden="false"/>
    </xf>
    <xf numFmtId="182" fontId="7" fillId="3" borderId="1" xfId="0" applyFont="true" applyBorder="true" applyAlignment="true" applyProtection="false">
      <alignment horizontal="center" vertical="bottom" textRotation="0" wrapText="false" indent="0" shrinkToFit="false"/>
      <protection locked="true" hidden="false"/>
    </xf>
    <xf numFmtId="178" fontId="27" fillId="0" borderId="0" xfId="0" applyFont="true" applyBorder="false" applyAlignment="false" applyProtection="false">
      <alignment horizontal="general" vertical="bottom" textRotation="0" wrapText="false" indent="0" shrinkToFit="false"/>
      <protection locked="true" hidden="false"/>
    </xf>
    <xf numFmtId="176"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0">
    <dxf>
      <fill>
        <patternFill patternType="solid">
          <fgColor rgb="FF595959"/>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C7CE"/>
          <bgColor rgb="FF000000"/>
        </patternFill>
      </fill>
    </dxf>
    <dxf>
      <fill>
        <patternFill patternType="solid">
          <fgColor rgb="FF548235"/>
          <bgColor rgb="FF000000"/>
        </patternFill>
      </fill>
    </dxf>
    <dxf>
      <fill>
        <patternFill patternType="solid">
          <fgColor rgb="FF9C0006"/>
          <bgColor rgb="FF000000"/>
        </patternFill>
      </fill>
    </dxf>
    <dxf>
      <fill>
        <patternFill patternType="solid">
          <fgColor rgb="FFC00000"/>
          <bgColor rgb="FF000000"/>
        </patternFill>
      </fill>
    </dxf>
    <dxf>
      <fill>
        <patternFill patternType="solid">
          <fgColor rgb="FF2F75B5"/>
          <bgColor rgb="FF000000"/>
        </patternFill>
      </fill>
    </dxf>
    <dxf>
      <fill>
        <patternFill patternType="solid">
          <fgColor rgb="FF7F7F7F"/>
          <bgColor rgb="FF000000"/>
        </patternFill>
      </fill>
    </dxf>
    <dxf>
      <fill>
        <patternFill patternType="solid">
          <fgColor rgb="FFC55A11"/>
          <bgColor rgb="FF000000"/>
        </patternFill>
      </fill>
    </dxf>
    <dxf>
      <font>
        <b val="1"/>
        <color rgb="FFC00000"/>
      </font>
      <fill>
        <patternFill>
          <bgColor rgb="FFFFC7CE"/>
        </patternFill>
      </fill>
    </dxf>
    <dxf>
      <font>
        <b val="1"/>
        <color rgb="FF548235"/>
      </font>
    </dxf>
    <dxf>
      <font>
        <b val="1"/>
        <color rgb="FF006100"/>
      </font>
      <fill>
        <patternFill>
          <bgColor rgb="FFC6EFCE"/>
        </patternFill>
      </fill>
    </dxf>
    <dxf>
      <font>
        <b val="1"/>
        <color rgb="FF9C5700"/>
      </font>
      <fill>
        <patternFill>
          <bgColor rgb="FFFFEB9C"/>
        </patternFill>
      </fill>
    </dxf>
    <dxf>
      <font>
        <b val="1"/>
        <color rgb="FF9C0006"/>
      </font>
      <fill>
        <patternFill>
          <bgColor rgb="FFFFC7CE"/>
        </patternFill>
      </fill>
    </dxf>
    <dxf>
      <fill>
        <patternFill patternType="solid">
          <fgColor rgb="FFA6A6A6"/>
          <bgColor rgb="FF000000"/>
        </patternFill>
      </fill>
    </dxf>
    <dxf>
      <fill>
        <patternFill patternType="solid">
          <fgColor rgb="FF404040"/>
          <bgColor rgb="FF000000"/>
        </patternFill>
      </fill>
    </dxf>
    <dxf>
      <fill>
        <patternFill>
          <bgColor rgb="FF70AD47"/>
        </patternFill>
      </fill>
    </dxf>
    <dxf>
      <fill>
        <patternFill>
          <bgColor rgb="FFF4B183"/>
        </patternFill>
      </fill>
    </dxf>
    <dxf>
      <fill>
        <patternFill>
          <bgColor rgb="FF5B9BD5"/>
        </patternFill>
      </fill>
    </dxf>
    <dxf>
      <border diagonalUp="false" diagonalDown="false">
        <left/>
        <right/>
        <top style="medium">
          <color rgb="FF1F3864"/>
        </top>
        <bottom style="medium">
          <color rgb="FF1F3864"/>
        </bottom>
        <diagonal/>
      </border>
    </dxf>
    <dxf>
      <border diagonalUp="false" diagonalDown="false">
        <left style="thin">
          <color rgb="FFFF0000"/>
        </left>
        <right style="thin">
          <color rgb="FFFF0000"/>
        </right>
        <top/>
        <bottom/>
        <diagonal/>
      </border>
    </dxf>
    <dxf>
      <fill>
        <patternFill>
          <bgColor rgb="FFC00000"/>
        </patternFill>
      </fill>
    </dxf>
    <dxf>
      <fill>
        <patternFill>
          <bgColor rgb="FF7030A0"/>
        </patternFill>
      </fill>
    </dxf>
    <dxf>
      <border diagonalUp="false" diagonalDown="false">
        <left/>
        <right style="medium">
          <color rgb="FFC00000"/>
        </right>
        <top/>
        <bottom/>
        <diagonal/>
      </border>
    </dxf>
    <dxf>
      <font>
        <b val="1"/>
        <color rgb="FFC00000"/>
      </font>
    </dxf>
    <dxf>
      <fill>
        <patternFill patternType="solid">
          <fgColor rgb="FF1F4E78"/>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ont>
        <b val="1"/>
        <color rgb="FFFFFFFF"/>
      </font>
      <fill>
        <patternFill>
          <bgColor rgb="FFC00000"/>
        </patternFill>
      </fill>
    </dxf>
    <dxf>
      <font>
        <b val="1"/>
        <color rgb="FF9C0006"/>
      </font>
    </dxf>
    <dxf>
      <font>
        <b val="1"/>
        <color rgb="FF7030A0"/>
      </font>
      <fill>
        <patternFill>
          <bgColor rgb="FFE4DFEC"/>
        </patternFill>
      </fill>
    </dxf>
    <dxf>
      <font>
        <color rgb="FFFFFFFF"/>
      </font>
    </dxf>
    <dxf>
      <font>
        <color rgb="FFA6A6A6"/>
      </font>
    </dxf>
    <dxf>
      <font>
        <b val="1"/>
        <color rgb="FFC55A11"/>
      </font>
    </dxf>
    <dxf>
      <font>
        <b val="1"/>
        <color rgb="FFA6A6A6"/>
      </font>
    </dxf>
    <dxf>
      <fill>
        <patternFill>
          <bgColor rgb="FFFFFF00"/>
        </patternFill>
      </fill>
    </dxf>
    <dxf>
      <fill>
        <patternFill patternType="solid">
          <fgColor rgb="FFDDEBF7"/>
          <bgColor rgb="FF000000"/>
        </patternFill>
      </fill>
    </dxf>
    <dxf>
      <fill>
        <patternFill patternType="solid">
          <fgColor rgb="FF7030A0"/>
          <bgColor rgb="FF000000"/>
        </patternFill>
      </fill>
    </dxf>
    <dxf>
      <font>
        <b val="1"/>
      </font>
      <fill>
        <patternFill>
          <bgColor rgb="FFDDEBF7"/>
        </patternFill>
      </fill>
    </dxf>
    <dxf>
      <font>
        <b val="1"/>
        <i val="1"/>
        <color rgb="FFA6A6A6"/>
      </font>
    </dxf>
    <dxf>
      <font>
        <b val="1"/>
        <color rgb="FF2F75B5"/>
      </font>
    </dxf>
    <dxf>
      <font>
        <b val="1"/>
        <color rgb="FF7F7F7F"/>
      </font>
    </dxf>
    <dxf>
      <font>
        <i val="1"/>
        <color rgb="FF7030A0"/>
      </font>
    </dxf>
    <dxf>
      <fill>
        <patternFill>
          <bgColor rgb="FFFFC7CE"/>
        </patternFill>
      </fill>
    </dxf>
    <dxf>
      <font>
        <color rgb="FF9C0006"/>
      </font>
      <fill>
        <patternFill>
          <bgColor rgb="FFFFC7CE"/>
        </patternFill>
      </fill>
    </dxf>
    <dxf>
      <fill>
        <patternFill>
          <bgColor rgb="FF404040"/>
        </patternFill>
      </fill>
    </dxf>
    <dxf>
      <fill>
        <patternFill>
          <bgColor rgb="FFE06666"/>
        </patternFill>
      </fill>
    </dxf>
    <dxf>
      <fill>
        <patternFill>
          <bgColor rgb="FF9DC3E6"/>
        </patternFill>
      </fill>
    </dxf>
    <dxf>
      <border diagonalUp="false" diagonalDown="false">
        <left/>
        <right/>
        <top style="thin">
          <color rgb="FF1F3864"/>
        </top>
        <bottom style="thin">
          <color rgb="FF1F3864"/>
        </bottom>
        <diagonal/>
      </border>
    </dxf>
    <dxf>
      <fill>
        <patternFill>
          <bgColor rgb="FFEDEDED"/>
        </patternFill>
      </fill>
    </dxf>
    <dxf>
      <numFmt numFmtId="164" formatCode=";;;"/>
    </dxf>
    <dxf>
      <fill>
        <patternFill patternType="solid">
          <fgColor rgb="FFFFF2CC"/>
          <bgColor rgb="FF000000"/>
        </patternFill>
      </fill>
    </dxf>
    <dxf>
      <fill>
        <patternFill patternType="solid">
          <fgColor rgb="FFD9D9D9"/>
          <bgColor rgb="FF000000"/>
        </patternFill>
      </fill>
    </dxf>
    <dxf>
      <font>
        <color rgb="FFD9D9D9"/>
      </font>
    </dxf>
    <dxf>
      <font>
        <b val="1"/>
      </font>
      <fill>
        <patternFill>
          <bgColor rgb="FFFFF2C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C0504D"/>
      <rgbColor rgb="FF4F81BD"/>
      <rgbColor rgb="FFA6A6A6"/>
      <rgbColor rgb="FF7F7F7F"/>
      <rgbColor rgb="FF5B9BD5"/>
      <rgbColor rgb="FFBE4B48"/>
      <rgbColor rgb="FFFFF2CC"/>
      <rgbColor rgb="FFDDEBF7"/>
      <rgbColor rgb="FF660066"/>
      <rgbColor rgb="FFE06666"/>
      <rgbColor rgb="FF0066CC"/>
      <rgbColor rgb="FFD9D9D9"/>
      <rgbColor rgb="FF000080"/>
      <rgbColor rgb="FFFF00FF"/>
      <rgbColor rgb="FFEDEDED"/>
      <rgbColor rgb="FF00FFFF"/>
      <rgbColor rgb="FF800080"/>
      <rgbColor rgb="FFC00000"/>
      <rgbColor rgb="FF008080"/>
      <rgbColor rgb="FF0000FF"/>
      <rgbColor rgb="FF00CCFF"/>
      <rgbColor rgb="FFF2F2F2"/>
      <rgbColor rgb="FFC6EFCE"/>
      <rgbColor rgb="FFFFEB9C"/>
      <rgbColor rgb="FF9DC3E6"/>
      <rgbColor rgb="FFF4B183"/>
      <rgbColor rgb="FFE4DFEC"/>
      <rgbColor rgb="FFFFC7CE"/>
      <rgbColor rgb="FF2F75B5"/>
      <rgbColor rgb="FF70AD47"/>
      <rgbColor rgb="FF98B855"/>
      <rgbColor rgb="FFF9F9F9"/>
      <rgbColor rgb="FFBF8F00"/>
      <rgbColor rgb="FFC55A11"/>
      <rgbColor rgb="FF595959"/>
      <rgbColor rgb="FF878787"/>
      <rgbColor rgb="FF1F3864"/>
      <rgbColor rgb="FF4A7EBB"/>
      <rgbColor rgb="FF003300"/>
      <rgbColor rgb="FF333300"/>
      <rgbColor rgb="FF9C5700"/>
      <rgbColor rgb="FF7030A0"/>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Detail tasks by status</a:t>
            </a:r>
          </a:p>
        </c:rich>
      </c:tx>
      <c:overlay val="0"/>
      <c:spPr>
        <a:noFill/>
        <a:ln w="0">
          <a:noFill/>
        </a:ln>
      </c:spPr>
    </c:title>
    <c:autoTitleDeleted val="0"/>
    <c:plotArea>
      <c:barChart>
        <c:barDir val="bar"/>
        <c:grouping val="clustered"/>
        <c:varyColors val="0"/>
        <c:ser>
          <c:idx val="0"/>
          <c:order val="0"/>
          <c:tx>
            <c:strRef>
              <c:f>Dashboard!F4</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Dashboard!$E$5:$E$9</c:f>
              <c:strCache>
                <c:ptCount val="5"/>
                <c:pt idx="0">
                  <c:v>Complete</c:v>
                </c:pt>
                <c:pt idx="1">
                  <c:v>In Progress</c:v>
                </c:pt>
                <c:pt idx="2">
                  <c:v>Behind</c:v>
                </c:pt>
                <c:pt idx="3">
                  <c:v>Late Start</c:v>
                </c:pt>
                <c:pt idx="4">
                  <c:v>Not Started</c:v>
                </c:pt>
              </c:strCache>
            </c:strRef>
          </c:cat>
          <c:val>
            <c:numRef>
              <c:f>Dashboard!$F$5:$F$9</c:f>
              <c:numCache>
                <c:formatCode>General</c:formatCode>
                <c:ptCount val="5"/>
                <c:pt idx="0">
                  <c:v>9</c:v>
                </c:pt>
                <c:pt idx="1">
                  <c:v>0</c:v>
                </c:pt>
                <c:pt idx="2">
                  <c:v>2</c:v>
                </c:pt>
                <c:pt idx="3">
                  <c:v>1</c:v>
                </c:pt>
                <c:pt idx="4">
                  <c:v>11</c:v>
                </c:pt>
              </c:numCache>
            </c:numRef>
          </c:val>
        </c:ser>
        <c:gapWidth val="150"/>
        <c:overlap val="0"/>
        <c:axId val="27632612"/>
        <c:axId val="72544702"/>
      </c:barChart>
      <c:catAx>
        <c:axId val="276326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544702"/>
        <c:crosses val="autoZero"/>
        <c:auto val="1"/>
        <c:lblAlgn val="ctr"/>
        <c:lblOffset val="100"/>
        <c:noMultiLvlLbl val="0"/>
      </c:catAx>
      <c:valAx>
        <c:axId val="7254470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326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Sprint planned work vs capacity (hrs)</a:t>
            </a:r>
          </a:p>
        </c:rich>
      </c:tx>
      <c:overlay val="0"/>
      <c:spPr>
        <a:noFill/>
        <a:ln w="0">
          <a:noFill/>
        </a:ln>
      </c:spPr>
    </c:title>
    <c:autoTitleDeleted val="0"/>
    <c:plotArea>
      <c:barChart>
        <c:barDir val="col"/>
        <c:grouping val="clustered"/>
        <c:varyColors val="0"/>
        <c:ser>
          <c:idx val="0"/>
          <c:order val="0"/>
          <c:tx>
            <c:strRef>
              <c:f>Sprints!H5</c:f>
              <c:strCache>
                <c:ptCount val="1"/>
                <c:pt idx="0">
                  <c:v>Planned Work</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Sprints!$H$6:$H$17</c:f>
              <c:numCache>
                <c:formatCode>#,##0.0</c:formatCode>
                <c:ptCount val="12"/>
                <c:pt idx="0">
                  <c:v>78.4444444444445</c:v>
                </c:pt>
                <c:pt idx="1">
                  <c:v>119.84126984127</c:v>
                </c:pt>
                <c:pt idx="2">
                  <c:v>115.047619047619</c:v>
                </c:pt>
                <c:pt idx="3">
                  <c:v>169.52380952381</c:v>
                </c:pt>
                <c:pt idx="4">
                  <c:v>157.142857142857</c:v>
                </c:pt>
                <c:pt idx="5">
                  <c:v>68</c:v>
                </c:pt>
                <c:pt idx="6">
                  <c:v>80</c:v>
                </c:pt>
                <c:pt idx="7">
                  <c:v>48</c:v>
                </c:pt>
                <c:pt idx="8">
                  <c:v>32</c:v>
                </c:pt>
                <c:pt idx="9">
                  <c:v>0</c:v>
                </c:pt>
                <c:pt idx="10">
                  <c:v>0</c:v>
                </c:pt>
                <c:pt idx="11">
                  <c:v>0</c:v>
                </c:pt>
              </c:numCache>
            </c:numRef>
          </c:val>
        </c:ser>
        <c:ser>
          <c:idx val="1"/>
          <c:order val="1"/>
          <c:tx>
            <c:strRef>
              <c:f>Sprints!I5</c:f>
              <c:strCache>
                <c:ptCount val="1"/>
                <c:pt idx="0">
                  <c:v>Capacity</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Sprints!$I$6:$I$17</c:f>
              <c:numCache>
                <c:formatCode>#,##0.0</c:formatCode>
                <c:ptCount val="12"/>
                <c:pt idx="0">
                  <c:v>480</c:v>
                </c:pt>
                <c:pt idx="1">
                  <c:v>480</c:v>
                </c:pt>
                <c:pt idx="2">
                  <c:v>480</c:v>
                </c:pt>
                <c:pt idx="3">
                  <c:v>472</c:v>
                </c:pt>
                <c:pt idx="4">
                  <c:v>476</c:v>
                </c:pt>
                <c:pt idx="5">
                  <c:v>404</c:v>
                </c:pt>
                <c:pt idx="6">
                  <c:v>480</c:v>
                </c:pt>
                <c:pt idx="7">
                  <c:v>364</c:v>
                </c:pt>
                <c:pt idx="8">
                  <c:v>360</c:v>
                </c:pt>
                <c:pt idx="9">
                  <c:v>480</c:v>
                </c:pt>
                <c:pt idx="10">
                  <c:v>480</c:v>
                </c:pt>
                <c:pt idx="11">
                  <c:v>480</c:v>
                </c:pt>
              </c:numCache>
            </c:numRef>
          </c:val>
        </c:ser>
        <c:gapWidth val="150"/>
        <c:overlap val="0"/>
        <c:axId val="80383730"/>
        <c:axId val="11559387"/>
      </c:barChart>
      <c:catAx>
        <c:axId val="803837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559387"/>
        <c:crosses val="autoZero"/>
        <c:auto val="1"/>
        <c:lblAlgn val="ctr"/>
        <c:lblOffset val="100"/>
        <c:noMultiLvlLbl val="0"/>
      </c:catAx>
      <c:valAx>
        <c:axId val="1155938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3837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value (BAC, PV, EV, AC)</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'Status Report'!$B$18:$B$21</c:f>
              <c:strCache>
                <c:ptCount val="4"/>
                <c:pt idx="0">
                  <c:v>Budget at completion (BAC)</c:v>
                </c:pt>
                <c:pt idx="1">
                  <c:v>Planned value (PV)</c:v>
                </c:pt>
                <c:pt idx="2">
                  <c:v>Earned value (EV)</c:v>
                </c:pt>
                <c:pt idx="3">
                  <c:v>Actual cost (AC)</c:v>
                </c:pt>
              </c:strCache>
            </c:strRef>
          </c:cat>
          <c:val>
            <c:numRef>
              <c:f>'Status Report'!$D$18:$D$21</c:f>
              <c:numCache>
                <c:formatCode>#,##0</c:formatCode>
                <c:ptCount val="4"/>
                <c:pt idx="0">
                  <c:v>69020</c:v>
                </c:pt>
                <c:pt idx="1">
                  <c:v>40760</c:v>
                </c:pt>
                <c:pt idx="2">
                  <c:v>31040</c:v>
                </c:pt>
                <c:pt idx="3">
                  <c:v>33040</c:v>
                </c:pt>
              </c:numCache>
            </c:numRef>
          </c:val>
        </c:ser>
        <c:gapWidth val="150"/>
        <c:overlap val="0"/>
        <c:axId val="89894103"/>
        <c:axId val="55172688"/>
      </c:barChart>
      <c:catAx>
        <c:axId val="898941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172688"/>
        <c:crosses val="autoZero"/>
        <c:auto val="1"/>
        <c:lblAlgn val="ctr"/>
        <c:lblOffset val="100"/>
        <c:noMultiLvlLbl val="0"/>
      </c:catAx>
      <c:valAx>
        <c:axId val="5517268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8941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Team hours per week vs capacity</a:t>
            </a:r>
          </a:p>
        </c:rich>
      </c:tx>
      <c:overlay val="0"/>
      <c:spPr>
        <a:noFill/>
        <a:ln w="0">
          <a:noFill/>
        </a:ln>
      </c:spPr>
    </c:title>
    <c:autoTitleDeleted val="0"/>
    <c:plotArea>
      <c:barChart>
        <c:barDir val="col"/>
        <c:grouping val="clustered"/>
        <c:varyColors val="0"/>
        <c:ser>
          <c:idx val="0"/>
          <c:order val="0"/>
          <c:tx>
            <c:strRef>
              <c:f>"Team hours"</c:f>
              <c:strCache>
                <c:ptCount val="1"/>
                <c:pt idx="0">
                  <c:v>Team hours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'Resource Report'!$D$34:$AC$34</c:f>
              <c:multiLvlStrCache>
                <c:ptCount val="1"/>
                <c:lvl>
                  <c:pt idx="0">
                    <c:v>29-Mar</c:v>
                  </c:pt>
                </c:lvl>
                <c:lvl>
                  <c:pt idx="0">
                    <c:v>22-Mar</c:v>
                  </c:pt>
                </c:lvl>
                <c:lvl>
                  <c:pt idx="0">
                    <c:v>15-Mar</c:v>
                  </c:pt>
                </c:lvl>
                <c:lvl>
                  <c:pt idx="0">
                    <c:v>08-Mar</c:v>
                  </c:pt>
                </c:lvl>
                <c:lvl>
                  <c:pt idx="0">
                    <c:v>01-Mar</c:v>
                  </c:pt>
                </c:lvl>
                <c:lvl>
                  <c:pt idx="0">
                    <c:v>22-Feb</c:v>
                  </c:pt>
                </c:lvl>
                <c:lvl>
                  <c:pt idx="0">
                    <c:v>15-Feb</c:v>
                  </c:pt>
                </c:lvl>
                <c:lvl>
                  <c:pt idx="0">
                    <c:v>08-Feb</c:v>
                  </c:pt>
                </c:lvl>
                <c:lvl>
                  <c:pt idx="0">
                    <c:v>01-Feb</c:v>
                  </c:pt>
                </c:lvl>
                <c:lvl>
                  <c:pt idx="0">
                    <c:v>25-Jan</c:v>
                  </c:pt>
                </c:lvl>
                <c:lvl>
                  <c:pt idx="0">
                    <c:v>18-Jan</c:v>
                  </c:pt>
                </c:lvl>
                <c:lvl>
                  <c:pt idx="0">
                    <c:v>11-Jan</c:v>
                  </c:pt>
                </c:lvl>
                <c:lvl>
                  <c:pt idx="0">
                    <c:v>04-Jan</c:v>
                  </c:pt>
                </c:lvl>
                <c:lvl>
                  <c:pt idx="0">
                    <c:v>28-Dec</c:v>
                  </c:pt>
                </c:lvl>
                <c:lvl>
                  <c:pt idx="0">
                    <c:v>21-Dec</c:v>
                  </c:pt>
                </c:lvl>
                <c:lvl>
                  <c:pt idx="0">
                    <c:v>14-Dec</c:v>
                  </c:pt>
                </c:lvl>
                <c:lvl>
                  <c:pt idx="0">
                    <c:v>07-Dec</c:v>
                  </c:pt>
                </c:lvl>
                <c:lvl>
                  <c:pt idx="0">
                    <c:v>30-Nov</c:v>
                  </c:pt>
                </c:lvl>
                <c:lvl>
                  <c:pt idx="0">
                    <c:v>23-Nov</c:v>
                  </c:pt>
                </c:lvl>
                <c:lvl>
                  <c:pt idx="0">
                    <c:v>16-Nov</c:v>
                  </c:pt>
                </c:lvl>
                <c:lvl>
                  <c:pt idx="0">
                    <c:v>09-Nov</c:v>
                  </c:pt>
                </c:lvl>
                <c:lvl>
                  <c:pt idx="0">
                    <c:v>02-Nov</c:v>
                  </c:pt>
                </c:lvl>
                <c:lvl>
                  <c:pt idx="0">
                    <c:v>26-Oct</c:v>
                  </c:pt>
                </c:lvl>
                <c:lvl>
                  <c:pt idx="0">
                    <c:v>19-Oct</c:v>
                  </c:pt>
                </c:lvl>
                <c:lvl>
                  <c:pt idx="0">
                    <c:v>12-Oct</c:v>
                  </c:pt>
                </c:lvl>
                <c:lvl>
                  <c:pt idx="0">
                    <c:v>05-Oct</c:v>
                  </c:pt>
                </c:lvl>
              </c:multiLvlStrCache>
            </c:multiLvlStrRef>
          </c:cat>
          <c:val>
            <c:numRef>
              <c:f>'Resource Report'!$D$61:$AC$61</c:f>
              <c:numCache>
                <c:formatCode>#,##0;;\-</c:formatCode>
                <c:ptCount val="26"/>
                <c:pt idx="0">
                  <c:v>51.7142857142857</c:v>
                </c:pt>
                <c:pt idx="1">
                  <c:v>63.3333333333333</c:v>
                </c:pt>
                <c:pt idx="2">
                  <c:v>84.7619047619048</c:v>
                </c:pt>
                <c:pt idx="3">
                  <c:v>84.7619047619047</c:v>
                </c:pt>
                <c:pt idx="4">
                  <c:v>93.1428571428571</c:v>
                </c:pt>
                <c:pt idx="5">
                  <c:v>64</c:v>
                </c:pt>
                <c:pt idx="6">
                  <c:v>68</c:v>
                </c:pt>
                <c:pt idx="7">
                  <c:v>0</c:v>
                </c:pt>
                <c:pt idx="8">
                  <c:v>0</c:v>
                </c:pt>
                <c:pt idx="9">
                  <c:v>80</c:v>
                </c:pt>
                <c:pt idx="10">
                  <c:v>36</c:v>
                </c:pt>
                <c:pt idx="11">
                  <c:v>12</c:v>
                </c:pt>
                <c:pt idx="12">
                  <c:v>12</c:v>
                </c:pt>
                <c:pt idx="13">
                  <c:v>20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40"/>
        <c:overlap val="0"/>
        <c:axId val="11202141"/>
        <c:axId val="71220563"/>
      </c:barChart>
      <c:lineChart>
        <c:grouping val="standard"/>
        <c:varyColors val="0"/>
        <c:ser>
          <c:idx val="1"/>
          <c:order val="1"/>
          <c:tx>
            <c:strRef>
              <c:f>"Team capacity"</c:f>
              <c:strCache>
                <c:ptCount val="1"/>
                <c:pt idx="0">
                  <c:v>Team capacity</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'Resource Report'!$D$34:$AC$34</c:f>
              <c:multiLvlStrCache>
                <c:ptCount val="1"/>
                <c:lvl>
                  <c:pt idx="0">
                    <c:v>29-Mar</c:v>
                  </c:pt>
                </c:lvl>
                <c:lvl>
                  <c:pt idx="0">
                    <c:v>22-Mar</c:v>
                  </c:pt>
                </c:lvl>
                <c:lvl>
                  <c:pt idx="0">
                    <c:v>15-Mar</c:v>
                  </c:pt>
                </c:lvl>
                <c:lvl>
                  <c:pt idx="0">
                    <c:v>08-Mar</c:v>
                  </c:pt>
                </c:lvl>
                <c:lvl>
                  <c:pt idx="0">
                    <c:v>01-Mar</c:v>
                  </c:pt>
                </c:lvl>
                <c:lvl>
                  <c:pt idx="0">
                    <c:v>22-Feb</c:v>
                  </c:pt>
                </c:lvl>
                <c:lvl>
                  <c:pt idx="0">
                    <c:v>15-Feb</c:v>
                  </c:pt>
                </c:lvl>
                <c:lvl>
                  <c:pt idx="0">
                    <c:v>08-Feb</c:v>
                  </c:pt>
                </c:lvl>
                <c:lvl>
                  <c:pt idx="0">
                    <c:v>01-Feb</c:v>
                  </c:pt>
                </c:lvl>
                <c:lvl>
                  <c:pt idx="0">
                    <c:v>25-Jan</c:v>
                  </c:pt>
                </c:lvl>
                <c:lvl>
                  <c:pt idx="0">
                    <c:v>18-Jan</c:v>
                  </c:pt>
                </c:lvl>
                <c:lvl>
                  <c:pt idx="0">
                    <c:v>11-Jan</c:v>
                  </c:pt>
                </c:lvl>
                <c:lvl>
                  <c:pt idx="0">
                    <c:v>04-Jan</c:v>
                  </c:pt>
                </c:lvl>
                <c:lvl>
                  <c:pt idx="0">
                    <c:v>28-Dec</c:v>
                  </c:pt>
                </c:lvl>
                <c:lvl>
                  <c:pt idx="0">
                    <c:v>21-Dec</c:v>
                  </c:pt>
                </c:lvl>
                <c:lvl>
                  <c:pt idx="0">
                    <c:v>14-Dec</c:v>
                  </c:pt>
                </c:lvl>
                <c:lvl>
                  <c:pt idx="0">
                    <c:v>07-Dec</c:v>
                  </c:pt>
                </c:lvl>
                <c:lvl>
                  <c:pt idx="0">
                    <c:v>30-Nov</c:v>
                  </c:pt>
                </c:lvl>
                <c:lvl>
                  <c:pt idx="0">
                    <c:v>23-Nov</c:v>
                  </c:pt>
                </c:lvl>
                <c:lvl>
                  <c:pt idx="0">
                    <c:v>16-Nov</c:v>
                  </c:pt>
                </c:lvl>
                <c:lvl>
                  <c:pt idx="0">
                    <c:v>09-Nov</c:v>
                  </c:pt>
                </c:lvl>
                <c:lvl>
                  <c:pt idx="0">
                    <c:v>02-Nov</c:v>
                  </c:pt>
                </c:lvl>
                <c:lvl>
                  <c:pt idx="0">
                    <c:v>26-Oct</c:v>
                  </c:pt>
                </c:lvl>
                <c:lvl>
                  <c:pt idx="0">
                    <c:v>19-Oct</c:v>
                  </c:pt>
                </c:lvl>
                <c:lvl>
                  <c:pt idx="0">
                    <c:v>12-Oct</c:v>
                  </c:pt>
                </c:lvl>
                <c:lvl>
                  <c:pt idx="0">
                    <c:v>05-Oct</c:v>
                  </c:pt>
                </c:lvl>
              </c:multiLvlStrCache>
            </c:multiLvlStrRef>
          </c:cat>
          <c:val>
            <c:numRef>
              <c:f>'Resource Report'!$D$62:$AC$62</c:f>
              <c:numCache>
                <c:formatCode>#,##0;;\-</c:formatCode>
                <c:ptCount val="26"/>
                <c:pt idx="0">
                  <c:v>240</c:v>
                </c:pt>
                <c:pt idx="1">
                  <c:v>240</c:v>
                </c:pt>
                <c:pt idx="2">
                  <c:v>240</c:v>
                </c:pt>
                <c:pt idx="3">
                  <c:v>232</c:v>
                </c:pt>
                <c:pt idx="4">
                  <c:v>236</c:v>
                </c:pt>
                <c:pt idx="5">
                  <c:v>240</c:v>
                </c:pt>
                <c:pt idx="6">
                  <c:v>204</c:v>
                </c:pt>
                <c:pt idx="7">
                  <c:v>200</c:v>
                </c:pt>
                <c:pt idx="8">
                  <c:v>240</c:v>
                </c:pt>
                <c:pt idx="9">
                  <c:v>240</c:v>
                </c:pt>
                <c:pt idx="10">
                  <c:v>240</c:v>
                </c:pt>
                <c:pt idx="11">
                  <c:v>124</c:v>
                </c:pt>
                <c:pt idx="12">
                  <c:v>120</c:v>
                </c:pt>
                <c:pt idx="13">
                  <c:v>240</c:v>
                </c:pt>
                <c:pt idx="14">
                  <c:v>240</c:v>
                </c:pt>
                <c:pt idx="15">
                  <c:v>240</c:v>
                </c:pt>
                <c:pt idx="16">
                  <c:v>240</c:v>
                </c:pt>
                <c:pt idx="17">
                  <c:v>240</c:v>
                </c:pt>
                <c:pt idx="18">
                  <c:v>240</c:v>
                </c:pt>
                <c:pt idx="19">
                  <c:v>240</c:v>
                </c:pt>
                <c:pt idx="20">
                  <c:v>240</c:v>
                </c:pt>
                <c:pt idx="21">
                  <c:v>240</c:v>
                </c:pt>
                <c:pt idx="22">
                  <c:v>240</c:v>
                </c:pt>
                <c:pt idx="23">
                  <c:v>240</c:v>
                </c:pt>
                <c:pt idx="24">
                  <c:v>240</c:v>
                </c:pt>
                <c:pt idx="25">
                  <c:v>240</c:v>
                </c:pt>
              </c:numCache>
            </c:numRef>
          </c:val>
          <c:smooth val="0"/>
        </c:ser>
        <c:hiLowLines>
          <c:spPr>
            <a:ln w="0">
              <a:noFill/>
            </a:ln>
          </c:spPr>
        </c:hiLowLines>
        <c:marker val="0"/>
        <c:axId val="11202141"/>
        <c:axId val="71220563"/>
      </c:lineChart>
      <c:catAx>
        <c:axId val="11202141"/>
        <c:scaling>
          <c:orientation val="minMax"/>
        </c:scaling>
        <c:delete val="0"/>
        <c:axPos val="b"/>
        <c:numFmt formatCode="dd\-m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20563"/>
        <c:crosses val="autoZero"/>
        <c:auto val="1"/>
        <c:lblAlgn val="ctr"/>
        <c:lblOffset val="100"/>
        <c:noMultiLvlLbl val="0"/>
      </c:catAx>
      <c:valAx>
        <c:axId val="712205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Hours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021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Release burndown (story points)</a:t>
            </a:r>
          </a:p>
        </c:rich>
      </c:tx>
      <c:overlay val="0"/>
      <c:spPr>
        <a:noFill/>
        <a:ln w="0">
          <a:noFill/>
        </a:ln>
      </c:spPr>
    </c:title>
    <c:autoTitleDeleted val="0"/>
    <c:plotArea>
      <c:lineChart>
        <c:grouping val="standard"/>
        <c:varyColors val="0"/>
        <c:ser>
          <c:idx val="0"/>
          <c:order val="0"/>
          <c:tx>
            <c:strRef>
              <c:f>"Remaining"</c:f>
              <c:strCache>
                <c:ptCount val="1"/>
                <c:pt idx="0">
                  <c:v>Remaining</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Sprints!$S$6:$S$17</c:f>
              <c:numCache>
                <c:formatCode>0.#</c:formatCode>
                <c:ptCount val="12"/>
                <c:pt idx="0">
                  <c:v>77</c:v>
                </c:pt>
                <c:pt idx="1">
                  <c:v>64</c:v>
                </c:pt>
                <c:pt idx="2">
                  <c:v>49</c:v>
                </c:pt>
                <c:pt idx="3">
                  <c:v>49</c:v>
                </c:pt>
              </c:numCache>
            </c:numRef>
          </c:val>
          <c:smooth val="0"/>
        </c:ser>
        <c:ser>
          <c:idx val="1"/>
          <c:order val="1"/>
          <c:tx>
            <c:strRef>
              <c:f>"Forecast"</c:f>
              <c:strCache>
                <c:ptCount val="1"/>
                <c:pt idx="0">
                  <c:v>Forecast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Sprints!$Q$6:$Q$17</c:f>
              <c:numCache>
                <c:formatCode>0.#</c:formatCode>
                <c:ptCount val="12"/>
                <c:pt idx="0">
                  <c:v>77</c:v>
                </c:pt>
                <c:pt idx="1">
                  <c:v>64</c:v>
                </c:pt>
                <c:pt idx="2">
                  <c:v>49</c:v>
                </c:pt>
                <c:pt idx="3">
                  <c:v>41</c:v>
                </c:pt>
                <c:pt idx="4">
                  <c:v>25</c:v>
                </c:pt>
                <c:pt idx="5">
                  <c:v>13</c:v>
                </c:pt>
                <c:pt idx="6">
                  <c:v>13</c:v>
                </c:pt>
                <c:pt idx="7">
                  <c:v>7</c:v>
                </c:pt>
                <c:pt idx="8">
                  <c:v>0</c:v>
                </c:pt>
                <c:pt idx="9">
                  <c:v>0</c:v>
                </c:pt>
                <c:pt idx="10">
                  <c:v>0</c:v>
                </c:pt>
                <c:pt idx="11">
                  <c:v>0</c:v>
                </c:pt>
              </c:numCache>
            </c:numRef>
          </c:val>
          <c:smooth val="0"/>
        </c:ser>
        <c:ser>
          <c:idx val="2"/>
          <c:order val="2"/>
          <c:tx>
            <c:strRef>
              <c:f>"Ideal"</c:f>
              <c:strCache>
                <c:ptCount val="1"/>
                <c:pt idx="0">
                  <c:v>Ideal</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Sprints!$R$6:$R$17</c:f>
              <c:numCache>
                <c:formatCode>0.#</c:formatCode>
                <c:ptCount val="12"/>
                <c:pt idx="0">
                  <c:v>75.1666666666667</c:v>
                </c:pt>
                <c:pt idx="1">
                  <c:v>68.3333333333333</c:v>
                </c:pt>
                <c:pt idx="2">
                  <c:v>61.5</c:v>
                </c:pt>
                <c:pt idx="3">
                  <c:v>54.6666666666667</c:v>
                </c:pt>
                <c:pt idx="4">
                  <c:v>47.8333333333333</c:v>
                </c:pt>
                <c:pt idx="5">
                  <c:v>41</c:v>
                </c:pt>
                <c:pt idx="6">
                  <c:v>34.1666666666667</c:v>
                </c:pt>
                <c:pt idx="7">
                  <c:v>27.3333333333333</c:v>
                </c:pt>
                <c:pt idx="8">
                  <c:v>20.5</c:v>
                </c:pt>
                <c:pt idx="9">
                  <c:v>13.6666666666667</c:v>
                </c:pt>
                <c:pt idx="10">
                  <c:v>6.83333333333334</c:v>
                </c:pt>
                <c:pt idx="11">
                  <c:v>0</c:v>
                </c:pt>
              </c:numCache>
            </c:numRef>
          </c:val>
          <c:smooth val="0"/>
        </c:ser>
        <c:hiLowLines>
          <c:spPr>
            <a:ln w="0">
              <a:noFill/>
            </a:ln>
          </c:spPr>
        </c:hiLowLines>
        <c:marker val="0"/>
        <c:axId val="41753149"/>
        <c:axId val="53444154"/>
      </c:lineChart>
      <c:catAx>
        <c:axId val="417531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44154"/>
        <c:crosses val="autoZero"/>
        <c:auto val="1"/>
        <c:lblAlgn val="ctr"/>
        <c:lblOffset val="100"/>
        <c:noMultiLvlLbl val="0"/>
      </c:catAx>
      <c:valAx>
        <c:axId val="534441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7531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0"/>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Committed vs done points per sprint</a:t>
            </a:r>
          </a:p>
        </c:rich>
      </c:tx>
      <c:overlay val="0"/>
      <c:spPr>
        <a:noFill/>
        <a:ln w="0">
          <a:noFill/>
        </a:ln>
      </c:spPr>
    </c:title>
    <c:autoTitleDeleted val="0"/>
    <c:plotArea>
      <c:barChart>
        <c:barDir val="col"/>
        <c:grouping val="clustered"/>
        <c:varyColors val="0"/>
        <c:ser>
          <c:idx val="0"/>
          <c:order val="0"/>
          <c:tx>
            <c:strRef>
              <c:f>Sprints!M5</c:f>
              <c:strCache>
                <c:ptCount val="1"/>
                <c:pt idx="0">
                  <c:v>Committed Points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Sprints!$M$6:$M$17</c:f>
              <c:numCache>
                <c:formatCode>0.#</c:formatCode>
                <c:ptCount val="12"/>
                <c:pt idx="0">
                  <c:v>18</c:v>
                </c:pt>
                <c:pt idx="1">
                  <c:v>5</c:v>
                </c:pt>
                <c:pt idx="2">
                  <c:v>18</c:v>
                </c:pt>
                <c:pt idx="3">
                  <c:v>8</c:v>
                </c:pt>
                <c:pt idx="4">
                  <c:v>19</c:v>
                </c:pt>
                <c:pt idx="5">
                  <c:v>1</c:v>
                </c:pt>
                <c:pt idx="6">
                  <c:v>5</c:v>
                </c:pt>
                <c:pt idx="7">
                  <c:v>6</c:v>
                </c:pt>
                <c:pt idx="8">
                  <c:v>2</c:v>
                </c:pt>
                <c:pt idx="9">
                  <c:v>0</c:v>
                </c:pt>
                <c:pt idx="10">
                  <c:v>0</c:v>
                </c:pt>
                <c:pt idx="11">
                  <c:v>0</c:v>
                </c:pt>
              </c:numCache>
            </c:numRef>
          </c:val>
        </c:ser>
        <c:ser>
          <c:idx val="1"/>
          <c:order val="1"/>
          <c:tx>
            <c:strRef>
              <c:f>Sprints!N5</c:f>
              <c:strCache>
                <c:ptCount val="1"/>
                <c:pt idx="0">
                  <c:v>Done Points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Sprints!$B$6:$B$17</c:f>
              <c:strCache>
                <c:ptCount val="12"/>
                <c:pt idx="0">
                  <c:v>Sprint 1</c:v>
                </c:pt>
                <c:pt idx="1">
                  <c:v>Sprint 2</c:v>
                </c:pt>
                <c:pt idx="2">
                  <c:v>Sprint 3</c:v>
                </c:pt>
                <c:pt idx="3">
                  <c:v>Sprint 4</c:v>
                </c:pt>
                <c:pt idx="4">
                  <c:v>Sprint 5</c:v>
                </c:pt>
                <c:pt idx="5">
                  <c:v>Sprint 6</c:v>
                </c:pt>
                <c:pt idx="6">
                  <c:v>Sprint 7</c:v>
                </c:pt>
                <c:pt idx="7">
                  <c:v>Sprint 8</c:v>
                </c:pt>
                <c:pt idx="8">
                  <c:v>Sprint 9</c:v>
                </c:pt>
                <c:pt idx="9">
                  <c:v>Sprint 10</c:v>
                </c:pt>
                <c:pt idx="10">
                  <c:v>Sprint 11</c:v>
                </c:pt>
                <c:pt idx="11">
                  <c:v>Sprint 12</c:v>
                </c:pt>
              </c:strCache>
            </c:strRef>
          </c:cat>
          <c:val>
            <c:numRef>
              <c:f>Sprints!$N$6:$N$17</c:f>
              <c:numCache>
                <c:formatCode>0.#</c:formatCode>
                <c:ptCount val="12"/>
                <c:pt idx="0">
                  <c:v>5</c:v>
                </c:pt>
                <c:pt idx="1">
                  <c:v>13</c:v>
                </c:pt>
                <c:pt idx="2">
                  <c:v>15</c:v>
                </c:pt>
                <c:pt idx="3">
                  <c:v>0</c:v>
                </c:pt>
              </c:numCache>
            </c:numRef>
          </c:val>
        </c:ser>
        <c:gapWidth val="150"/>
        <c:overlap val="0"/>
        <c:axId val="24868594"/>
        <c:axId val="43298275"/>
      </c:barChart>
      <c:catAx>
        <c:axId val="248685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298275"/>
        <c:crosses val="autoZero"/>
        <c:auto val="1"/>
        <c:lblAlgn val="ctr"/>
        <c:lblOffset val="100"/>
        <c:noMultiLvlLbl val="0"/>
      </c:catAx>
      <c:valAx>
        <c:axId val="4329827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8685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Current sprint burndown</a:t>
            </a:r>
          </a:p>
        </c:rich>
      </c:tx>
      <c:overlay val="0"/>
      <c:spPr>
        <a:noFill/>
        <a:ln w="0">
          <a:noFill/>
        </a:ln>
      </c:spPr>
    </c:title>
    <c:autoTitleDeleted val="0"/>
    <c:plotArea>
      <c:lineChart>
        <c:grouping val="standard"/>
        <c:varyColors val="0"/>
        <c:ser>
          <c:idx val="0"/>
          <c:order val="0"/>
          <c:tx>
            <c:strRef>
              <c:f>"Remaining"</c:f>
              <c:strCache>
                <c:ptCount val="1"/>
                <c:pt idx="0">
                  <c:v>Remaining</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'Agile Report'!$F$44:$F$74</c:f>
              <c:strCache>
                <c:ptCount val="31"/>
                <c:pt idx="0">
                  <c:v>19-Oct</c:v>
                </c:pt>
                <c:pt idx="1">
                  <c:v>20-Oct</c:v>
                </c:pt>
                <c:pt idx="2">
                  <c:v>21-Oct</c:v>
                </c:pt>
                <c:pt idx="3">
                  <c:v>22-Oct</c:v>
                </c:pt>
                <c:pt idx="4">
                  <c:v>23-Oct</c:v>
                </c:pt>
                <c:pt idx="5">
                  <c:v>24-Oct</c:v>
                </c:pt>
                <c:pt idx="6">
                  <c:v>25-Oct</c:v>
                </c:pt>
                <c:pt idx="7">
                  <c:v>26-Oct</c:v>
                </c:pt>
                <c:pt idx="8">
                  <c:v>27-Oct</c:v>
                </c:pt>
                <c:pt idx="9">
                  <c:v>28-Oct</c:v>
                </c:pt>
                <c:pt idx="10">
                  <c:v>29-Oct</c:v>
                </c:pt>
                <c:pt idx="11">
                  <c:v>30-Oct</c:v>
                </c:pt>
                <c:pt idx="12">
                  <c:v>31-Oct</c:v>
                </c:pt>
                <c:pt idx="13">
                  <c:v>01-Nov</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strCache>
            </c:strRef>
          </c:cat>
          <c:val>
            <c:numRef>
              <c:f>'Agile Report'!$G$44:$G$74</c:f>
              <c:numCache>
                <c:formatCode>0.#</c:formatCode>
                <c:ptCount val="31"/>
                <c:pt idx="0">
                  <c:v>8</c:v>
                </c:pt>
                <c:pt idx="1">
                  <c:v>8</c:v>
                </c:pt>
                <c:pt idx="2">
                  <c:v>8</c:v>
                </c:pt>
                <c:pt idx="3">
                  <c:v>8</c:v>
                </c:pt>
                <c:pt idx="4">
                  <c:v>8</c:v>
                </c:pt>
                <c:pt idx="5">
                  <c:v>8</c:v>
                </c:pt>
                <c:pt idx="6">
                  <c:v>8</c:v>
                </c:pt>
              </c:numCache>
            </c:numRef>
          </c:val>
          <c:smooth val="0"/>
        </c:ser>
        <c:ser>
          <c:idx val="1"/>
          <c:order val="1"/>
          <c:tx>
            <c:strRef>
              <c:f>"Ideal"</c:f>
              <c:strCache>
                <c:ptCount val="1"/>
                <c:pt idx="0">
                  <c:v>Ideal</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'Agile Report'!$F$44:$F$74</c:f>
              <c:strCache>
                <c:ptCount val="31"/>
                <c:pt idx="0">
                  <c:v>19-Oct</c:v>
                </c:pt>
                <c:pt idx="1">
                  <c:v>20-Oct</c:v>
                </c:pt>
                <c:pt idx="2">
                  <c:v>21-Oct</c:v>
                </c:pt>
                <c:pt idx="3">
                  <c:v>22-Oct</c:v>
                </c:pt>
                <c:pt idx="4">
                  <c:v>23-Oct</c:v>
                </c:pt>
                <c:pt idx="5">
                  <c:v>24-Oct</c:v>
                </c:pt>
                <c:pt idx="6">
                  <c:v>25-Oct</c:v>
                </c:pt>
                <c:pt idx="7">
                  <c:v>26-Oct</c:v>
                </c:pt>
                <c:pt idx="8">
                  <c:v>27-Oct</c:v>
                </c:pt>
                <c:pt idx="9">
                  <c:v>28-Oct</c:v>
                </c:pt>
                <c:pt idx="10">
                  <c:v>29-Oct</c:v>
                </c:pt>
                <c:pt idx="11">
                  <c:v>30-Oct</c:v>
                </c:pt>
                <c:pt idx="12">
                  <c:v>31-Oct</c:v>
                </c:pt>
                <c:pt idx="13">
                  <c:v>01-Nov</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strCache>
            </c:strRef>
          </c:cat>
          <c:val>
            <c:numRef>
              <c:f>'Agile Report'!$H$44:$H$74</c:f>
              <c:numCache>
                <c:formatCode>0.#</c:formatCode>
                <c:ptCount val="31"/>
                <c:pt idx="0">
                  <c:v>7.2</c:v>
                </c:pt>
                <c:pt idx="1">
                  <c:v>6.4</c:v>
                </c:pt>
                <c:pt idx="2">
                  <c:v>5.6</c:v>
                </c:pt>
                <c:pt idx="3">
                  <c:v>4.8</c:v>
                </c:pt>
                <c:pt idx="4">
                  <c:v>4</c:v>
                </c:pt>
                <c:pt idx="5">
                  <c:v>4</c:v>
                </c:pt>
                <c:pt idx="6">
                  <c:v>4</c:v>
                </c:pt>
                <c:pt idx="7">
                  <c:v>3.2</c:v>
                </c:pt>
                <c:pt idx="8">
                  <c:v>2.4</c:v>
                </c:pt>
                <c:pt idx="9">
                  <c:v>1.6</c:v>
                </c:pt>
                <c:pt idx="10">
                  <c:v>0.8</c:v>
                </c:pt>
                <c:pt idx="11">
                  <c:v>0</c:v>
                </c:pt>
                <c:pt idx="12">
                  <c:v>0</c:v>
                </c:pt>
                <c:pt idx="13">
                  <c:v>0</c:v>
                </c:pt>
              </c:numCache>
            </c:numRef>
          </c:val>
          <c:smooth val="0"/>
        </c:ser>
        <c:hiLowLines>
          <c:spPr>
            <a:ln w="0">
              <a:noFill/>
            </a:ln>
          </c:spPr>
        </c:hiLowLines>
        <c:marker val="0"/>
        <c:axId val="48362422"/>
        <c:axId val="35526672"/>
      </c:lineChart>
      <c:catAx>
        <c:axId val="483624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26672"/>
        <c:crosses val="autoZero"/>
        <c:auto val="1"/>
        <c:lblAlgn val="ctr"/>
        <c:lblOffset val="100"/>
        <c:noMultiLvlLbl val="0"/>
      </c:catAx>
      <c:valAx>
        <c:axId val="3552667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3624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0"/>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Forecast vs planned finish</a:t>
            </a:r>
          </a:p>
        </c:rich>
      </c:tx>
      <c:overlay val="0"/>
      <c:spPr>
        <a:noFill/>
        <a:ln w="0">
          <a:noFill/>
        </a:ln>
      </c:spPr>
    </c:title>
    <c:autoTitleDeleted val="0"/>
    <c:plotArea>
      <c:lineChart>
        <c:grouping val="standard"/>
        <c:varyColors val="0"/>
        <c:ser>
          <c:idx val="0"/>
          <c:order val="0"/>
          <c:tx>
            <c:strRef>
              <c:f>History!C8</c:f>
              <c:strCache>
                <c:ptCount val="1"/>
                <c:pt idx="0">
                  <c:v>Forecast Finish</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History!$C$9:$C$68</c:f>
              <c:numCache>
                <c:formatCode>ddd\ dd\-mmm\-yy</c:formatCode>
                <c:ptCount val="60"/>
                <c:pt idx="0">
                  <c:v>46384</c:v>
                </c:pt>
                <c:pt idx="1">
                  <c:v>46385</c:v>
                </c:pt>
                <c:pt idx="2">
                  <c:v>46387</c:v>
                </c:pt>
                <c:pt idx="3">
                  <c:v>46391</c:v>
                </c:pt>
              </c:numCache>
            </c:numRef>
          </c:val>
          <c:smooth val="0"/>
        </c:ser>
        <c:ser>
          <c:idx val="1"/>
          <c:order val="1"/>
          <c:tx>
            <c:strRef>
              <c:f>History!D8</c:f>
              <c:strCache>
                <c:ptCount val="1"/>
                <c:pt idx="0">
                  <c:v>Planned Finish</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History!$D$9:$D$68</c:f>
              <c:numCache>
                <c:formatCode>ddd\ dd\-mmm\-yy</c:formatCode>
                <c:ptCount val="60"/>
                <c:pt idx="0">
                  <c:v>46384</c:v>
                </c:pt>
                <c:pt idx="1">
                  <c:v>46384</c:v>
                </c:pt>
                <c:pt idx="2">
                  <c:v>46384</c:v>
                </c:pt>
                <c:pt idx="3">
                  <c:v>46384</c:v>
                </c:pt>
              </c:numCache>
            </c:numRef>
          </c:val>
          <c:smooth val="0"/>
        </c:ser>
        <c:hiLowLines>
          <c:spPr>
            <a:ln w="0">
              <a:noFill/>
            </a:ln>
          </c:spPr>
        </c:hiLowLines>
        <c:marker val="0"/>
        <c:axId val="73520177"/>
        <c:axId val="24396241"/>
      </c:lineChart>
      <c:catAx>
        <c:axId val="73520177"/>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396241"/>
        <c:crosses val="autoZero"/>
        <c:auto val="1"/>
        <c:lblAlgn val="ctr"/>
        <c:lblOffset val="100"/>
        <c:noMultiLvlLbl val="0"/>
      </c:catAx>
      <c:valAx>
        <c:axId val="24396241"/>
        <c:scaling>
          <c:orientation val="minMax"/>
        </c:scaling>
        <c:delete val="0"/>
        <c:axPos val="l"/>
        <c:majorGridlines>
          <c:spPr>
            <a:ln w="9360">
              <a:solidFill>
                <a:srgbClr val="878787"/>
              </a:solidFill>
              <a:round/>
            </a:ln>
          </c:spPr>
        </c:majorGridlines>
        <c:numFmt formatCode="dd\-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201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value S-curve</a:t>
            </a:r>
          </a:p>
        </c:rich>
      </c:tx>
      <c:overlay val="0"/>
      <c:spPr>
        <a:noFill/>
        <a:ln w="0">
          <a:noFill/>
        </a:ln>
      </c:spPr>
    </c:title>
    <c:autoTitleDeleted val="0"/>
    <c:plotArea>
      <c:lineChart>
        <c:grouping val="standard"/>
        <c:varyColors val="0"/>
        <c:ser>
          <c:idx val="0"/>
          <c:order val="0"/>
          <c:tx>
            <c:strRef>
              <c:f>History!I8</c:f>
              <c:strCache>
                <c:ptCount val="1"/>
                <c:pt idx="0">
                  <c:v>PV</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History!$I$9:$I$68</c:f>
              <c:numCache>
                <c:formatCode>#,##0</c:formatCode>
                <c:ptCount val="60"/>
                <c:pt idx="0">
                  <c:v>11028</c:v>
                </c:pt>
                <c:pt idx="1">
                  <c:v>17992</c:v>
                </c:pt>
                <c:pt idx="2">
                  <c:v>24957</c:v>
                </c:pt>
                <c:pt idx="3">
                  <c:v>31342</c:v>
                </c:pt>
              </c:numCache>
            </c:numRef>
          </c:val>
          <c:smooth val="0"/>
        </c:ser>
        <c:ser>
          <c:idx val="1"/>
          <c:order val="1"/>
          <c:tx>
            <c:strRef>
              <c:f>History!J8</c:f>
              <c:strCache>
                <c:ptCount val="1"/>
                <c:pt idx="0">
                  <c:v>EV</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History!$J$9:$J$68</c:f>
              <c:numCache>
                <c:formatCode>#,##0</c:formatCode>
                <c:ptCount val="60"/>
                <c:pt idx="0">
                  <c:v>9867</c:v>
                </c:pt>
                <c:pt idx="1">
                  <c:v>15671</c:v>
                </c:pt>
                <c:pt idx="2">
                  <c:v>20894</c:v>
                </c:pt>
                <c:pt idx="3">
                  <c:v>25538</c:v>
                </c:pt>
              </c:numCache>
            </c:numRef>
          </c:val>
          <c:smooth val="0"/>
        </c:ser>
        <c:ser>
          <c:idx val="2"/>
          <c:order val="2"/>
          <c:tx>
            <c:strRef>
              <c:f>History!K8</c:f>
              <c:strCache>
                <c:ptCount val="1"/>
                <c:pt idx="0">
                  <c:v>AC</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History!$K$9:$K$68</c:f>
              <c:numCache>
                <c:formatCode>#,##0</c:formatCode>
                <c:ptCount val="60"/>
                <c:pt idx="0">
                  <c:v>10064</c:v>
                </c:pt>
                <c:pt idx="1">
                  <c:v>16298</c:v>
                </c:pt>
                <c:pt idx="2">
                  <c:v>21939</c:v>
                </c:pt>
                <c:pt idx="3">
                  <c:v>27070</c:v>
                </c:pt>
              </c:numCache>
            </c:numRef>
          </c:val>
          <c:smooth val="0"/>
        </c:ser>
        <c:hiLowLines>
          <c:spPr>
            <a:ln w="0">
              <a:noFill/>
            </a:ln>
          </c:spPr>
        </c:hiLowLines>
        <c:marker val="0"/>
        <c:axId val="78294217"/>
        <c:axId val="26848336"/>
      </c:lineChart>
      <c:catAx>
        <c:axId val="78294217"/>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48336"/>
        <c:crosses val="autoZero"/>
        <c:auto val="1"/>
        <c:lblAlgn val="ctr"/>
        <c:lblOffset val="100"/>
        <c:noMultiLvlLbl val="0"/>
      </c:catAx>
      <c:valAx>
        <c:axId val="2684833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942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SPI and CPI</a:t>
            </a:r>
          </a:p>
        </c:rich>
      </c:tx>
      <c:overlay val="0"/>
      <c:spPr>
        <a:noFill/>
        <a:ln w="0">
          <a:noFill/>
        </a:ln>
      </c:spPr>
    </c:title>
    <c:autoTitleDeleted val="0"/>
    <c:plotArea>
      <c:lineChart>
        <c:grouping val="standard"/>
        <c:varyColors val="0"/>
        <c:ser>
          <c:idx val="0"/>
          <c:order val="0"/>
          <c:tx>
            <c:strRef>
              <c:f>History!L8</c:f>
              <c:strCache>
                <c:ptCount val="1"/>
                <c:pt idx="0">
                  <c:v>SPI</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History!$L$9:$L$68</c:f>
              <c:numCache>
                <c:formatCode>0.00</c:formatCode>
                <c:ptCount val="60"/>
                <c:pt idx="0">
                  <c:v>0.89</c:v>
                </c:pt>
                <c:pt idx="1">
                  <c:v>0.87</c:v>
                </c:pt>
                <c:pt idx="2">
                  <c:v>0.84</c:v>
                </c:pt>
                <c:pt idx="3">
                  <c:v>0.81</c:v>
                </c:pt>
              </c:numCache>
            </c:numRef>
          </c:val>
          <c:smooth val="0"/>
        </c:ser>
        <c:ser>
          <c:idx val="1"/>
          <c:order val="1"/>
          <c:tx>
            <c:strRef>
              <c:f>History!M8</c:f>
              <c:strCache>
                <c:ptCount val="1"/>
                <c:pt idx="0">
                  <c:v>CPI</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History!$M$9:$M$68</c:f>
              <c:numCache>
                <c:formatCode>0.00</c:formatCode>
                <c:ptCount val="60"/>
                <c:pt idx="0">
                  <c:v>0.98</c:v>
                </c:pt>
                <c:pt idx="1">
                  <c:v>0.96</c:v>
                </c:pt>
                <c:pt idx="2">
                  <c:v>0.95</c:v>
                </c:pt>
                <c:pt idx="3">
                  <c:v>0.94</c:v>
                </c:pt>
              </c:numCache>
            </c:numRef>
          </c:val>
          <c:smooth val="0"/>
        </c:ser>
        <c:hiLowLines>
          <c:spPr>
            <a:ln w="0">
              <a:noFill/>
            </a:ln>
          </c:spPr>
        </c:hiLowLines>
        <c:marker val="0"/>
        <c:axId val="40032686"/>
        <c:axId val="10242683"/>
      </c:lineChart>
      <c:catAx>
        <c:axId val="40032686"/>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242683"/>
        <c:crosses val="autoZero"/>
        <c:auto val="1"/>
        <c:lblAlgn val="ctr"/>
        <c:lblOffset val="100"/>
        <c:noMultiLvlLbl val="0"/>
      </c:catAx>
      <c:valAx>
        <c:axId val="10242683"/>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0326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Story-point burn-up (done vs scope)</a:t>
            </a:r>
          </a:p>
        </c:rich>
      </c:tx>
      <c:overlay val="0"/>
      <c:spPr>
        <a:noFill/>
        <a:ln w="0">
          <a:noFill/>
        </a:ln>
      </c:spPr>
    </c:title>
    <c:autoTitleDeleted val="0"/>
    <c:plotArea>
      <c:lineChart>
        <c:grouping val="standard"/>
        <c:varyColors val="0"/>
        <c:ser>
          <c:idx val="0"/>
          <c:order val="0"/>
          <c:tx>
            <c:strRef>
              <c:f>History!O8</c:f>
              <c:strCache>
                <c:ptCount val="1"/>
                <c:pt idx="0">
                  <c:v>Points Done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History!$O$9:$O$68</c:f>
              <c:numCache>
                <c:formatCode>0.#</c:formatCode>
                <c:ptCount val="60"/>
                <c:pt idx="0">
                  <c:v>5</c:v>
                </c:pt>
                <c:pt idx="1">
                  <c:v>18</c:v>
                </c:pt>
                <c:pt idx="2">
                  <c:v>23</c:v>
                </c:pt>
                <c:pt idx="3">
                  <c:v>33</c:v>
                </c:pt>
              </c:numCache>
            </c:numRef>
          </c:val>
          <c:smooth val="0"/>
        </c:ser>
        <c:ser>
          <c:idx val="1"/>
          <c:order val="1"/>
          <c:tx>
            <c:strRef>
              <c:f>History!P8</c:f>
              <c:strCache>
                <c:ptCount val="1"/>
                <c:pt idx="0">
                  <c:v>Total Points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History!$B$9:$B$68</c:f>
              <c:strCache>
                <c:ptCount val="60"/>
                <c:pt idx="0">
                  <c:v>Sun 27-Sep-26</c:v>
                </c:pt>
                <c:pt idx="1">
                  <c:v>Sun 04-Oct-26</c:v>
                </c:pt>
                <c:pt idx="2">
                  <c:v>Sun 11-Oct-26</c:v>
                </c:pt>
                <c:pt idx="3">
                  <c:v>Sun 18-Oct-26</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strCache>
            </c:strRef>
          </c:cat>
          <c:val>
            <c:numRef>
              <c:f>History!$P$9:$P$68</c:f>
              <c:numCache>
                <c:formatCode>0.#</c:formatCode>
                <c:ptCount val="60"/>
                <c:pt idx="0">
                  <c:v>76</c:v>
                </c:pt>
                <c:pt idx="1">
                  <c:v>78</c:v>
                </c:pt>
                <c:pt idx="2">
                  <c:v>82</c:v>
                </c:pt>
                <c:pt idx="3">
                  <c:v>82</c:v>
                </c:pt>
              </c:numCache>
            </c:numRef>
          </c:val>
          <c:smooth val="0"/>
        </c:ser>
        <c:hiLowLines>
          <c:spPr>
            <a:ln w="0">
              <a:noFill/>
            </a:ln>
          </c:spPr>
        </c:hiLowLines>
        <c:marker val="0"/>
        <c:axId val="49504621"/>
        <c:axId val="90385333"/>
      </c:lineChart>
      <c:catAx>
        <c:axId val="49504621"/>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85333"/>
        <c:crosses val="autoZero"/>
        <c:auto val="1"/>
        <c:lblAlgn val="ctr"/>
        <c:lblOffset val="100"/>
        <c:noMultiLvlLbl val="0"/>
      </c:catAx>
      <c:valAx>
        <c:axId val="9038533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5046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10</xdr:row>
      <xdr:rowOff>101160</xdr:rowOff>
    </xdr:from>
    <xdr:to>
      <xdr:col>10</xdr:col>
      <xdr:colOff>479160</xdr:colOff>
      <xdr:row>23</xdr:row>
      <xdr:rowOff>144000</xdr:rowOff>
    </xdr:to>
    <xdr:graphicFrame>
      <xdr:nvGraphicFramePr>
        <xdr:cNvPr id="0" name="Chart 1"/>
        <xdr:cNvGraphicFramePr/>
      </xdr:nvGraphicFramePr>
      <xdr:xfrm>
        <a:off x="4722480" y="209556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36</xdr:row>
      <xdr:rowOff>100800</xdr:rowOff>
    </xdr:from>
    <xdr:to>
      <xdr:col>8</xdr:col>
      <xdr:colOff>70920</xdr:colOff>
      <xdr:row>51</xdr:row>
      <xdr:rowOff>123120</xdr:rowOff>
    </xdr:to>
    <xdr:graphicFrame>
      <xdr:nvGraphicFramePr>
        <xdr:cNvPr id="1" name="Chart 2"/>
        <xdr:cNvGraphicFramePr/>
      </xdr:nvGraphicFramePr>
      <xdr:xfrm>
        <a:off x="211320" y="7048440"/>
        <a:ext cx="79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15</xdr:row>
      <xdr:rowOff>131040</xdr:rowOff>
    </xdr:from>
    <xdr:to>
      <xdr:col>7</xdr:col>
      <xdr:colOff>3504240</xdr:colOff>
      <xdr:row>28</xdr:row>
      <xdr:rowOff>174240</xdr:rowOff>
    </xdr:to>
    <xdr:graphicFrame>
      <xdr:nvGraphicFramePr>
        <xdr:cNvPr id="2" name="Chart 1"/>
        <xdr:cNvGraphicFramePr/>
      </xdr:nvGraphicFramePr>
      <xdr:xfrm>
        <a:off x="7612560" y="304812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131040</xdr:rowOff>
    </xdr:from>
    <xdr:to>
      <xdr:col>27</xdr:col>
      <xdr:colOff>307080</xdr:colOff>
      <xdr:row>17</xdr:row>
      <xdr:rowOff>40680</xdr:rowOff>
    </xdr:to>
    <xdr:graphicFrame>
      <xdr:nvGraphicFramePr>
        <xdr:cNvPr id="3" name="Chart 1"/>
        <xdr:cNvGraphicFramePr/>
      </xdr:nvGraphicFramePr>
      <xdr:xfrm>
        <a:off x="10079280" y="57168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131040</xdr:rowOff>
    </xdr:from>
    <xdr:to>
      <xdr:col>18</xdr:col>
      <xdr:colOff>255960</xdr:colOff>
      <xdr:row>17</xdr:row>
      <xdr:rowOff>153000</xdr:rowOff>
    </xdr:to>
    <xdr:graphicFrame>
      <xdr:nvGraphicFramePr>
        <xdr:cNvPr id="4" name="Chart 1"/>
        <xdr:cNvGraphicFramePr/>
      </xdr:nvGraphicFramePr>
      <xdr:xfrm>
        <a:off x="1036116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130680</xdr:rowOff>
    </xdr:from>
    <xdr:to>
      <xdr:col>18</xdr:col>
      <xdr:colOff>255960</xdr:colOff>
      <xdr:row>34</xdr:row>
      <xdr:rowOff>40320</xdr:rowOff>
    </xdr:to>
    <xdr:graphicFrame>
      <xdr:nvGraphicFramePr>
        <xdr:cNvPr id="5" name="Chart 2"/>
        <xdr:cNvGraphicFramePr/>
      </xdr:nvGraphicFramePr>
      <xdr:xfrm>
        <a:off x="10361160" y="38098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41</xdr:row>
      <xdr:rowOff>18360</xdr:rowOff>
    </xdr:from>
    <xdr:to>
      <xdr:col>18</xdr:col>
      <xdr:colOff>255960</xdr:colOff>
      <xdr:row>55</xdr:row>
      <xdr:rowOff>118800</xdr:rowOff>
    </xdr:to>
    <xdr:graphicFrame>
      <xdr:nvGraphicFramePr>
        <xdr:cNvPr id="6" name="Chart 3"/>
        <xdr:cNvGraphicFramePr/>
      </xdr:nvGraphicFramePr>
      <xdr:xfrm>
        <a:off x="10361160" y="8001000"/>
        <a:ext cx="57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2</xdr:row>
      <xdr:rowOff>131040</xdr:rowOff>
    </xdr:from>
    <xdr:to>
      <xdr:col>29</xdr:col>
      <xdr:colOff>147600</xdr:colOff>
      <xdr:row>14</xdr:row>
      <xdr:rowOff>139680</xdr:rowOff>
    </xdr:to>
    <xdr:graphicFrame>
      <xdr:nvGraphicFramePr>
        <xdr:cNvPr id="7" name="Chart 1"/>
        <xdr:cNvGraphicFramePr/>
      </xdr:nvGraphicFramePr>
      <xdr:xfrm>
        <a:off x="15977160" y="57168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0</xdr:colOff>
      <xdr:row>16</xdr:row>
      <xdr:rowOff>96480</xdr:rowOff>
    </xdr:from>
    <xdr:to>
      <xdr:col>29</xdr:col>
      <xdr:colOff>147600</xdr:colOff>
      <xdr:row>29</xdr:row>
      <xdr:rowOff>139680</xdr:rowOff>
    </xdr:to>
    <xdr:graphicFrame>
      <xdr:nvGraphicFramePr>
        <xdr:cNvPr id="8" name="Chart 2"/>
        <xdr:cNvGraphicFramePr/>
      </xdr:nvGraphicFramePr>
      <xdr:xfrm>
        <a:off x="15977160" y="342900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0</xdr:colOff>
      <xdr:row>31</xdr:row>
      <xdr:rowOff>96840</xdr:rowOff>
    </xdr:from>
    <xdr:to>
      <xdr:col>29</xdr:col>
      <xdr:colOff>147600</xdr:colOff>
      <xdr:row>44</xdr:row>
      <xdr:rowOff>139680</xdr:rowOff>
    </xdr:to>
    <xdr:graphicFrame>
      <xdr:nvGraphicFramePr>
        <xdr:cNvPr id="9" name="Chart 3"/>
        <xdr:cNvGraphicFramePr/>
      </xdr:nvGraphicFramePr>
      <xdr:xfrm>
        <a:off x="15977160" y="628668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0</xdr:colOff>
      <xdr:row>46</xdr:row>
      <xdr:rowOff>96480</xdr:rowOff>
    </xdr:from>
    <xdr:to>
      <xdr:col>29</xdr:col>
      <xdr:colOff>147600</xdr:colOff>
      <xdr:row>59</xdr:row>
      <xdr:rowOff>139680</xdr:rowOff>
    </xdr:to>
    <xdr:graphicFrame>
      <xdr:nvGraphicFramePr>
        <xdr:cNvPr id="10" name="Chart 4"/>
        <xdr:cNvGraphicFramePr/>
      </xdr:nvGraphicFramePr>
      <xdr:xfrm>
        <a:off x="15977160" y="9144000"/>
        <a:ext cx="503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AgileKPIs" displayName="AgileKPIs" ref="C4:D17" headerRowCount="1">
  <tableColumns count="2">
    <tableColumn id="1" name="Measure"/>
    <tableColumn id="2" name="Value"/>
  </tableColumns>
  <tableStyleInfo name="TableStyleLight1" showRowStripes="0"/>
</table>
</file>

<file path=xl/tables/table2.xml><?xml version="1.0" encoding="utf-8"?>
<table xmlns="http://schemas.openxmlformats.org/spreadsheetml/2006/main" id="2" name="AssignmentTable" displayName="AssignmentTable" ref="B5:U105" headerRowCount="1">
  <autoFilter ref="B5:U105"/>
  <tableColumns count="20">
    <tableColumn id="1" name="Task UID"/>
    <tableColumn id="2" name="Task">
      <calculatedColumnFormula>IF(AssignmentTable[[#This Row],[_TaskPos]]&lt;=0,"",INDEX(tsk_Name,AssignmentTable[[#This Row],[_TaskPos]])&amp;"")</calculatedColumnFormula>
    </tableColumn>
    <tableColumn id="3" name="Resource"/>
    <tableColumn id="4" name="Units"/>
    <tableColumn id="5" name="Work">
      <calculatedColumnFormula>IF(AssignmentTable[[#This Row],[_Valid]]=1,N(INDEX(tsk_Duration,AssignmentTable[[#This Row],[_TaskPos]]))*HoursPerDay*IF(AssignmentTable[[#This Row],[Units]]="",DefaultUnits,AssignmentTable[[#This Row],[Units]]),0)</calculatedColumnFormula>
    </tableColumn>
    <tableColumn id="6" name="Cost">
      <calculatedColumnFormula>IF(AssignmentTable[[#This Row],[Work]]=0,0,AssignmentTable[[#This Row],[Work]]*IFERROR(INDEX(res_Rate,MATCH(AssignmentTable[[#This Row],[Resource]],res_Name,0)),0))</calculatedColumnFormula>
    </tableColumn>
    <tableColumn id="7" name="Check">
      <calculatedColumnFormula>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calculatedColumnFormula>
    </tableColumn>
    <tableColumn id="8" name="_TaskPos">
      <calculatedColumnFormula>IF(N(AssignmentTable[[#This Row],[Task UID]])=0,0,IFERROR(MATCH(AssignmentTable[[#This Row],[Task UID]],tsk_UID,0),-1))</calculatedColumnFormula>
    </tableColumn>
    <tableColumn id="9" name="_Valid">
      <calculatedColumnFormula>IF(AND(AssignmentTable[[#This Row],[_TaskPos]]&gt;0,AssignmentTable[[#This Row],[Resource]]&lt;&gt;"",AssignmentTable[[#This Row],[Check]]=""),1,0)</calculatedColumnFormula>
    </tableColumn>
    <tableColumn id="10" name="_Key">
      <calculatedColumnFormula>IF(AssignmentTable[[#This Row],[_Valid]]=1,AssignmentTable[[#This Row],[Task UID]]*1000+COUNTIFS(AssignmentTable[[#Headers],[Task UID]]:AssignmentTable[[#This Row],[Task UID]],AssignmentTable[[#This Row],[Task UID]],AssignmentTable[[#Headers],[_Valid]]:AssignmentTable[[#This Row],[_Valid]],1),"")</calculatedColumnFormula>
    </tableColumn>
    <tableColumn id="11" name="_Text">
      <calculatedColumnFormula>IF(AssignmentTable[[#This Row],[_Valid]]=1,AssignmentTable[[#This Row],[Resource]]&amp;IF(OR(AssignmentTable[[#This Row],[Units]]="",AssignmentTable[[#This Row],[Units]]=1),"","["&amp;ROUND(AssignmentTable[[#This Row],[Units]]*100,0)&amp;"%]"),"")</calculatedColumnFormula>
    </tableColumn>
    <tableColumn id="12" name="_StartWD">
      <calculatedColumnFormula>IF(AssignmentTable[[#This Row],[_Valid]]=1,N(INDEX(tsk_StartWD,AssignmentTable[[#This Row],[_TaskPos]])),0)</calculatedColumnFormula>
    </tableColumn>
    <tableColumn id="13" name="_FinishWD">
      <calculatedColumnFormula>IF(AssignmentTable[[#This Row],[_Valid]]=1,N(INDEX(tsk_FinishWD,AssignmentTable[[#This Row],[_TaskPos]])),0)</calculatedColumnFormula>
    </tableColumn>
    <tableColumn id="14" name="_WorkPerWD">
      <calculatedColumnFormula>IF(OR(AssignmentTable[[#This Row],[Work]]=0,AssignmentTable[[#This Row],[_FinishWD]]=0),0,AssignmentTable[[#This Row],[Work]]/(AssignmentTable[[#This Row],[_FinishWD]]-AssignmentTable[[#This Row],[_StartWD]]+1))</calculatedColumnFormula>
    </tableColumn>
    <tableColumn id="15" name="_WorkBeforeStart">
      <calculatedColumnFormula>AssignmentTable[[#This Row],[_WorkPerWD]]*MAX(0,AssignmentTable[[#This Row],[_StartWD]]-1)</calculatedColumnFormula>
    </tableColumn>
    <tableColumn id="16" name="_WorkDone">
      <calculatedColumnFormula>IF(AssignmentTable[[#This Row],[_Valid]]=1,AssignmentTable[[#This Row],[Work]]*N(INDEX(tsk_LeafProgress,AssignmentTable[[#This Row],[_TaskPos]])),0)</calculatedColumnFormula>
    </tableColumn>
    <tableColumn id="17" name="_ActualCost">
      <calculatedColumnFormula>IF(NOT(AssignmentTable[[#This Row],[_Valid]]=1),0,IF(N(INDEX(tsk_LeafTotalCost,AssignmentTable[[#This Row],[_TaskPos]]))=0,0,N(INDEX(tsk_LeafAC,AssignmentTable[[#This Row],[_TaskPos]]))*AssignmentTable[[#This Row],[Cost]]/INDEX(tsk_LeafTotalCost,AssignmentTable[[#This Row],[_TaskPos]])))</calculatedColumnFormula>
    </tableColumn>
    <tableColumn id="18" name="_Late">
      <calculatedColumnFormula>IF(NOT(AssignmentTable[[#This Row],[_Valid]]=1),0,IF(N(INDEX(tsk_LateKey,AssignmentTable[[#This Row],[_TaskPos]]))&gt;0,1,0))</calculatedColumnFormula>
    </tableColumn>
    <tableColumn id="19" name="_Critical">
      <calculatedColumnFormula>IF(NOT(AssignmentTable[[#This Row],[_Valid]]=1),0,IF(INDEX(tsk_Critical,AssignmentTable[[#This Row],[_TaskPos]])="Yes",1,0))</calculatedColumnFormula>
    </tableColumn>
    <tableColumn id="20" name="_OverAllocated">
      <calculatedColumnFormula>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calculatedColumnFormula>
    </tableColumn>
  </tableColumns>
  <tableStyleInfo name="TableStyleLight1" showRowStripes="0"/>
</table>
</file>

<file path=xl/tables/table3.xml><?xml version="1.0" encoding="utf-8"?>
<table xmlns="http://schemas.openxmlformats.org/spreadsheetml/2006/main" id="3" name="ChangeControl" displayName="ChangeControl" ref="B45:D52" headerRowCount="1">
  <tableColumns count="3">
    <tableColumn id="1" name="Measure"/>
    <tableColumn id="2" name="Source"/>
    <tableColumn id="3" name="Value"/>
  </tableColumns>
  <tableStyleInfo name="TableStyleLight1" showRowStripes="0"/>
</table>
</file>

<file path=xl/tables/table4.xml><?xml version="1.0" encoding="utf-8"?>
<table xmlns="http://schemas.openxmlformats.org/spreadsheetml/2006/main" id="4" name="ChangeLog" displayName="ChangeLog" ref="B4:N104" headerRowCount="1">
  <autoFilter ref="B4:N104"/>
  <tableColumns count="13">
    <tableColumn id="1" name="Ref"/>
    <tableColumn id="2" name="Raised"/>
    <tableColumn id="3" name="Requested By"/>
    <tableColumn id="4" name="Title"/>
    <tableColumn id="5" name="Reason"/>
    <tableColumn id="6" name="Schedule Impact"/>
    <tableColumn id="7" name="Cost Impact"/>
    <tableColumn id="8" name="Status"/>
    <tableColumn id="9" name="Decided"/>
    <tableColumn id="10" name="Decided By"/>
    <tableColumn id="11" name="Waiting (days)">
      <calculatedColumnFormula>IF(OR(ChangeLog[[#This Row],[Title]]="",N(ChangeLog[[#This Row],[Raised]])=0,AND(ChangeLog[[#This Row],[Status]]&lt;&gt;"Submitted",ChangeLog[[#This Row],[Status]]&lt;&gt;"Under Review")),"",MAX(0,StatusDate-ChangeLog[[#This Row],[Raised]]))</calculatedColumnFormula>
    </tableColumn>
    <tableColumn id="12" name="Task UID"/>
    <tableColumn id="13" name="Task">
      <calculatedColumnFormula>IF(N(ChangeLog[[#This Row],[Task UID]])=0,"",IFERROR(INDEX(tsk_Name,MATCH(ChangeLog[[#This Row],[Task UID]],tsk_UID,0)),"UID "&amp;ChangeLog[[#This Row],[Task UID]]&amp;" not found"))</calculatedColumnFormula>
    </tableColumn>
  </tableColumns>
  <tableStyleInfo name="TableStyleLight1" showRowStripes="0"/>
</table>
</file>

<file path=xl/tables/table5.xml><?xml version="1.0" encoding="utf-8"?>
<table xmlns="http://schemas.openxmlformats.org/spreadsheetml/2006/main" id="5" name="CriticalTasks" displayName="CriticalTasks" ref="B90:J110" headerRowCount="1">
  <tableColumns count="9">
    <tableColumn id="1" name="_Task">
      <calculatedColumnFormula>IFERROR(MATCH(SMALL(tsk_CriticalKey,ROW()-ROW(CriticalTasks[[#Headers],[_Task]])),tsk_CriticalKey,0),"")</calculatedColumnFormula>
    </tableColumn>
    <tableColumn id="2" name="WBS">
      <calculatedColumnFormula>IF(CriticalTasks[[#This Row],[_Task]]="","",INDEX(tsk_WBS,CriticalTasks[[#This Row],[_Task]])&amp;"")</calculatedColumnFormula>
    </tableColumn>
    <tableColumn id="3" name="Task">
      <calculatedColumnFormula>IF(CriticalTasks[[#This Row],[_Task]]="","",INDEX(tsk_Name,CriticalTasks[[#This Row],[_Task]])&amp;"")</calculatedColumnFormula>
    </tableColumn>
    <tableColumn id="4" name="Resource">
      <calculatedColumnFormula>IF(CriticalTasks[[#This Row],[_Task]]="","",INDEX(tsk_ResourceNames,CriticalTasks[[#This Row],[_Task]])&amp;"")</calculatedColumnFormula>
    </tableColumn>
    <tableColumn id="5" name="Forecast Start">
      <calculatedColumnFormula>IF(CriticalTasks[[#This Row],[_Task]]="","",IF(N(INDEX(tsk_FcStart,CriticalTasks[[#This Row],[_Task]]))=0,"",INDEX(tsk_FcStart,CriticalTasks[[#This Row],[_Task]])))</calculatedColumnFormula>
    </tableColumn>
    <tableColumn id="6" name="Forecast Finish">
      <calculatedColumnFormula>IF(CriticalTasks[[#This Row],[_Task]]="","",IF(N(INDEX(tsk_FcFinish,CriticalTasks[[#This Row],[_Task]]))=0,"",INDEX(tsk_FcFinish,CriticalTasks[[#This Row],[_Task]])))</calculatedColumnFormula>
    </tableColumn>
    <tableColumn id="7" name="Total Slack">
      <calculatedColumnFormula>IF(CriticalTasks[[#This Row],[_Task]]="","",INDEX(tsk_TotalSlack,CriticalTasks[[#This Row],[_Task]]))</calculatedColumnFormula>
    </tableColumn>
    <tableColumn id="8" name="Deadline Check">
      <calculatedColumnFormula>IF(CriticalTasks[[#This Row],[_Task]]="","",INDEX(tsk_DeadlineCheck,CriticalTasks[[#This Row],[_Task]])&amp;"")</calculatedColumnFormula>
    </tableColumn>
    <tableColumn id="9" name="Status">
      <calculatedColumnFormula>IF(CriticalTasks[[#This Row],[_Task]]="","",INDEX(tsk_Status,CriticalTasks[[#This Row],[_Task]])&amp;"")</calculatedColumnFormula>
    </tableColumn>
  </tableColumns>
  <tableStyleInfo name="TableStyleLight1" showRowStripes="0"/>
</table>
</file>

<file path=xl/tables/table6.xml><?xml version="1.0" encoding="utf-8"?>
<table xmlns="http://schemas.openxmlformats.org/spreadsheetml/2006/main" id="6" name="DecisionLog" displayName="DecisionLog" ref="B4:K104" headerRowCount="1">
  <autoFilter ref="B4:K104"/>
  <tableColumns count="10">
    <tableColumn id="1" name="Ref"/>
    <tableColumn id="2" name="Date"/>
    <tableColumn id="3" name="Decision"/>
    <tableColumn id="4" name="Options and Reasons"/>
    <tableColumn id="5" name="Decided By"/>
    <tableColumn id="6" name="Status"/>
    <tableColumn id="7" name="Waiting (days)">
      <calculatedColumnFormula>IF(OR(DecisionLog[[#This Row],[Decision]]="",DecisionLog[[#This Row],[Status]]&lt;&gt;"Proposed",N(DecisionLog[[#This Row],[Date]])=0),"",MAX(0,StatusDate-DecisionLog[[#This Row],[Date]]))</calculatedColumnFormula>
    </tableColumn>
    <tableColumn id="8" name="Task UID"/>
    <tableColumn id="9" name="Task">
      <calculatedColumnFormula>IF(N(DecisionLog[[#This Row],[Task UID]])=0,"",IFERROR(INDEX(tsk_Name,MATCH(DecisionLog[[#This Row],[Task UID]],tsk_UID,0)),"UID "&amp;DecisionLog[[#This Row],[Task UID]]&amp;" not found"))</calculatedColumnFormula>
    </tableColumn>
    <tableColumn id="10" name="RAID Ref"/>
  </tableColumns>
  <tableStyleInfo name="TableStyleLight1" showRowStripes="0"/>
</table>
</file>

<file path=xl/tables/table7.xml><?xml version="1.0" encoding="utf-8"?>
<table xmlns="http://schemas.openxmlformats.org/spreadsheetml/2006/main" id="7" name="DueSoon" displayName="DueSoon" ref="B72:J87" headerRowCount="1">
  <tableColumns count="9">
    <tableColumn id="1" name="_Task">
      <calculatedColumnFormula>IFERROR(MATCH(SMALL(tsk_DueSoonKey,ROW()-ROW(DueSoon[[#Headers],[_Task]])),tsk_DueSoonKey,0),"")</calculatedColumnFormula>
    </tableColumn>
    <tableColumn id="2" name="WBS">
      <calculatedColumnFormula>IF(DueSoon[[#This Row],[_Task]]="","",INDEX(tsk_WBS,DueSoon[[#This Row],[_Task]])&amp;"")</calculatedColumnFormula>
    </tableColumn>
    <tableColumn id="3" name="Task">
      <calculatedColumnFormula>IF(DueSoon[[#This Row],[_Task]]="","",INDEX(tsk_Name,DueSoon[[#This Row],[_Task]])&amp;"")</calculatedColumnFormula>
    </tableColumn>
    <tableColumn id="4" name="Resource">
      <calculatedColumnFormula>IF(DueSoon[[#This Row],[_Task]]="","",INDEX(tsk_ResourceNames,DueSoon[[#This Row],[_Task]])&amp;"")</calculatedColumnFormula>
    </tableColumn>
    <tableColumn id="5" name="Forecast Finish">
      <calculatedColumnFormula>IF(DueSoon[[#This Row],[_Task]]="","",IF(N(INDEX(tsk_FcFinish,DueSoon[[#This Row],[_Task]]))=0,"",INDEX(tsk_FcFinish,DueSoon[[#This Row],[_Task]])))</calculatedColumnFormula>
    </tableColumn>
    <tableColumn id="6" name="Progress">
      <calculatedColumnFormula>IF(DueSoon[[#This Row],[_Task]]="","",INDEX(tsk_Progress,DueSoon[[#This Row],[_Task]]))</calculatedColumnFormula>
    </tableColumn>
    <tableColumn id="7" name="Deadline Check">
      <calculatedColumnFormula>IF(DueSoon[[#This Row],[_Task]]="","",INDEX(tsk_DeadlineCheck,DueSoon[[#This Row],[_Task]])&amp;"")</calculatedColumnFormula>
    </tableColumn>
    <tableColumn id="8" name="Status">
      <calculatedColumnFormula>IF(DueSoon[[#This Row],[_Task]]="","",INDEX(tsk_Status,DueSoon[[#This Row],[_Task]])&amp;"")</calculatedColumnFormula>
    </tableColumn>
    <tableColumn id="9" name="Critical">
      <calculatedColumnFormula>IF(DueSoon[[#This Row],[_Task]]="","",INDEX(tsk_Critical,DueSoon[[#This Row],[_Task]])&amp;"")</calculatedColumnFormula>
    </tableColumn>
  </tableColumns>
  <tableStyleInfo name="TableStyleLight1" showRowStripes="0"/>
</table>
</file>

<file path=xl/tables/table8.xml><?xml version="1.0" encoding="utf-8"?>
<table xmlns="http://schemas.openxmlformats.org/spreadsheetml/2006/main" id="8" name="EarnedValue" displayName="EarnedValue" ref="B17:D31" headerRowCount="1">
  <tableColumns count="3">
    <tableColumn id="1" name="Measure"/>
    <tableColumn id="2" name="Meaning"/>
    <tableColumn id="3" name="Value"/>
  </tableColumns>
  <tableStyleInfo name="TableStyleLight1" showRowStripes="0"/>
</table>
</file>

<file path=xl/tables/table9.xml><?xml version="1.0" encoding="utf-8"?>
<table xmlns="http://schemas.openxmlformats.org/spreadsheetml/2006/main" id="9" name="GanttView" displayName="GanttView" ref="A5:V205" headerRowCount="1">
  <autoFilter ref="A5:V205"/>
  <tableColumns count="22">
    <tableColumn id="1" name="ID">
      <calculatedColumnFormula>IF(IFERROR(INDEX(tsk_Name,GanttView[[#This Row],[_Row]])="",TRUE()),"",INDEX(tsk_ID,GanttView[[#This Row],[_Row]]))</calculatedColumnFormula>
    </tableColumn>
    <tableColumn id="2" name="WBS">
      <calculatedColumnFormula>IF(IFERROR(INDEX(tsk_Name,GanttView[[#This Row],[_Row]])="",TRUE()),"",INDEX(tsk_WBS,GanttView[[#This Row],[_Row]]))</calculatedColumnFormula>
    </tableColumn>
    <tableColumn id="3" name="Task">
      <calculatedColumnFormula>IF(IFERROR(INDEX(tsk_Name,GanttView[[#This Row],[_Row]])="",TRUE()),"",REPT("    ",INDEX(tsk_Level,GanttView[[#This Row],[_Row]])-1)&amp;INDEX(tsk_Name,GanttView[[#This Row],[_Row]]))</calculatedColumnFormula>
    </tableColumn>
    <tableColumn id="4" name="Dur">
      <calculatedColumnFormula>IF(IFERROR(INDEX(tsk_Name,GanttView[[#This Row],[_Row]])="",TRUE()),"",IF(INDEX(tsk_IsSummary,GanttView[[#This Row],[_Row]]),NETWORKDAYS.INTL(INDEX(tsk_FcStart,GanttView[[#This Row],[_Row]]),INDEX(tsk_FcFinish,GanttView[[#This Row],[_Row]]),WorkWeek,Holidays),N(INDEX(tsk_Duration,GanttView[[#This Row],[_Row]]))))</calculatedColumnFormula>
    </tableColumn>
    <tableColumn id="5" name="Planned Start">
      <calculatedColumnFormula>IF(IFERROR(INDEX(tsk_Name,GanttView[[#This Row],[_Row]])="",TRUE()),"",INDEX(tsk_PlanStart,GanttView[[#This Row],[_Row]]))</calculatedColumnFormula>
    </tableColumn>
    <tableColumn id="6" name="Planned Finish">
      <calculatedColumnFormula>IF(IFERROR(INDEX(tsk_Name,GanttView[[#This Row],[_Row]])="",TRUE()),"",INDEX(tsk_PlanFinish,GanttView[[#This Row],[_Row]]))</calculatedColumnFormula>
    </tableColumn>
    <tableColumn id="7" name="Forecast Start">
      <calculatedColumnFormula>IF(IFERROR(INDEX(tsk_Name,GanttView[[#This Row],[_Row]])="",TRUE()),"",INDEX(tsk_FcStart,GanttView[[#This Row],[_Row]]))</calculatedColumnFormula>
    </tableColumn>
    <tableColumn id="8" name="Forecast Finish">
      <calculatedColumnFormula>IF(IFERROR(INDEX(tsk_Name,GanttView[[#This Row],[_Row]])="",TRUE()),"",INDEX(tsk_FcFinish,GanttView[[#This Row],[_Row]]))</calculatedColumnFormula>
    </tableColumn>
    <tableColumn id="9" name="%">
      <calculatedColumnFormula>IF(IFERROR(INDEX(tsk_Name,GanttView[[#This Row],[_Row]])="",TRUE()),"",INDEX(tsk_Progress,GanttView[[#This Row],[_Row]]))</calculatedColumnFormula>
    </tableColumn>
    <tableColumn id="10" name="Resource">
      <calculatedColumnFormula>IF(IFERROR(INDEX(tsk_Name,GanttView[[#This Row],[_Row]])="",TRUE()),"",INDEX(tsk_ResourceNames,GanttView[[#This Row],[_Row]])&amp;"")</calculatedColumnFormula>
    </tableColumn>
    <tableColumn id="11" name="Status">
      <calculatedColumnFormula>IF(IFERROR(INDEX(tsk_Name,GanttView[[#This Row],[_Row]])="",TRUE()),"",INDEX(tsk_Status,GanttView[[#This Row],[_Row]]))</calculatedColumnFormula>
    </tableColumn>
    <tableColumn id="12" name="Show">
      <calculatedColumnFormula>IF(IFERROR(INDEX(tsk_Name,GanttView[[#This Row],[_Row]])="",TRUE()),"",INDEX(tsk_Show,GanttView[[#This Row],[_Row]])&amp;"")</calculatedColumnFormula>
    </tableColumn>
    <tableColumn id="13" name="_Row">
      <calculatedColumnFormula>ROW()-ROW(GanttView[[#Headers],[ID]])</calculatedColumnFormula>
    </tableColumn>
    <tableColumn id="14" name="_IsSummary">
      <calculatedColumnFormula>IF(IFERROR(INDEX(tsk_Name,GanttView[[#This Row],[_Row]])="",TRUE()),FALSE(),INDEX(tsk_IsSummary,GanttView[[#This Row],[_Row]]))</calculatedColumnFormula>
    </tableColumn>
    <tableColumn id="15" name="_IsMilestone">
      <calculatedColumnFormula>IF(IFERROR(INDEX(tsk_Name,GanttView[[#This Row],[_Row]])="",TRUE()),FALSE(),AND(INDEX(tsk_IsLeaf,GanttView[[#This Row],[_Row]])=1,N(INDEX(tsk_Duration,GanttView[[#This Row],[_Row]]))=0))</calculatedColumnFormula>
    </tableColumn>
    <tableColumn id="16" name="_DoneFrom">
      <calculatedColumnFormula>IF(IFERROR(INDEX(tsk_Name,GanttView[[#This Row],[_Row]])="",TRUE()),0,IF(AND(INDEX(tsk_IsLeaf,GanttView[[#This Row],[_Row]])=1,NOT(GanttView[[#This Row],[_IsMilestone]]),N(GanttView[[#This Row],[%]])&gt;0),GanttView[[#This Row],[Forecast Start]],0))</calculatedColumnFormula>
    </tableColumn>
    <tableColumn id="17" name="_DoneTo">
      <calculatedColumnFormula>IF(GanttView[[#This Row],[_DoneFrom]]=0,0,IF(GanttView[[#This Row],[%]]&gt;=1,GanttView[[#This Row],[Forecast Finish]],MAX(GanttView[[#This Row],[_DoneFrom]],GanttView[[#This Row],[Forecast Start]]+ROUND((GanttView[[#This Row],[Forecast Finish]]-GanttView[[#This Row],[Forecast Start]]+1)*GanttView[[#This Row],[%]],0)-1)))</calculatedColumnFormula>
    </tableColumn>
    <tableColumn id="18" name="_RemFrom">
      <calculatedColumnFormula>IF(IFERROR(INDEX(tsk_Name,GanttView[[#This Row],[_Row]])="",TRUE()),0,IF(OR(INDEX(tsk_IsLeaf,GanttView[[#This Row],[_Row]])&lt;&gt;1,GanttView[[#This Row],[_IsMilestone]],N(GanttView[[#This Row],[%]])&gt;=1),0,IF(GanttView[[#This Row],[_DoneTo]]&gt;0,GanttView[[#This Row],[_DoneTo]]+1,GanttView[[#This Row],[Forecast Start]])))</calculatedColumnFormula>
    </tableColumn>
    <tableColumn id="19" name="_RemTo">
      <calculatedColumnFormula>IF(GanttView[[#This Row],[_RemFrom]]=0,0,GanttView[[#This Row],[Forecast Finish]])</calculatedColumnFormula>
    </tableColumn>
    <tableColumn id="20" name="_Late">
      <calculatedColumnFormula>IF(IFERROR(INDEX(tsk_Name,GanttView[[#This Row],[_Row]])="",TRUE()),FALSE(),N(INDEX(tsk_Variance,GanttView[[#This Row],[_Row]]))&gt;0)</calculatedColumnFormula>
    </tableColumn>
    <tableColumn id="21" name="_Deadline">
      <calculatedColumnFormula>IF(IFERROR(INDEX(tsk_Name,GanttView[[#This Row],[_Row]])="",TRUE()),0,N(INDEX(tsk_Deadline,GanttView[[#This Row],[_Row]])))</calculatedColumnFormula>
    </tableColumn>
    <tableColumn id="22" name="_Critical">
      <calculatedColumnFormula>IF(IFERROR(INDEX(tsk_Name,GanttView[[#This Row],[_Row]])="",TRUE()),FALSE(),INDEX(tsk_Critical,GanttView[[#This Row],[_Row]])="Yes")</calculatedColumnFormula>
    </tableColumn>
  </tableColumns>
  <tableStyleInfo name="TableStyleLight1" showRowStripes="0"/>
</table>
</file>

<file path=xl/tables/table10.xml><?xml version="1.0" encoding="utf-8"?>
<table xmlns="http://schemas.openxmlformats.org/spreadsheetml/2006/main" id="10" name="HolidayTable" displayName="HolidayTable" ref="B4:C104" headerRowCount="1">
  <autoFilter ref="B4:C104"/>
  <tableColumns count="2">
    <tableColumn id="1" name="Date"/>
    <tableColumn id="2" name="Description"/>
  </tableColumns>
  <tableStyleInfo name="TableStyleLight1" showRowStripes="0"/>
</table>
</file>

<file path=xl/tables/table11.xml><?xml version="1.0" encoding="utf-8"?>
<table xmlns="http://schemas.openxmlformats.org/spreadsheetml/2006/main" id="11" name="KPIs" displayName="KPIs" ref="B4:C27" headerRowCount="1">
  <tableColumns count="2">
    <tableColumn id="1" name="Key indicator"/>
    <tableColumn id="2" name="Value"/>
  </tableColumns>
  <tableStyleInfo name="TableStyleLight1" showRowStripes="0"/>
</table>
</file>

<file path=xl/tables/table12.xml><?xml version="1.0" encoding="utf-8"?>
<table xmlns="http://schemas.openxmlformats.org/spreadsheetml/2006/main" id="12" name="LateTasks" displayName="LateTasks" ref="B36:J51" headerRowCount="1">
  <tableColumns count="9">
    <tableColumn id="1" name="_Task">
      <calculatedColumnFormula>IFERROR(MATCH(LARGE(tsk_LateKey,ROW()-ROW(LateTasks[[#Headers],[_Task]])),tsk_LateKey,0),"")</calculatedColumnFormula>
    </tableColumn>
    <tableColumn id="2" name="WBS">
      <calculatedColumnFormula>IF(LateTasks[[#This Row],[_Task]]="","",INDEX(tsk_WBS,LateTasks[[#This Row],[_Task]])&amp;"")</calculatedColumnFormula>
    </tableColumn>
    <tableColumn id="3" name="Task">
      <calculatedColumnFormula>IF(LateTasks[[#This Row],[_Task]]="","",INDEX(tsk_Name,LateTasks[[#This Row],[_Task]])&amp;"")</calculatedColumnFormula>
    </tableColumn>
    <tableColumn id="4" name="Resource">
      <calculatedColumnFormula>IF(LateTasks[[#This Row],[_Task]]="","",INDEX(tsk_ResourceNames,LateTasks[[#This Row],[_Task]])&amp;"")</calculatedColumnFormula>
    </tableColumn>
    <tableColumn id="5" name="Planned Finish">
      <calculatedColumnFormula>IF(LateTasks[[#This Row],[_Task]]="","",IF(N(INDEX(tsk_PlanFinish,LateTasks[[#This Row],[_Task]]))=0,"",INDEX(tsk_PlanFinish,LateTasks[[#This Row],[_Task]])))</calculatedColumnFormula>
    </tableColumn>
    <tableColumn id="6" name="Forecast Finish">
      <calculatedColumnFormula>IF(LateTasks[[#This Row],[_Task]]="","",IF(N(INDEX(tsk_FcFinish,LateTasks[[#This Row],[_Task]]))=0,"",INDEX(tsk_FcFinish,LateTasks[[#This Row],[_Task]])))</calculatedColumnFormula>
    </tableColumn>
    <tableColumn id="7" name="Finish Var">
      <calculatedColumnFormula>IF(LateTasks[[#This Row],[_Task]]="","",INDEX(tsk_Variance,LateTasks[[#This Row],[_Task]]))</calculatedColumnFormula>
    </tableColumn>
    <tableColumn id="8" name="Status">
      <calculatedColumnFormula>IF(LateTasks[[#This Row],[_Task]]="","",INDEX(tsk_Status,LateTasks[[#This Row],[_Task]])&amp;"")</calculatedColumnFormula>
    </tableColumn>
    <tableColumn id="9" name="Critical">
      <calculatedColumnFormula>IF(LateTasks[[#This Row],[_Task]]="","",INDEX(tsk_Critical,LateTasks[[#This Row],[_Task]])&amp;"")</calculatedColumnFormula>
    </tableColumn>
  </tableColumns>
  <tableStyleInfo name="TableStyleLight1" showRowStripes="0"/>
</table>
</file>

<file path=xl/tables/table13.xml><?xml version="1.0" encoding="utf-8"?>
<table xmlns="http://schemas.openxmlformats.org/spreadsheetml/2006/main" id="13" name="LeaveTable" displayName="LeaveTable" ref="B4:AL54" headerRowCount="1">
  <autoFilter ref="B4:AL54"/>
  <tableColumns count="37">
    <tableColumn id="1" name="Resource"/>
    <tableColumn id="2" name="Jan-26"/>
    <tableColumn id="3" name="Feb-26"/>
    <tableColumn id="4" name="Mar-26"/>
    <tableColumn id="5" name="Apr-26"/>
    <tableColumn id="6" name="May-26"/>
    <tableColumn id="7" name="Jun-26"/>
    <tableColumn id="8" name="Jul-26"/>
    <tableColumn id="9" name="Aug-26"/>
    <tableColumn id="10" name="Sep-26"/>
    <tableColumn id="11" name="Oct-26"/>
    <tableColumn id="12" name="Nov-26"/>
    <tableColumn id="13" name="Dec-26"/>
    <tableColumn id="14" name="Jan-27"/>
    <tableColumn id="15" name="Feb-27"/>
    <tableColumn id="16" name="Mar-27"/>
    <tableColumn id="17" name="Apr-27"/>
    <tableColumn id="18" name="May-27"/>
    <tableColumn id="19" name="Jun-27"/>
    <tableColumn id="20" name="Jul-27"/>
    <tableColumn id="21" name="Aug-27"/>
    <tableColumn id="22" name="Sep-27"/>
    <tableColumn id="23" name="Oct-27"/>
    <tableColumn id="24" name="Nov-27"/>
    <tableColumn id="25" name="Dec-27"/>
    <tableColumn id="26" name="Jan-28"/>
    <tableColumn id="27" name="Feb-28"/>
    <tableColumn id="28" name="Mar-28"/>
    <tableColumn id="29" name="Apr-28"/>
    <tableColumn id="30" name="May-28"/>
    <tableColumn id="31" name="Jun-28"/>
    <tableColumn id="32" name="Jul-28"/>
    <tableColumn id="33" name="Aug-28"/>
    <tableColumn id="34" name="Sep-28"/>
    <tableColumn id="35" name="Oct-28"/>
    <tableColumn id="36" name="Nov-28"/>
    <tableColumn id="37" name="Dec-28"/>
  </tableColumns>
  <tableStyleInfo name="TableStyleLight1" showRowStripes="0"/>
</table>
</file>

<file path=xl/tables/table14.xml><?xml version="1.0" encoding="utf-8"?>
<table xmlns="http://schemas.openxmlformats.org/spreadsheetml/2006/main" id="14" name="ListChangeStatus" displayName="ListChangeStatus" ref="U1:U6" headerRowCount="1">
  <tableColumns count="1">
    <tableColumn id="1" name="Change Status"/>
  </tableColumns>
  <tableStyleInfo name="TableStyleLight1" showRowStripes="0"/>
</table>
</file>

<file path=xl/tables/table15.xml><?xml version="1.0" encoding="utf-8"?>
<table xmlns="http://schemas.openxmlformats.org/spreadsheetml/2006/main" id="15" name="ListConstraint" displayName="ListConstraint" ref="E1:E9" headerRowCount="1">
  <tableColumns count="1">
    <tableColumn id="1" name="Constraint"/>
  </tableColumns>
  <tableStyleInfo name="TableStyleLight1" showRowStripes="0"/>
</table>
</file>

<file path=xl/tables/table16.xml><?xml version="1.0" encoding="utf-8"?>
<table xmlns="http://schemas.openxmlformats.org/spreadsheetml/2006/main" id="16" name="ListDecisionStatus" displayName="ListDecisionStatus" ref="S1:S5" headerRowCount="1">
  <tableColumns count="1">
    <tableColumn id="1" name="Decision Status"/>
  </tableColumns>
  <tableStyleInfo name="TableStyleLight1" showRowStripes="0"/>
</table>
</file>

<file path=xl/tables/table17.xml><?xml version="1.0" encoding="utf-8"?>
<table xmlns="http://schemas.openxmlformats.org/spreadsheetml/2006/main" id="17" name="ListDepType" displayName="ListDepType" ref="A1:A5" headerRowCount="1">
  <tableColumns count="1">
    <tableColumn id="1" name="Link Type"/>
  </tableColumns>
  <tableStyleInfo name="TableStyleLight1" showRowStripes="0"/>
</table>
</file>

<file path=xl/tables/table18.xml><?xml version="1.0" encoding="utf-8"?>
<table xmlns="http://schemas.openxmlformats.org/spreadsheetml/2006/main" id="18" name="ListMode" displayName="ListMode" ref="C1:C3" headerRowCount="1">
  <tableColumns count="1">
    <tableColumn id="1" name="Task Mode"/>
  </tableColumns>
  <tableStyleInfo name="TableStyleLight1" showRowStripes="0"/>
</table>
</file>

<file path=xl/tables/table19.xml><?xml version="1.0" encoding="utf-8"?>
<table xmlns="http://schemas.openxmlformats.org/spreadsheetml/2006/main" id="19" name="ListPeriod" displayName="ListPeriod" ref="K1:K5" headerRowCount="1">
  <tableColumns count="1">
    <tableColumn id="1" name="Gantt Days per Column"/>
  </tableColumns>
  <tableStyleInfo name="TableStyleLight1" showRowStripes="0"/>
</table>
</file>

<file path=xl/tables/table20.xml><?xml version="1.0" encoding="utf-8"?>
<table xmlns="http://schemas.openxmlformats.org/spreadsheetml/2006/main" id="20" name="ListRAG" displayName="ListRAG" ref="M1:M4" headerRowCount="1">
  <tableColumns count="1">
    <tableColumn id="1" name="RAG"/>
  </tableColumns>
  <tableStyleInfo name="TableStyleLight1" showRowStripes="0"/>
</table>
</file>

<file path=xl/tables/table21.xml><?xml version="1.0" encoding="utf-8"?>
<table xmlns="http://schemas.openxmlformats.org/spreadsheetml/2006/main" id="21" name="ListRAIDStatus" displayName="ListRAIDStatus" ref="Q1:Q4" headerRowCount="1">
  <tableColumns count="1">
    <tableColumn id="1" name="RAID Status"/>
  </tableColumns>
  <tableStyleInfo name="TableStyleLight1" showRowStripes="0"/>
</table>
</file>

<file path=xl/tables/table22.xml><?xml version="1.0" encoding="utf-8"?>
<table xmlns="http://schemas.openxmlformats.org/spreadsheetml/2006/main" id="22" name="ListRAIDType" displayName="ListRAIDType" ref="O1:O5" headerRowCount="1">
  <tableColumns count="1">
    <tableColumn id="1" name="RAID Type"/>
  </tableColumns>
  <tableStyleInfo name="TableStyleLight1" showRowStripes="0"/>
</table>
</file>

<file path=xl/tables/table23.xml><?xml version="1.0" encoding="utf-8"?>
<table xmlns="http://schemas.openxmlformats.org/spreadsheetml/2006/main" id="23" name="ListResType" displayName="ListResType" ref="I1:I4" headerRowCount="1">
  <tableColumns count="1">
    <tableColumn id="1" name="Resource Type"/>
  </tableColumns>
  <tableStyleInfo name="TableStyleLight1" showRowStripes="0"/>
</table>
</file>

<file path=xl/tables/table24.xml><?xml version="1.0" encoding="utf-8"?>
<table xmlns="http://schemas.openxmlformats.org/spreadsheetml/2006/main" id="24" name="ListYesNo" displayName="ListYesNo" ref="G1:G3" headerRowCount="1">
  <tableColumns count="1">
    <tableColumn id="1" name="Yes / No"/>
  </tableColumns>
  <tableStyleInfo name="TableStyleLight1" showRowStripes="0"/>
</table>
</file>

<file path=xl/tables/table25.xml><?xml version="1.0" encoding="utf-8"?>
<table xmlns="http://schemas.openxmlformats.org/spreadsheetml/2006/main" id="25" name="MilestoneReport" displayName="MilestoneReport" ref="B18:J33" headerRowCount="1">
  <tableColumns count="9">
    <tableColumn id="1" name="_Task">
      <calculatedColumnFormula>IFERROR(MATCH(SMALL(tsk_MilestoneOrder,ROW()-ROW(MilestoneReport[[#Headers],[_Task]])),tsk_MilestoneOrder,0),"")</calculatedColumnFormula>
    </tableColumn>
    <tableColumn id="2" name="WBS">
      <calculatedColumnFormula>IF(MilestoneReport[[#This Row],[_Task]]="","",INDEX(tsk_WBS,MilestoneReport[[#This Row],[_Task]])&amp;"")</calculatedColumnFormula>
    </tableColumn>
    <tableColumn id="3" name="Milestone">
      <calculatedColumnFormula>IF(MilestoneReport[[#This Row],[_Task]]="","",INDEX(tsk_Name,MilestoneReport[[#This Row],[_Task]])&amp;"")</calculatedColumnFormula>
    </tableColumn>
    <tableColumn id="4" name="Planned">
      <calculatedColumnFormula>IF(MilestoneReport[[#This Row],[_Task]]="","",IF(N(INDEX(tsk_PlanFinish,MilestoneReport[[#This Row],[_Task]]))=0,"",INDEX(tsk_PlanFinish,MilestoneReport[[#This Row],[_Task]])))</calculatedColumnFormula>
    </tableColumn>
    <tableColumn id="5" name="Forecast">
      <calculatedColumnFormula>IF(MilestoneReport[[#This Row],[_Task]]="","",IF(N(INDEX(tsk_FcFinish,MilestoneReport[[#This Row],[_Task]]))=0,"",INDEX(tsk_FcFinish,MilestoneReport[[#This Row],[_Task]])))</calculatedColumnFormula>
    </tableColumn>
    <tableColumn id="6" name="Finish Var">
      <calculatedColumnFormula>IF(MilestoneReport[[#This Row],[_Task]]="","",INDEX(tsk_Variance,MilestoneReport[[#This Row],[_Task]]))</calculatedColumnFormula>
    </tableColumn>
    <tableColumn id="7" name="Deadline">
      <calculatedColumnFormula>IF(MilestoneReport[[#This Row],[_Task]]="","",IF(N(INDEX(tsk_Deadline,MilestoneReport[[#This Row],[_Task]]))=0,"",INDEX(tsk_Deadline,MilestoneReport[[#This Row],[_Task]])))</calculatedColumnFormula>
    </tableColumn>
    <tableColumn id="8" name="Deadline Check">
      <calculatedColumnFormula>IF(MilestoneReport[[#This Row],[_Task]]="","",INDEX(tsk_DeadlineCheck,MilestoneReport[[#This Row],[_Task]])&amp;"")</calculatedColumnFormula>
    </tableColumn>
    <tableColumn id="9" name="Status">
      <calculatedColumnFormula>IF(MilestoneReport[[#This Row],[_Task]]="","",INDEX(tsk_Status,MilestoneReport[[#This Row],[_Task]])&amp;"")</calculatedColumnFormula>
    </tableColumn>
  </tableColumns>
  <tableStyleInfo name="TableStyleLight1" showRowStripes="0"/>
</table>
</file>

<file path=xl/tables/table26.xml><?xml version="1.0" encoding="utf-8"?>
<table xmlns="http://schemas.openxmlformats.org/spreadsheetml/2006/main" id="26" name="MSPResources" displayName="MSPResources" ref="A1:G51" headerRowCount="1">
  <autoFilter ref="A1:G51"/>
  <tableColumns count="7">
    <tableColumn id="1" name="Name">
      <calculatedColumnFormula>IF(IFERROR(INDEX(res_Name,(ROW()-ROW(MSPResources[[#Headers],[Name]])))="",TRUE()),"",INDEX(res_Name,(ROW()-ROW(MSPResources[[#Headers],[Name]])))&amp;"")</calculatedColumnFormula>
    </tableColumn>
    <tableColumn id="2" name="Initials">
      <calculatedColumnFormula>IF(IFERROR(INDEX(res_Name,(ROW()-ROW(MSPResources[[#Headers],[Name]])))="",TRUE()),"",INDEX(res_Initials,(ROW()-ROW(MSPResources[[#Headers],[Name]])))&amp;"")</calculatedColumnFormula>
    </tableColumn>
    <tableColumn id="3" name="Group">
      <calculatedColumnFormula>IF(IFERROR(INDEX(res_Name,(ROW()-ROW(MSPResources[[#Headers],[Name]])))="",TRUE()),"",INDEX(res_Group,(ROW()-ROW(MSPResources[[#Headers],[Name]])))&amp;"")</calculatedColumnFormula>
    </tableColumn>
    <tableColumn id="4" name="Type">
      <calculatedColumnFormula>IF(IFERROR(INDEX(res_Name,(ROW()-ROW(MSPResources[[#Headers],[Name]])))="",TRUE()),"",INDEX(res_Type,(ROW()-ROW(MSPResources[[#Headers],[Name]])))&amp;"")</calculatedColumnFormula>
    </tableColumn>
    <tableColumn id="5" name="Max Units">
      <calculatedColumnFormula>IF(IFERROR(INDEX(res_Name,(ROW()-ROW(MSPResources[[#Headers],[Name]])))="",TRUE()),"",ROUND(INDEX(res_MaxUnits,(ROW()-ROW(MSPResources[[#Headers],[Name]])))*100,0)&amp;"%")</calculatedColumnFormula>
    </tableColumn>
    <tableColumn id="6" name="Standard Rate">
      <calculatedColumnFormula>IF(IFERROR(INDEX(res_Name,(ROW()-ROW(MSPResources[[#Headers],[Name]])))="",TRUE()),"",INDEX(res_Rate,(ROW()-ROW(MSPResources[[#Headers],[Name]])))&amp;"/h")</calculatedColumnFormula>
    </tableColumn>
    <tableColumn id="7" name="Email Address">
      <calculatedColumnFormula>IF(IFERROR(INDEX(res_Name,(ROW()-ROW(MSPResources[[#Headers],[Name]])))="",TRUE()),"",INDEX(res_Email,(ROW()-ROW(MSPResources[[#Headers],[Name]])))&amp;"")</calculatedColumnFormula>
    </tableColumn>
  </tableColumns>
  <tableStyleInfo name="TableStyleLight1" showRowStripes="0"/>
</table>
</file>

<file path=xl/tables/table27.xml><?xml version="1.0" encoding="utf-8"?>
<table xmlns="http://schemas.openxmlformats.org/spreadsheetml/2006/main" id="27" name="MSPTasks" displayName="MSPTasks" ref="A1:Z201" headerRowCount="1">
  <autoFilter ref="A1:Z201"/>
  <tableColumns count="26">
    <tableColumn id="1" name="ID">
      <calculatedColumnFormula>IF(IFERROR(INDEX(tsk_Name,(ROW()-ROW(MSPTasks[[#Headers],[ID]])))="",TRUE()),"",INDEX(tsk_ID,(ROW()-ROW(MSPTasks[[#Headers],[ID]]))))</calculatedColumnFormula>
    </tableColumn>
    <tableColumn id="2" name="Unique ID">
      <calculatedColumnFormula>IF(IFERROR(INDEX(tsk_Name,(ROW()-ROW(MSPTasks[[#Headers],[ID]])))="",TRUE()),"",INDEX(tsk_UID,(ROW()-ROW(MSPTasks[[#Headers],[ID]]))))</calculatedColumnFormula>
    </tableColumn>
    <tableColumn id="3" name="Name">
      <calculatedColumnFormula>IF(IFERROR(INDEX(tsk_Name,(ROW()-ROW(MSPTasks[[#Headers],[ID]])))="",TRUE()),"",INDEX(tsk_Name,(ROW()-ROW(MSPTasks[[#Headers],[ID]]))))</calculatedColumnFormula>
    </tableColumn>
    <tableColumn id="4" name="Outline Level">
      <calculatedColumnFormula>IF(IFERROR(INDEX(tsk_Name,(ROW()-ROW(MSPTasks[[#Headers],[ID]])))="",TRUE()),"",INDEX(tsk_Level,(ROW()-ROW(MSPTasks[[#Headers],[ID]]))))</calculatedColumnFormula>
    </tableColumn>
    <tableColumn id="5" name="Task Mode">
      <calculatedColumnFormula>IF(IFERROR(INDEX(tsk_Name,(ROW()-ROW(MSPTasks[[#Headers],[ID]])))="",TRUE()),"",IF(INDEX(tsk_Mode,(ROW()-ROW(MSPTasks[[#Headers],[ID]])))="Manual","Manually Scheduled","Auto Scheduled"))</calculatedColumnFormula>
    </tableColumn>
    <tableColumn id="6" name="Duration">
      <calculatedColumnFormula>IF(IFERROR(INDEX(tsk_Name,(ROW()-ROW(MSPTasks[[#Headers],[ID]])))="",TRUE()),"",IF(INDEX(tsk_IsSummary,(ROW()-ROW(MSPTasks[[#Headers],[ID]]))),"",N(INDEX(tsk_Duration,(ROW()-ROW(MSPTasks[[#Headers],[ID]]))))&amp;"d"))</calculatedColumnFormula>
    </tableColumn>
    <tableColumn id="7" name="Start">
      <calculatedColumnFormula>IF(IFERROR(INDEX(tsk_Name,(ROW()-ROW(MSPTasks[[#Headers],[ID]])))="",TRUE()),"",INDEX(tsk_FcStart,(ROW()-ROW(MSPTasks[[#Headers],[ID]]))))</calculatedColumnFormula>
    </tableColumn>
    <tableColumn id="8" name="Finish">
      <calculatedColumnFormula>IF(IFERROR(INDEX(tsk_Name,(ROW()-ROW(MSPTasks[[#Headers],[ID]])))="",TRUE()),"",INDEX(tsk_FcFinish,(ROW()-ROW(MSPTasks[[#Headers],[ID]]))))</calculatedColumnFormula>
    </tableColumn>
    <tableColumn id="9" name="Predecessors">
      <calculatedColumnFormula>IF(IFERROR(INDEX(tsk_Name,(ROW()-ROW(MSPTasks[[#Headers],[ID]])))="",TRUE()),"",IF(INDEX(tsk_IsSummary,(ROW()-ROW(MSPTasks[[#Headers],[ID]]))),"",INDEX(tsk_Predecessors,(ROW()-ROW(MSPTasks[[#Headers],[ID]])))))</calculatedColumnFormula>
    </tableColumn>
    <tableColumn id="10" name="Unique ID Predecessors">
      <calculatedColumnFormula>IF(IFERROR(INDEX(tsk_Name,(ROW()-ROW(MSPTasks[[#Headers],[ID]])))="",TRUE()),"",IF(INDEX(tsk_IsSummary,(ROW()-ROW(MSPTasks[[#Headers],[ID]]))),"",INDEX(tsk_UIDPredecessors,(ROW()-ROW(MSPTasks[[#Headers],[ID]])))))</calculatedColumnFormula>
    </tableColumn>
    <tableColumn id="11" name="Resource Names">
      <calculatedColumnFormula>IF(IFERROR(INDEX(tsk_Name,(ROW()-ROW(MSPTasks[[#Headers],[ID]])))="",TRUE()),"",INDEX(tsk_ResourceNames,(ROW()-ROW(MSPTasks[[#Headers],[ID]])))&amp;"")</calculatedColumnFormula>
    </tableColumn>
    <tableColumn id="12" name="% Complete">
      <calculatedColumnFormula>IF(IFERROR(INDEX(tsk_Name,(ROW()-ROW(MSPTasks[[#Headers],[ID]])))="",TRUE()),"",IF(INDEX(tsk_IsSummary,(ROW()-ROW(MSPTasks[[#Headers],[ID]]))),"",ROUND(INDEX(tsk_Progress,(ROW()-ROW(MSPTasks[[#Headers],[ID]])))*100,0)))</calculatedColumnFormula>
    </tableColumn>
    <tableColumn id="13" name="Actual Start">
      <calculatedColumnFormula>IF(IFERROR(INDEX(tsk_Name,(ROW()-ROW(MSPTasks[[#Headers],[ID]])))="",TRUE()),"",IF(N(INDEX(tsk_ActStart,(ROW()-ROW(MSPTasks[[#Headers],[ID]]))))=0,"",INDEX(tsk_ActStart,(ROW()-ROW(MSPTasks[[#Headers],[ID]])))))</calculatedColumnFormula>
    </tableColumn>
    <tableColumn id="14" name="Actual Finish">
      <calculatedColumnFormula>IF(IFERROR(INDEX(tsk_Name,(ROW()-ROW(MSPTasks[[#Headers],[ID]])))="",TRUE()),"",IF(N(INDEX(tsk_ActFinish,(ROW()-ROW(MSPTasks[[#Headers],[ID]]))))=0,"",INDEX(tsk_ActFinish,(ROW()-ROW(MSPTasks[[#Headers],[ID]])))))</calculatedColumnFormula>
    </tableColumn>
    <tableColumn id="15" name="Baseline Start">
      <calculatedColumnFormula>IF(IFERROR(INDEX(tsk_Name,(ROW()-ROW(MSPTasks[[#Headers],[ID]])))="",TRUE()),"",INDEX(tsk_PlanStart,(ROW()-ROW(MSPTasks[[#Headers],[ID]]))))</calculatedColumnFormula>
    </tableColumn>
    <tableColumn id="16" name="Baseline Finish">
      <calculatedColumnFormula>IF(IFERROR(INDEX(tsk_Name,(ROW()-ROW(MSPTasks[[#Headers],[ID]])))="",TRUE()),"",INDEX(tsk_PlanFinish,(ROW()-ROW(MSPTasks[[#Headers],[ID]]))))</calculatedColumnFormula>
    </tableColumn>
    <tableColumn id="17" name="Baseline Duration">
      <calculatedColumnFormula>IF(IFERROR(INDEX(tsk_Name,(ROW()-ROW(MSPTasks[[#Headers],[ID]])))="",TRUE()),"",IF(INDEX(tsk_BaseDuration,(ROW()-ROW(MSPTasks[[#Headers],[ID]])))="","",N(INDEX(tsk_BaseDuration,(ROW()-ROW(MSPTasks[[#Headers],[ID]]))))&amp;"d"))</calculatedColumnFormula>
    </tableColumn>
    <tableColumn id="18" name="Baseline Work">
      <calculatedColumnFormula>IF(IFERROR(INDEX(tsk_Name,(ROW()-ROW(MSPTasks[[#Headers],[ID]])))="",TRUE()),"",IF(INDEX(tsk_BaseWork,(ROW()-ROW(MSPTasks[[#Headers],[ID]])))="","",N(INDEX(tsk_BaseWork,(ROW()-ROW(MSPTasks[[#Headers],[ID]]))))&amp;"h"))</calculatedColumnFormula>
    </tableColumn>
    <tableColumn id="19" name="Baseline Cost">
      <calculatedColumnFormula>IF(IFERROR(INDEX(tsk_Name,(ROW()-ROW(MSPTasks[[#Headers],[ID]])))="",TRUE()),"",IF(INDEX(tsk_BaseCost,(ROW()-ROW(MSPTasks[[#Headers],[ID]])))="","",N(INDEX(tsk_BaseCost,(ROW()-ROW(MSPTasks[[#Headers],[ID]]))))))</calculatedColumnFormula>
    </tableColumn>
    <tableColumn id="20" name="Actual Cost">
      <calculatedColumnFormula>IF(IFERROR(INDEX(tsk_Name,(ROW()-ROW(MSPTasks[[#Headers],[ID]])))="",TRUE()),"",IF(INDEX(tsk_IsSummary,(ROW()-ROW(MSPTasks[[#Headers],[ID]]))),"",IF(N(INDEX(tsk_ActCostInput,(ROW()-ROW(MSPTasks[[#Headers],[ID]]))))=0,"",INDEX(tsk_ActCostInput,(ROW()-ROW(MSPTasks[[#Headers],[ID]]))))))</calculatedColumnFormula>
    </tableColumn>
    <tableColumn id="21" name="Constraint Type">
      <calculatedColumnFormula>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calculatedColumnFormula>
    </tableColumn>
    <tableColumn id="22" name="Constraint Date">
      <calculatedColumnFormula>IF(IFERROR(INDEX(tsk_Name,(ROW()-ROW(MSPTasks[[#Headers],[ID]])))="",TRUE()),"",IF(OR(INDEX(tsk_IsSummary,(ROW()-ROW(MSPTasks[[#Headers],[ID]]))),INDEX(tsk_Mode,(ROW()-ROW(MSPTasks[[#Headers],[ID]])))="Manual"),"",IF(N(INDEX(tsk_ConstraintCode,(ROW()-ROW(MSPTasks[[#Headers],[ID]]))))&lt;2,"",INDEX(tsk_Constraint,(ROW()-ROW(MSPTasks[[#Headers],[ID]]))))))</calculatedColumnFormula>
    </tableColumn>
    <tableColumn id="23" name="Deadline">
      <calculatedColumnFormula>IF(IFERROR(INDEX(tsk_Name,(ROW()-ROW(MSPTasks[[#Headers],[ID]])))="",TRUE()),"",IF(N(INDEX(tsk_Deadline,(ROW()-ROW(MSPTasks[[#Headers],[ID]]))))=0,"",INDEX(tsk_Deadline,(ROW()-ROW(MSPTasks[[#Headers],[ID]])))))</calculatedColumnFormula>
    </tableColumn>
    <tableColumn id="24" name="Text1">
      <calculatedColumnFormula>IF(IFERROR(INDEX(tsk_Name,(ROW()-ROW(MSPTasks[[#Headers],[ID]])))="",TRUE()),"",IF(INDEX(tsk_IsSummary,(ROW()-ROW(MSPTasks[[#Headers],[ID]]))),"",INDEX(tsk_Sprint,(ROW()-ROW(MSPTasks[[#Headers],[ID]])))&amp;""))</calculatedColumnFormula>
    </tableColumn>
    <tableColumn id="25" name="Number1">
      <calculatedColumnFormula>IF(IFERROR(INDEX(tsk_Name,(ROW()-ROW(MSPTasks[[#Headers],[ID]])))="",TRUE()),"",IF(INDEX(tsk_IsSummary,(ROW()-ROW(MSPTasks[[#Headers],[ID]]))),"",IF(N(INDEX(tsk_StoryPoints,(ROW()-ROW(MSPTasks[[#Headers],[ID]]))))=0,"",INDEX(tsk_StoryPoints,(ROW()-ROW(MSPTasks[[#Headers],[ID]]))))))</calculatedColumnFormula>
    </tableColumn>
    <tableColumn id="26" name="Notes">
      <calculatedColumnFormula>IF(IFERROR(INDEX(tsk_Name,(ROW()-ROW(MSPTasks[[#Headers],[ID]])))="",TRUE()),"",INDEX(tsk_Notes,(ROW()-ROW(MSPTasks[[#Headers],[ID]])))&amp;"")</calculatedColumnFormula>
    </tableColumn>
  </tableColumns>
  <tableStyleInfo name="TableStyleLight1" showRowStripes="0"/>
</table>
</file>

<file path=xl/tables/table28.xml><?xml version="1.0" encoding="utf-8"?>
<table xmlns="http://schemas.openxmlformats.org/spreadsheetml/2006/main" id="28" name="NextMilestones" displayName="NextMilestones" ref="B30:C35"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0"/>
</table>
</file>

<file path=xl/tables/table29.xml><?xml version="1.0" encoding="utf-8"?>
<table xmlns="http://schemas.openxmlformats.org/spreadsheetml/2006/main" id="29" name="OverallStatus" displayName="OverallStatus" ref="B4:H5"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0"/>
</table>
</file>

<file path=xl/tables/table30.xml><?xml version="1.0" encoding="utf-8"?>
<table xmlns="http://schemas.openxmlformats.org/spreadsheetml/2006/main" id="30" name="PhaseSummary" displayName="PhaseSummary" ref="B5:P15" headerRowCount="1">
  <tableColumns count="15">
    <tableColumn id="1" name="_Task">
      <calculatedColumnFormula>IFERROR(MATCH(SMALL(tsk_PhaseKey,ROW()-ROW(PhaseSummary[[#Headers],[_Task]])),tsk_PhaseKey,0),"")</calculatedColumnFormula>
    </tableColumn>
    <tableColumn id="2" name="WBS">
      <calculatedColumnFormula>IF(PhaseSummary[[#This Row],[_Task]]="","",INDEX(tsk_WBS,PhaseSummary[[#This Row],[_Task]])&amp;"")</calculatedColumnFormula>
    </tableColumn>
    <tableColumn id="3" name="Phase">
      <calculatedColumnFormula>IF(PhaseSummary[[#This Row],[_Task]]="","",INDEX(tsk_Name,PhaseSummary[[#This Row],[_Task]])&amp;"")</calculatedColumnFormula>
    </tableColumn>
    <tableColumn id="4" name="Planned Finish">
      <calculatedColumnFormula>IF(PhaseSummary[[#This Row],[_Task]]="","",IF(N(INDEX(tsk_PlanFinish,PhaseSummary[[#This Row],[_Task]]))=0,"",INDEX(tsk_PlanFinish,PhaseSummary[[#This Row],[_Task]])))</calculatedColumnFormula>
    </tableColumn>
    <tableColumn id="5" name="Forecast Finish">
      <calculatedColumnFormula>IF(PhaseSummary[[#This Row],[_Task]]="","",IF(N(INDEX(tsk_FcFinish,PhaseSummary[[#This Row],[_Task]]))=0,"",INDEX(tsk_FcFinish,PhaseSummary[[#This Row],[_Task]])))</calculatedColumnFormula>
    </tableColumn>
    <tableColumn id="6" name="Finish Var">
      <calculatedColumnFormula>IF(PhaseSummary[[#This Row],[_Task]]="","",INDEX(tsk_Variance,PhaseSummary[[#This Row],[_Task]]))</calculatedColumnFormula>
    </tableColumn>
    <tableColumn id="7" name="Progress">
      <calculatedColumnFormula>IF(PhaseSummary[[#This Row],[_Task]]="","",INDEX(tsk_Progress,PhaseSummary[[#This Row],[_Task]]))</calculatedColumnFormula>
    </tableColumn>
    <tableColumn id="8" name="Budget">
      <calculatedColumnFormula>IF(PhaseSummary[[#This Row],[_Task]]="","",INDEX(tsk_Budget,PhaseSummary[[#This Row],[_Task]]))</calculatedColumnFormula>
    </tableColumn>
    <tableColumn id="9" name="PV">
      <calculatedColumnFormula>IF(PhaseSummary[[#This Row],[_Task]]="","",INDEX(tsk_PV,PhaseSummary[[#This Row],[_Task]]))</calculatedColumnFormula>
    </tableColumn>
    <tableColumn id="10" name="EV">
      <calculatedColumnFormula>IF(PhaseSummary[[#This Row],[_Task]]="","",INDEX(tsk_EV,PhaseSummary[[#This Row],[_Task]]))</calculatedColumnFormula>
    </tableColumn>
    <tableColumn id="11" name="AC">
      <calculatedColumnFormula>IF(PhaseSummary[[#This Row],[_Task]]="","",INDEX(tsk_AC,PhaseSummary[[#This Row],[_Task]]))</calculatedColumnFormula>
    </tableColumn>
    <tableColumn id="12" name="SPI">
      <calculatedColumnFormula>IF(PhaseSummary[[#This Row],[_Task]]="","",IF(N(PhaseSummary[[#This Row],[PV]])&gt;0,PhaseSummary[[#This Row],[EV]]/PhaseSummary[[#This Row],[PV]],""))</calculatedColumnFormula>
    </tableColumn>
    <tableColumn id="13" name="CPI">
      <calculatedColumnFormula>IF(PhaseSummary[[#This Row],[_Task]]="","",IF(N(PhaseSummary[[#This Row],[AC]])&gt;0,PhaseSummary[[#This Row],[EV]]/PhaseSummary[[#This Row],[AC]],""))</calculatedColumnFormula>
    </tableColumn>
    <tableColumn id="14" name="Open Critical">
      <calculatedColumnFormula>IF(PhaseSummary[[#This Row],[_Task]]="","",COUNTIFS(tsk_Phase,PhaseSummary[[#This Row],[WBS]],tsk_Critical,"Yes",tsk_IsLeaf,1))</calculatedColumnFormula>
    </tableColumn>
    <tableColumn id="15" name="RAG">
      <calculatedColumnFormula>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calculatedColumnFormula>
    </tableColumn>
  </tableColumns>
  <tableStyleInfo name="TableStyleLight1" showRowStripes="0"/>
</table>
</file>

<file path=xl/tables/table31.xml><?xml version="1.0" encoding="utf-8"?>
<table xmlns="http://schemas.openxmlformats.org/spreadsheetml/2006/main" id="31" name="RAIDLog" displayName="RAIDLog" ref="B4:T104" headerRowCount="1">
  <autoFilter ref="B4:T104"/>
  <tableColumns count="19">
    <tableColumn id="1" name="Ref"/>
    <tableColumn id="2" name="Type"/>
    <tableColumn id="3" name="Title"/>
    <tableColumn id="4" name="Owner"/>
    <tableColumn id="5" name="Raised"/>
    <tableColumn id="6" name="Due"/>
    <tableColumn id="7" name="Status"/>
    <tableColumn id="8" name="Probability"/>
    <tableColumn id="9" name="Impact"/>
    <tableColumn id="10" name="Score">
      <calculatedColumnFormula>IF(RAIDLog[[#This Row],[Title]]="","",IF(RAIDLog[[#This Row],[Type]]="Issue",5,N(RAIDLog[[#This Row],[Probability]]))*N(RAIDLog[[#This Row],[Impact]]))</calculatedColumnFormula>
    </tableColumn>
    <tableColumn id="11" name="Rating">
      <calculatedColumnFormula>IF(RAIDLog[[#This Row],[Title]]="","",IF(RAIDLog[[#This Row],[Score]]&gt;=RAIDHighScore,"High",IF(RAIDLog[[#This Row],[Score]]&gt;=RAIDMediumScore,"Medium","Low")))</calculatedColumnFormula>
    </tableColumn>
    <tableColumn id="12" name="Overdue">
      <calculatedColumnFormula>IF(OR(RAIDLog[[#This Row],[Title]]="",N(RAIDLog[[#This Row],[Due]])=0),"",IF(AND(RAIDLog[[#This Row],[Status]]&lt;&gt;"Closed",RAIDLog[[#This Row],[Due]]&lt;StatusDate),"Overdue",""))</calculatedColumnFormula>
    </tableColumn>
    <tableColumn id="13" name="Task UID"/>
    <tableColumn id="14" name="Task">
      <calculatedColumnFormula>IF(N(RAIDLog[[#This Row],[Task UID]])=0,"",IFERROR(INDEX(tsk_Name,MATCH(RAIDLog[[#This Row],[Task UID]],tsk_UID,0)),"UID "&amp;RAIDLog[[#This Row],[Task UID]]&amp;" not found"))</calculatedColumnFormula>
    </tableColumn>
    <tableColumn id="15" name="Task Finish">
      <calculatedColumnFormula>IF(N(RAIDLog[[#This Row],[Task UID]])=0,"",IFERROR(INDEX(tsk_FcFinish,MATCH(RAIDLog[[#This Row],[Task UID]],tsk_UID,0)),""))</calculatedColumnFormula>
    </tableColumn>
    <tableColumn id="16" name="Response"/>
    <tableColumn id="17" name="Update"/>
    <tableColumn id="18" name="_Label">
      <calculatedColumnFormula>IF(RAIDLog[[#This Row],[Title]]="","",RAIDLog[[#This Row],[Type]]&amp;" "&amp;RAIDLog[[#This Row],[Ref]]&amp;": "&amp;RAIDLog[[#This Row],[Title]])</calculatedColumnFormula>
    </tableColumn>
    <tableColumn id="19" name="_TopKey">
      <calculatedColumnFormula>IF(AND(NOT(RAIDLog[[#This Row],[Title]]=""),RAIDLog[[#This Row],[Status]]&lt;&gt;"Closed"),RAIDLog[[#This Row],[Score]]+1-(ROW()-ROW(RAIDLog[[#Headers],[Ref]]))/100000,"")</calculatedColumnFormula>
    </tableColumn>
  </tableColumns>
  <tableStyleInfo name="TableStyleLight1" showRowStripes="0"/>
</table>
</file>

<file path=xl/tables/table32.xml><?xml version="1.0" encoding="utf-8"?>
<table xmlns="http://schemas.openxmlformats.org/spreadsheetml/2006/main" id="32" name="ResourceSummary" displayName="ResourceSummary" ref="B5:O30" headerRowCount="1">
  <tableColumns count="14">
    <tableColumn id="1" name="Resource">
      <calculatedColumnFormula>IFERROR(INDEX(res_Name,ROW()-ROW(ResourceSummary[[#Headers],[Resource]]))&amp;"","")</calculatedColumnFormula>
    </tableColumn>
    <tableColumn id="2" name="Max Units">
      <calculatedColumnFormula>IF(ResourceSummary[[#This Row],[Resource]]="","",INDEX(ResourceTable[Max Units],ROW()-ROW(ResourceSummary[[#Headers],[Resource]])))</calculatedColumnFormula>
    </tableColumn>
    <tableColumn id="3" name="Tasks">
      <calculatedColumnFormula>IF(ResourceSummary[[#This Row],[Resource]]="","",INDEX(ResourceTable[Tasks],ROW()-ROW(ResourceSummary[[#Headers],[Resource]])))</calculatedColumnFormula>
    </tableColumn>
    <tableColumn id="4" name="Work">
      <calculatedColumnFormula>IF(ResourceSummary[[#This Row],[Resource]]="","",INDEX(ResourceTable[Work],ROW()-ROW(ResourceSummary[[#Headers],[Resource]])))</calculatedColumnFormula>
    </tableColumn>
    <tableColumn id="5" name="Work Done">
      <calculatedColumnFormula>IF(ResourceSummary[[#This Row],[Resource]]="","",SUMIFS(tsk_LeafWorkDone,tsk_Resource,ResourceSummary[[#This Row],[Resource]])+SUMIFS(asg_WorkDone,asg_Resource,ResourceSummary[[#This Row],[Resource]]))</calculatedColumnFormula>
    </tableColumn>
    <tableColumn id="6" name="Remaining">
      <calculatedColumnFormula>IF(ResourceSummary[[#This Row],[Resource]]="","",ResourceSummary[[#This Row],[Work]]-ResourceSummary[[#This Row],[Work Done]])</calculatedColumnFormula>
    </tableColumn>
    <tableColumn id="7" name="Cost">
      <calculatedColumnFormula>IF(ResourceSummary[[#This Row],[Resource]]="","",INDEX(ResourceTable[Cost],ROW()-ROW(ResourceSummary[[#Headers],[Resource]])))</calculatedColumnFormula>
    </tableColumn>
    <tableColumn id="8" name="Actual Cost">
      <calculatedColumnFormula>IF(ResourceSummary[[#This Row],[Resource]]="","",INDEX(ResourceTable[Actual Cost],ROW()-ROW(ResourceSummary[[#Headers],[Resource]])))</calculatedColumnFormula>
    </tableColumn>
    <tableColumn id="9" name="Late Tasks">
      <calculatedColumnFormula>IF(ResourceSummary[[#This Row],[Resource]]="","",COUNTIFS(tsk_Resource,ResourceSummary[[#This Row],[Resource]],tsk_LateKey,"&gt;0")+SUMIFS(asg_Late,asg_Resource,ResourceSummary[[#This Row],[Resource]]))</calculatedColumnFormula>
    </tableColumn>
    <tableColumn id="10" name="Open Critical">
      <calculatedColumnFormula>IF(ResourceSummary[[#This Row],[Resource]]="","",COUNTIFS(tsk_Resource,ResourceSummary[[#This Row],[Resource]],tsk_Critical,"Yes",tsk_IsLeaf,1)+SUMIFS(asg_Critical,asg_Resource,ResourceSummary[[#This Row],[Resource]]))</calculatedColumnFormula>
    </tableColumn>
    <tableColumn id="11" name="Peak Week (h)">
      <calculatedColumnFormula>IF(ResourceSummary[[#This Row],[Resource]]="","",MAX(INDEX(rw_Load,ROW()-ROW(ResourceSummary[[#Headers],[Resource]]),0)))</calculatedColumnFormula>
    </tableColumn>
    <tableColumn id="12" name="Peak Use">
      <calculatedColumnFormula>IF(ResourceSummary[[#This Row],[Resource]]="","",MAX(INDEX(rw_Util,ROW()-ROW(ResourceSummary[[#Headers],[Resource]]),0)))</calculatedColumnFormula>
    </tableColumn>
    <tableColumn id="13" name="Weeks Over">
      <calculatedColumnFormula>IF(ResourceSummary[[#This Row],[Resource]]="","",COUNTIF(INDEX(rw_Util,ROW()-ROW(ResourceSummary[[#Headers],[Resource]]),0),"&gt;1"))</calculatedColumnFormula>
    </tableColumn>
    <tableColumn id="14" name="Leave Days">
      <calculatedColumnFormula>IF(ResourceSummary[[#This Row],[Resource]]="","",SUM(INDEX(rw_Leave,ROW()-ROW(ResourceSummary[[#Headers],[Resource]]),0)))</calculatedColumnFormula>
    </tableColumn>
  </tableColumns>
  <tableStyleInfo name="TableStyleLight1" showRowStripes="0"/>
</table>
</file>

<file path=xl/tables/table33.xml><?xml version="1.0" encoding="utf-8"?>
<table xmlns="http://schemas.openxmlformats.org/spreadsheetml/2006/main" id="33" name="ResourceTable" displayName="ResourceTable" ref="B5:M55" headerRowCount="1">
  <autoFilter ref="B5:M55"/>
  <tableColumns count="12">
    <tableColumn id="1" name="Resource Name"/>
    <tableColumn id="2" name="Initials"/>
    <tableColumn id="3" name="Group"/>
    <tableColumn id="4" name="Type"/>
    <tableColumn id="5" name="Max Units"/>
    <tableColumn id="6" name="Std Rate"/>
    <tableColumn id="7" name="Email"/>
    <tableColumn id="8" name="Tasks">
      <calculatedColumnFormula>IF(ResourceTable[[#This Row],[Resource Name]]="","",COUNTIFS(tsk_Resource,ResourceTable[[#This Row],[Resource Name]],tsk_IsLeaf,1)+COUNTIFS(asg_Resource,ResourceTable[[#This Row],[Resource Name]],asg_Valid,1))</calculatedColumnFormula>
    </tableColumn>
    <tableColumn id="9" name="Work">
      <calculatedColumnFormula>IF(ResourceTable[[#This Row],[Resource Name]]="","",SUMIFS(tsk_LeafWork,tsk_Resource,ResourceTable[[#This Row],[Resource Name]])+SUMIFS(asg_Work,asg_Resource,ResourceTable[[#This Row],[Resource Name]]))</calculatedColumnFormula>
    </tableColumn>
    <tableColumn id="10" name="Cost">
      <calculatedColumnFormula>IF(ResourceTable[[#This Row],[Resource Name]]="","",SUMIFS(tsk_LeafCost,tsk_Resource,ResourceTable[[#This Row],[Resource Name]])+SUMIFS(asg_Cost,asg_Resource,ResourceTable[[#This Row],[Resource Name]]))</calculatedColumnFormula>
    </tableColumn>
    <tableColumn id="11" name="Actual Cost">
      <calculatedColumnFormula>IF(ResourceTable[[#This Row],[Resource Name]]="","",SUMIFS(tsk_ResourceAC,tsk_Resource,ResourceTable[[#This Row],[Resource Name]])+SUMIFS(asg_ActualCost,asg_Resource,ResourceTable[[#This Row],[Resource Name]]))</calculatedColumnFormula>
    </tableColumn>
    <tableColumn id="12" name="Notes"/>
  </tableColumns>
  <tableStyleInfo name="TableStyleLight1" showRowStripes="0"/>
</table>
</file>

<file path=xl/tables/table34.xml><?xml version="1.0" encoding="utf-8"?>
<table xmlns="http://schemas.openxmlformats.org/spreadsheetml/2006/main" id="34"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0"/>
</table>
</file>

<file path=xl/tables/table35.xml><?xml version="1.0" encoding="utf-8"?>
<table xmlns="http://schemas.openxmlformats.org/spreadsheetml/2006/main" id="35" name="RoadmapPhases" displayName="RoadmapPhases" ref="B7:J17" headerRowCount="1">
  <tableColumns count="9">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Planned Start">
      <calculatedColumnFormula>IF(RoadmapPhases[[#This Row],[_Task]]="","",IF(N(INDEX(tsk_PlanStart,RoadmapPhases[[#This Row],[_Task]]))=0,"",INDEX(tsk_PlanStart,RoadmapPhases[[#This Row],[_Task]])))</calculatedColumnFormula>
    </tableColumn>
    <tableColumn id="5" name="Planned Finish">
      <calculatedColumnFormula>IF(RoadmapPhases[[#This Row],[_Task]]="","",IF(N(INDEX(tsk_PlanFinish,RoadmapPhases[[#This Row],[_Task]]))=0,"",INDEX(tsk_PlanFinish,RoadmapPhases[[#This Row],[_Task]])))</calculatedColumnFormula>
    </tableColumn>
    <tableColumn id="6" name="Start">
      <calculatedColumnFormula>IF(RoadmapPhases[[#This Row],[_Task]]="","",IF(N(INDEX(tsk_FcStart,RoadmapPhases[[#This Row],[_Task]]))=0,"",INDEX(tsk_FcStart,RoadmapPhases[[#This Row],[_Task]])))</calculatedColumnFormula>
    </tableColumn>
    <tableColumn id="7" name="Finish">
      <calculatedColumnFormula>IF(RoadmapPhases[[#This Row],[_Task]]="","",IF(N(INDEX(tsk_FcFinish,RoadmapPhases[[#This Row],[_Task]]))=0,"",INDEX(tsk_FcFinish,RoadmapPhases[[#This Row],[_Task]])))</calculatedColumnFormula>
    </tableColumn>
    <tableColumn id="8" name="Progress">
      <calculatedColumnFormula>IF(RoadmapPhases[[#This Row],[_Task]]="","",INDEX(tsk_Progress,RoadmapPhases[[#This Row],[_Task]]))</calculatedColumnFormula>
    </tableColumn>
    <tableColumn id="9" name="Finish Var">
      <calculatedColumnFormula>IF(RoadmapPhases[[#This Row],[_Task]]="","",INDEX(tsk_Variance,RoadmapPhases[[#This Row],[_Task]]))</calculatedColumnFormula>
    </tableColumn>
  </tableColumns>
  <tableStyleInfo name="TableStyleLight1" showRowStripes="0"/>
</table>
</file>

<file path=xl/tables/table36.xml><?xml version="1.0" encoding="utf-8"?>
<table xmlns="http://schemas.openxmlformats.org/spreadsheetml/2006/main" id="36" name="SnapshotNow" displayName="SnapshotNow" ref="B4:T5" headerRowCount="1">
  <tableColumns count="19">
    <tableColumn id="1" name="Status Date">
      <calculatedColumnFormula>StatusDate</calculatedColumnFormula>
    </tableColumn>
    <tableColumn id="2" name="Forecast Finish">
      <calculatedColumnFormula>ProjectFinish</calculatedColumnFormula>
    </tableColumn>
    <tableColumn id="3" name="Planned Finish">
      <calculatedColumnFormula>PlannedFinish</calculatedColumnFormula>
    </tableColumn>
    <tableColumn id="4" name="Finish Var">
      <calculatedColumnFormula>FinishVarianceDays</calculatedColumnFormula>
    </tableColumn>
    <tableColumn id="5" name="% Earned">
      <calculatedColumnFormula>evm_PctEarned</calculatedColumnFormula>
    </tableColumn>
    <tableColumn id="6" name="% Planned">
      <calculatedColumnFormula>evm_PctPlanned</calculatedColumnFormula>
    </tableColumn>
    <tableColumn id="7" name="BAC">
      <calculatedColumnFormula>evm_BAC</calculatedColumnFormula>
    </tableColumn>
    <tableColumn id="8" name="PV">
      <calculatedColumnFormula>evm_PV</calculatedColumnFormula>
    </tableColumn>
    <tableColumn id="9" name="EV">
      <calculatedColumnFormula>evm_EV</calculatedColumnFormula>
    </tableColumn>
    <tableColumn id="10" name="AC">
      <calculatedColumnFormula>evm_AC</calculatedColumnFormula>
    </tableColumn>
    <tableColumn id="11" name="SPI">
      <calculatedColumnFormula>evm_SPI</calculatedColumnFormula>
    </tableColumn>
    <tableColumn id="12" name="CPI">
      <calculatedColumnFormula>evm_CPI</calculatedColumnFormula>
    </tableColumn>
    <tableColumn id="13" name="EAC">
      <calculatedColumnFormula>evm_EAC</calculatedColumnFormula>
    </tableColumn>
    <tableColumn id="14" name="Points Done">
      <calculatedColumnFormula>agl_Done</calculatedColumnFormula>
    </tableColumn>
    <tableColumn id="15" name="Total Points">
      <calculatedColumnFormula>TotalPoints</calculatedColumnFormula>
    </tableColumn>
    <tableColumn id="16" name="Open Risks">
      <calculatedColumnFormula>COUNTIFS(raid_Type,"Risk",raid_Status,"&lt;&gt;Closed")</calculatedColumnFormula>
    </tableColumn>
    <tableColumn id="17" name="Open Issues">
      <calculatedColumnFormula>COUNTIFS(raid_Type,"Issue",raid_Status,"&lt;&gt;Closed")</calculatedColumnFormula>
    </tableColumn>
    <tableColumn id="18" name="Pending Changes">
      <calculatedColumnFormula>COUNTIF(chg_Status,"Submitted")+COUNTIF(chg_Status,"Under Review")</calculatedColumnFormula>
    </tableColumn>
    <tableColumn id="19" name="RAG">
      <calculatedColumnFormula>ProjectRAG</calculatedColumnFormula>
    </tableColumn>
  </tableColumns>
  <tableStyleInfo name="TableStyleLight1" showRowStripes="0"/>
</table>
</file>

<file path=xl/tables/table37.xml><?xml version="1.0" encoding="utf-8"?>
<table xmlns="http://schemas.openxmlformats.org/spreadsheetml/2006/main" id="37" name="SprintBacklog" displayName="SprintBacklog" ref="B20:H40" headerRowCount="1">
  <tableColumns count="7">
    <tableColumn id="1" name="_Task">
      <calculatedColumnFormula>IFERROR(MATCH(SMALL(tsk_CurrentSprintKey,ROW()-ROW(SprintBacklog[[#Headers],[_Task]])),tsk_CurrentSprintKey,0),"")</calculatedColumnFormula>
    </tableColumn>
    <tableColumn id="2" name="Task">
      <calculatedColumnFormula>IF(SprintBacklog[[#This Row],[_Task]]="","",INDEX(tsk_Name,SprintBacklog[[#This Row],[_Task]])&amp;"")</calculatedColumnFormula>
    </tableColumn>
    <tableColumn id="3" name="Story Points">
      <calculatedColumnFormula>IF(SprintBacklog[[#This Row],[_Task]]="","",INDEX(tsk_StoryPoints,SprintBacklog[[#This Row],[_Task]]))</calculatedColumnFormula>
    </tableColumn>
    <tableColumn id="4" name="Resource">
      <calculatedColumnFormula>IF(SprintBacklog[[#This Row],[_Task]]="","",INDEX(tsk_ResourceNames,SprintBacklog[[#This Row],[_Task]])&amp;"")</calculatedColumnFormula>
    </tableColumn>
    <tableColumn id="5" name="Forecast Finish">
      <calculatedColumnFormula>IF(SprintBacklog[[#This Row],[_Task]]="","",IF(N(INDEX(tsk_FcFinish,SprintBacklog[[#This Row],[_Task]]))=0,"",INDEX(tsk_FcFinish,SprintBacklog[[#This Row],[_Task]])))</calculatedColumnFormula>
    </tableColumn>
    <tableColumn id="6" name="Progress">
      <calculatedColumnFormula>IF(SprintBacklog[[#This Row],[_Task]]="","",INDEX(tsk_Progress,SprintBacklog[[#This Row],[_Task]]))</calculatedColumnFormula>
    </tableColumn>
    <tableColumn id="7" name="Status">
      <calculatedColumnFormula>IF(SprintBacklog[[#This Row],[_Task]]="","",INDEX(tsk_Status,SprintBacklog[[#This Row],[_Task]])&amp;"")</calculatedColumnFormula>
    </tableColumn>
  </tableColumns>
  <tableStyleInfo name="TableStyleLight1" showRowStripes="0"/>
</table>
</file>

<file path=xl/tables/table38.xml><?xml version="1.0" encoding="utf-8"?>
<table xmlns="http://schemas.openxmlformats.org/spreadsheetml/2006/main" id="38" name="SprintBurndown" displayName="SprintBurndown" ref="C43:H74" headerRowCount="1">
  <tableColumns count="6">
    <tableColumn id="1" name="Day">
      <calculatedColumnFormula>IF(OR(CurrentSprint="",ROW()-ROW(SprintBurndown[[#Headers],[Day]])&gt;SprintLength),"",CurrentSprintStart+ROW()-ROW(SprintBurndown[[#Headers],[Day]])-1)</calculatedColumnFormula>
    </tableColumn>
    <tableColumn id="2" name="Remaining">
      <calculatedColumnFormula>IF(OR(SprintBurndown[[#This Row],[Day]]="",SprintBurndown[[#This Row],[Day]]&gt;StatusDate),"",agl_CurCommitted-SUMIFS(tsk_LeafPoints,tsk_Sprint,CurrentSprint,tsk_DoneDate,"&lt;="&amp;SprintBurndown[[#This Row],[Day]]))</calculatedColumnFormula>
    </tableColumn>
    <tableColumn id="3" name="Ideal">
      <calculatedColumnFormula>IF(SprintBurndown[[#This Row],[Day]]="","",agl_CurCommitted*MAX(0,1-NETWORKDAYS.INTL(CurrentSprintStart,SprintBurndown[[#This Row],[Day]],WorkWeek,Holidays)/MAX(1,NETWORKDAYS.INTL(CurrentSprintStart,CurrentSprintEnd,WorkWeek,Holidays))))</calculatedColumnFormula>
    </tableColumn>
    <tableColumn id="4" name="_ChartDay">
      <calculatedColumnFormula>IF(SprintBurndown[[#This Row],[Day]]="","",TEXT(SprintBurndown[[#This Row],[Day]],"dd-mmm"))</calculatedColumnFormula>
    </tableColumn>
    <tableColumn id="5" name="_ChartRemaining">
      <calculatedColumnFormula>IF(SprintBurndown[[#This Row],[Remaining]]="",NA(),SprintBurndown[[#This Row],[Remaining]])</calculatedColumnFormula>
    </tableColumn>
    <tableColumn id="6" name="_ChartIdeal">
      <calculatedColumnFormula>IF(SprintBurndown[[#This Row],[Ideal]]="",NA(),SprintBurndown[[#This Row],[Ideal]])</calculatedColumnFormula>
    </tableColumn>
  </tableColumns>
  <tableStyleInfo name="TableStyleLight1" showRowStripes="0"/>
</table>
</file>

<file path=xl/tables/table39.xml><?xml version="1.0" encoding="utf-8"?>
<table xmlns="http://schemas.openxmlformats.org/spreadsheetml/2006/main" id="39" name="SprintTable" displayName="SprintTable" ref="A5:V31" headerRowCount="1">
  <tableColumns count="22">
    <tableColumn id="1" name="No">
      <calculatedColumnFormula>ROW()-ROW(SprintTable[[#Headers],[No]])</calculatedColumnFormula>
    </tableColumn>
    <tableColumn id="2" name="Sprint">
      <calculatedColumnFormula>IF(SprintTable[[#This Row],[No]]&lt;=SprintCount,SprintPrefix&amp;SprintTable[[#This Row],[No]],"")</calculatedColumnFormula>
    </tableColumn>
    <tableColumn id="3" name="Start">
      <calculatedColumnFormula>Sprint1Start+(SprintTable[[#This Row],[No]]-1)*SprintLength</calculatedColumnFormula>
    </tableColumn>
    <tableColumn id="4" name="End">
      <calculatedColumnFormula>SprintTable[[#This Row],[Start]]+SprintLength-1</calculatedColumnFormula>
    </tableColumn>
    <tableColumn id="5" name="Working Days">
      <calculatedColumnFormula>NETWORKDAYS.INTL(SprintTable[[#This Row],[Start]],SprintTable[[#This Row],[End]],WorkWeek,Holidays)</calculatedColumnFormula>
    </tableColumn>
    <tableColumn id="6" name="Goal"/>
    <tableColumn id="7" name="Tasks Starting">
      <calculatedColumnFormula>IF(SprintTable[[#This Row],[Sprint]]="","",COUNTIF(tsk_Sprint,SprintTable[[#This Row],[Sprint]]))</calculatedColumnFormula>
    </tableColumn>
    <tableColumn id="8" name="Planned Work">
      <calculatedColumnFormula>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calculatedColumnFormula>
    </tableColumn>
    <tableColumn id="9" name="Capacity">
      <calculatedColumnFormula>IF(SprintTable[[#This Row],[Sprint]]="","",SUMIFS(res_MaxUnits,res_Type,"Work")*HoursPerDay*SprintTable[[#This Row],[Working Days]]-(HoursPerDay*SUMPRODUCT((INDEX(res_Type,1):INDEX(res_Type,ROWS(spr_LeaveGrid))="Work")*INDEX(res_MaxUnits,1):INDEX(res_MaxUnits,ROWS(spr_LeaveGrid))*INDEX(spr_LeaveGrid,0,SprintTable[[#This Row],[No]]))))</calculatedColumnFormula>
    </tableColumn>
    <tableColumn id="10" name="Utilisation">
      <calculatedColumnFormula>IF(OR(SprintTable[[#This Row],[Sprint]]="",N(SprintTable[[#This Row],[Capacity]])=0),"",SprintTable[[#This Row],[Planned Work]]/SprintTable[[#This Row],[Capacity]])</calculatedColumnFormula>
    </tableColumn>
    <tableColumn id="11" name="Status">
      <calculatedColumnFormula>IF(SprintTable[[#This Row],[Sprint]]="","",IF(StatusDate&gt;SprintTable[[#This Row],[End]],"Closed",IF(StatusDate&gt;=SprintTable[[#This Row],[Start]],"Active","Future")))</calculatedColumnFormula>
    </tableColumn>
    <tableColumn id="12" name="Points Capacity"/>
    <tableColumn id="13" name="Committed Points">
      <calculatedColumnFormula>IF(SprintTable[[#This Row],[Sprint]]="","",SUMIFS(tsk_LeafPoints,tsk_Sprint,SprintTable[[#This Row],[Sprint]]))</calculatedColumnFormula>
    </tableColumn>
    <tableColumn id="14" name="Done Points">
      <calculatedColumnFormula>IF(OR(SprintTable[[#This Row],[Sprint]]="",SprintTable[[#This Row],[Status]]="Future"),"",SUMIFS(tsk_LeafPoints,tsk_DoneDate,"&gt;="&amp;SprintTable[[#This Row],[Start]],tsk_DoneDate,"&lt;="&amp;SprintTable[[#This Row],[End]]))</calculatedColumnFormula>
    </tableColumn>
    <tableColumn id="15" name="Velocity">
      <calculatedColumnFormula>IF(OR(SprintTable[[#This Row],[Sprint]]="",SprintTable[[#This Row],[Status]]&lt;&gt;"Closed"),"",AVERAGE(INDEX(SprintTable[Done Points],MAX(1,SprintTable[[#This Row],[No]]-2)):INDEX(SprintTable[Done Points],SprintTable[[#This Row],[No]])))</calculatedColumnFormula>
    </tableColumn>
    <tableColumn id="16" name="Remaining Points">
      <calculatedColumnFormula>IF(OR(SprintTable[[#This Row],[Sprint]]="",SprintTable[[#This Row],[Status]]="Future"),"",TotalPoints-SUMIFS(tsk_LeafPoints,tsk_DoneDate,"&lt;="&amp;MIN(SprintTable[[#This Row],[End]],StatusDate)))</calculatedColumnFormula>
    </tableColumn>
    <tableColumn id="17" name="Forecast Remaining">
      <calculatedColumnFormula>IF(SprintTable[[#This Row],[Sprint]]="","",TotalPoints-SUMIFS(tsk_LeafPoints,tsk_FcFinish,"&lt;="&amp;SprintTable[[#This Row],[End]]))</calculatedColumnFormula>
    </tableColumn>
    <tableColumn id="18" name="Ideal Remaining">
      <calculatedColumnFormula>IF(SprintTable[[#This Row],[Sprint]]="","",TotalPoints*MAX(0,1-SprintTable[[#This Row],[No]]/SprintCount))</calculatedColumnFormula>
    </tableColumn>
    <tableColumn id="19" name="_ChartRemaining">
      <calculatedColumnFormula>IF(SprintTable[[#This Row],[Remaining Points]]="",NA(),SprintTable[[#This Row],[Remaining Points]])</calculatedColumnFormula>
    </tableColumn>
    <tableColumn id="20" name="_LeaveCol0">
      <calculatedColumnFormula>IFERROR(MATCH(MID("JanFebMarAprMayJunJulAugSepOctNovDec",MONTH(DATE(YEAR(SprintTable[[#This Row],[Start]]),MONTH(SprintTable[[#This Row],[Start]])+0,1))*3-2,3)&amp;"-"&amp;RIGHT(YEAR(DATE(YEAR(SprintTable[[#This Row],[Start]]),MONTH(SprintTable[[#This Row],[Start]])+0,1)),2),LeaveTable[#Headers],0),0)</calculatedColumnFormula>
    </tableColumn>
    <tableColumn id="21" name="_LeaveCol1">
      <calculatedColumnFormula>IFERROR(MATCH(MID("JanFebMarAprMayJunJulAugSepOctNovDec",MONTH(DATE(YEAR(SprintTable[[#This Row],[Start]]),MONTH(SprintTable[[#This Row],[Start]])+1,1))*3-2,3)&amp;"-"&amp;RIGHT(YEAR(DATE(YEAR(SprintTable[[#This Row],[Start]]),MONTH(SprintTable[[#This Row],[Start]])+1,1)),2),LeaveTable[#Headers],0),0)</calculatedColumnFormula>
    </tableColumn>
    <tableColumn id="22" name="_LeaveCol2">
      <calculatedColumnFormula>IFERROR(MATCH(MID("JanFebMarAprMayJunJulAugSepOctNovDec",MONTH(DATE(YEAR(SprintTable[[#This Row],[Start]]),MONTH(SprintTable[[#This Row],[Start]])+2,1))*3-2,3)&amp;"-"&amp;RIGHT(YEAR(DATE(YEAR(SprintTable[[#This Row],[Start]]),MONTH(SprintTable[[#This Row],[Start]])+2,1)),2),LeaveTable[#Headers],0),0)</calculatedColumnFormula>
    </tableColumn>
  </tableColumns>
  <tableStyleInfo name="TableStyleLight1" showRowStripes="0"/>
</table>
</file>

<file path=xl/tables/table40.xml><?xml version="1.0" encoding="utf-8"?>
<table xmlns="http://schemas.openxmlformats.org/spreadsheetml/2006/main" id="40" name="StartingSoon" displayName="StartingSoon" ref="B54:J69" headerRowCount="1">
  <tableColumns count="9">
    <tableColumn id="1" name="_Task">
      <calculatedColumnFormula>IFERROR(MATCH(SMALL(tsk_StartSoonKey,ROW()-ROW(StartingSoon[[#Headers],[_Task]])),tsk_StartSoonKey,0),"")</calculatedColumnFormula>
    </tableColumn>
    <tableColumn id="2" name="WBS">
      <calculatedColumnFormula>IF(StartingSoon[[#This Row],[_Task]]="","",INDEX(tsk_WBS,StartingSoon[[#This Row],[_Task]])&amp;"")</calculatedColumnFormula>
    </tableColumn>
    <tableColumn id="3" name="Task">
      <calculatedColumnFormula>IF(StartingSoon[[#This Row],[_Task]]="","",INDEX(tsk_Name,StartingSoon[[#This Row],[_Task]])&amp;"")</calculatedColumnFormula>
    </tableColumn>
    <tableColumn id="4" name="Resource">
      <calculatedColumnFormula>IF(StartingSoon[[#This Row],[_Task]]="","",INDEX(tsk_ResourceNames,StartingSoon[[#This Row],[_Task]])&amp;"")</calculatedColumnFormula>
    </tableColumn>
    <tableColumn id="5" name="Forecast Start">
      <calculatedColumnFormula>IF(StartingSoon[[#This Row],[_Task]]="","",IF(N(INDEX(tsk_FcStart,StartingSoon[[#This Row],[_Task]]))=0,"",INDEX(tsk_FcStart,StartingSoon[[#This Row],[_Task]])))</calculatedColumnFormula>
    </tableColumn>
    <tableColumn id="6" name="Forecast Finish">
      <calculatedColumnFormula>IF(StartingSoon[[#This Row],[_Task]]="","",IF(N(INDEX(tsk_FcFinish,StartingSoon[[#This Row],[_Task]]))=0,"",INDEX(tsk_FcFinish,StartingSoon[[#This Row],[_Task]])))</calculatedColumnFormula>
    </tableColumn>
    <tableColumn id="7" name="Duration">
      <calculatedColumnFormula>IF(StartingSoon[[#This Row],[_Task]]="","",INDEX(tsk_Duration,StartingSoon[[#This Row],[_Task]]))</calculatedColumnFormula>
    </tableColumn>
    <tableColumn id="8" name="Predecessors">
      <calculatedColumnFormula>IF(StartingSoon[[#This Row],[_Task]]="","",INDEX(tsk_Predecessors,StartingSoon[[#This Row],[_Task]])&amp;"")</calculatedColumnFormula>
    </tableColumn>
    <tableColumn id="9" name="Critical">
      <calculatedColumnFormula>IF(StartingSoon[[#This Row],[_Task]]="","",INDEX(tsk_Critical,StartingSoon[[#This Row],[_Task]])&amp;"")</calculatedColumnFormula>
    </tableColumn>
  </tableColumns>
  <tableStyleInfo name="TableStyleLight1" showRowStripes="0"/>
</table>
</file>

<file path=xl/tables/table41.xml><?xml version="1.0" encoding="utf-8"?>
<table xmlns="http://schemas.openxmlformats.org/spreadsheetml/2006/main" id="41" name="StatusHistory" displayName="StatusHistory" ref="B8:T68" headerRowCount="1">
  <autoFilter ref="B8:T68"/>
  <tableColumns count="19">
    <tableColumn id="1" name="Status Date"/>
    <tableColumn id="2" name="Forecast Finish"/>
    <tableColumn id="3" name="Planned Finish"/>
    <tableColumn id="4" name="Finish Var"/>
    <tableColumn id="5" name="% Earned"/>
    <tableColumn id="6" name="% Planned"/>
    <tableColumn id="7" name="BAC"/>
    <tableColumn id="8" name="PV"/>
    <tableColumn id="9" name="EV"/>
    <tableColumn id="10" name="AC"/>
    <tableColumn id="11" name="SPI"/>
    <tableColumn id="12" name="CPI"/>
    <tableColumn id="13" name="EAC"/>
    <tableColumn id="14" name="Points Done"/>
    <tableColumn id="15" name="Total Points"/>
    <tableColumn id="16" name="Open Risks"/>
    <tableColumn id="17" name="Open Issues"/>
    <tableColumn id="18" name="Pending Changes"/>
    <tableColumn id="19" name="RAG"/>
  </tableColumns>
  <tableStyleInfo name="TableStyleLight1" showRowStripes="0"/>
</table>
</file>

<file path=xl/tables/table42.xml><?xml version="1.0" encoding="utf-8"?>
<table xmlns="http://schemas.openxmlformats.org/spreadsheetml/2006/main" id="42" name="StatusNotes" displayName="StatusNotes" ref="B55:C61" headerRowCount="1">
  <tableColumns count="2">
    <tableColumn id="1" name="Section"/>
    <tableColumn id="2" name="Notes"/>
  </tableColumns>
  <tableStyleInfo name="TableStyleLight1" showRowStripes="0"/>
</table>
</file>

<file path=xl/tables/table43.xml><?xml version="1.0" encoding="utf-8"?>
<table xmlns="http://schemas.openxmlformats.org/spreadsheetml/2006/main" id="43" name="StatusRAG" displayName="StatusRAG" ref="B7:H14"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0"/>
</table>
</file>

<file path=xl/tables/table44.xml><?xml version="1.0" encoding="utf-8"?>
<table xmlns="http://schemas.openxmlformats.org/spreadsheetml/2006/main" id="44" name="StatusSummary" displayName="StatusSummary" ref="E4:F9" headerRowCount="1">
  <tableColumns count="2">
    <tableColumn id="1" name="Status"/>
    <tableColumn id="2" name="Count">
      <calculatedColumnFormula>COUNTIFS(tsk_Status,StatusSummary[[#This Row],[Status]],tsk_IsLeaf,1)</calculatedColumnFormula>
    </tableColumn>
  </tableColumns>
  <tableStyleInfo name="TableStyleLight1" showRowStripes="0"/>
</table>
</file>

<file path=xl/tables/table45.xml><?xml version="1.0" encoding="utf-8"?>
<table xmlns="http://schemas.openxmlformats.org/spreadsheetml/2006/main" id="45" name="Tasks" displayName="Tasks" ref="A5:EV205" headerRowCount="1">
  <autoFilter ref="A5:EV205"/>
  <tableColumns count="152">
    <tableColumn id="1" name="ID">
      <calculatedColumnFormula>IF(Tasks[[#This Row],[Task Name]]="","",COUNTA(Tasks[[#Headers],[Task Name]]:Tasks[[#This Row],[Task Name]])-1)</calculatedColumnFormula>
    </tableColumn>
    <tableColumn id="2" name="UID"/>
    <tableColumn id="3"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4" name="Level"/>
    <tableColumn id="5" name="Show">
      <calculatedColumnFormula>IF(Tasks[[#This Row],[Task Name]]="","",IF(Tasks[[#This Row],[_Level]]&lt;=OutlineShowLevel,"Yes","No"))</calculatedColumnFormula>
    </tableColumn>
    <tableColumn id="6" name="Task Name"/>
    <tableColumn id="7" name="Mode"/>
    <tableColumn id="8" name="Duration"/>
    <tableColumn id="9" name="Pred1 UID"/>
    <tableColumn id="10" name="Pred1 Type"/>
    <tableColumn id="11" name="Pred1 Lag"/>
    <tableColumn id="12" name="Pred2 UID"/>
    <tableColumn id="13" name="Pred2 Type"/>
    <tableColumn id="14" name="Pred2 Lag"/>
    <tableColumn id="15" name="Pred3 UID"/>
    <tableColumn id="16" name="Pred3 Type"/>
    <tableColumn id="17" name="Pred3 Lag"/>
    <tableColumn id="18" name="Pred4 UID"/>
    <tableColumn id="19" name="Pred4 Type"/>
    <tableColumn id="20" name="Pred4 Lag"/>
    <tableColumn id="21" name="Constraint"/>
    <tableColumn id="22" name="Constraint Date"/>
    <tableColumn id="23" name="Deadline"/>
    <tableColumn id="24" name="Planned Start">
      <calculatedColumnFormula>IF(Tasks[[#This Row],[Task Name]]="","",IF(N(Tasks[[#This Row],[Baseline Start]])&gt;0,Tasks[[#This Row],[Baseline Start]],Tasks[[#This Row],[_CalcStart]]))</calculatedColumnFormula>
    </tableColumn>
    <tableColumn id="25" name="Planned Finish">
      <calculatedColumnFormula>IF(Tasks[[#This Row],[Task Name]]="","",IF(N(Tasks[[#This Row],[Baseline Finish]])&gt;0,Tasks[[#This Row],[Baseline Finish]],Tasks[[#This Row],[_CalcFinish]]))</calculatedColumnFormula>
    </tableColumn>
    <tableColumn id="26" name="Actual Start"/>
    <tableColumn id="27" name="Actual Finish"/>
    <tableColumn id="28" name="Forecast Start">
      <calculatedColumnFormula>IF(Tasks[[#This Row],[Task Name]]="","",IF(Tasks[[#This Row],[_IsSummary]],MIN(INDEX(Tasks[_ShownFcstStart],Tasks[[#This Row],[_Row]]+1):INDEX(Tasks[_ShownFcstStart],Tasks[[#This Row],[_Row]]+Tasks[[#This Row],[_Descendants]])),Tasks[[#This Row],[_ShownFcstStart]]))</calculatedColumnFormula>
    </tableColumn>
    <tableColumn id="29" name="Forecast Finish">
      <calculatedColumnFormula>IF(Tasks[[#This Row],[Task Name]]="","",IF(Tasks[[#This Row],[_IsSummary]],MAX(INDEX(Tasks[_ShownFcstFinish],Tasks[[#This Row],[_Row]]+1):INDEX(Tasks[_ShownFcstFinish],Tasks[[#This Row],[_Row]]+Tasks[[#This Row],[_Descendants]])),Tasks[[#This Row],[_ShownFcstFinish]]))</calculatedColumnFormula>
    </tableColumn>
    <tableColumn id="30" name="Start Var">
      <calculatedColumnFormula>IF(Tasks[[#This Row],[Task Name]]="","",IF(Tasks[[#This Row],[Forecast Start]]&gt;=Tasks[[#This Row],[Planned Start]],NETWORKDAYS.INTL(Tasks[[#This Row],[Planned Start]],Tasks[[#This Row],[Forecast Start]],WorkWeek,Holidays)-1,1-NETWORKDAYS.INTL(Tasks[[#This Row],[Forecast Start]],Tasks[[#This Row],[Planned Start]],WorkWeek,Holidays)))</calculatedColumnFormula>
    </tableColumn>
    <tableColumn id="31" name="Finish Var">
      <calculatedColumnFormula>IF(Tasks[[#This Row],[Task Name]]="","",IF(Tasks[[#This Row],[Forecast Finish]]&gt;=Tasks[[#This Row],[Planned Finish]],NETWORKDAYS.INTL(Tasks[[#This Row],[Planned Finish]],Tasks[[#This Row],[Forecast Finish]],WorkWeek,Holidays)-1,1-NETWORKDAYS.INTL(Tasks[[#This Row],[Forecast Finish]],Tasks[[#This Row],[Planned Finish]],WorkWeek,Holidays)))</calculatedColumnFormula>
    </tableColumn>
    <tableColumn id="32" name="Late Start">
      <calculatedColumnFormula>IF(Tasks[[#This Row],[Task Name]]="","",IF(Tasks[[#This Row],[_IsSummary]],MIN(INDEX(Tasks[_LeafLateStart],Tasks[[#This Row],[_Row]]+1):INDEX(Tasks[_LeafLateStart],Tasks[[#This Row],[_Row]]+Tasks[[#This Row],[_Descendants]])),Tasks[[#This Row],[_LeafLateStart]]))</calculatedColumnFormula>
    </tableColumn>
    <tableColumn id="33"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34"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35" name="Free Slack">
      <calculatedColumnFormula>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calculatedColumnFormula>
    </tableColumn>
    <tableColumn id="36"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37" name="Deadline Check">
      <calculatedColumnFormula>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calculatedColumnFormula>
    </tableColumn>
    <tableColumn id="38"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calculatedColumnFormula>
    </tableColumn>
    <tableColumn id="39" name="% Complete"/>
    <tableColumn id="40"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4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42" name="Resource"/>
    <tableColumn id="43" name="Units"/>
    <tableColumn id="44" name="Resource Names">
      <calculatedColumnFormula>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calculatedColumnFormula>
    </tableColumn>
    <tableColumn id="45" name="Over-allocated">
      <calculatedColumnFormula>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calculatedColumnFormula>
    </tableColumn>
    <tableColumn id="46" name="Work">
      <calculatedColumnFormula>IF(Tasks[[#This Row],[Task Name]]="","",IF(Tasks[[#This Row],[_IsSummary]],SUM(INDEX(Tasks[_LeafTotalWork],Tasks[[#This Row],[_Row]]+1):INDEX(Tasks[_LeafTotalWork],Tasks[[#This Row],[_Row]]+Tasks[[#This Row],[_Descendants]])),Tasks[[#This Row],[_LeafTotalWork]]))</calculatedColumnFormula>
    </tableColumn>
    <tableColumn id="47" name="Cost">
      <calculatedColumnFormula>IF(Tasks[[#This Row],[Task Name]]="","",IF(Tasks[[#This Row],[_IsSummary]],SUM(INDEX(Tasks[_LeafTotalCost],Tasks[[#This Row],[_Row]]+1):INDEX(Tasks[_LeafTotalCost],Tasks[[#This Row],[_Row]]+Tasks[[#This Row],[_Descendants]])),Tasks[[#This Row],[_LeafTotalCost]]))</calculatedColumnFormula>
    </tableColumn>
    <tableColumn id="48" name="Actual Cost"/>
    <tableColumn id="49" name="Planned Sprint"/>
    <tableColumn id="50" name="Sprint">
      <calculatedColumnFormula>IF(OR(Tasks[[#This Row],[Task Name]]="",Tasks[[#This Row],[_IsSummary]]),"",IF(Tasks[[#This Row],[Planned Sprint]]&lt;&gt;"",Tasks[[#This Row],[Planned Sprint]],IF(OR(Tasks[[#This Row],[Forecast Start]]&lt;Sprint1Start,Tasks[[#This Row],[Forecast Start]]&gt;SprintLastEnd),"Backlog",INDEX(spr_Name,MATCH(Tasks[[#This Row],[Forecast Start]],spr_Start,1)))))</calculatedColumnFormula>
    </tableColumn>
    <tableColumn id="51" name="Story Points"/>
    <tableColumn id="52" name="Predecessors">
      <calculatedColumnFormula>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calculatedColumnFormula>
    </tableColumn>
    <tableColumn id="53" name="Notes"/>
    <tableColumn id="54" name="BL Source Start">
      <calculatedColumnFormula>IF(Tasks[[#This Row],[Task Name]]="","",Tasks[[#This Row],[Forecast Start]])</calculatedColumnFormula>
    </tableColumn>
    <tableColumn id="55" name="BL Source Finish">
      <calculatedColumnFormula>IF(Tasks[[#This Row],[Task Name]]="","",Tasks[[#This Row],[Forecast Finish]])</calculatedColumnFormula>
    </tableColumn>
    <tableColumn id="56" name="BL Source Duration">
      <calculatedColumnFormula>IF(Tasks[[#This Row],[Task Name]]="","",IF(Tasks[[#This Row],[_IsSummary]],NETWORKDAYS.INTL(Tasks[[#This Row],[Forecast Start]],Tasks[[#This Row],[Forecast Finish]],WorkWeek,Holidays),N(Tasks[[#This Row],[Duration]])))</calculatedColumnFormula>
    </tableColumn>
    <tableColumn id="57" name="BL Source Work">
      <calculatedColumnFormula>IF(Tasks[[#This Row],[Task Name]]="","",Tasks[[#This Row],[Work]])</calculatedColumnFormula>
    </tableColumn>
    <tableColumn id="58" name="BL Source Cost">
      <calculatedColumnFormula>IF(Tasks[[#This Row],[Task Name]]="","",Tasks[[#This Row],[Cost]])</calculatedColumnFormula>
    </tableColumn>
    <tableColumn id="59" name="Baseline Start"/>
    <tableColumn id="60" name="Baseline Finish"/>
    <tableColumn id="61" name="Baseline Duration"/>
    <tableColumn id="62" name="Baseline Work"/>
    <tableColumn id="63" name="Baseline Cost"/>
    <tableColumn id="64" name="Duration Var">
      <calculatedColumnFormula>IF(OR(Tasks[[#This Row],[Task Name]]="",Tasks[[#This Row],[Baseline Duration]]=""),"",Tasks[[#This Row],[BL Source Duration]]-N(Tasks[[#This Row],[Baseline Duration]]))</calculatedColumnFormula>
    </tableColumn>
    <tableColumn id="65" name="Work Var">
      <calculatedColumnFormula>IF(OR(Tasks[[#This Row],[Task Name]]="",Tasks[[#This Row],[Baseline Work]]=""),"",Tasks[[#This Row],[Work]]-N(Tasks[[#This Row],[Baseline Work]]))</calculatedColumnFormula>
    </tableColumn>
    <tableColumn id="66" name="Cost Var">
      <calculatedColumnFormula>IF(OR(Tasks[[#This Row],[Task Name]]="",Tasks[[#This Row],[Baseline Cost]]=""),"",Tasks[[#This Row],[Cost]]-N(Tasks[[#This Row],[Baseline Cost]]))</calculatedColumnFormula>
    </tableColumn>
    <tableColumn id="67" name="Budget">
      <calculatedColumnFormula>IF(Tasks[[#This Row],[Task Name]]="","",IF(Tasks[[#This Row],[_IsSummary]],SUM(INDEX(Tasks[_LeafBudget],Tasks[[#This Row],[_Row]]+1):INDEX(Tasks[_LeafBudget],Tasks[[#This Row],[_Row]]+Tasks[[#This Row],[_Descendants]])),Tasks[[#This Row],[_LeafBudget]]))</calculatedColumnFormula>
    </tableColumn>
    <tableColumn id="68" name="PV">
      <calculatedColumnFormula>IF(Tasks[[#This Row],[Task Name]]="","",IF(Tasks[[#This Row],[_IsSummary]],SUM(INDEX(Tasks[_LeafPV],Tasks[[#This Row],[_Row]]+1):INDEX(Tasks[_LeafPV],Tasks[[#This Row],[_Row]]+Tasks[[#This Row],[_Descendants]])),Tasks[[#This Row],[_LeafPV]]))</calculatedColumnFormula>
    </tableColumn>
    <tableColumn id="69" name="EV">
      <calculatedColumnFormula>IF(Tasks[[#This Row],[Task Name]]="","",IF(Tasks[[#This Row],[_IsSummary]],SUM(INDEX(Tasks[_LeafEV],Tasks[[#This Row],[_Row]]+1):INDEX(Tasks[_LeafEV],Tasks[[#This Row],[_Row]]+Tasks[[#This Row],[_Descendants]])),Tasks[[#This Row],[_LeafEV]]))</calculatedColumnFormula>
    </tableColumn>
    <tableColumn id="70" name="AC">
      <calculatedColumnFormula>IF(Tasks[[#This Row],[Task Name]]="","",IF(Tasks[[#This Row],[_IsSummary]],SUM(INDEX(Tasks[_LeafAC],Tasks[[#This Row],[_Row]]+1):INDEX(Tasks[_LeafAC],Tasks[[#This Row],[_Row]]+Tasks[[#This Row],[_Descendants]])),Tasks[[#This Row],[_LeafAC]]))</calculatedColumnFormula>
    </tableColumn>
    <tableColumn id="71" name="_Level">
      <calculatedColumnFormula>IF(Tasks[[#This Row],[Task Name]]="","",MAX(1,N(Tasks[[#This Row],[Level]])))</calculatedColumnFormula>
    </tableColumn>
    <tableColumn id="72" name="_Row">
      <calculatedColumnFormula>ROW()-ROW(Tasks[[#Headers],[ID]])</calculatedColumnFormula>
    </tableColumn>
    <tableColumn id="73" name="_ParentRow">
      <calculatedColumnFormula>IF(OR(Tasks[[#This Row],[Task Name]]="",Tasks[[#This Row],[_Level]]&lt;=1),0,IFERROR(LOOKUP(2,1/(Tasks[[#Headers],[_Level]]:Tasks[[#This Row],[_Level]]=Tasks[[#This Row],[_Level]]-1),ROW(Tasks[[#Headers],[_Level]]:Tasks[[#This Row],[_Level]])),0))</calculatedColumnFormula>
    </tableColumn>
    <tableColumn id="74" name="_NextLevel">
      <calculatedColumnFormula>IFERROR(N(INDEX(Tasks[_Level],Tasks[[#This Row],[_Row]]+1)),0)</calculatedColumnFormula>
    </tableColumn>
    <tableColumn id="75" name="_IsSummary">
      <calculatedColumnFormula>AND(Tasks[[#This Row],[Task Name]]&lt;&gt;"",Tasks[[#This Row],[_NextLevel]]&gt;Tasks[[#This Row],[_Level]])</calculatedColumnFormula>
    </tableColumn>
    <tableColumn id="76" name="_Descendants">
      <calculatedColumnFormula>IF(Tasks[[#This Row],[_IsSummary]],COUNTIF(Tasks[WBS],Tasks[[#This Row],[WBS]]&amp;".*"),0)</calculatedColumnFormula>
    </tableColumn>
    <tableColumn id="77" name="_IsLeaf">
      <calculatedColumnFormula>IF(AND(Tasks[[#This Row],[Task Name]]&lt;&gt;"",NOT(Tasks[[#This Row],[_IsSummary]])),1,0)</calculatedColumnFormula>
    </tableColumn>
    <tableColumn id="78" name="_Pred1Pos">
      <calculatedColumnFormula>IF(N(Tasks[[#This Row],[Pred1 UID]])=0,0,IFERROR(MATCH(Tasks[[#This Row],[Pred1 UID]],Tasks[UID],0),-1))</calculatedColumnFormula>
    </tableColumn>
    <tableColumn id="79" name="_Pred2Pos">
      <calculatedColumnFormula>IF(N(Tasks[[#This Row],[Pred2 UID]])=0,0,IFERROR(MATCH(Tasks[[#This Row],[Pred2 UID]],Tasks[UID],0),-1))</calculatedColumnFormula>
    </tableColumn>
    <tableColumn id="80" name="_Pred3Pos">
      <calculatedColumnFormula>IF(N(Tasks[[#This Row],[Pred3 UID]])=0,0,IFERROR(MATCH(Tasks[[#This Row],[Pred3 UID]],Tasks[UID],0),-1))</calculatedColumnFormula>
    </tableColumn>
    <tableColumn id="81" name="_Pred4Pos">
      <calculatedColumnFormula>IF(N(Tasks[[#This Row],[Pred4 UID]])=0,0,IFERROR(MATCH(Tasks[[#This Row],[Pred4 UID]],Tasks[UID],0),-1))</calculatedColumnFormula>
    </tableColumn>
    <tableColumn id="82"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83" name="_ConstraintStart">
      <calculatedColumnFormula>IF(N(Tasks[[#This Row],[Constraint Date]])=0,0,IF(AND(OR(Tasks[[#This Row],[_ConstraintCode]]=3,Tasks[[#This Row],[_ConstraintCode]]=6,Tasks[[#This Row],[_ConstraintCode]]=7),N(Tasks[[#This Row],[Duration]])&gt;1),WORKDAY.INTL(N(Tasks[[#This Row],[Constraint Date]]),-(N(Tasks[[#This Row],[Duration]])-1),WorkWeek,Holidays),N(Tasks[[#This Row],[Constraint Date]])))</calculatedColumnFormula>
    </tableColumn>
    <tableColumn id="84" name="_ConstraintLow">
      <calculatedColumnFormula>IF(OR(Tasks[[#This Row],[_ConstraintCode]]=2,Tasks[[#This Row],[_ConstraintCode]]=3,Tasks[[#This Row],[_ConstraintCode]]=4,Tasks[[#This Row],[_ConstraintCode]]=6),Tasks[[#This Row],[_ConstraintStart]],0)</calculatedColumnFormula>
    </tableColumn>
    <tableColumn id="85" name="_ConstraintHigh">
      <calculatedColumnFormula>IF(OR(Tasks[[#This Row],[_ConstraintCode]]=2,Tasks[[#This Row],[_ConstraintCode]]=3,Tasks[[#This Row],[_ConstraintCode]]=5,Tasks[[#This Row],[_ConstraintCode]]=7),Tasks[[#This Row],[_ConstraintStart]],2958465)</calculatedColumnFormula>
    </tableColumn>
    <tableColumn id="86"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87" name="_LeafCalcFinish">
      <calculatedColumnFormula>IF(NOT(Tasks[[#This Row],[_IsLeaf]]=1),"",IF(N(Tasks[[#This Row],[Duration]])&lt;=0,Tasks[[#This Row],[_LeafCalcStart]],WORKDAY.INTL(Tasks[[#This Row],[_LeafCalcStart]],Tasks[[#This Row],[Duration]]-1,WorkWeek,Holidays)))</calculatedColumnFormula>
    </tableColumn>
    <tableColumn id="88"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89" name="_LeafFcstFinish">
      <calculatedColumnFormula>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calculatedColumnFormula>
    </tableColumn>
    <tableColumn id="90" name="_LeafProgress">
      <calculatedColumnFormula>IF(NOT(Tasks[[#This Row],[_IsLeaf]]=1),0,IF(N(Tasks[[#This Row],[Actual Finish]])&gt;0,1,MIN(1,N(Tasks[[#This Row],[% Complete]]))))</calculatedColumnFormula>
    </tableColumn>
    <tableColumn id="91" name="_LeafWork">
      <calculatedColumnFormula>IF(OR(NOT(Tasks[[#This Row],[_IsLeaf]]=1),Tasks[[#This Row],[Resource]]=""),0,N(Tasks[[#This Row],[Duration]])*HoursPerDay*IF(Tasks[[#This Row],[Units]]="",DefaultUnits,Tasks[[#This Row],[Units]]))</calculatedColumnFormula>
    </tableColumn>
    <tableColumn id="92" name="_LeafCost">
      <calculatedColumnFormula>IF(Tasks[[#This Row],[_LeafWork]]=0,0,Tasks[[#This Row],[_LeafWork]]*IFERROR(INDEX(res_Rate,MATCH(Tasks[[#This Row],[Resource]],res_Name,0)),0))</calculatedColumnFormula>
    </tableColumn>
    <tableColumn id="93" name="_LeafTotalWork">
      <calculatedColumnFormula>Tasks[[#This Row],[_LeafWork]]+IF(Tasks[[#This Row],[_IsLeaf]]=1,SUMIFS(asg_Work,asg_TaskUID,Tasks[[#This Row],[UID]],asg_Valid,1),0)</calculatedColumnFormula>
    </tableColumn>
    <tableColumn id="94" name="_LeafTotalCost">
      <calculatedColumnFormula>Tasks[[#This Row],[_LeafCost]]+IF(Tasks[[#This Row],[_IsLeaf]]=1,SUMIFS(asg_Cost,asg_TaskUID,Tasks[[#This Row],[UID]],asg_Valid,1),0)</calculatedColumnFormula>
    </tableColumn>
    <tableColumn id="95" name="_ResourceAC">
      <calculatedColumnFormula>IF(Tasks[[#This Row],[_LeafTotalCost]]=0,Tasks[[#This Row],[_LeafAC]],Tasks[[#This Row],[_LeafAC]]*Tasks[[#This Row],[_LeafCost]]/Tasks[[#This Row],[_LeafTotalCost]])</calculatedColumnFormula>
    </tableColumn>
    <tableColumn id="96" name="_Pred1FinishKey">
      <calculatedColumnFormula>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calculatedColumnFormula>
    </tableColumn>
    <tableColumn id="97" name="_Pred2FinishKey">
      <calculatedColumnFormula>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calculatedColumnFormula>
    </tableColumn>
    <tableColumn id="98" name="_Pred3FinishKey">
      <calculatedColumnFormula>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calculatedColumnFormula>
    </tableColumn>
    <tableColumn id="99" name="_Pred4FinishKey">
      <calculatedColumnFormula>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calculatedColumnFormula>
    </tableColumn>
    <tableColumn id="100"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01"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02"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03"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04" name="_LastSuccessorRow">
      <calculatedColumnFormula>IF(NOT(Tasks[[#This Row],[_IsLeaf]]=1),0,MAX(_xlfn.MAXIFS(Tasks[_Row],Tasks[Pred1 UID],Tasks[[#This Row],[UID]]),_xlfn.MAXIFS(Tasks[_Row],Tasks[Pred2 UID],Tasks[[#This Row],[UID]]),_xlfn.MAXIFS(Tasks[_Row],Tasks[Pred3 UID],Tasks[[#This Row],[UID]]),_xlfn.MAXIFS(Tasks[_Row],Tasks[Pred4 UID],Tasks[[#This Row],[UID]])))</calculatedColumnFormula>
    </tableColumn>
    <tableColumn id="105" name="_SuccessorFinishLimit">
      <calculatedColumnFormula>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calculatedColumnFormula>
    </tableColumn>
    <tableColumn id="106" name="_LeafLateFinish">
      <calculatedColumnFormula>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calculatedColumnFormula>
    </tableColumn>
    <tableColumn id="107" name="_LeafLateStart">
      <calculatedColumnFormula>IF(NOT(Tasks[[#This Row],[_IsLeaf]]=1),"",IF(N(Tasks[[#This Row],[Duration]])&lt;=0,Tasks[[#This Row],[_LeafLateFinish]],WORKDAY.INTL(Tasks[[#This Row],[_LeafLateFinish]],-(Tasks[[#This Row],[Duration]]-1),WorkWeek,Holidays)))</calculatedColumnFormula>
    </tableColumn>
    <tableColumn id="108"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09" name="_LeafCritical">
      <calculatedColumnFormula>AND(Tasks[[#This Row],[_IsLeaf]]=1,Tasks[[#This Row],[_LeafProgress]]&lt;1,N(Tasks[[#This Row],[_LeafTotalSlack]])&lt;=CriticalSlackDays)</calculatedColumnFormula>
    </tableColumn>
    <tableColumn id="110" name="_AlapShift">
      <calculatedColumnFormula>IF(AND(Tasks[[#This Row],[_IsLeaf]]=1,Tasks[[#This Row],[_ConstraintCode]]=1,Tasks[[#This Row],[Mode]]&lt;&gt;"Manual",N(Tasks[[#This Row],[Actual Start]])=0),MAX(0,N(Tasks[[#This Row],[Free Slack]])),0)</calculatedColumnFormula>
    </tableColumn>
    <tableColumn id="111" name="_ShownCalcStart">
      <calculatedColumnFormula>IF(NOT(Tasks[[#This Row],[_IsLeaf]]=1),"",IF(Tasks[[#This Row],[_AlapShift]]=0,Tasks[[#This Row],[_LeafCalcStart]],WORKDAY.INTL(Tasks[[#This Row],[_LeafCalcStart]],Tasks[[#This Row],[_AlapShift]],WorkWeek,Holidays)))</calculatedColumnFormula>
    </tableColumn>
    <tableColumn id="112" name="_ShownCalcFinish">
      <calculatedColumnFormula>IF(NOT(Tasks[[#This Row],[_IsLeaf]]=1),"",IF(Tasks[[#This Row],[_AlapShift]]=0,Tasks[[#This Row],[_LeafCalcFinish]],WORKDAY.INTL(Tasks[[#This Row],[_LeafCalcFinish]],Tasks[[#This Row],[_AlapShift]],WorkWeek,Holidays)))</calculatedColumnFormula>
    </tableColumn>
    <tableColumn id="113" name="_ShownFcstStart">
      <calculatedColumnFormula>IF(NOT(Tasks[[#This Row],[_IsLeaf]]=1),"",IF(Tasks[[#This Row],[_AlapShift]]=0,Tasks[[#This Row],[_LeafFcstStart]],WORKDAY.INTL(Tasks[[#This Row],[_LeafFcstStart]],Tasks[[#This Row],[_AlapShift]],WorkWeek,Holidays)))</calculatedColumnFormula>
    </tableColumn>
    <tableColumn id="114" name="_ShownFcstFinish">
      <calculatedColumnFormula>IF(NOT(Tasks[[#This Row],[_IsLeaf]]=1),"",IF(Tasks[[#This Row],[_AlapShift]]=0,Tasks[[#This Row],[_LeafFcstFinish]],WORKDAY.INTL(Tasks[[#This Row],[_LeafFcstFinish]],Tasks[[#This Row],[_AlapShift]],WorkWeek,Holidays)))</calculatedColumnFormula>
    </tableColumn>
    <tableColumn id="115"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16"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17" name="_Pred1Problem">
      <calculatedColumnFormula>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calculatedColumnFormula>
    </tableColumn>
    <tableColumn id="118" name="_Pred2Problem">
      <calculatedColumnFormula>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calculatedColumnFormula>
    </tableColumn>
    <tableColumn id="119" name="_Pred3Problem">
      <calculatedColumnFormula>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calculatedColumnFormula>
    </tableColumn>
    <tableColumn id="120" name="_Pred4Problem">
      <calculatedColumnFormula>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calculatedColumnFormula>
    </tableColumn>
    <tableColumn id="121" name="_Pred1PlanDriver">
      <calculatedColumnFormula>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calculatedColumnFormula>
    </tableColumn>
    <tableColumn id="122" name="_Pred2PlanDriver">
      <calculatedColumnFormula>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calculatedColumnFormula>
    </tableColumn>
    <tableColumn id="123" name="_Pred3PlanDriver">
      <calculatedColumnFormula>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calculatedColumnFormula>
    </tableColumn>
    <tableColumn id="124" name="_Pred4PlanDriver">
      <calculatedColumnFormula>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calculatedColumnFormula>
    </tableColumn>
    <tableColumn id="125" name="_Pred1FcstDriver">
      <calculatedColumnFormula>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calculatedColumnFormula>
    </tableColumn>
    <tableColumn id="126" name="_Pred2FcstDriver">
      <calculatedColumnFormula>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calculatedColumnFormula>
    </tableColumn>
    <tableColumn id="127" name="_Pred3FcstDriver">
      <calculatedColumnFormula>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calculatedColumnFormula>
    </tableColumn>
    <tableColumn id="128" name="_Pred4FcstDriver">
      <calculatedColumnFormula>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calculatedColumnFormula>
    </tableColumn>
    <tableColumn id="129" name="_StartWorkday">
      <calculatedColumnFormula>IF(AND(Tasks[[#This Row],[_IsLeaf]]=1,Tasks[[#This Row],[_LeafTotalWork]]&gt;0),NETWORKDAYS.INTL(ProjectStart,Tasks[[#This Row],[_ShownFcstStart]],WorkWeek,Holidays),0)</calculatedColumnFormula>
    </tableColumn>
    <tableColumn id="130" name="_FinishWorkday">
      <calculatedColumnFormula>IF(AND(Tasks[[#This Row],[_IsLeaf]]=1,Tasks[[#This Row],[_LeafTotalWork]]&gt;0),MAX(Tasks[[#This Row],[_StartWorkday]],NETWORKDAYS.INTL(ProjectStart,Tasks[[#This Row],[_ShownFcstFinish]],WorkWeek,Holidays)),0)</calculatedColumnFormula>
    </tableColumn>
    <tableColumn id="131" name="_WorkPerWorkday">
      <calculatedColumnFormula>IF(AND(Tasks[[#This Row],[_IsLeaf]]=1,Tasks[[#This Row],[_LeafTotalWork]]&gt;0),Tasks[[#This Row],[_LeafWork]]/(Tasks[[#This Row],[_FinishWorkday]]-Tasks[[#This Row],[_StartWorkday]]+1),0)</calculatedColumnFormula>
    </tableColumn>
    <tableColumn id="132" name="_WorkBeforeStart">
      <calculatedColumnFormula>Tasks[[#This Row],[_WorkPerWorkday]]*(Tasks[[#This Row],[_StartWorkday]]-1)</calculatedColumnFormula>
    </tableColumn>
    <tableColumn id="133" name="_WeightDur">
      <calculatedColumnFormula>IF(Tasks[[#This Row],[_IsLeaf]]=1,MAX(N(Tasks[[#This Row],[Duration]]),0.1),0)</calculatedColumnFormula>
    </tableColumn>
    <tableColumn id="134" name="_WeightDone">
      <calculatedColumnFormula>Tasks[[#This Row],[_WeightDur]]*Tasks[[#This Row],[_LeafProgress]]</calculatedColumnFormula>
    </tableColumn>
    <tableColumn id="135" name="_UIDPredecessors">
      <calculatedColumnFormula>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calculatedColumnFormula>
    </tableColumn>
    <tableColumn id="136" name="_MilestoneKey">
      <calculatedColumnFormula>IF(AND(Tasks[[#This Row],[_IsLeaf]]=1,N(Tasks[[#This Row],[Duration]])=0,Tasks[[#This Row],[_LeafProgress]]&lt;1),Tasks[[#This Row],[_ShownFcstFinish]]+Tasks[[#This Row],[_Row]]/100000,"")</calculatedColumnFormula>
    </tableColumn>
    <tableColumn id="137"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38" name="_LeafBudget">
      <calculatedColumnFormula>IF(NOT(Tasks[[#This Row],[_IsLeaf]]=1),0,IF(Tasks[[#This Row],[Baseline Cost]]="",Tasks[[#This Row],[_LeafTotalCost]],N(Tasks[[#This Row],[Baseline Cost]])))</calculatedColumnFormula>
    </tableColumn>
    <tableColumn id="139" name="_LeafPV">
      <calculatedColumnFormula>Tasks[[#This Row],[_LeafBudget]]*Tasks[[#This Row],[_PlannedPct]]</calculatedColumnFormula>
    </tableColumn>
    <tableColumn id="140" name="_LeafEV">
      <calculatedColumnFormula>Tasks[[#This Row],[_LeafBudget]]*Tasks[[#This Row],[_LeafProgress]]</calculatedColumnFormula>
    </tableColumn>
    <tableColumn id="141" name="_LeafAC">
      <calculatedColumnFormula>IF(NOT(Tasks[[#This Row],[_IsLeaf]]=1),0,IF(Tasks[[#This Row],[Actual Cost]]="",Tasks[[#This Row],[_LeafTotalCost]]*Tasks[[#This Row],[_LeafProgress]],N(Tasks[[#This Row],[Actual Cost]])))</calculatedColumnFormula>
    </tableColumn>
    <tableColumn id="142" name="_Phase">
      <calculatedColumnFormula>IF(Tasks[[#This Row],[Task Name]]="","",LEFT(Tasks[[#This Row],[WBS]],FIND(".",Tasks[[#This Row],[WBS]]&amp;".")-1))</calculatedColumnFormula>
    </tableColumn>
    <tableColumn id="143" name="_PhaseKey">
      <calculatedColumnFormula>IF(AND(Tasks[[#This Row],[Task Name]]&lt;&gt;"",Tasks[[#This Row],[_Level]]=1),Tasks[[#This Row],[_Row]],"")</calculatedColumnFormula>
    </tableColumn>
    <tableColumn id="144" name="_MilestoneOrder">
      <calculatedColumnFormula>IF(AND(Tasks[[#This Row],[_IsLeaf]]=1,N(Tasks[[#This Row],[Duration]])=0),Tasks[[#This Row],[Planned Finish]]+Tasks[[#This Row],[_Row]]/100000,"")</calculatedColumnFormula>
    </tableColumn>
    <tableColumn id="145" name="_LateKey">
      <calculatedColumnFormula>IF(AND(Tasks[[#This Row],[_IsLeaf]]=1,Tasks[[#This Row],[_LeafProgress]]&lt;1,OR(N(Tasks[[#This Row],[Finish Var]])&gt;0,Tasks[[#This Row],[Status]]="Late Start")),MAX(0,Tasks[[#This Row],[Finish Var]])+1-Tasks[[#This Row],[_Row]]/1000000,"")</calculatedColumnFormula>
    </tableColumn>
    <tableColumn id="146" name="_StartSoonKey">
      <calculatedColumnFormula>IF(AND(Tasks[[#This Row],[_IsLeaf]]=1,N(Tasks[[#This Row],[Actual Start]])=0,Tasks[[#This Row],[_ShownFcstStart]]&gt;=StatusDate,Tasks[[#This Row],[_ShownFcstStart]]&lt;=LookaheadEnd),Tasks[[#This Row],[_ShownFcstStart]]+Tasks[[#This Row],[_Row]]/100000,"")</calculatedColumnFormula>
    </tableColumn>
    <tableColumn id="147"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48" name="_CriticalKey">
      <calculatedColumnFormula>IF(Tasks[[#This Row],[_LeafCritical]],Tasks[[#This Row],[_ShownFcstStart]]+Tasks[[#This Row],[_Row]]/100000,"")</calculatedColumnFormula>
    </tableColumn>
    <tableColumn id="149" name="_LeafWorkDone">
      <calculatedColumnFormula>Tasks[[#This Row],[_LeafWork]]*Tasks[[#This Row],[_LeafProgress]]</calculatedColumnFormula>
    </tableColumn>
    <tableColumn id="150" name="_DoneDate">
      <calculatedColumnFormula>IF(AND(Tasks[[#This Row],[_IsLeaf]]=1,Tasks[[#This Row],[_LeafProgress]]&gt;=1),IF(N(Tasks[[#This Row],[Actual Finish]])&gt;0,Tasks[[#This Row],[Actual Finish]],Tasks[[#This Row],[_ShownFcstFinish]]),"")</calculatedColumnFormula>
    </tableColumn>
    <tableColumn id="151" name="_LeafPoints">
      <calculatedColumnFormula>IF(Tasks[[#This Row],[_IsLeaf]]=1,N(Tasks[[#This Row],[Story Points]]),0)</calculatedColumnFormula>
    </tableColumn>
    <tableColumn id="152" name="_CurrentSprintKey">
      <calculatedColumnFormula>IF(AND(Tasks[[#This Row],[_IsLeaf]]=1,CurrentSprint&lt;&gt;"",Tasks[[#This Row],[Sprint]]=CurrentSprint),Tasks[[#This Row],[_Row]],"")</calculatedColumnFormula>
    </tableColumn>
  </tableColumns>
  <tableStyleInfo name="TableStyleLight1" showRowStripes="0"/>
</table>
</file>

<file path=xl/tables/table46.xml><?xml version="1.0" encoding="utf-8"?>
<table xmlns="http://schemas.openxmlformats.org/spreadsheetml/2006/main" id="46" name="TopRAID" displayName="TopRAID" ref="A34:H42" headerRowCount="1">
  <tableColumns count="8">
    <tableColumn id="1" name="_Task">
      <calculatedColumnFormula>IFERROR(MATCH(LARGE(raid_TopKey,ROW()-ROW(TopRAID[[#Headers],[_Task]])),raid_TopKey,0),"")</calculatedColumnFormula>
    </tableColumn>
    <tableColumn id="2" name="Item">
      <calculatedColumnFormula>IF(TopRAID[[#This Row],[_Task]]="","",INDEX(raid_Label,TopRAID[[#This Row],[_Task]])&amp;"")</calculatedColumnFormula>
    </tableColumn>
    <tableColumn id="3" name="Response">
      <calculatedColumnFormula>IF(TopRAID[[#This Row],[_Task]]="","",INDEX(raid_Response,TopRAID[[#This Row],[_Task]])&amp;"")</calculatedColumnFormula>
    </tableColumn>
    <tableColumn id="4" name="Owner">
      <calculatedColumnFormula>IF(TopRAID[[#This Row],[_Task]]="","",INDEX(raid_Owner,TopRAID[[#This Row],[_Task]])&amp;"")</calculatedColumnFormula>
    </tableColumn>
    <tableColumn id="5" name="Due">
      <calculatedColumnFormula>IF(TopRAID[[#This Row],[_Task]]="","",IF(N(INDEX(raid_Due,TopRAID[[#This Row],[_Task]]))=0,"",INDEX(raid_Due,TopRAID[[#This Row],[_Task]])))</calculatedColumnFormula>
    </tableColumn>
    <tableColumn id="6" name="Score">
      <calculatedColumnFormula>IF(TopRAID[[#This Row],[_Task]]="","",INDEX(raid_Score,TopRAID[[#This Row],[_Task]]))</calculatedColumnFormula>
    </tableColumn>
    <tableColumn id="7" name="Rating">
      <calculatedColumnFormula>IF(TopRAID[[#This Row],[_Task]]="","",INDEX(raid_Rating,TopRAID[[#This Row],[_Task]])&amp;"")</calculatedColumnFormula>
    </tableColumn>
    <tableColumn id="8" name="Task">
      <calculatedColumnFormula>IF(TopRAID[[#This Row],[_Task]]="","",INDEX(raid_Task,TopRAID[[#This Row],[_Task]])&amp;"")</calculatedColumnFormula>
    </tableColumn>
  </tableColumns>
  <tableStyleInfo name="TableStyleLight1" showRow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1.xml"/><Relationship Id="rId3" Type="http://schemas.openxmlformats.org/officeDocument/2006/relationships/table" Target="../tables/table28.xml"/><Relationship Id="rId4" Type="http://schemas.openxmlformats.org/officeDocument/2006/relationships/table" Target="../tables/table44.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34.xml"/><Relationship Id="rId4" Type="http://schemas.openxmlformats.org/officeDocument/2006/relationships/table" Target="../tables/table35.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Relationship Id="rId4" Type="http://schemas.openxmlformats.org/officeDocument/2006/relationships/table" Target="../tables/table3.xml"/><Relationship Id="rId5" Type="http://schemas.openxmlformats.org/officeDocument/2006/relationships/table" Target="../tables/table8.xml"/><Relationship Id="rId6" Type="http://schemas.openxmlformats.org/officeDocument/2006/relationships/table" Target="../tables/table29.xml"/><Relationship Id="rId7" Type="http://schemas.openxmlformats.org/officeDocument/2006/relationships/table" Target="../tables/table42.xml"/><Relationship Id="rId8" Type="http://schemas.openxmlformats.org/officeDocument/2006/relationships/table" Target="../tables/table43.xml"/><Relationship Id="rId9" Type="http://schemas.openxmlformats.org/officeDocument/2006/relationships/table" Target="../tables/table46.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5.xml"/><Relationship Id="rId4" Type="http://schemas.openxmlformats.org/officeDocument/2006/relationships/table" Target="../tables/table7.xml"/><Relationship Id="rId5" Type="http://schemas.openxmlformats.org/officeDocument/2006/relationships/table" Target="../tables/table12.xml"/><Relationship Id="rId6" Type="http://schemas.openxmlformats.org/officeDocument/2006/relationships/table" Target="../tables/table25.xml"/><Relationship Id="rId7" Type="http://schemas.openxmlformats.org/officeDocument/2006/relationships/table" Target="../tables/table30.xml"/><Relationship Id="rId8" Type="http://schemas.openxmlformats.org/officeDocument/2006/relationships/table" Target="../tables/table40.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Relationship Id="rId4" Type="http://schemas.openxmlformats.org/officeDocument/2006/relationships/table" Target="../tables/table32.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5.vml"/><Relationship Id="rId4" Type="http://schemas.openxmlformats.org/officeDocument/2006/relationships/table" Target="../tables/table1.xml"/><Relationship Id="rId5" Type="http://schemas.openxmlformats.org/officeDocument/2006/relationships/table" Target="../tables/table37.xml"/><Relationship Id="rId6" Type="http://schemas.openxmlformats.org/officeDocument/2006/relationships/table" Target="../tables/table38.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Relationship Id="rId3" Type="http://schemas.openxmlformats.org/officeDocument/2006/relationships/table" Target="../tables/table31.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Relationship Id="rId3"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Relationship Id="rId3"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36.xml"/><Relationship Id="rId3" Type="http://schemas.openxmlformats.org/officeDocument/2006/relationships/table" Target="../tables/table41.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9.vml"/><Relationship Id="rId3" Type="http://schemas.openxmlformats.org/officeDocument/2006/relationships/table" Target="../tables/table45.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0.vml"/><Relationship Id="rId3" Type="http://schemas.openxmlformats.org/officeDocument/2006/relationships/table" Target="../tables/table9.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1.vml"/><Relationship Id="rId3" Type="http://schemas.openxmlformats.org/officeDocument/2006/relationships/table" Target="../tables/table33.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2.vml"/><Relationship Id="rId3"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3.vml"/><Relationship Id="rId3" Type="http://schemas.openxmlformats.org/officeDocument/2006/relationships/table" Target="../tables/table39.xml"/>
</Relationships>
</file>

<file path=xl/worksheets/_rels/sheet18.xml.rels><?xml version="1.0" encoding="UTF-8"?>
<Relationships xmlns="http://schemas.openxmlformats.org/package/2006/relationships"><Relationship Id="rId1" Type="http://schemas.openxmlformats.org/officeDocument/2006/relationships/table" Target="../tables/table10.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4.vml"/><Relationship Id="rId3" Type="http://schemas.openxmlformats.org/officeDocument/2006/relationships/table" Target="../tables/table13.x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5.vml"/><Relationship Id="rId3" Type="http://schemas.openxmlformats.org/officeDocument/2006/relationships/table" Target="../tables/table27.xml"/>
</Relationships>
</file>

<file path=xl/worksheets/_rels/sheet21.xml.rels><?xml version="1.0" encoding="UTF-8"?>
<Relationships xmlns="http://schemas.openxmlformats.org/package/2006/relationships"><Relationship Id="rId1" Type="http://schemas.openxmlformats.org/officeDocument/2006/relationships/table" Target="../tables/table26.xml"/>
</Relationships>
</file>

<file path=xl/worksheets/_rels/sheet22.xml.rels><?xml version="1.0" encoding="UTF-8"?>
<Relationships xmlns="http://schemas.openxmlformats.org/package/2006/relationships"><Relationship Id="rId1" Type="http://schemas.openxmlformats.org/officeDocument/2006/relationships/table" Target="../tables/table14.xml"/><Relationship Id="rId2" Type="http://schemas.openxmlformats.org/officeDocument/2006/relationships/table" Target="../tables/table15.xml"/><Relationship Id="rId3" Type="http://schemas.openxmlformats.org/officeDocument/2006/relationships/table" Target="../tables/table16.xml"/><Relationship Id="rId4" Type="http://schemas.openxmlformats.org/officeDocument/2006/relationships/table" Target="../tables/table17.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 Id="rId8" Type="http://schemas.openxmlformats.org/officeDocument/2006/relationships/table" Target="../tables/table21.xml"/><Relationship Id="rId9" Type="http://schemas.openxmlformats.org/officeDocument/2006/relationships/table" Target="../tables/table22.xml"/><Relationship Id="rId10" Type="http://schemas.openxmlformats.org/officeDocument/2006/relationships/table" Target="../tables/table23.xml"/><Relationship Id="rId11" Type="http://schemas.openxmlformats.org/officeDocument/2006/relationships/table" Target="../tables/table2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B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22.05" hidden="false" customHeight="false" outlineLevel="0" collapsed="false">
      <c r="B1" s="1" t="s">
        <v>0</v>
      </c>
    </row>
    <row r="4" customFormat="false" ht="15" hidden="false" customHeight="false" outlineLevel="0" collapsed="false">
      <c r="B4" s="2" t="s">
        <v>1</v>
      </c>
      <c r="C4" s="3"/>
    </row>
    <row r="5" customFormat="false" ht="15" hidden="false" customHeight="false" outlineLevel="0" collapsed="false">
      <c r="B5" s="4" t="s">
        <v>2</v>
      </c>
      <c r="C5" s="5" t="s">
        <v>3</v>
      </c>
    </row>
    <row r="7" customFormat="false" ht="15" hidden="false" customHeight="false" outlineLevel="0" collapsed="false">
      <c r="B7" s="2" t="s">
        <v>4</v>
      </c>
      <c r="C7" s="3"/>
    </row>
    <row r="8" customFormat="false" ht="23.85" hidden="false" customHeight="false" outlineLevel="0" collapsed="false">
      <c r="B8" s="4" t="s">
        <v>5</v>
      </c>
      <c r="C8" s="5" t="s">
        <v>6</v>
      </c>
    </row>
    <row r="9" customFormat="false" ht="35.05" hidden="false" customHeight="false" outlineLevel="0" collapsed="false">
      <c r="B9" s="4" t="s">
        <v>7</v>
      </c>
      <c r="C9" s="5" t="s">
        <v>8</v>
      </c>
    </row>
    <row r="10" customFormat="false" ht="46.25" hidden="false" customHeight="false" outlineLevel="0" collapsed="false">
      <c r="B10" s="4" t="s">
        <v>9</v>
      </c>
      <c r="C10" s="5" t="s">
        <v>10</v>
      </c>
    </row>
    <row r="11" customFormat="false" ht="35.05" hidden="false" customHeight="false" outlineLevel="0" collapsed="false">
      <c r="B11" s="4" t="s">
        <v>11</v>
      </c>
      <c r="C11" s="5" t="s">
        <v>12</v>
      </c>
    </row>
    <row r="12" customFormat="false" ht="23.85" hidden="false" customHeight="false" outlineLevel="0" collapsed="false">
      <c r="B12" s="4" t="s">
        <v>13</v>
      </c>
      <c r="C12" s="5" t="s">
        <v>14</v>
      </c>
    </row>
    <row r="13" customFormat="false" ht="35.05" hidden="false" customHeight="false" outlineLevel="0" collapsed="false">
      <c r="B13" s="4" t="s">
        <v>15</v>
      </c>
      <c r="C13" s="5" t="s">
        <v>16</v>
      </c>
    </row>
    <row r="14" customFormat="false" ht="46.25" hidden="false" customHeight="false" outlineLevel="0" collapsed="false">
      <c r="B14" s="4" t="s">
        <v>17</v>
      </c>
      <c r="C14" s="5" t="s">
        <v>18</v>
      </c>
    </row>
    <row r="15" customFormat="false" ht="23.85" hidden="false" customHeight="false" outlineLevel="0" collapsed="false">
      <c r="B15" s="4" t="s">
        <v>19</v>
      </c>
      <c r="C15" s="5" t="s">
        <v>20</v>
      </c>
    </row>
    <row r="16" customFormat="false" ht="46.25" hidden="false" customHeight="false" outlineLevel="0" collapsed="false">
      <c r="B16" s="4" t="s">
        <v>21</v>
      </c>
      <c r="C16" s="5" t="s">
        <v>22</v>
      </c>
    </row>
    <row r="17" customFormat="false" ht="15" hidden="false" customHeight="false" outlineLevel="0" collapsed="false">
      <c r="B17" s="4" t="s">
        <v>23</v>
      </c>
      <c r="C17" s="5" t="s">
        <v>24</v>
      </c>
    </row>
    <row r="18" customFormat="false" ht="35.05" hidden="false" customHeight="false" outlineLevel="0" collapsed="false">
      <c r="B18" s="4" t="s">
        <v>25</v>
      </c>
      <c r="C18" s="5" t="s">
        <v>26</v>
      </c>
    </row>
    <row r="19" customFormat="false" ht="23.85" hidden="false" customHeight="false" outlineLevel="0" collapsed="false">
      <c r="B19" s="4" t="s">
        <v>27</v>
      </c>
      <c r="C19" s="5" t="s">
        <v>28</v>
      </c>
    </row>
    <row r="20" customFormat="false" ht="23.85" hidden="false" customHeight="false" outlineLevel="0" collapsed="false">
      <c r="B20" s="4" t="s">
        <v>29</v>
      </c>
      <c r="C20" s="5" t="s">
        <v>30</v>
      </c>
    </row>
    <row r="21" customFormat="false" ht="23.85" hidden="false" customHeight="false" outlineLevel="0" collapsed="false">
      <c r="B21" s="4" t="s">
        <v>31</v>
      </c>
      <c r="C21" s="5" t="s">
        <v>32</v>
      </c>
    </row>
    <row r="22" customFormat="false" ht="35.05" hidden="false" customHeight="false" outlineLevel="0" collapsed="false">
      <c r="B22" s="4" t="s">
        <v>33</v>
      </c>
      <c r="C22" s="5" t="s">
        <v>34</v>
      </c>
    </row>
    <row r="23" customFormat="false" ht="35.05" hidden="false" customHeight="false" outlineLevel="0" collapsed="false">
      <c r="B23" s="4" t="s">
        <v>35</v>
      </c>
      <c r="C23" s="5" t="s">
        <v>36</v>
      </c>
    </row>
    <row r="24" customFormat="false" ht="35.05" hidden="false" customHeight="false" outlineLevel="0" collapsed="false">
      <c r="B24" s="4" t="s">
        <v>37</v>
      </c>
      <c r="C24" s="5" t="s">
        <v>38</v>
      </c>
    </row>
    <row r="25" customFormat="false" ht="23.85" hidden="false" customHeight="false" outlineLevel="0" collapsed="false">
      <c r="B25" s="4" t="s">
        <v>39</v>
      </c>
      <c r="C25" s="5" t="s">
        <v>40</v>
      </c>
    </row>
    <row r="26" customFormat="false" ht="35.05" hidden="false" customHeight="false" outlineLevel="0" collapsed="false">
      <c r="B26" s="4" t="s">
        <v>41</v>
      </c>
      <c r="C26" s="5" t="s">
        <v>42</v>
      </c>
    </row>
    <row r="28" customFormat="false" ht="15" hidden="false" customHeight="false" outlineLevel="0" collapsed="false">
      <c r="B28" s="2" t="s">
        <v>43</v>
      </c>
      <c r="C28" s="3"/>
    </row>
    <row r="29" customFormat="false" ht="15" hidden="false" customHeight="false" outlineLevel="0" collapsed="false">
      <c r="B29" s="4" t="s">
        <v>44</v>
      </c>
      <c r="C29" s="6" t="s">
        <v>45</v>
      </c>
    </row>
    <row r="30" customFormat="false" ht="15" hidden="false" customHeight="false" outlineLevel="0" collapsed="false">
      <c r="B30" s="4" t="s">
        <v>46</v>
      </c>
      <c r="C30" s="7" t="s">
        <v>47</v>
      </c>
    </row>
    <row r="31" customFormat="false" ht="15" hidden="false" customHeight="false" outlineLevel="0" collapsed="false">
      <c r="B31" s="4" t="s">
        <v>48</v>
      </c>
      <c r="C31" s="5" t="s">
        <v>49</v>
      </c>
    </row>
    <row r="33" customFormat="false" ht="15" hidden="false" customHeight="false" outlineLevel="0" collapsed="false">
      <c r="B33" s="2" t="s">
        <v>50</v>
      </c>
      <c r="C33" s="3"/>
    </row>
    <row r="34" customFormat="false" ht="23.85" hidden="false" customHeight="false" outlineLevel="0" collapsed="false">
      <c r="B34" s="4" t="s">
        <v>51</v>
      </c>
      <c r="C34" s="5" t="s">
        <v>52</v>
      </c>
    </row>
    <row r="35" customFormat="false" ht="23.85" hidden="false" customHeight="false" outlineLevel="0" collapsed="false">
      <c r="B35" s="4" t="s">
        <v>53</v>
      </c>
      <c r="C35" s="5" t="s">
        <v>54</v>
      </c>
    </row>
    <row r="36" customFormat="false" ht="15" hidden="false" customHeight="false" outlineLevel="0" collapsed="false">
      <c r="B36" s="4" t="s">
        <v>55</v>
      </c>
      <c r="C36" s="5" t="s">
        <v>56</v>
      </c>
    </row>
    <row r="37" customFormat="false" ht="46.25" hidden="false" customHeight="false" outlineLevel="0" collapsed="false">
      <c r="B37" s="4" t="s">
        <v>57</v>
      </c>
      <c r="C37" s="5" t="s">
        <v>58</v>
      </c>
    </row>
    <row r="38" customFormat="false" ht="15" hidden="false" customHeight="false" outlineLevel="0" collapsed="false">
      <c r="B38" s="4" t="s">
        <v>59</v>
      </c>
      <c r="C38" s="5" t="s">
        <v>60</v>
      </c>
    </row>
    <row r="39" customFormat="false" ht="46.25" hidden="false" customHeight="false" outlineLevel="0" collapsed="false">
      <c r="B39" s="4" t="s">
        <v>61</v>
      </c>
      <c r="C39" s="5" t="s">
        <v>62</v>
      </c>
    </row>
    <row r="40" customFormat="false" ht="23.85" hidden="false" customHeight="false" outlineLevel="0" collapsed="false">
      <c r="B40" s="4" t="s">
        <v>63</v>
      </c>
      <c r="C40" s="5" t="s">
        <v>64</v>
      </c>
    </row>
    <row r="41" customFormat="false" ht="57.45" hidden="false" customHeight="false" outlineLevel="0" collapsed="false">
      <c r="B41" s="4" t="s">
        <v>65</v>
      </c>
      <c r="C41" s="5" t="s">
        <v>66</v>
      </c>
    </row>
    <row r="42" customFormat="false" ht="35.05" hidden="false" customHeight="false" outlineLevel="0" collapsed="false">
      <c r="B42" s="4" t="s">
        <v>67</v>
      </c>
      <c r="C42" s="5" t="s">
        <v>68</v>
      </c>
    </row>
    <row r="44" customFormat="false" ht="15" hidden="false" customHeight="false" outlineLevel="0" collapsed="false">
      <c r="B44" s="2" t="s">
        <v>69</v>
      </c>
      <c r="C44" s="3"/>
    </row>
    <row r="45" customFormat="false" ht="46.25" hidden="false" customHeight="false" outlineLevel="0" collapsed="false">
      <c r="B45" s="4" t="s">
        <v>70</v>
      </c>
      <c r="C45" s="5" t="s">
        <v>71</v>
      </c>
    </row>
    <row r="46" customFormat="false" ht="35.05" hidden="false" customHeight="false" outlineLevel="0" collapsed="false">
      <c r="B46" s="4" t="s">
        <v>72</v>
      </c>
      <c r="C46" s="5" t="s">
        <v>73</v>
      </c>
    </row>
    <row r="47" customFormat="false" ht="15" hidden="false" customHeight="false" outlineLevel="0" collapsed="false">
      <c r="B47" s="4" t="s">
        <v>74</v>
      </c>
      <c r="C47" s="5" t="s">
        <v>75</v>
      </c>
    </row>
    <row r="48" customFormat="false" ht="23.85" hidden="false" customHeight="false" outlineLevel="0" collapsed="false">
      <c r="B48" s="4" t="s">
        <v>76</v>
      </c>
      <c r="C48" s="5" t="s">
        <v>77</v>
      </c>
    </row>
    <row r="49" customFormat="false" ht="46.25" hidden="false" customHeight="false" outlineLevel="0" collapsed="false">
      <c r="B49" s="4" t="s">
        <v>78</v>
      </c>
      <c r="C49" s="5" t="s">
        <v>79</v>
      </c>
    </row>
    <row r="50" customFormat="false" ht="35.05" hidden="false" customHeight="false" outlineLevel="0" collapsed="false">
      <c r="B50" s="4" t="s">
        <v>80</v>
      </c>
      <c r="C50" s="5" t="s">
        <v>81</v>
      </c>
    </row>
    <row r="51" customFormat="false" ht="23.85" hidden="false" customHeight="false" outlineLevel="0" collapsed="false">
      <c r="B51" s="4" t="s">
        <v>82</v>
      </c>
      <c r="C51" s="5" t="s">
        <v>83</v>
      </c>
    </row>
    <row r="52" customFormat="false" ht="23.85" hidden="false" customHeight="false" outlineLevel="0" collapsed="false">
      <c r="B52" s="4" t="s">
        <v>84</v>
      </c>
      <c r="C52" s="5" t="s">
        <v>85</v>
      </c>
    </row>
    <row r="54" customFormat="false" ht="15" hidden="false" customHeight="false" outlineLevel="0" collapsed="false">
      <c r="B54" s="2" t="s">
        <v>86</v>
      </c>
      <c r="C54" s="3"/>
    </row>
    <row r="55" customFormat="false" ht="46.25" hidden="false" customHeight="false" outlineLevel="0" collapsed="false">
      <c r="B55" s="4" t="s">
        <v>87</v>
      </c>
      <c r="C55" s="5" t="s">
        <v>88</v>
      </c>
    </row>
    <row r="56" customFormat="false" ht="57.45" hidden="false" customHeight="false" outlineLevel="0" collapsed="false">
      <c r="B56" s="4" t="s">
        <v>89</v>
      </c>
      <c r="C56" s="5" t="s">
        <v>90</v>
      </c>
    </row>
    <row r="57" customFormat="false" ht="23.85" hidden="false" customHeight="false" outlineLevel="0" collapsed="false">
      <c r="B57" s="4" t="s">
        <v>91</v>
      </c>
      <c r="C57" s="5" t="s">
        <v>92</v>
      </c>
    </row>
    <row r="58" customFormat="false" ht="15" hidden="false" customHeight="false" outlineLevel="0" collapsed="false">
      <c r="B58" s="4" t="s">
        <v>93</v>
      </c>
      <c r="C58" s="5" t="s">
        <v>94</v>
      </c>
    </row>
    <row r="59" customFormat="false" ht="57.45" hidden="false" customHeight="false" outlineLevel="0" collapsed="false">
      <c r="B59" s="4" t="s">
        <v>95</v>
      </c>
      <c r="C59" s="5"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22"/>
    <col collapsed="false" customWidth="true" hidden="false" outlineLevel="0" max="4" min="4" style="0" width="4"/>
    <col collapsed="false" customWidth="true" hidden="false" outlineLevel="0" max="5" min="5" style="0" width="18"/>
    <col collapsed="false" customWidth="true" hidden="false" outlineLevel="0" max="6" min="6" style="0" width="12"/>
  </cols>
  <sheetData>
    <row r="1" customFormat="false" ht="22.05" hidden="false" customHeight="false" outlineLevel="0" collapsed="false">
      <c r="A1" s="1" t="str">
        <f aca="false">ProjectName&amp;"  -  Dashboard"</f>
        <v>Customer Portal Implementation  -  Dashboard</v>
      </c>
    </row>
    <row r="2" customFormat="false" ht="15" hidden="false" customHeight="false" outlineLevel="0" collapsed="false">
      <c r="A2" s="8" t="str">
        <f aca="false">"Project manager: "&amp;ProjectManager&amp;"     Status date: "&amp;TEXT(StatusDate,"ddd dd-mmm-yyyy")</f>
        <v>Project manager: Priya Sharma     Status date: Sun 25-Oct-2026</v>
      </c>
    </row>
    <row r="4" customFormat="false" ht="15" hidden="false" customHeight="false" outlineLevel="0" collapsed="false">
      <c r="B4" s="9" t="s">
        <v>97</v>
      </c>
      <c r="C4" s="9" t="s">
        <v>98</v>
      </c>
      <c r="E4" s="9" t="s">
        <v>99</v>
      </c>
      <c r="F4" s="9" t="s">
        <v>100</v>
      </c>
    </row>
    <row r="5" customFormat="false" ht="15" hidden="false" customHeight="false" outlineLevel="0" collapsed="false">
      <c r="B5" s="10" t="s">
        <v>101</v>
      </c>
      <c r="C5" s="11" t="n">
        <f aca="false">MIN(tsk_PlanStart)</f>
        <v>46272</v>
      </c>
      <c r="E5" s="12" t="s">
        <v>102</v>
      </c>
      <c r="F5" s="10" t="n">
        <f aca="false">COUNTIFS(tsk_Status,StatusSummary[[#This Row],[Status]],tsk_IsLeaf,1)</f>
        <v>9</v>
      </c>
    </row>
    <row r="6" customFormat="false" ht="15" hidden="false" customHeight="false" outlineLevel="0" collapsed="false">
      <c r="B6" s="10" t="s">
        <v>103</v>
      </c>
      <c r="C6" s="11" t="n">
        <f aca="false">MAX(tsk_PlanFinish)</f>
        <v>46393</v>
      </c>
      <c r="E6" s="13" t="s">
        <v>104</v>
      </c>
      <c r="F6" s="10" t="n">
        <f aca="false">COUNTIFS(tsk_Status,StatusSummary[[#This Row],[Status]],tsk_IsLeaf,1)</f>
        <v>0</v>
      </c>
    </row>
    <row r="7" customFormat="false" ht="15" hidden="false" customHeight="false" outlineLevel="0" collapsed="false">
      <c r="B7" s="10" t="s">
        <v>105</v>
      </c>
      <c r="C7" s="11" t="n">
        <f aca="false">MAX(tsk_FcFinish)</f>
        <v>46393</v>
      </c>
      <c r="E7" s="14" t="s">
        <v>106</v>
      </c>
      <c r="F7" s="10" t="n">
        <f aca="false">COUNTIFS(tsk_Status,StatusSummary[[#This Row],[Status]],tsk_IsLeaf,1)</f>
        <v>2</v>
      </c>
    </row>
    <row r="8" customFormat="false" ht="15" hidden="false" customHeight="false" outlineLevel="0" collapsed="false">
      <c r="B8" s="10" t="s">
        <v>107</v>
      </c>
      <c r="C8" s="15" t="n">
        <f aca="false">FinishVarianceDays</f>
        <v>0</v>
      </c>
      <c r="E8" s="16" t="s">
        <v>108</v>
      </c>
      <c r="F8" s="10" t="n">
        <f aca="false">COUNTIFS(tsk_Status,StatusSummary[[#This Row],[Status]],tsk_IsLeaf,1)</f>
        <v>1</v>
      </c>
    </row>
    <row r="9" customFormat="false" ht="15" hidden="false" customHeight="false" outlineLevel="0" collapsed="false">
      <c r="B9" s="10" t="s">
        <v>109</v>
      </c>
      <c r="C9" s="17" t="n">
        <f aca="false">IFERROR(SUM(tsk_WtDone)/SUM(tsk_WtDur),0)</f>
        <v>0.434170854271357</v>
      </c>
      <c r="E9" s="18" t="s">
        <v>110</v>
      </c>
      <c r="F9" s="10" t="n">
        <f aca="false">COUNTIFS(tsk_Status,StatusSummary[[#This Row],[Status]],tsk_IsLeaf,1)</f>
        <v>11</v>
      </c>
    </row>
    <row r="10" customFormat="false" ht="15" hidden="false" customHeight="false" outlineLevel="0" collapsed="false">
      <c r="B10" s="10" t="s">
        <v>111</v>
      </c>
      <c r="C10" s="17" t="n">
        <f aca="false">IFERROR(SUMPRODUCT(tsk_WtDur,tsk_PlannedPct)/SUM(tsk_WtDur),0)</f>
        <v>0.554773869346734</v>
      </c>
    </row>
    <row r="11" customFormat="false" ht="15" hidden="false" customHeight="false" outlineLevel="0" collapsed="false">
      <c r="B11" s="10" t="s">
        <v>112</v>
      </c>
      <c r="C11" s="19" t="n">
        <f aca="false">SUM(tsk_IsLeaf)</f>
        <v>23</v>
      </c>
    </row>
    <row r="12" customFormat="false" ht="15" hidden="false" customHeight="false" outlineLevel="0" collapsed="false">
      <c r="B12" s="10" t="s">
        <v>113</v>
      </c>
      <c r="C12" s="19" t="n">
        <f aca="false">SUMPRODUCT(tsk_IsLeaf*(tsk_Duration=0)*(tsk_Name&lt;&gt;""))</f>
        <v>5</v>
      </c>
    </row>
    <row r="13" customFormat="false" ht="15" hidden="false" customHeight="false" outlineLevel="0" collapsed="false">
      <c r="B13" s="10" t="s">
        <v>114</v>
      </c>
      <c r="C13" s="20" t="n">
        <f aca="false">SUMPRODUCT(tsk_Work,tsk_IsLeaf)</f>
        <v>868</v>
      </c>
    </row>
    <row r="14" customFormat="false" ht="15" hidden="false" customHeight="false" outlineLevel="0" collapsed="false">
      <c r="B14" s="10" t="s">
        <v>115</v>
      </c>
      <c r="C14" s="21" t="n">
        <f aca="false">SUMPRODUCT(tsk_Cost,tsk_IsLeaf)</f>
        <v>69020</v>
      </c>
    </row>
    <row r="15" customFormat="false" ht="15" hidden="false" customHeight="false" outlineLevel="0" collapsed="false">
      <c r="B15" s="10" t="s">
        <v>116</v>
      </c>
      <c r="C15" s="22" t="str">
        <f aca="false">IF(CurrentSprint="","(outside sprint range)",CurrentSprint)</f>
        <v>Sprint 4</v>
      </c>
    </row>
    <row r="16" customFormat="false" ht="15" hidden="false" customHeight="false" outlineLevel="0" collapsed="false">
      <c r="B16" s="10" t="s">
        <v>117</v>
      </c>
      <c r="C16" s="22" t="str">
        <f aca="false">IF(COUNT(tsk_BaseStart)=0,"Not set (planned = calculated)","Set on "&amp;COUNT(tsk_BaseStart)&amp;" tasks")</f>
        <v>Not set (planned = calculated)</v>
      </c>
    </row>
    <row r="17" customFormat="false" ht="15" hidden="false" customHeight="false" outlineLevel="0" collapsed="false">
      <c r="B17" s="10" t="s">
        <v>118</v>
      </c>
      <c r="C17" s="19" t="n">
        <f aca="false">COUNTIFS(tsk_Critical,"Yes",tsk_IsLeaf,1)</f>
        <v>11</v>
      </c>
    </row>
    <row r="18" customFormat="false" ht="15" hidden="false" customHeight="false" outlineLevel="0" collapsed="false">
      <c r="B18" s="10" t="s">
        <v>119</v>
      </c>
      <c r="C18" s="19" t="n">
        <f aca="false">COUNTIF(tsk_DeadlineCheck,"Late*")</f>
        <v>1</v>
      </c>
    </row>
    <row r="19" customFormat="false" ht="15" hidden="false" customHeight="false" outlineLevel="0" collapsed="false">
      <c r="B19" s="10" t="s">
        <v>120</v>
      </c>
      <c r="C19" s="19" t="n">
        <f aca="false">COUNTIF(tsk_LinkCheck,"?*")</f>
        <v>0</v>
      </c>
    </row>
    <row r="20" customFormat="false" ht="15" hidden="false" customHeight="false" outlineLevel="0" collapsed="false">
      <c r="B20" s="10" t="s">
        <v>121</v>
      </c>
      <c r="C20" s="22" t="str">
        <f aca="false">ProjectRAG</f>
        <v>Red</v>
      </c>
    </row>
    <row r="21" customFormat="false" ht="15" hidden="false" customHeight="false" outlineLevel="0" collapsed="false">
      <c r="B21" s="10" t="s">
        <v>122</v>
      </c>
      <c r="C21" s="23" t="n">
        <f aca="false">IF(evm_SPI="","-",evm_SPI)</f>
        <v>0.76153091265947</v>
      </c>
    </row>
    <row r="22" customFormat="false" ht="15" hidden="false" customHeight="false" outlineLevel="0" collapsed="false">
      <c r="B22" s="10" t="s">
        <v>123</v>
      </c>
      <c r="C22" s="23" t="n">
        <f aca="false">IF(evm_CPI="","-",evm_CPI)</f>
        <v>0.939467312348668</v>
      </c>
    </row>
    <row r="23" customFormat="false" ht="15" hidden="false" customHeight="false" outlineLevel="0" collapsed="false">
      <c r="B23" s="10" t="s">
        <v>124</v>
      </c>
      <c r="C23" s="21" t="n">
        <f aca="false">evm_EAC</f>
        <v>73467.1649484536</v>
      </c>
    </row>
    <row r="24" customFormat="false" ht="15" hidden="false" customHeight="false" outlineLevel="0" collapsed="false">
      <c r="B24" s="10" t="s">
        <v>125</v>
      </c>
      <c r="C24" s="22" t="str">
        <f aca="false">IF(TotalPoints=0,"-",agl_Done&amp;" / "&amp;TotalPoints)</f>
        <v>33 / 82</v>
      </c>
    </row>
    <row r="25" customFormat="false" ht="15" hidden="false" customHeight="false" outlineLevel="0" collapsed="false">
      <c r="B25" s="10" t="s">
        <v>126</v>
      </c>
      <c r="C25" s="22" t="str">
        <f aca="false">COUNTIFS(raid_Type,"Risk",raid_Status,"&lt;&gt;Closed")&amp;" / "&amp;COUNTIFS(raid_Type,"Issue",raid_Status,"&lt;&gt;Closed")</f>
        <v>2 / 1</v>
      </c>
    </row>
    <row r="26" customFormat="false" ht="15" hidden="false" customHeight="false" outlineLevel="0" collapsed="false">
      <c r="B26" s="10" t="s">
        <v>127</v>
      </c>
      <c r="C26" s="19" t="n">
        <f aca="false">COUNTIF(tsk_OverAllocated,"Yes")</f>
        <v>3</v>
      </c>
    </row>
    <row r="27" customFormat="false" ht="15" hidden="false" customHeight="false" outlineLevel="0" collapsed="false">
      <c r="B27" s="10" t="s">
        <v>128</v>
      </c>
      <c r="C27" s="19" t="n">
        <f aca="false">COUNTIF(chg_Status,"Submitted")+COUNTIF(chg_Status,"Under Review")</f>
        <v>1</v>
      </c>
    </row>
    <row r="30" customFormat="false" ht="15" hidden="false" customHeight="false" outlineLevel="0" collapsed="false">
      <c r="B30" s="9" t="s">
        <v>129</v>
      </c>
      <c r="C30" s="9" t="s">
        <v>130</v>
      </c>
    </row>
    <row r="31" customFormat="false" ht="15" hidden="false" customHeight="false" outlineLevel="0" collapsed="false">
      <c r="B31" s="24" t="str">
        <f aca="false">IFERROR(INDEX(tsk_Name,MATCH(SMALL(tsk_MilestoneKey,(ROW()-ROW(NextMilestones[[#Headers],[Next milestones (forecast)]]))),tsk_MilestoneKey,0)),"")</f>
        <v>Build complete</v>
      </c>
      <c r="C31" s="25" t="n">
        <f aca="false">IFERROR(INDEX(tsk_FcFinish,MATCH(SMALL(tsk_MilestoneKey,(ROW()-ROW(NextMilestones[[#Headers],[Next milestones (forecast)]]))),tsk_MilestoneKey,0)),"")</f>
        <v>46335</v>
      </c>
    </row>
    <row r="32" customFormat="false" ht="15" hidden="false" customHeight="false" outlineLevel="0" collapsed="false">
      <c r="B32" s="24" t="str">
        <f aca="false">IFERROR(INDEX(tsk_Name,MATCH(SMALL(tsk_MilestoneKey,(ROW()-ROW(NextMilestones[[#Headers],[Next milestones (forecast)]]))),tsk_MilestoneKey,0)),"")</f>
        <v>Go-live</v>
      </c>
      <c r="C32" s="25" t="n">
        <f aca="false">IFERROR(INDEX(tsk_FcFinish,MATCH(SMALL(tsk_MilestoneKey,(ROW()-ROW(NextMilestones[[#Headers],[Next milestones (forecast)]]))),tsk_MilestoneKey,0)),"")</f>
        <v>46371</v>
      </c>
    </row>
    <row r="33" customFormat="false" ht="15" hidden="false" customHeight="false" outlineLevel="0" collapsed="false">
      <c r="B33" s="24" t="str">
        <f aca="false">IFERROR(INDEX(tsk_Name,MATCH(SMALL(tsk_MilestoneKey,(ROW()-ROW(NextMilestones[[#Headers],[Next milestones (forecast)]]))),tsk_MilestoneKey,0)),"")</f>
        <v>Project closed</v>
      </c>
      <c r="C33" s="25" t="n">
        <f aca="false">IFERROR(INDEX(tsk_FcFinish,MATCH(SMALL(tsk_MilestoneKey,(ROW()-ROW(NextMilestones[[#Headers],[Next milestones (forecast)]]))),tsk_MilestoneKey,0)),"")</f>
        <v>46393</v>
      </c>
    </row>
    <row r="34" customFormat="false" ht="15" hidden="false" customHeight="false" outlineLevel="0" collapsed="false">
      <c r="B34" s="24" t="str">
        <f aca="false">IFERROR(INDEX(tsk_Name,MATCH(SMALL(tsk_MilestoneKey,(ROW()-ROW(NextMilestones[[#Headers],[Next milestones (forecast)]]))),tsk_MilestoneKey,0)),"")</f>
        <v/>
      </c>
      <c r="C34" s="25" t="str">
        <f aca="false">IFERROR(INDEX(tsk_FcFinish,MATCH(SMALL(tsk_MilestoneKey,(ROW()-ROW(NextMilestones[[#Headers],[Next milestones (forecast)]]))),tsk_MilestoneKey,0)),"")</f>
        <v/>
      </c>
    </row>
    <row r="35" customFormat="false" ht="15" hidden="false" customHeight="false" outlineLevel="0" collapsed="false">
      <c r="B35" s="24" t="str">
        <f aca="false">IFERROR(INDEX(tsk_Name,MATCH(SMALL(tsk_MilestoneKey,(ROW()-ROW(NextMilestones[[#Headers],[Next milestones (forecast)]]))),tsk_MilestoneKey,0)),"")</f>
        <v/>
      </c>
      <c r="C35" s="25" t="str">
        <f aca="false">IFERROR(INDEX(tsk_FcFinish,MATCH(SMALL(tsk_MilestoneKey,(ROW()-ROW(NextMilestones[[#Headers],[Next milestones (forecast)]]))),tsk_MilestoneKey,0)),"")</f>
        <v/>
      </c>
    </row>
  </sheetData>
  <conditionalFormatting sqref="C8">
    <cfRule type="expression" priority="2" aboveAverage="0" equalAverage="0" bottom="0" percent="0" rank="0" text="" dxfId="11">
      <formula>C8&gt;0</formula>
    </cfRule>
    <cfRule type="expression" priority="3" aboveAverage="0" equalAverage="0" bottom="0" percent="0" rank="0" text="" dxfId="12">
      <formula>C8&lt;=0</formula>
    </cfRule>
  </conditionalFormatting>
  <conditionalFormatting sqref="C18">
    <cfRule type="expression" priority="4" aboveAverage="0" equalAverage="0" bottom="0" percent="0" rank="0" text="" dxfId="11">
      <formula>C18&gt;0</formula>
    </cfRule>
    <cfRule type="expression" priority="5" aboveAverage="0" equalAverage="0" bottom="0" percent="0" rank="0" text="" dxfId="12">
      <formula>C18&lt;=0</formula>
    </cfRule>
  </conditionalFormatting>
  <conditionalFormatting sqref="C19">
    <cfRule type="expression" priority="6" aboveAverage="0" equalAverage="0" bottom="0" percent="0" rank="0" text="" dxfId="11">
      <formula>C19&gt;0</formula>
    </cfRule>
    <cfRule type="expression" priority="7" aboveAverage="0" equalAverage="0" bottom="0" percent="0" rank="0" text="" dxfId="12">
      <formula>C19&lt;=0</formula>
    </cfRule>
  </conditionalFormatting>
  <conditionalFormatting sqref="C20">
    <cfRule type="expression" priority="8" aboveAverage="0" equalAverage="0" bottom="0" percent="0" rank="0" text="" dxfId="13">
      <formula>C20="Green"</formula>
    </cfRule>
    <cfRule type="expression" priority="9" aboveAverage="0" equalAverage="0" bottom="0" percent="0" rank="0" text="" dxfId="14">
      <formula>C20="Amber"</formula>
    </cfRule>
    <cfRule type="expression" priority="10" aboveAverage="0" equalAverage="0" bottom="0" percent="0" rank="0" text="" dxfId="15">
      <formula>C20="Red"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AC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true" outlineLevel="0" max="2" min="2" style="0" width="4"/>
    <col collapsed="false" customWidth="true" hidden="false" outlineLevel="0" max="3" min="3" style="0" width="6"/>
    <col collapsed="false" customWidth="true" hidden="false" outlineLevel="0" max="4" min="4" style="0" width="32"/>
    <col collapsed="false" customWidth="true" hidden="false" outlineLevel="0" max="8" min="5" style="0" width="10"/>
    <col collapsed="false" customWidth="true" hidden="false" outlineLevel="0" max="9" min="9" style="0" width="9"/>
    <col collapsed="false" customWidth="true" hidden="false" outlineLevel="0" max="10" min="10" style="0" width="8"/>
    <col collapsed="false" customWidth="true" hidden="false" outlineLevel="0" max="11" min="11" style="0" width="1"/>
    <col collapsed="false" customWidth="true" hidden="false" outlineLevel="0" max="29" min="12" style="0" width="4.6"/>
  </cols>
  <sheetData>
    <row r="1" customFormat="false" ht="19.7" hidden="false" customHeight="false" outlineLevel="0" collapsed="false">
      <c r="A1" s="26" t="str">
        <f aca="false">ProjectName&amp;"  -  Roadmap"</f>
        <v>Customer Portal Implementation  -  Roadmap</v>
      </c>
    </row>
    <row r="2" customFormat="false" ht="15" hidden="false" customHeight="false" outlineLevel="0" collapsed="false">
      <c r="A2" s="27" t="str">
        <f aca="false">"Status date "&amp;TEXT(StatusDate,"dd-mmm-yyyy")&amp;"   Forecast finish "&amp;TEXT(ProjectFinish,"dd-mmm-yyyy")&amp;" ("&amp;TEXT(FinishVarianceDays,"+0;-0;0")&amp;" working days vs plan)"</f>
        <v>Status date 25-Oct-2026   Forecast finish 06-Jan-2027 (0 working days vs plan)</v>
      </c>
    </row>
    <row r="4" customFormat="false" ht="15" hidden="false" customHeight="false" outlineLevel="0" collapsed="false">
      <c r="L4" s="28" t="str">
        <f aca="false">IF(OR(COLUMN()-COLUMN(rm_Origin)=1,MONTH(EDATE(RoadmapStart,COLUMN()-COLUMN(rm_Origin)-1))=1),TEXT(EDATE(RoadmapStart,COLUMN()-COLUMN(rm_Origin)-1),"yyyy"),"")</f>
        <v>2026</v>
      </c>
      <c r="M4" s="28" t="str">
        <f aca="false">IF(OR(COLUMN()-COLUMN(rm_Origin)=1,MONTH(EDATE(RoadmapStart,COLUMN()-COLUMN(rm_Origin)-1))=1),TEXT(EDATE(RoadmapStart,COLUMN()-COLUMN(rm_Origin)-1),"yyyy"),"")</f>
        <v/>
      </c>
      <c r="N4" s="28" t="str">
        <f aca="false">IF(OR(COLUMN()-COLUMN(rm_Origin)=1,MONTH(EDATE(RoadmapStart,COLUMN()-COLUMN(rm_Origin)-1))=1),TEXT(EDATE(RoadmapStart,COLUMN()-COLUMN(rm_Origin)-1),"yyyy"),"")</f>
        <v/>
      </c>
      <c r="O4" s="28" t="str">
        <f aca="false">IF(OR(COLUMN()-COLUMN(rm_Origin)=1,MONTH(EDATE(RoadmapStart,COLUMN()-COLUMN(rm_Origin)-1))=1),TEXT(EDATE(RoadmapStart,COLUMN()-COLUMN(rm_Origin)-1),"yyyy"),"")</f>
        <v/>
      </c>
      <c r="P4" s="28" t="str">
        <f aca="false">IF(OR(COLUMN()-COLUMN(rm_Origin)=1,MONTH(EDATE(RoadmapStart,COLUMN()-COLUMN(rm_Origin)-1))=1),TEXT(EDATE(RoadmapStart,COLUMN()-COLUMN(rm_Origin)-1),"yyyy"),"")</f>
        <v>2027</v>
      </c>
      <c r="Q4" s="28" t="str">
        <f aca="false">IF(OR(COLUMN()-COLUMN(rm_Origin)=1,MONTH(EDATE(RoadmapStart,COLUMN()-COLUMN(rm_Origin)-1))=1),TEXT(EDATE(RoadmapStart,COLUMN()-COLUMN(rm_Origin)-1),"yyyy"),"")</f>
        <v/>
      </c>
      <c r="R4" s="28" t="str">
        <f aca="false">IF(OR(COLUMN()-COLUMN(rm_Origin)=1,MONTH(EDATE(RoadmapStart,COLUMN()-COLUMN(rm_Origin)-1))=1),TEXT(EDATE(RoadmapStart,COLUMN()-COLUMN(rm_Origin)-1),"yyyy"),"")</f>
        <v/>
      </c>
      <c r="S4" s="28" t="str">
        <f aca="false">IF(OR(COLUMN()-COLUMN(rm_Origin)=1,MONTH(EDATE(RoadmapStart,COLUMN()-COLUMN(rm_Origin)-1))=1),TEXT(EDATE(RoadmapStart,COLUMN()-COLUMN(rm_Origin)-1),"yyyy"),"")</f>
        <v/>
      </c>
      <c r="T4" s="28" t="str">
        <f aca="false">IF(OR(COLUMN()-COLUMN(rm_Origin)=1,MONTH(EDATE(RoadmapStart,COLUMN()-COLUMN(rm_Origin)-1))=1),TEXT(EDATE(RoadmapStart,COLUMN()-COLUMN(rm_Origin)-1),"yyyy"),"")</f>
        <v/>
      </c>
      <c r="U4" s="28" t="str">
        <f aca="false">IF(OR(COLUMN()-COLUMN(rm_Origin)=1,MONTH(EDATE(RoadmapStart,COLUMN()-COLUMN(rm_Origin)-1))=1),TEXT(EDATE(RoadmapStart,COLUMN()-COLUMN(rm_Origin)-1),"yyyy"),"")</f>
        <v/>
      </c>
      <c r="V4" s="28" t="str">
        <f aca="false">IF(OR(COLUMN()-COLUMN(rm_Origin)=1,MONTH(EDATE(RoadmapStart,COLUMN()-COLUMN(rm_Origin)-1))=1),TEXT(EDATE(RoadmapStart,COLUMN()-COLUMN(rm_Origin)-1),"yyyy"),"")</f>
        <v/>
      </c>
      <c r="W4" s="28" t="str">
        <f aca="false">IF(OR(COLUMN()-COLUMN(rm_Origin)=1,MONTH(EDATE(RoadmapStart,COLUMN()-COLUMN(rm_Origin)-1))=1),TEXT(EDATE(RoadmapStart,COLUMN()-COLUMN(rm_Origin)-1),"yyyy"),"")</f>
        <v/>
      </c>
      <c r="X4" s="28" t="str">
        <f aca="false">IF(OR(COLUMN()-COLUMN(rm_Origin)=1,MONTH(EDATE(RoadmapStart,COLUMN()-COLUMN(rm_Origin)-1))=1),TEXT(EDATE(RoadmapStart,COLUMN()-COLUMN(rm_Origin)-1),"yyyy"),"")</f>
        <v/>
      </c>
      <c r="Y4" s="28" t="str">
        <f aca="false">IF(OR(COLUMN()-COLUMN(rm_Origin)=1,MONTH(EDATE(RoadmapStart,COLUMN()-COLUMN(rm_Origin)-1))=1),TEXT(EDATE(RoadmapStart,COLUMN()-COLUMN(rm_Origin)-1),"yyyy"),"")</f>
        <v/>
      </c>
      <c r="Z4" s="28" t="str">
        <f aca="false">IF(OR(COLUMN()-COLUMN(rm_Origin)=1,MONTH(EDATE(RoadmapStart,COLUMN()-COLUMN(rm_Origin)-1))=1),TEXT(EDATE(RoadmapStart,COLUMN()-COLUMN(rm_Origin)-1),"yyyy"),"")</f>
        <v/>
      </c>
      <c r="AA4" s="28" t="str">
        <f aca="false">IF(OR(COLUMN()-COLUMN(rm_Origin)=1,MONTH(EDATE(RoadmapStart,COLUMN()-COLUMN(rm_Origin)-1))=1),TEXT(EDATE(RoadmapStart,COLUMN()-COLUMN(rm_Origin)-1),"yyyy"),"")</f>
        <v/>
      </c>
      <c r="AB4" s="28" t="str">
        <f aca="false">IF(OR(COLUMN()-COLUMN(rm_Origin)=1,MONTH(EDATE(RoadmapStart,COLUMN()-COLUMN(rm_Origin)-1))=1),TEXT(EDATE(RoadmapStart,COLUMN()-COLUMN(rm_Origin)-1),"yyyy"),"")</f>
        <v>2028</v>
      </c>
      <c r="AC4" s="28" t="str">
        <f aca="false">IF(OR(COLUMN()-COLUMN(rm_Origin)=1,MONTH(EDATE(RoadmapStart,COLUMN()-COLUMN(rm_Origin)-1))=1),TEXT(EDATE(RoadmapStart,COLUMN()-COLUMN(rm_Origin)-1),"yyyy"),"")</f>
        <v/>
      </c>
    </row>
    <row r="5" customFormat="false" ht="15" hidden="false" customHeight="false" outlineLevel="0" collapsed="false">
      <c r="L5" s="29" t="n">
        <f aca="false">EDATE(RoadmapStart,COLUMN()-COLUMN(rm_Origin)-1)</f>
        <v>46266</v>
      </c>
      <c r="M5" s="29" t="n">
        <f aca="false">EDATE(RoadmapStart,COLUMN()-COLUMN(rm_Origin)-1)</f>
        <v>46296</v>
      </c>
      <c r="N5" s="29" t="n">
        <f aca="false">EDATE(RoadmapStart,COLUMN()-COLUMN(rm_Origin)-1)</f>
        <v>46327</v>
      </c>
      <c r="O5" s="29" t="n">
        <f aca="false">EDATE(RoadmapStart,COLUMN()-COLUMN(rm_Origin)-1)</f>
        <v>46357</v>
      </c>
      <c r="P5" s="29" t="n">
        <f aca="false">EDATE(RoadmapStart,COLUMN()-COLUMN(rm_Origin)-1)</f>
        <v>46388</v>
      </c>
      <c r="Q5" s="29" t="n">
        <f aca="false">EDATE(RoadmapStart,COLUMN()-COLUMN(rm_Origin)-1)</f>
        <v>46419</v>
      </c>
      <c r="R5" s="29" t="n">
        <f aca="false">EDATE(RoadmapStart,COLUMN()-COLUMN(rm_Origin)-1)</f>
        <v>46447</v>
      </c>
      <c r="S5" s="29" t="n">
        <f aca="false">EDATE(RoadmapStart,COLUMN()-COLUMN(rm_Origin)-1)</f>
        <v>46478</v>
      </c>
      <c r="T5" s="29" t="n">
        <f aca="false">EDATE(RoadmapStart,COLUMN()-COLUMN(rm_Origin)-1)</f>
        <v>46508</v>
      </c>
      <c r="U5" s="29" t="n">
        <f aca="false">EDATE(RoadmapStart,COLUMN()-COLUMN(rm_Origin)-1)</f>
        <v>46539</v>
      </c>
      <c r="V5" s="29" t="n">
        <f aca="false">EDATE(RoadmapStart,COLUMN()-COLUMN(rm_Origin)-1)</f>
        <v>46569</v>
      </c>
      <c r="W5" s="29" t="n">
        <f aca="false">EDATE(RoadmapStart,COLUMN()-COLUMN(rm_Origin)-1)</f>
        <v>46600</v>
      </c>
      <c r="X5" s="29" t="n">
        <f aca="false">EDATE(RoadmapStart,COLUMN()-COLUMN(rm_Origin)-1)</f>
        <v>46631</v>
      </c>
      <c r="Y5" s="29" t="n">
        <f aca="false">EDATE(RoadmapStart,COLUMN()-COLUMN(rm_Origin)-1)</f>
        <v>46661</v>
      </c>
      <c r="Z5" s="29" t="n">
        <f aca="false">EDATE(RoadmapStart,COLUMN()-COLUMN(rm_Origin)-1)</f>
        <v>46692</v>
      </c>
      <c r="AA5" s="29" t="n">
        <f aca="false">EDATE(RoadmapStart,COLUMN()-COLUMN(rm_Origin)-1)</f>
        <v>46722</v>
      </c>
      <c r="AB5" s="29" t="n">
        <f aca="false">EDATE(RoadmapStart,COLUMN()-COLUMN(rm_Origin)-1)</f>
        <v>46753</v>
      </c>
      <c r="AC5" s="29" t="n">
        <f aca="false">EDATE(RoadmapStart,COLUMN()-COLUMN(rm_Origin)-1)</f>
        <v>46784</v>
      </c>
    </row>
    <row r="6" customFormat="false" ht="15" hidden="false" customHeight="false" outlineLevel="0" collapsed="false">
      <c r="C6" s="30" t="str">
        <f aca="false">"Phases"&amp;": "&amp;COUNT(tsk_PhaseKey)&amp;IF(COUNT(tsk_PhaseKey)&gt;ROWS(RoadmapPhases[_Task])," (showing the first "&amp;ROWS(RoadmapPhases[_Task])&amp;")","")</f>
        <v>Phases: 5</v>
      </c>
    </row>
    <row r="7" customFormat="false" ht="23.85" hidden="false" customHeight="false" outlineLevel="0" collapsed="false">
      <c r="B7" s="31" t="s">
        <v>131</v>
      </c>
      <c r="C7" s="9" t="s">
        <v>132</v>
      </c>
      <c r="D7" s="9" t="s">
        <v>133</v>
      </c>
      <c r="E7" s="9" t="s">
        <v>134</v>
      </c>
      <c r="F7" s="9" t="s">
        <v>135</v>
      </c>
      <c r="G7" s="9" t="s">
        <v>136</v>
      </c>
      <c r="H7" s="9" t="s">
        <v>137</v>
      </c>
      <c r="I7" s="9" t="s">
        <v>138</v>
      </c>
      <c r="J7" s="9" t="s">
        <v>139</v>
      </c>
    </row>
    <row r="8" customFormat="false" ht="15" hidden="false" customHeight="false" outlineLevel="0" collapsed="false">
      <c r="B8" s="32" t="n">
        <f aca="false">IFERROR(MATCH(SMALL(tsk_PhaseKey,ROW()-ROW(RoadmapPhases[[#Headers],[_Task]])),tsk_PhaseKey,0),"")</f>
        <v>1</v>
      </c>
      <c r="C8" s="24" t="str">
        <f aca="false">IF(RoadmapPhases[[#This Row],[_Task]]="","",INDEX(tsk_WBS,RoadmapPhases[[#This Row],[_Task]])&amp;"")</f>
        <v>1</v>
      </c>
      <c r="D8" s="24" t="str">
        <f aca="false">IF(RoadmapPhases[[#This Row],[_Task]]="","",INDEX(tsk_Name,RoadmapPhases[[#This Row],[_Task]])&amp;"")</f>
        <v>Initiation</v>
      </c>
      <c r="E8" s="33" t="n">
        <f aca="false">IF(RoadmapPhases[[#This Row],[_Task]]="","",IF(N(INDEX(tsk_PlanStart,RoadmapPhases[[#This Row],[_Task]]))=0,"",INDEX(tsk_PlanStart,RoadmapPhases[[#This Row],[_Task]])))</f>
        <v>46272</v>
      </c>
      <c r="F8" s="33" t="n">
        <f aca="false">IF(RoadmapPhases[[#This Row],[_Task]]="","",IF(N(INDEX(tsk_PlanFinish,RoadmapPhases[[#This Row],[_Task]]))=0,"",INDEX(tsk_PlanFinish,RoadmapPhases[[#This Row],[_Task]])))</f>
        <v>46276</v>
      </c>
      <c r="G8" s="33" t="n">
        <f aca="false">IF(RoadmapPhases[[#This Row],[_Task]]="","",IF(N(INDEX(tsk_FcStart,RoadmapPhases[[#This Row],[_Task]]))=0,"",INDEX(tsk_FcStart,RoadmapPhases[[#This Row],[_Task]])))</f>
        <v>46272</v>
      </c>
      <c r="H8" s="33" t="n">
        <f aca="false">IF(RoadmapPhases[[#This Row],[_Task]]="","",IF(N(INDEX(tsk_FcFinish,RoadmapPhases[[#This Row],[_Task]]))=0,"",INDEX(tsk_FcFinish,RoadmapPhases[[#This Row],[_Task]])))</f>
        <v>46279</v>
      </c>
      <c r="I8" s="34" t="n">
        <f aca="false">IF(RoadmapPhases[[#This Row],[_Task]]="","",INDEX(tsk_Progress,RoadmapPhases[[#This Row],[_Task]]))</f>
        <v>1</v>
      </c>
      <c r="J8" s="35" t="n">
        <f aca="false">IF(RoadmapPhases[[#This Row],[_Task]]="","",INDEX(tsk_Variance,RoadmapPhases[[#This Row],[_Task]]))</f>
        <v>1</v>
      </c>
    </row>
    <row r="9" customFormat="false" ht="15" hidden="false" customHeight="false" outlineLevel="0" collapsed="false">
      <c r="B9" s="32" t="n">
        <f aca="false">IFERROR(MATCH(SMALL(tsk_PhaseKey,ROW()-ROW(RoadmapPhases[[#Headers],[_Task]])),tsk_PhaseKey,0),"")</f>
        <v>5</v>
      </c>
      <c r="C9" s="24" t="str">
        <f aca="false">IF(RoadmapPhases[[#This Row],[_Task]]="","",INDEX(tsk_WBS,RoadmapPhases[[#This Row],[_Task]])&amp;"")</f>
        <v>2</v>
      </c>
      <c r="D9" s="24" t="str">
        <f aca="false">IF(RoadmapPhases[[#This Row],[_Task]]="","",INDEX(tsk_Name,RoadmapPhases[[#This Row],[_Task]])&amp;"")</f>
        <v>Requirements &amp; Design</v>
      </c>
      <c r="E9" s="33" t="n">
        <f aca="false">IF(RoadmapPhases[[#This Row],[_Task]]="","",IF(N(INDEX(tsk_PlanStart,RoadmapPhases[[#This Row],[_Task]]))=0,"",INDEX(tsk_PlanStart,RoadmapPhases[[#This Row],[_Task]])))</f>
        <v>46279</v>
      </c>
      <c r="F9" s="33" t="n">
        <f aca="false">IF(RoadmapPhases[[#This Row],[_Task]]="","",IF(N(INDEX(tsk_PlanFinish,RoadmapPhases[[#This Row],[_Task]]))=0,"",INDEX(tsk_PlanFinish,RoadmapPhases[[#This Row],[_Task]])))</f>
        <v>46296</v>
      </c>
      <c r="G9" s="33" t="n">
        <f aca="false">IF(RoadmapPhases[[#This Row],[_Task]]="","",IF(N(INDEX(tsk_FcStart,RoadmapPhases[[#This Row],[_Task]]))=0,"",INDEX(tsk_FcStart,RoadmapPhases[[#This Row],[_Task]])))</f>
        <v>46280</v>
      </c>
      <c r="H9" s="33" t="n">
        <f aca="false">IF(RoadmapPhases[[#This Row],[_Task]]="","",IF(N(INDEX(tsk_FcFinish,RoadmapPhases[[#This Row],[_Task]]))=0,"",INDEX(tsk_FcFinish,RoadmapPhases[[#This Row],[_Task]])))</f>
        <v>46301</v>
      </c>
      <c r="I9" s="34" t="n">
        <f aca="false">IF(RoadmapPhases[[#This Row],[_Task]]="","",INDEX(tsk_Progress,RoadmapPhases[[#This Row],[_Task]]))</f>
        <v>1</v>
      </c>
      <c r="J9" s="35" t="n">
        <f aca="false">IF(RoadmapPhases[[#This Row],[_Task]]="","",INDEX(tsk_Variance,RoadmapPhases[[#This Row],[_Task]]))</f>
        <v>3</v>
      </c>
    </row>
    <row r="10" customFormat="false" ht="15" hidden="false" customHeight="false" outlineLevel="0" collapsed="false">
      <c r="B10" s="32" t="n">
        <f aca="false">IFERROR(MATCH(SMALL(tsk_PhaseKey,ROW()-ROW(RoadmapPhases[[#Headers],[_Task]])),tsk_PhaseKey,0),"")</f>
        <v>10</v>
      </c>
      <c r="C10" s="24" t="str">
        <f aca="false">IF(RoadmapPhases[[#This Row],[_Task]]="","",INDEX(tsk_WBS,RoadmapPhases[[#This Row],[_Task]])&amp;"")</f>
        <v>3</v>
      </c>
      <c r="D10" s="24" t="str">
        <f aca="false">IF(RoadmapPhases[[#This Row],[_Task]]="","",INDEX(tsk_Name,RoadmapPhases[[#This Row],[_Task]])&amp;"")</f>
        <v>Build</v>
      </c>
      <c r="E10" s="33" t="n">
        <f aca="false">IF(RoadmapPhases[[#This Row],[_Task]]="","",IF(N(INDEX(tsk_PlanStart,RoadmapPhases[[#This Row],[_Task]]))=0,"",INDEX(tsk_PlanStart,RoadmapPhases[[#This Row],[_Task]])))</f>
        <v>46297</v>
      </c>
      <c r="F10" s="33" t="n">
        <f aca="false">IF(RoadmapPhases[[#This Row],[_Task]]="","",IF(N(INDEX(tsk_PlanFinish,RoadmapPhases[[#This Row],[_Task]]))=0,"",INDEX(tsk_PlanFinish,RoadmapPhases[[#This Row],[_Task]])))</f>
        <v>46325</v>
      </c>
      <c r="G10" s="33" t="n">
        <f aca="false">IF(RoadmapPhases[[#This Row],[_Task]]="","",IF(N(INDEX(tsk_FcStart,RoadmapPhases[[#This Row],[_Task]]))=0,"",INDEX(tsk_FcStart,RoadmapPhases[[#This Row],[_Task]])))</f>
        <v>46302</v>
      </c>
      <c r="H10" s="33" t="n">
        <f aca="false">IF(RoadmapPhases[[#This Row],[_Task]]="","",IF(N(INDEX(tsk_FcFinish,RoadmapPhases[[#This Row],[_Task]]))=0,"",INDEX(tsk_FcFinish,RoadmapPhases[[#This Row],[_Task]])))</f>
        <v>46335</v>
      </c>
      <c r="I10" s="34" t="n">
        <f aca="false">IF(RoadmapPhases[[#This Row],[_Task]]="","",INDEX(tsk_Progress,RoadmapPhases[[#This Row],[_Task]]))</f>
        <v>0.451306413301663</v>
      </c>
      <c r="J10" s="35" t="n">
        <f aca="false">IF(RoadmapPhases[[#This Row],[_Task]]="","",INDEX(tsk_Variance,RoadmapPhases[[#This Row],[_Task]]))</f>
        <v>6</v>
      </c>
    </row>
    <row r="11" customFormat="false" ht="15" hidden="false" customHeight="false" outlineLevel="0" collapsed="false">
      <c r="B11" s="32" t="n">
        <f aca="false">IFERROR(MATCH(SMALL(tsk_PhaseKey,ROW()-ROW(RoadmapPhases[[#Headers],[_Task]])),tsk_PhaseKey,0),"")</f>
        <v>20</v>
      </c>
      <c r="C11" s="24" t="str">
        <f aca="false">IF(RoadmapPhases[[#This Row],[_Task]]="","",INDEX(tsk_WBS,RoadmapPhases[[#This Row],[_Task]])&amp;"")</f>
        <v>4</v>
      </c>
      <c r="D11" s="24" t="str">
        <f aca="false">IF(RoadmapPhases[[#This Row],[_Task]]="","",INDEX(tsk_Name,RoadmapPhases[[#This Row],[_Task]])&amp;"")</f>
        <v>Test &amp; Release</v>
      </c>
      <c r="E11" s="33" t="n">
        <f aca="false">IF(RoadmapPhases[[#This Row],[_Task]]="","",IF(N(INDEX(tsk_PlanStart,RoadmapPhases[[#This Row],[_Task]]))=0,"",INDEX(tsk_PlanStart,RoadmapPhases[[#This Row],[_Task]])))</f>
        <v>46328</v>
      </c>
      <c r="F11" s="33" t="n">
        <f aca="false">IF(RoadmapPhases[[#This Row],[_Task]]="","",IF(N(INDEX(tsk_PlanFinish,RoadmapPhases[[#This Row],[_Task]]))=0,"",INDEX(tsk_PlanFinish,RoadmapPhases[[#This Row],[_Task]])))</f>
        <v>46391</v>
      </c>
      <c r="G11" s="33" t="n">
        <f aca="false">IF(RoadmapPhases[[#This Row],[_Task]]="","",IF(N(INDEX(tsk_FcStart,RoadmapPhases[[#This Row],[_Task]]))=0,"",INDEX(tsk_FcStart,RoadmapPhases[[#This Row],[_Task]])))</f>
        <v>46336</v>
      </c>
      <c r="H11" s="33" t="n">
        <f aca="false">IF(RoadmapPhases[[#This Row],[_Task]]="","",IF(N(INDEX(tsk_FcFinish,RoadmapPhases[[#This Row],[_Task]]))=0,"",INDEX(tsk_FcFinish,RoadmapPhases[[#This Row],[_Task]])))</f>
        <v>46391</v>
      </c>
      <c r="I11" s="34" t="n">
        <f aca="false">IF(RoadmapPhases[[#This Row],[_Task]]="","",INDEX(tsk_Progress,RoadmapPhases[[#This Row],[_Task]]))</f>
        <v>0</v>
      </c>
      <c r="J11" s="35" t="n">
        <f aca="false">IF(RoadmapPhases[[#This Row],[_Task]]="","",INDEX(tsk_Variance,RoadmapPhases[[#This Row],[_Task]]))</f>
        <v>0</v>
      </c>
    </row>
    <row r="12" customFormat="false" ht="15" hidden="false" customHeight="false" outlineLevel="0" collapsed="false">
      <c r="B12" s="32" t="n">
        <f aca="false">IFERROR(MATCH(SMALL(tsk_PhaseKey,ROW()-ROW(RoadmapPhases[[#Headers],[_Task]])),tsk_PhaseKey,0),"")</f>
        <v>27</v>
      </c>
      <c r="C12" s="24" t="str">
        <f aca="false">IF(RoadmapPhases[[#This Row],[_Task]]="","",INDEX(tsk_WBS,RoadmapPhases[[#This Row],[_Task]])&amp;"")</f>
        <v>5</v>
      </c>
      <c r="D12" s="24" t="str">
        <f aca="false">IF(RoadmapPhases[[#This Row],[_Task]]="","",INDEX(tsk_Name,RoadmapPhases[[#This Row],[_Task]])&amp;"")</f>
        <v>Project Close</v>
      </c>
      <c r="E12" s="33" t="n">
        <f aca="false">IF(RoadmapPhases[[#This Row],[_Task]]="","",IF(N(INDEX(tsk_PlanStart,RoadmapPhases[[#This Row],[_Task]]))=0,"",INDEX(tsk_PlanStart,RoadmapPhases[[#This Row],[_Task]])))</f>
        <v>46342</v>
      </c>
      <c r="F12" s="33" t="n">
        <f aca="false">IF(RoadmapPhases[[#This Row],[_Task]]="","",IF(N(INDEX(tsk_PlanFinish,RoadmapPhases[[#This Row],[_Task]]))=0,"",INDEX(tsk_PlanFinish,RoadmapPhases[[#This Row],[_Task]])))</f>
        <v>46393</v>
      </c>
      <c r="G12" s="33" t="n">
        <f aca="false">IF(RoadmapPhases[[#This Row],[_Task]]="","",IF(N(INDEX(tsk_FcStart,RoadmapPhases[[#This Row],[_Task]]))=0,"",INDEX(tsk_FcStart,RoadmapPhases[[#This Row],[_Task]])))</f>
        <v>46342</v>
      </c>
      <c r="H12" s="33" t="n">
        <f aca="false">IF(RoadmapPhases[[#This Row],[_Task]]="","",IF(N(INDEX(tsk_FcFinish,RoadmapPhases[[#This Row],[_Task]]))=0,"",INDEX(tsk_FcFinish,RoadmapPhases[[#This Row],[_Task]])))</f>
        <v>46393</v>
      </c>
      <c r="I12" s="34" t="n">
        <f aca="false">IF(RoadmapPhases[[#This Row],[_Task]]="","",INDEX(tsk_Progress,RoadmapPhases[[#This Row],[_Task]]))</f>
        <v>0</v>
      </c>
      <c r="J12" s="35" t="n">
        <f aca="false">IF(RoadmapPhases[[#This Row],[_Task]]="","",INDEX(tsk_Variance,RoadmapPhases[[#This Row],[_Task]]))</f>
        <v>0</v>
      </c>
    </row>
    <row r="13" customFormat="false" ht="15" hidden="false" customHeight="false" outlineLevel="0" collapsed="false">
      <c r="B13" s="32" t="str">
        <f aca="false">IFERROR(MATCH(SMALL(tsk_PhaseKey,ROW()-ROW(RoadmapPhases[[#Headers],[_Task]])),tsk_PhaseKey,0),"")</f>
        <v/>
      </c>
      <c r="C13" s="24" t="str">
        <f aca="false">IF(RoadmapPhases[[#This Row],[_Task]]="","",INDEX(tsk_WBS,RoadmapPhases[[#This Row],[_Task]])&amp;"")</f>
        <v/>
      </c>
      <c r="D13" s="24" t="str">
        <f aca="false">IF(RoadmapPhases[[#This Row],[_Task]]="","",INDEX(tsk_Name,RoadmapPhases[[#This Row],[_Task]])&amp;"")</f>
        <v/>
      </c>
      <c r="E13" s="33" t="str">
        <f aca="false">IF(RoadmapPhases[[#This Row],[_Task]]="","",IF(N(INDEX(tsk_PlanStart,RoadmapPhases[[#This Row],[_Task]]))=0,"",INDEX(tsk_PlanStart,RoadmapPhases[[#This Row],[_Task]])))</f>
        <v/>
      </c>
      <c r="F13" s="33" t="str">
        <f aca="false">IF(RoadmapPhases[[#This Row],[_Task]]="","",IF(N(INDEX(tsk_PlanFinish,RoadmapPhases[[#This Row],[_Task]]))=0,"",INDEX(tsk_PlanFinish,RoadmapPhases[[#This Row],[_Task]])))</f>
        <v/>
      </c>
      <c r="G13" s="33" t="str">
        <f aca="false">IF(RoadmapPhases[[#This Row],[_Task]]="","",IF(N(INDEX(tsk_FcStart,RoadmapPhases[[#This Row],[_Task]]))=0,"",INDEX(tsk_FcStart,RoadmapPhases[[#This Row],[_Task]])))</f>
        <v/>
      </c>
      <c r="H13" s="33" t="str">
        <f aca="false">IF(RoadmapPhases[[#This Row],[_Task]]="","",IF(N(INDEX(tsk_FcFinish,RoadmapPhases[[#This Row],[_Task]]))=0,"",INDEX(tsk_FcFinish,RoadmapPhases[[#This Row],[_Task]])))</f>
        <v/>
      </c>
      <c r="I13" s="34" t="str">
        <f aca="false">IF(RoadmapPhases[[#This Row],[_Task]]="","",INDEX(tsk_Progress,RoadmapPhases[[#This Row],[_Task]]))</f>
        <v/>
      </c>
      <c r="J13" s="35" t="str">
        <f aca="false">IF(RoadmapPhases[[#This Row],[_Task]]="","",INDEX(tsk_Variance,RoadmapPhases[[#This Row],[_Task]]))</f>
        <v/>
      </c>
    </row>
    <row r="14" customFormat="false" ht="15" hidden="false" customHeight="false" outlineLevel="0" collapsed="false">
      <c r="B14" s="32" t="str">
        <f aca="false">IFERROR(MATCH(SMALL(tsk_PhaseKey,ROW()-ROW(RoadmapPhases[[#Headers],[_Task]])),tsk_PhaseKey,0),"")</f>
        <v/>
      </c>
      <c r="C14" s="24" t="str">
        <f aca="false">IF(RoadmapPhases[[#This Row],[_Task]]="","",INDEX(tsk_WBS,RoadmapPhases[[#This Row],[_Task]])&amp;"")</f>
        <v/>
      </c>
      <c r="D14" s="24" t="str">
        <f aca="false">IF(RoadmapPhases[[#This Row],[_Task]]="","",INDEX(tsk_Name,RoadmapPhases[[#This Row],[_Task]])&amp;"")</f>
        <v/>
      </c>
      <c r="E14" s="33" t="str">
        <f aca="false">IF(RoadmapPhases[[#This Row],[_Task]]="","",IF(N(INDEX(tsk_PlanStart,RoadmapPhases[[#This Row],[_Task]]))=0,"",INDEX(tsk_PlanStart,RoadmapPhases[[#This Row],[_Task]])))</f>
        <v/>
      </c>
      <c r="F14" s="33" t="str">
        <f aca="false">IF(RoadmapPhases[[#This Row],[_Task]]="","",IF(N(INDEX(tsk_PlanFinish,RoadmapPhases[[#This Row],[_Task]]))=0,"",INDEX(tsk_PlanFinish,RoadmapPhases[[#This Row],[_Task]])))</f>
        <v/>
      </c>
      <c r="G14" s="33" t="str">
        <f aca="false">IF(RoadmapPhases[[#This Row],[_Task]]="","",IF(N(INDEX(tsk_FcStart,RoadmapPhases[[#This Row],[_Task]]))=0,"",INDEX(tsk_FcStart,RoadmapPhases[[#This Row],[_Task]])))</f>
        <v/>
      </c>
      <c r="H14" s="33" t="str">
        <f aca="false">IF(RoadmapPhases[[#This Row],[_Task]]="","",IF(N(INDEX(tsk_FcFinish,RoadmapPhases[[#This Row],[_Task]]))=0,"",INDEX(tsk_FcFinish,RoadmapPhases[[#This Row],[_Task]])))</f>
        <v/>
      </c>
      <c r="I14" s="34" t="str">
        <f aca="false">IF(RoadmapPhases[[#This Row],[_Task]]="","",INDEX(tsk_Progress,RoadmapPhases[[#This Row],[_Task]]))</f>
        <v/>
      </c>
      <c r="J14" s="35" t="str">
        <f aca="false">IF(RoadmapPhases[[#This Row],[_Task]]="","",INDEX(tsk_Variance,RoadmapPhases[[#This Row],[_Task]]))</f>
        <v/>
      </c>
    </row>
    <row r="15" customFormat="false" ht="15" hidden="false" customHeight="false" outlineLevel="0" collapsed="false">
      <c r="B15" s="32" t="str">
        <f aca="false">IFERROR(MATCH(SMALL(tsk_PhaseKey,ROW()-ROW(RoadmapPhases[[#Headers],[_Task]])),tsk_PhaseKey,0),"")</f>
        <v/>
      </c>
      <c r="C15" s="24" t="str">
        <f aca="false">IF(RoadmapPhases[[#This Row],[_Task]]="","",INDEX(tsk_WBS,RoadmapPhases[[#This Row],[_Task]])&amp;"")</f>
        <v/>
      </c>
      <c r="D15" s="24" t="str">
        <f aca="false">IF(RoadmapPhases[[#This Row],[_Task]]="","",INDEX(tsk_Name,RoadmapPhases[[#This Row],[_Task]])&amp;"")</f>
        <v/>
      </c>
      <c r="E15" s="33" t="str">
        <f aca="false">IF(RoadmapPhases[[#This Row],[_Task]]="","",IF(N(INDEX(tsk_PlanStart,RoadmapPhases[[#This Row],[_Task]]))=0,"",INDEX(tsk_PlanStart,RoadmapPhases[[#This Row],[_Task]])))</f>
        <v/>
      </c>
      <c r="F15" s="33" t="str">
        <f aca="false">IF(RoadmapPhases[[#This Row],[_Task]]="","",IF(N(INDEX(tsk_PlanFinish,RoadmapPhases[[#This Row],[_Task]]))=0,"",INDEX(tsk_PlanFinish,RoadmapPhases[[#This Row],[_Task]])))</f>
        <v/>
      </c>
      <c r="G15" s="33" t="str">
        <f aca="false">IF(RoadmapPhases[[#This Row],[_Task]]="","",IF(N(INDEX(tsk_FcStart,RoadmapPhases[[#This Row],[_Task]]))=0,"",INDEX(tsk_FcStart,RoadmapPhases[[#This Row],[_Task]])))</f>
        <v/>
      </c>
      <c r="H15" s="33" t="str">
        <f aca="false">IF(RoadmapPhases[[#This Row],[_Task]]="","",IF(N(INDEX(tsk_FcFinish,RoadmapPhases[[#This Row],[_Task]]))=0,"",INDEX(tsk_FcFinish,RoadmapPhases[[#This Row],[_Task]])))</f>
        <v/>
      </c>
      <c r="I15" s="34" t="str">
        <f aca="false">IF(RoadmapPhases[[#This Row],[_Task]]="","",INDEX(tsk_Progress,RoadmapPhases[[#This Row],[_Task]]))</f>
        <v/>
      </c>
      <c r="J15" s="35" t="str">
        <f aca="false">IF(RoadmapPhases[[#This Row],[_Task]]="","",INDEX(tsk_Variance,RoadmapPhases[[#This Row],[_Task]]))</f>
        <v/>
      </c>
    </row>
    <row r="16" customFormat="false" ht="15" hidden="false" customHeight="false" outlineLevel="0" collapsed="false">
      <c r="B16" s="32" t="str">
        <f aca="false">IFERROR(MATCH(SMALL(tsk_PhaseKey,ROW()-ROW(RoadmapPhases[[#Headers],[_Task]])),tsk_PhaseKey,0),"")</f>
        <v/>
      </c>
      <c r="C16" s="24" t="str">
        <f aca="false">IF(RoadmapPhases[[#This Row],[_Task]]="","",INDEX(tsk_WBS,RoadmapPhases[[#This Row],[_Task]])&amp;"")</f>
        <v/>
      </c>
      <c r="D16" s="24" t="str">
        <f aca="false">IF(RoadmapPhases[[#This Row],[_Task]]="","",INDEX(tsk_Name,RoadmapPhases[[#This Row],[_Task]])&amp;"")</f>
        <v/>
      </c>
      <c r="E16" s="33" t="str">
        <f aca="false">IF(RoadmapPhases[[#This Row],[_Task]]="","",IF(N(INDEX(tsk_PlanStart,RoadmapPhases[[#This Row],[_Task]]))=0,"",INDEX(tsk_PlanStart,RoadmapPhases[[#This Row],[_Task]])))</f>
        <v/>
      </c>
      <c r="F16" s="33" t="str">
        <f aca="false">IF(RoadmapPhases[[#This Row],[_Task]]="","",IF(N(INDEX(tsk_PlanFinish,RoadmapPhases[[#This Row],[_Task]]))=0,"",INDEX(tsk_PlanFinish,RoadmapPhases[[#This Row],[_Task]])))</f>
        <v/>
      </c>
      <c r="G16" s="33" t="str">
        <f aca="false">IF(RoadmapPhases[[#This Row],[_Task]]="","",IF(N(INDEX(tsk_FcStart,RoadmapPhases[[#This Row],[_Task]]))=0,"",INDEX(tsk_FcStart,RoadmapPhases[[#This Row],[_Task]])))</f>
        <v/>
      </c>
      <c r="H16" s="33" t="str">
        <f aca="false">IF(RoadmapPhases[[#This Row],[_Task]]="","",IF(N(INDEX(tsk_FcFinish,RoadmapPhases[[#This Row],[_Task]]))=0,"",INDEX(tsk_FcFinish,RoadmapPhases[[#This Row],[_Task]])))</f>
        <v/>
      </c>
      <c r="I16" s="34" t="str">
        <f aca="false">IF(RoadmapPhases[[#This Row],[_Task]]="","",INDEX(tsk_Progress,RoadmapPhases[[#This Row],[_Task]]))</f>
        <v/>
      </c>
      <c r="J16" s="35" t="str">
        <f aca="false">IF(RoadmapPhases[[#This Row],[_Task]]="","",INDEX(tsk_Variance,RoadmapPhases[[#This Row],[_Task]]))</f>
        <v/>
      </c>
    </row>
    <row r="17" customFormat="false" ht="15" hidden="false" customHeight="false" outlineLevel="0" collapsed="false">
      <c r="B17" s="32" t="str">
        <f aca="false">IFERROR(MATCH(SMALL(tsk_PhaseKey,ROW()-ROW(RoadmapPhases[[#Headers],[_Task]])),tsk_PhaseKey,0),"")</f>
        <v/>
      </c>
      <c r="C17" s="24" t="str">
        <f aca="false">IF(RoadmapPhases[[#This Row],[_Task]]="","",INDEX(tsk_WBS,RoadmapPhases[[#This Row],[_Task]])&amp;"")</f>
        <v/>
      </c>
      <c r="D17" s="24" t="str">
        <f aca="false">IF(RoadmapPhases[[#This Row],[_Task]]="","",INDEX(tsk_Name,RoadmapPhases[[#This Row],[_Task]])&amp;"")</f>
        <v/>
      </c>
      <c r="E17" s="33" t="str">
        <f aca="false">IF(RoadmapPhases[[#This Row],[_Task]]="","",IF(N(INDEX(tsk_PlanStart,RoadmapPhases[[#This Row],[_Task]]))=0,"",INDEX(tsk_PlanStart,RoadmapPhases[[#This Row],[_Task]])))</f>
        <v/>
      </c>
      <c r="F17" s="33" t="str">
        <f aca="false">IF(RoadmapPhases[[#This Row],[_Task]]="","",IF(N(INDEX(tsk_PlanFinish,RoadmapPhases[[#This Row],[_Task]]))=0,"",INDEX(tsk_PlanFinish,RoadmapPhases[[#This Row],[_Task]])))</f>
        <v/>
      </c>
      <c r="G17" s="33" t="str">
        <f aca="false">IF(RoadmapPhases[[#This Row],[_Task]]="","",IF(N(INDEX(tsk_FcStart,RoadmapPhases[[#This Row],[_Task]]))=0,"",INDEX(tsk_FcStart,RoadmapPhases[[#This Row],[_Task]])))</f>
        <v/>
      </c>
      <c r="H17" s="33" t="str">
        <f aca="false">IF(RoadmapPhases[[#This Row],[_Task]]="","",IF(N(INDEX(tsk_FcFinish,RoadmapPhases[[#This Row],[_Task]]))=0,"",INDEX(tsk_FcFinish,RoadmapPhases[[#This Row],[_Task]])))</f>
        <v/>
      </c>
      <c r="I17" s="34" t="str">
        <f aca="false">IF(RoadmapPhases[[#This Row],[_Task]]="","",INDEX(tsk_Progress,RoadmapPhases[[#This Row],[_Task]]))</f>
        <v/>
      </c>
      <c r="J17" s="35" t="str">
        <f aca="false">IF(RoadmapPhases[[#This Row],[_Task]]="","",INDEX(tsk_Variance,RoadmapPhases[[#This Row],[_Task]]))</f>
        <v/>
      </c>
    </row>
    <row r="19" customFormat="false" ht="15" hidden="false" customHeight="false" outlineLevel="0" collapsed="false">
      <c r="C19" s="30" t="str">
        <f aca="false">"Milestones (in planned order)"&amp;": "&amp;COUNT(tsk_MilestoneOrder)&amp;IF(COUNT(tsk_MilestoneOrder)&gt;ROWS(RoadmapMilestones[_Task])," (showing the first "&amp;ROWS(RoadmapMilestones[_Task])&amp;")","")</f>
        <v>Milestones (in planned order): 5</v>
      </c>
    </row>
    <row r="20" customFormat="false" ht="23.85" hidden="false" customHeight="false" outlineLevel="0" collapsed="false">
      <c r="B20" s="31" t="s">
        <v>131</v>
      </c>
      <c r="C20" s="9" t="s">
        <v>132</v>
      </c>
      <c r="D20" s="9" t="s">
        <v>140</v>
      </c>
      <c r="E20" s="9" t="s">
        <v>141</v>
      </c>
      <c r="F20" s="9" t="s">
        <v>142</v>
      </c>
      <c r="G20" s="9" t="s">
        <v>143</v>
      </c>
      <c r="H20" s="9" t="s">
        <v>144</v>
      </c>
      <c r="I20" s="9" t="s">
        <v>99</v>
      </c>
      <c r="J20" s="9" t="s">
        <v>139</v>
      </c>
    </row>
    <row r="21" customFormat="false" ht="15" hidden="false" customHeight="false" outlineLevel="0" collapsed="false">
      <c r="B21" s="32" t="n">
        <f aca="false">IFERROR(MATCH(SMALL(tsk_MilestoneOrder,ROW()-ROW(RoadmapMilestones[[#Headers],[_Task]])),tsk_MilestoneOrder,0),"")</f>
        <v>4</v>
      </c>
      <c r="C21" s="24" t="str">
        <f aca="false">IF(RoadmapMilestones[[#This Row],[_Task]]="","",INDEX(tsk_WBS,RoadmapMilestones[[#This Row],[_Task]])&amp;"")</f>
        <v>1.3</v>
      </c>
      <c r="D21" s="24" t="str">
        <f aca="false">IF(RoadmapMilestones[[#This Row],[_Task]]="","",INDEX(tsk_Name,RoadmapMilestones[[#This Row],[_Task]])&amp;"")</f>
        <v>Kickoff complete</v>
      </c>
      <c r="E21" s="33" t="n">
        <f aca="false">IF(RoadmapMilestones[[#This Row],[_Task]]="","",IF(N(INDEX(tsk_PlanFinish,RoadmapMilestones[[#This Row],[_Task]]))=0,"",INDEX(tsk_PlanFinish,RoadmapMilestones[[#This Row],[_Task]])))</f>
        <v>46276</v>
      </c>
      <c r="F21" s="33" t="str">
        <f aca="false">IF(RoadmapMilestones[[#This Row],[_Task]]="","",IF(N(INDEX(tsk_Deadline,RoadmapMilestones[[#This Row],[_Task]]))=0,"",INDEX(tsk_Deadline,RoadmapMilestones[[#This Row],[_Task]])))</f>
        <v/>
      </c>
      <c r="G21" s="33" t="n">
        <f aca="false">IF(RoadmapMilestones[[#This Row],[_Task]]="","",IF(N(INDEX(tsk_FcFinish,RoadmapMilestones[[#This Row],[_Task]]))=0,"",INDEX(tsk_FcFinish,RoadmapMilestones[[#This Row],[_Task]])))</f>
        <v>46279</v>
      </c>
      <c r="H21" s="24" t="str">
        <f aca="false">IF(RoadmapMilestones[[#This Row],[_Task]]="","",INDEX(tsk_DeadlineCheck,RoadmapMilestones[[#This Row],[_Task]])&amp;"")</f>
        <v/>
      </c>
      <c r="I21" s="24" t="str">
        <f aca="false">IF(RoadmapMilestones[[#This Row],[_Task]]="","",INDEX(tsk_Status,RoadmapMilestones[[#This Row],[_Task]])&amp;"")</f>
        <v>Complete</v>
      </c>
      <c r="J21" s="35" t="n">
        <f aca="false">IF(RoadmapMilestones[[#This Row],[_Task]]="","",INDEX(tsk_Variance,RoadmapMilestones[[#This Row],[_Task]]))</f>
        <v>1</v>
      </c>
    </row>
    <row r="22" customFormat="false" ht="15" hidden="false" customHeight="false" outlineLevel="0" collapsed="false">
      <c r="B22" s="32" t="n">
        <f aca="false">IFERROR(MATCH(SMALL(tsk_MilestoneOrder,ROW()-ROW(RoadmapMilestones[[#Headers],[_Task]])),tsk_MilestoneOrder,0),"")</f>
        <v>9</v>
      </c>
      <c r="C22" s="24" t="str">
        <f aca="false">IF(RoadmapMilestones[[#This Row],[_Task]]="","",INDEX(tsk_WBS,RoadmapMilestones[[#This Row],[_Task]])&amp;"")</f>
        <v>2.4</v>
      </c>
      <c r="D22" s="24" t="str">
        <f aca="false">IF(RoadmapMilestones[[#This Row],[_Task]]="","",INDEX(tsk_Name,RoadmapMilestones[[#This Row],[_Task]])&amp;"")</f>
        <v>Design sign-off</v>
      </c>
      <c r="E22" s="33" t="n">
        <f aca="false">IF(RoadmapMilestones[[#This Row],[_Task]]="","",IF(N(INDEX(tsk_PlanFinish,RoadmapMilestones[[#This Row],[_Task]]))=0,"",INDEX(tsk_PlanFinish,RoadmapMilestones[[#This Row],[_Task]])))</f>
        <v>46296</v>
      </c>
      <c r="F22" s="33" t="str">
        <f aca="false">IF(RoadmapMilestones[[#This Row],[_Task]]="","",IF(N(INDEX(tsk_Deadline,RoadmapMilestones[[#This Row],[_Task]]))=0,"",INDEX(tsk_Deadline,RoadmapMilestones[[#This Row],[_Task]])))</f>
        <v/>
      </c>
      <c r="G22" s="33" t="n">
        <f aca="false">IF(RoadmapMilestones[[#This Row],[_Task]]="","",IF(N(INDEX(tsk_FcFinish,RoadmapMilestones[[#This Row],[_Task]]))=0,"",INDEX(tsk_FcFinish,RoadmapMilestones[[#This Row],[_Task]])))</f>
        <v>46301</v>
      </c>
      <c r="H22" s="24" t="str">
        <f aca="false">IF(RoadmapMilestones[[#This Row],[_Task]]="","",INDEX(tsk_DeadlineCheck,RoadmapMilestones[[#This Row],[_Task]])&amp;"")</f>
        <v/>
      </c>
      <c r="I22" s="24" t="str">
        <f aca="false">IF(RoadmapMilestones[[#This Row],[_Task]]="","",INDEX(tsk_Status,RoadmapMilestones[[#This Row],[_Task]])&amp;"")</f>
        <v>Complete</v>
      </c>
      <c r="J22" s="35" t="n">
        <f aca="false">IF(RoadmapMilestones[[#This Row],[_Task]]="","",INDEX(tsk_Variance,RoadmapMilestones[[#This Row],[_Task]]))</f>
        <v>3</v>
      </c>
    </row>
    <row r="23" customFormat="false" ht="15" hidden="false" customHeight="false" outlineLevel="0" collapsed="false">
      <c r="B23" s="32" t="n">
        <f aca="false">IFERROR(MATCH(SMALL(tsk_MilestoneOrder,ROW()-ROW(RoadmapMilestones[[#Headers],[_Task]])),tsk_MilestoneOrder,0),"")</f>
        <v>19</v>
      </c>
      <c r="C23" s="24" t="str">
        <f aca="false">IF(RoadmapMilestones[[#This Row],[_Task]]="","",INDEX(tsk_WBS,RoadmapMilestones[[#This Row],[_Task]])&amp;"")</f>
        <v>3.3</v>
      </c>
      <c r="D23" s="24" t="str">
        <f aca="false">IF(RoadmapMilestones[[#This Row],[_Task]]="","",INDEX(tsk_Name,RoadmapMilestones[[#This Row],[_Task]])&amp;"")</f>
        <v>Build complete</v>
      </c>
      <c r="E23" s="33" t="n">
        <f aca="false">IF(RoadmapMilestones[[#This Row],[_Task]]="","",IF(N(INDEX(tsk_PlanFinish,RoadmapMilestones[[#This Row],[_Task]]))=0,"",INDEX(tsk_PlanFinish,RoadmapMilestones[[#This Row],[_Task]])))</f>
        <v>46325</v>
      </c>
      <c r="F23" s="33" t="n">
        <f aca="false">IF(RoadmapMilestones[[#This Row],[_Task]]="","",IF(N(INDEX(tsk_Deadline,RoadmapMilestones[[#This Row],[_Task]]))=0,"",INDEX(tsk_Deadline,RoadmapMilestones[[#This Row],[_Task]])))</f>
        <v>46332</v>
      </c>
      <c r="G23" s="33" t="n">
        <f aca="false">IF(RoadmapMilestones[[#This Row],[_Task]]="","",IF(N(INDEX(tsk_FcFinish,RoadmapMilestones[[#This Row],[_Task]]))=0,"",INDEX(tsk_FcFinish,RoadmapMilestones[[#This Row],[_Task]])))</f>
        <v>46335</v>
      </c>
      <c r="H23" s="24" t="str">
        <f aca="false">IF(RoadmapMilestones[[#This Row],[_Task]]="","",INDEX(tsk_DeadlineCheck,RoadmapMilestones[[#This Row],[_Task]])&amp;"")</f>
        <v>Late by 1d</v>
      </c>
      <c r="I23" s="24" t="str">
        <f aca="false">IF(RoadmapMilestones[[#This Row],[_Task]]="","",INDEX(tsk_Status,RoadmapMilestones[[#This Row],[_Task]])&amp;"")</f>
        <v>Not Started</v>
      </c>
      <c r="J23" s="35" t="n">
        <f aca="false">IF(RoadmapMilestones[[#This Row],[_Task]]="","",INDEX(tsk_Variance,RoadmapMilestones[[#This Row],[_Task]]))</f>
        <v>6</v>
      </c>
    </row>
    <row r="24" customFormat="false" ht="15" hidden="false" customHeight="false" outlineLevel="0" collapsed="false">
      <c r="B24" s="32" t="n">
        <f aca="false">IFERROR(MATCH(SMALL(tsk_MilestoneOrder,ROW()-ROW(RoadmapMilestones[[#Headers],[_Task]])),tsk_MilestoneOrder,0),"")</f>
        <v>25</v>
      </c>
      <c r="C24" s="24" t="str">
        <f aca="false">IF(RoadmapMilestones[[#This Row],[_Task]]="","",INDEX(tsk_WBS,RoadmapMilestones[[#This Row],[_Task]])&amp;"")</f>
        <v>4.5</v>
      </c>
      <c r="D24" s="24" t="str">
        <f aca="false">IF(RoadmapMilestones[[#This Row],[_Task]]="","",INDEX(tsk_Name,RoadmapMilestones[[#This Row],[_Task]])&amp;"")</f>
        <v>Go-live</v>
      </c>
      <c r="E24" s="33" t="n">
        <f aca="false">IF(RoadmapMilestones[[#This Row],[_Task]]="","",IF(N(INDEX(tsk_PlanFinish,RoadmapMilestones[[#This Row],[_Task]]))=0,"",INDEX(tsk_PlanFinish,RoadmapMilestones[[#This Row],[_Task]])))</f>
        <v>46371</v>
      </c>
      <c r="F24" s="33" t="n">
        <f aca="false">IF(RoadmapMilestones[[#This Row],[_Task]]="","",IF(N(INDEX(tsk_Deadline,RoadmapMilestones[[#This Row],[_Task]]))=0,"",INDEX(tsk_Deadline,RoadmapMilestones[[#This Row],[_Task]])))</f>
        <v>46374</v>
      </c>
      <c r="G24" s="33" t="n">
        <f aca="false">IF(RoadmapMilestones[[#This Row],[_Task]]="","",IF(N(INDEX(tsk_FcFinish,RoadmapMilestones[[#This Row],[_Task]]))=0,"",INDEX(tsk_FcFinish,RoadmapMilestones[[#This Row],[_Task]])))</f>
        <v>46371</v>
      </c>
      <c r="H24" s="24" t="str">
        <f aca="false">IF(RoadmapMilestones[[#This Row],[_Task]]="","",INDEX(tsk_DeadlineCheck,RoadmapMilestones[[#This Row],[_Task]])&amp;"")</f>
        <v>OK</v>
      </c>
      <c r="I24" s="24" t="str">
        <f aca="false">IF(RoadmapMilestones[[#This Row],[_Task]]="","",INDEX(tsk_Status,RoadmapMilestones[[#This Row],[_Task]])&amp;"")</f>
        <v>Not Started</v>
      </c>
      <c r="J24" s="35" t="n">
        <f aca="false">IF(RoadmapMilestones[[#This Row],[_Task]]="","",INDEX(tsk_Variance,RoadmapMilestones[[#This Row],[_Task]]))</f>
        <v>0</v>
      </c>
    </row>
    <row r="25" customFormat="false" ht="15" hidden="false" customHeight="false" outlineLevel="0" collapsed="false">
      <c r="B25" s="32" t="n">
        <f aca="false">IFERROR(MATCH(SMALL(tsk_MilestoneOrder,ROW()-ROW(RoadmapMilestones[[#Headers],[_Task]])),tsk_MilestoneOrder,0),"")</f>
        <v>30</v>
      </c>
      <c r="C25" s="24" t="str">
        <f aca="false">IF(RoadmapMilestones[[#This Row],[_Task]]="","",INDEX(tsk_WBS,RoadmapMilestones[[#This Row],[_Task]])&amp;"")</f>
        <v>5.3</v>
      </c>
      <c r="D25" s="24" t="str">
        <f aca="false">IF(RoadmapMilestones[[#This Row],[_Task]]="","",INDEX(tsk_Name,RoadmapMilestones[[#This Row],[_Task]])&amp;"")</f>
        <v>Project closed</v>
      </c>
      <c r="E25" s="33" t="n">
        <f aca="false">IF(RoadmapMilestones[[#This Row],[_Task]]="","",IF(N(INDEX(tsk_PlanFinish,RoadmapMilestones[[#This Row],[_Task]]))=0,"",INDEX(tsk_PlanFinish,RoadmapMilestones[[#This Row],[_Task]])))</f>
        <v>46393</v>
      </c>
      <c r="F25" s="33" t="str">
        <f aca="false">IF(RoadmapMilestones[[#This Row],[_Task]]="","",IF(N(INDEX(tsk_Deadline,RoadmapMilestones[[#This Row],[_Task]]))=0,"",INDEX(tsk_Deadline,RoadmapMilestones[[#This Row],[_Task]])))</f>
        <v/>
      </c>
      <c r="G25" s="33" t="n">
        <f aca="false">IF(RoadmapMilestones[[#This Row],[_Task]]="","",IF(N(INDEX(tsk_FcFinish,RoadmapMilestones[[#This Row],[_Task]]))=0,"",INDEX(tsk_FcFinish,RoadmapMilestones[[#This Row],[_Task]])))</f>
        <v>46393</v>
      </c>
      <c r="H25" s="24" t="str">
        <f aca="false">IF(RoadmapMilestones[[#This Row],[_Task]]="","",INDEX(tsk_DeadlineCheck,RoadmapMilestones[[#This Row],[_Task]])&amp;"")</f>
        <v/>
      </c>
      <c r="I25" s="24" t="str">
        <f aca="false">IF(RoadmapMilestones[[#This Row],[_Task]]="","",INDEX(tsk_Status,RoadmapMilestones[[#This Row],[_Task]])&amp;"")</f>
        <v>Not Started</v>
      </c>
      <c r="J25" s="35" t="n">
        <f aca="false">IF(RoadmapMilestones[[#This Row],[_Task]]="","",INDEX(tsk_Variance,RoadmapMilestones[[#This Row],[_Task]]))</f>
        <v>0</v>
      </c>
    </row>
    <row r="26" customFormat="false" ht="15" hidden="false" customHeight="false" outlineLevel="0" collapsed="false">
      <c r="B26" s="32" t="str">
        <f aca="false">IFERROR(MATCH(SMALL(tsk_MilestoneOrder,ROW()-ROW(RoadmapMilestones[[#Headers],[_Task]])),tsk_MilestoneOrder,0),"")</f>
        <v/>
      </c>
      <c r="C26" s="24" t="str">
        <f aca="false">IF(RoadmapMilestones[[#This Row],[_Task]]="","",INDEX(tsk_WBS,RoadmapMilestones[[#This Row],[_Task]])&amp;"")</f>
        <v/>
      </c>
      <c r="D26" s="24" t="str">
        <f aca="false">IF(RoadmapMilestones[[#This Row],[_Task]]="","",INDEX(tsk_Name,RoadmapMilestones[[#This Row],[_Task]])&amp;"")</f>
        <v/>
      </c>
      <c r="E26" s="33" t="str">
        <f aca="false">IF(RoadmapMilestones[[#This Row],[_Task]]="","",IF(N(INDEX(tsk_PlanFinish,RoadmapMilestones[[#This Row],[_Task]]))=0,"",INDEX(tsk_PlanFinish,RoadmapMilestones[[#This Row],[_Task]])))</f>
        <v/>
      </c>
      <c r="F26" s="33" t="str">
        <f aca="false">IF(RoadmapMilestones[[#This Row],[_Task]]="","",IF(N(INDEX(tsk_Deadline,RoadmapMilestones[[#This Row],[_Task]]))=0,"",INDEX(tsk_Deadline,RoadmapMilestones[[#This Row],[_Task]])))</f>
        <v/>
      </c>
      <c r="G26" s="33" t="str">
        <f aca="false">IF(RoadmapMilestones[[#This Row],[_Task]]="","",IF(N(INDEX(tsk_FcFinish,RoadmapMilestones[[#This Row],[_Task]]))=0,"",INDEX(tsk_FcFinish,RoadmapMilestones[[#This Row],[_Task]])))</f>
        <v/>
      </c>
      <c r="H26" s="24" t="str">
        <f aca="false">IF(RoadmapMilestones[[#This Row],[_Task]]="","",INDEX(tsk_DeadlineCheck,RoadmapMilestones[[#This Row],[_Task]])&amp;"")</f>
        <v/>
      </c>
      <c r="I26" s="24" t="str">
        <f aca="false">IF(RoadmapMilestones[[#This Row],[_Task]]="","",INDEX(tsk_Status,RoadmapMilestones[[#This Row],[_Task]])&amp;"")</f>
        <v/>
      </c>
      <c r="J26" s="35" t="str">
        <f aca="false">IF(RoadmapMilestones[[#This Row],[_Task]]="","",INDEX(tsk_Variance,RoadmapMilestones[[#This Row],[_Task]]))</f>
        <v/>
      </c>
    </row>
    <row r="27" customFormat="false" ht="15" hidden="false" customHeight="false" outlineLevel="0" collapsed="false">
      <c r="B27" s="32" t="str">
        <f aca="false">IFERROR(MATCH(SMALL(tsk_MilestoneOrder,ROW()-ROW(RoadmapMilestones[[#Headers],[_Task]])),tsk_MilestoneOrder,0),"")</f>
        <v/>
      </c>
      <c r="C27" s="24" t="str">
        <f aca="false">IF(RoadmapMilestones[[#This Row],[_Task]]="","",INDEX(tsk_WBS,RoadmapMilestones[[#This Row],[_Task]])&amp;"")</f>
        <v/>
      </c>
      <c r="D27" s="24" t="str">
        <f aca="false">IF(RoadmapMilestones[[#This Row],[_Task]]="","",INDEX(tsk_Name,RoadmapMilestones[[#This Row],[_Task]])&amp;"")</f>
        <v/>
      </c>
      <c r="E27" s="33" t="str">
        <f aca="false">IF(RoadmapMilestones[[#This Row],[_Task]]="","",IF(N(INDEX(tsk_PlanFinish,RoadmapMilestones[[#This Row],[_Task]]))=0,"",INDEX(tsk_PlanFinish,RoadmapMilestones[[#This Row],[_Task]])))</f>
        <v/>
      </c>
      <c r="F27" s="33" t="str">
        <f aca="false">IF(RoadmapMilestones[[#This Row],[_Task]]="","",IF(N(INDEX(tsk_Deadline,RoadmapMilestones[[#This Row],[_Task]]))=0,"",INDEX(tsk_Deadline,RoadmapMilestones[[#This Row],[_Task]])))</f>
        <v/>
      </c>
      <c r="G27" s="33" t="str">
        <f aca="false">IF(RoadmapMilestones[[#This Row],[_Task]]="","",IF(N(INDEX(tsk_FcFinish,RoadmapMilestones[[#This Row],[_Task]]))=0,"",INDEX(tsk_FcFinish,RoadmapMilestones[[#This Row],[_Task]])))</f>
        <v/>
      </c>
      <c r="H27" s="24" t="str">
        <f aca="false">IF(RoadmapMilestones[[#This Row],[_Task]]="","",INDEX(tsk_DeadlineCheck,RoadmapMilestones[[#This Row],[_Task]])&amp;"")</f>
        <v/>
      </c>
      <c r="I27" s="24" t="str">
        <f aca="false">IF(RoadmapMilestones[[#This Row],[_Task]]="","",INDEX(tsk_Status,RoadmapMilestones[[#This Row],[_Task]])&amp;"")</f>
        <v/>
      </c>
      <c r="J27" s="35" t="str">
        <f aca="false">IF(RoadmapMilestones[[#This Row],[_Task]]="","",INDEX(tsk_Variance,RoadmapMilestones[[#This Row],[_Task]]))</f>
        <v/>
      </c>
    </row>
    <row r="28" customFormat="false" ht="15" hidden="false" customHeight="false" outlineLevel="0" collapsed="false">
      <c r="B28" s="32" t="str">
        <f aca="false">IFERROR(MATCH(SMALL(tsk_MilestoneOrder,ROW()-ROW(RoadmapMilestones[[#Headers],[_Task]])),tsk_MilestoneOrder,0),"")</f>
        <v/>
      </c>
      <c r="C28" s="24" t="str">
        <f aca="false">IF(RoadmapMilestones[[#This Row],[_Task]]="","",INDEX(tsk_WBS,RoadmapMilestones[[#This Row],[_Task]])&amp;"")</f>
        <v/>
      </c>
      <c r="D28" s="24" t="str">
        <f aca="false">IF(RoadmapMilestones[[#This Row],[_Task]]="","",INDEX(tsk_Name,RoadmapMilestones[[#This Row],[_Task]])&amp;"")</f>
        <v/>
      </c>
      <c r="E28" s="33" t="str">
        <f aca="false">IF(RoadmapMilestones[[#This Row],[_Task]]="","",IF(N(INDEX(tsk_PlanFinish,RoadmapMilestones[[#This Row],[_Task]]))=0,"",INDEX(tsk_PlanFinish,RoadmapMilestones[[#This Row],[_Task]])))</f>
        <v/>
      </c>
      <c r="F28" s="33" t="str">
        <f aca="false">IF(RoadmapMilestones[[#This Row],[_Task]]="","",IF(N(INDEX(tsk_Deadline,RoadmapMilestones[[#This Row],[_Task]]))=0,"",INDEX(tsk_Deadline,RoadmapMilestones[[#This Row],[_Task]])))</f>
        <v/>
      </c>
      <c r="G28" s="33" t="str">
        <f aca="false">IF(RoadmapMilestones[[#This Row],[_Task]]="","",IF(N(INDEX(tsk_FcFinish,RoadmapMilestones[[#This Row],[_Task]]))=0,"",INDEX(tsk_FcFinish,RoadmapMilestones[[#This Row],[_Task]])))</f>
        <v/>
      </c>
      <c r="H28" s="24" t="str">
        <f aca="false">IF(RoadmapMilestones[[#This Row],[_Task]]="","",INDEX(tsk_DeadlineCheck,RoadmapMilestones[[#This Row],[_Task]])&amp;"")</f>
        <v/>
      </c>
      <c r="I28" s="24" t="str">
        <f aca="false">IF(RoadmapMilestones[[#This Row],[_Task]]="","",INDEX(tsk_Status,RoadmapMilestones[[#This Row],[_Task]])&amp;"")</f>
        <v/>
      </c>
      <c r="J28" s="35" t="str">
        <f aca="false">IF(RoadmapMilestones[[#This Row],[_Task]]="","",INDEX(tsk_Variance,RoadmapMilestones[[#This Row],[_Task]]))</f>
        <v/>
      </c>
    </row>
    <row r="29" customFormat="false" ht="15" hidden="false" customHeight="false" outlineLevel="0" collapsed="false">
      <c r="B29" s="32" t="str">
        <f aca="false">IFERROR(MATCH(SMALL(tsk_MilestoneOrder,ROW()-ROW(RoadmapMilestones[[#Headers],[_Task]])),tsk_MilestoneOrder,0),"")</f>
        <v/>
      </c>
      <c r="C29" s="24" t="str">
        <f aca="false">IF(RoadmapMilestones[[#This Row],[_Task]]="","",INDEX(tsk_WBS,RoadmapMilestones[[#This Row],[_Task]])&amp;"")</f>
        <v/>
      </c>
      <c r="D29" s="24" t="str">
        <f aca="false">IF(RoadmapMilestones[[#This Row],[_Task]]="","",INDEX(tsk_Name,RoadmapMilestones[[#This Row],[_Task]])&amp;"")</f>
        <v/>
      </c>
      <c r="E29" s="33" t="str">
        <f aca="false">IF(RoadmapMilestones[[#This Row],[_Task]]="","",IF(N(INDEX(tsk_PlanFinish,RoadmapMilestones[[#This Row],[_Task]]))=0,"",INDEX(tsk_PlanFinish,RoadmapMilestones[[#This Row],[_Task]])))</f>
        <v/>
      </c>
      <c r="F29" s="33" t="str">
        <f aca="false">IF(RoadmapMilestones[[#This Row],[_Task]]="","",IF(N(INDEX(tsk_Deadline,RoadmapMilestones[[#This Row],[_Task]]))=0,"",INDEX(tsk_Deadline,RoadmapMilestones[[#This Row],[_Task]])))</f>
        <v/>
      </c>
      <c r="G29" s="33" t="str">
        <f aca="false">IF(RoadmapMilestones[[#This Row],[_Task]]="","",IF(N(INDEX(tsk_FcFinish,RoadmapMilestones[[#This Row],[_Task]]))=0,"",INDEX(tsk_FcFinish,RoadmapMilestones[[#This Row],[_Task]])))</f>
        <v/>
      </c>
      <c r="H29" s="24" t="str">
        <f aca="false">IF(RoadmapMilestones[[#This Row],[_Task]]="","",INDEX(tsk_DeadlineCheck,RoadmapMilestones[[#This Row],[_Task]])&amp;"")</f>
        <v/>
      </c>
      <c r="I29" s="24" t="str">
        <f aca="false">IF(RoadmapMilestones[[#This Row],[_Task]]="","",INDEX(tsk_Status,RoadmapMilestones[[#This Row],[_Task]])&amp;"")</f>
        <v/>
      </c>
      <c r="J29" s="35" t="str">
        <f aca="false">IF(RoadmapMilestones[[#This Row],[_Task]]="","",INDEX(tsk_Variance,RoadmapMilestones[[#This Row],[_Task]]))</f>
        <v/>
      </c>
    </row>
    <row r="30" customFormat="false" ht="15" hidden="false" customHeight="false" outlineLevel="0" collapsed="false">
      <c r="B30" s="32" t="str">
        <f aca="false">IFERROR(MATCH(SMALL(tsk_MilestoneOrder,ROW()-ROW(RoadmapMilestones[[#Headers],[_Task]])),tsk_MilestoneOrder,0),"")</f>
        <v/>
      </c>
      <c r="C30" s="24" t="str">
        <f aca="false">IF(RoadmapMilestones[[#This Row],[_Task]]="","",INDEX(tsk_WBS,RoadmapMilestones[[#This Row],[_Task]])&amp;"")</f>
        <v/>
      </c>
      <c r="D30" s="24" t="str">
        <f aca="false">IF(RoadmapMilestones[[#This Row],[_Task]]="","",INDEX(tsk_Name,RoadmapMilestones[[#This Row],[_Task]])&amp;"")</f>
        <v/>
      </c>
      <c r="E30" s="33" t="str">
        <f aca="false">IF(RoadmapMilestones[[#This Row],[_Task]]="","",IF(N(INDEX(tsk_PlanFinish,RoadmapMilestones[[#This Row],[_Task]]))=0,"",INDEX(tsk_PlanFinish,RoadmapMilestones[[#This Row],[_Task]])))</f>
        <v/>
      </c>
      <c r="F30" s="33" t="str">
        <f aca="false">IF(RoadmapMilestones[[#This Row],[_Task]]="","",IF(N(INDEX(tsk_Deadline,RoadmapMilestones[[#This Row],[_Task]]))=0,"",INDEX(tsk_Deadline,RoadmapMilestones[[#This Row],[_Task]])))</f>
        <v/>
      </c>
      <c r="G30" s="33" t="str">
        <f aca="false">IF(RoadmapMilestones[[#This Row],[_Task]]="","",IF(N(INDEX(tsk_FcFinish,RoadmapMilestones[[#This Row],[_Task]]))=0,"",INDEX(tsk_FcFinish,RoadmapMilestones[[#This Row],[_Task]])))</f>
        <v/>
      </c>
      <c r="H30" s="24" t="str">
        <f aca="false">IF(RoadmapMilestones[[#This Row],[_Task]]="","",INDEX(tsk_DeadlineCheck,RoadmapMilestones[[#This Row],[_Task]])&amp;"")</f>
        <v/>
      </c>
      <c r="I30" s="24" t="str">
        <f aca="false">IF(RoadmapMilestones[[#This Row],[_Task]]="","",INDEX(tsk_Status,RoadmapMilestones[[#This Row],[_Task]])&amp;"")</f>
        <v/>
      </c>
      <c r="J30" s="35" t="str">
        <f aca="false">IF(RoadmapMilestones[[#This Row],[_Task]]="","",INDEX(tsk_Variance,RoadmapMilestones[[#This Row],[_Task]]))</f>
        <v/>
      </c>
    </row>
    <row r="31" customFormat="false" ht="15" hidden="false" customHeight="false" outlineLevel="0" collapsed="false">
      <c r="B31" s="32" t="str">
        <f aca="false">IFERROR(MATCH(SMALL(tsk_MilestoneOrder,ROW()-ROW(RoadmapMilestones[[#Headers],[_Task]])),tsk_MilestoneOrder,0),"")</f>
        <v/>
      </c>
      <c r="C31" s="24" t="str">
        <f aca="false">IF(RoadmapMilestones[[#This Row],[_Task]]="","",INDEX(tsk_WBS,RoadmapMilestones[[#This Row],[_Task]])&amp;"")</f>
        <v/>
      </c>
      <c r="D31" s="24" t="str">
        <f aca="false">IF(RoadmapMilestones[[#This Row],[_Task]]="","",INDEX(tsk_Name,RoadmapMilestones[[#This Row],[_Task]])&amp;"")</f>
        <v/>
      </c>
      <c r="E31" s="33" t="str">
        <f aca="false">IF(RoadmapMilestones[[#This Row],[_Task]]="","",IF(N(INDEX(tsk_PlanFinish,RoadmapMilestones[[#This Row],[_Task]]))=0,"",INDEX(tsk_PlanFinish,RoadmapMilestones[[#This Row],[_Task]])))</f>
        <v/>
      </c>
      <c r="F31" s="33" t="str">
        <f aca="false">IF(RoadmapMilestones[[#This Row],[_Task]]="","",IF(N(INDEX(tsk_Deadline,RoadmapMilestones[[#This Row],[_Task]]))=0,"",INDEX(tsk_Deadline,RoadmapMilestones[[#This Row],[_Task]])))</f>
        <v/>
      </c>
      <c r="G31" s="33" t="str">
        <f aca="false">IF(RoadmapMilestones[[#This Row],[_Task]]="","",IF(N(INDEX(tsk_FcFinish,RoadmapMilestones[[#This Row],[_Task]]))=0,"",INDEX(tsk_FcFinish,RoadmapMilestones[[#This Row],[_Task]])))</f>
        <v/>
      </c>
      <c r="H31" s="24" t="str">
        <f aca="false">IF(RoadmapMilestones[[#This Row],[_Task]]="","",INDEX(tsk_DeadlineCheck,RoadmapMilestones[[#This Row],[_Task]])&amp;"")</f>
        <v/>
      </c>
      <c r="I31" s="24" t="str">
        <f aca="false">IF(RoadmapMilestones[[#This Row],[_Task]]="","",INDEX(tsk_Status,RoadmapMilestones[[#This Row],[_Task]])&amp;"")</f>
        <v/>
      </c>
      <c r="J31" s="35" t="str">
        <f aca="false">IF(RoadmapMilestones[[#This Row],[_Task]]="","",INDEX(tsk_Variance,RoadmapMilestones[[#This Row],[_Task]]))</f>
        <v/>
      </c>
    </row>
    <row r="32" customFormat="false" ht="15" hidden="false" customHeight="false" outlineLevel="0" collapsed="false">
      <c r="B32" s="32" t="str">
        <f aca="false">IFERROR(MATCH(SMALL(tsk_MilestoneOrder,ROW()-ROW(RoadmapMilestones[[#Headers],[_Task]])),tsk_MilestoneOrder,0),"")</f>
        <v/>
      </c>
      <c r="C32" s="24" t="str">
        <f aca="false">IF(RoadmapMilestones[[#This Row],[_Task]]="","",INDEX(tsk_WBS,RoadmapMilestones[[#This Row],[_Task]])&amp;"")</f>
        <v/>
      </c>
      <c r="D32" s="24" t="str">
        <f aca="false">IF(RoadmapMilestones[[#This Row],[_Task]]="","",INDEX(tsk_Name,RoadmapMilestones[[#This Row],[_Task]])&amp;"")</f>
        <v/>
      </c>
      <c r="E32" s="33" t="str">
        <f aca="false">IF(RoadmapMilestones[[#This Row],[_Task]]="","",IF(N(INDEX(tsk_PlanFinish,RoadmapMilestones[[#This Row],[_Task]]))=0,"",INDEX(tsk_PlanFinish,RoadmapMilestones[[#This Row],[_Task]])))</f>
        <v/>
      </c>
      <c r="F32" s="33" t="str">
        <f aca="false">IF(RoadmapMilestones[[#This Row],[_Task]]="","",IF(N(INDEX(tsk_Deadline,RoadmapMilestones[[#This Row],[_Task]]))=0,"",INDEX(tsk_Deadline,RoadmapMilestones[[#This Row],[_Task]])))</f>
        <v/>
      </c>
      <c r="G32" s="33" t="str">
        <f aca="false">IF(RoadmapMilestones[[#This Row],[_Task]]="","",IF(N(INDEX(tsk_FcFinish,RoadmapMilestones[[#This Row],[_Task]]))=0,"",INDEX(tsk_FcFinish,RoadmapMilestones[[#This Row],[_Task]])))</f>
        <v/>
      </c>
      <c r="H32" s="24" t="str">
        <f aca="false">IF(RoadmapMilestones[[#This Row],[_Task]]="","",INDEX(tsk_DeadlineCheck,RoadmapMilestones[[#This Row],[_Task]])&amp;"")</f>
        <v/>
      </c>
      <c r="I32" s="24" t="str">
        <f aca="false">IF(RoadmapMilestones[[#This Row],[_Task]]="","",INDEX(tsk_Status,RoadmapMilestones[[#This Row],[_Task]])&amp;"")</f>
        <v/>
      </c>
      <c r="J32" s="35" t="str">
        <f aca="false">IF(RoadmapMilestones[[#This Row],[_Task]]="","",INDEX(tsk_Variance,RoadmapMilestones[[#This Row],[_Task]]))</f>
        <v/>
      </c>
    </row>
    <row r="33" customFormat="false" ht="15" hidden="false" customHeight="false" outlineLevel="0" collapsed="false">
      <c r="B33" s="32" t="str">
        <f aca="false">IFERROR(MATCH(SMALL(tsk_MilestoneOrder,ROW()-ROW(RoadmapMilestones[[#Headers],[_Task]])),tsk_MilestoneOrder,0),"")</f>
        <v/>
      </c>
      <c r="C33" s="24" t="str">
        <f aca="false">IF(RoadmapMilestones[[#This Row],[_Task]]="","",INDEX(tsk_WBS,RoadmapMilestones[[#This Row],[_Task]])&amp;"")</f>
        <v/>
      </c>
      <c r="D33" s="24" t="str">
        <f aca="false">IF(RoadmapMilestones[[#This Row],[_Task]]="","",INDEX(tsk_Name,RoadmapMilestones[[#This Row],[_Task]])&amp;"")</f>
        <v/>
      </c>
      <c r="E33" s="33" t="str">
        <f aca="false">IF(RoadmapMilestones[[#This Row],[_Task]]="","",IF(N(INDEX(tsk_PlanFinish,RoadmapMilestones[[#This Row],[_Task]]))=0,"",INDEX(tsk_PlanFinish,RoadmapMilestones[[#This Row],[_Task]])))</f>
        <v/>
      </c>
      <c r="F33" s="33" t="str">
        <f aca="false">IF(RoadmapMilestones[[#This Row],[_Task]]="","",IF(N(INDEX(tsk_Deadline,RoadmapMilestones[[#This Row],[_Task]]))=0,"",INDEX(tsk_Deadline,RoadmapMilestones[[#This Row],[_Task]])))</f>
        <v/>
      </c>
      <c r="G33" s="33" t="str">
        <f aca="false">IF(RoadmapMilestones[[#This Row],[_Task]]="","",IF(N(INDEX(tsk_FcFinish,RoadmapMilestones[[#This Row],[_Task]]))=0,"",INDEX(tsk_FcFinish,RoadmapMilestones[[#This Row],[_Task]])))</f>
        <v/>
      </c>
      <c r="H33" s="24" t="str">
        <f aca="false">IF(RoadmapMilestones[[#This Row],[_Task]]="","",INDEX(tsk_DeadlineCheck,RoadmapMilestones[[#This Row],[_Task]])&amp;"")</f>
        <v/>
      </c>
      <c r="I33" s="24" t="str">
        <f aca="false">IF(RoadmapMilestones[[#This Row],[_Task]]="","",INDEX(tsk_Status,RoadmapMilestones[[#This Row],[_Task]])&amp;"")</f>
        <v/>
      </c>
      <c r="J33" s="35" t="str">
        <f aca="false">IF(RoadmapMilestones[[#This Row],[_Task]]="","",INDEX(tsk_Variance,RoadmapMilestones[[#This Row],[_Task]]))</f>
        <v/>
      </c>
    </row>
    <row r="34" customFormat="false" ht="15" hidden="false" customHeight="false" outlineLevel="0" collapsed="false">
      <c r="B34" s="32" t="str">
        <f aca="false">IFERROR(MATCH(SMALL(tsk_MilestoneOrder,ROW()-ROW(RoadmapMilestones[[#Headers],[_Task]])),tsk_MilestoneOrder,0),"")</f>
        <v/>
      </c>
      <c r="C34" s="24" t="str">
        <f aca="false">IF(RoadmapMilestones[[#This Row],[_Task]]="","",INDEX(tsk_WBS,RoadmapMilestones[[#This Row],[_Task]])&amp;"")</f>
        <v/>
      </c>
      <c r="D34" s="24" t="str">
        <f aca="false">IF(RoadmapMilestones[[#This Row],[_Task]]="","",INDEX(tsk_Name,RoadmapMilestones[[#This Row],[_Task]])&amp;"")</f>
        <v/>
      </c>
      <c r="E34" s="33" t="str">
        <f aca="false">IF(RoadmapMilestones[[#This Row],[_Task]]="","",IF(N(INDEX(tsk_PlanFinish,RoadmapMilestones[[#This Row],[_Task]]))=0,"",INDEX(tsk_PlanFinish,RoadmapMilestones[[#This Row],[_Task]])))</f>
        <v/>
      </c>
      <c r="F34" s="33" t="str">
        <f aca="false">IF(RoadmapMilestones[[#This Row],[_Task]]="","",IF(N(INDEX(tsk_Deadline,RoadmapMilestones[[#This Row],[_Task]]))=0,"",INDEX(tsk_Deadline,RoadmapMilestones[[#This Row],[_Task]])))</f>
        <v/>
      </c>
      <c r="G34" s="33" t="str">
        <f aca="false">IF(RoadmapMilestones[[#This Row],[_Task]]="","",IF(N(INDEX(tsk_FcFinish,RoadmapMilestones[[#This Row],[_Task]]))=0,"",INDEX(tsk_FcFinish,RoadmapMilestones[[#This Row],[_Task]])))</f>
        <v/>
      </c>
      <c r="H34" s="24" t="str">
        <f aca="false">IF(RoadmapMilestones[[#This Row],[_Task]]="","",INDEX(tsk_DeadlineCheck,RoadmapMilestones[[#This Row],[_Task]])&amp;"")</f>
        <v/>
      </c>
      <c r="I34" s="24" t="str">
        <f aca="false">IF(RoadmapMilestones[[#This Row],[_Task]]="","",INDEX(tsk_Status,RoadmapMilestones[[#This Row],[_Task]])&amp;"")</f>
        <v/>
      </c>
      <c r="J34" s="35" t="str">
        <f aca="false">IF(RoadmapMilestones[[#This Row],[_Task]]="","",INDEX(tsk_Variance,RoadmapMilestones[[#This Row],[_Task]]))</f>
        <v/>
      </c>
    </row>
    <row r="35" customFormat="false" ht="15" hidden="false" customHeight="false" outlineLevel="0" collapsed="false">
      <c r="B35" s="32" t="str">
        <f aca="false">IFERROR(MATCH(SMALL(tsk_MilestoneOrder,ROW()-ROW(RoadmapMilestones[[#Headers],[_Task]])),tsk_MilestoneOrder,0),"")</f>
        <v/>
      </c>
      <c r="C35" s="24" t="str">
        <f aca="false">IF(RoadmapMilestones[[#This Row],[_Task]]="","",INDEX(tsk_WBS,RoadmapMilestones[[#This Row],[_Task]])&amp;"")</f>
        <v/>
      </c>
      <c r="D35" s="24" t="str">
        <f aca="false">IF(RoadmapMilestones[[#This Row],[_Task]]="","",INDEX(tsk_Name,RoadmapMilestones[[#This Row],[_Task]])&amp;"")</f>
        <v/>
      </c>
      <c r="E35" s="33" t="str">
        <f aca="false">IF(RoadmapMilestones[[#This Row],[_Task]]="","",IF(N(INDEX(tsk_PlanFinish,RoadmapMilestones[[#This Row],[_Task]]))=0,"",INDEX(tsk_PlanFinish,RoadmapMilestones[[#This Row],[_Task]])))</f>
        <v/>
      </c>
      <c r="F35" s="33" t="str">
        <f aca="false">IF(RoadmapMilestones[[#This Row],[_Task]]="","",IF(N(INDEX(tsk_Deadline,RoadmapMilestones[[#This Row],[_Task]]))=0,"",INDEX(tsk_Deadline,RoadmapMilestones[[#This Row],[_Task]])))</f>
        <v/>
      </c>
      <c r="G35" s="33" t="str">
        <f aca="false">IF(RoadmapMilestones[[#This Row],[_Task]]="","",IF(N(INDEX(tsk_FcFinish,RoadmapMilestones[[#This Row],[_Task]]))=0,"",INDEX(tsk_FcFinish,RoadmapMilestones[[#This Row],[_Task]])))</f>
        <v/>
      </c>
      <c r="H35" s="24" t="str">
        <f aca="false">IF(RoadmapMilestones[[#This Row],[_Task]]="","",INDEX(tsk_DeadlineCheck,RoadmapMilestones[[#This Row],[_Task]])&amp;"")</f>
        <v/>
      </c>
      <c r="I35" s="24" t="str">
        <f aca="false">IF(RoadmapMilestones[[#This Row],[_Task]]="","",INDEX(tsk_Status,RoadmapMilestones[[#This Row],[_Task]])&amp;"")</f>
        <v/>
      </c>
      <c r="J35" s="35" t="str">
        <f aca="false">IF(RoadmapMilestones[[#This Row],[_Task]]="","",INDEX(tsk_Variance,RoadmapMilestones[[#This Row],[_Task]]))</f>
        <v/>
      </c>
    </row>
    <row r="37" customFormat="false" ht="15" hidden="false" customHeight="false" outlineLevel="0" collapsed="false">
      <c r="C37" s="36"/>
      <c r="D37" s="37" t="s">
        <v>143</v>
      </c>
      <c r="E37" s="38"/>
      <c r="F37" s="37" t="s">
        <v>145</v>
      </c>
      <c r="G37" s="39"/>
      <c r="H37" s="37" t="s">
        <v>146</v>
      </c>
      <c r="I37" s="40"/>
      <c r="J37" s="37" t="s">
        <v>147</v>
      </c>
    </row>
    <row r="38" customFormat="false" ht="15" hidden="false" customHeight="false" outlineLevel="0" collapsed="false">
      <c r="C38" s="41"/>
      <c r="D38" s="37" t="s">
        <v>140</v>
      </c>
      <c r="E38" s="42"/>
      <c r="F38" s="37" t="s">
        <v>148</v>
      </c>
      <c r="G38" s="43"/>
      <c r="H38" s="37" t="s">
        <v>149</v>
      </c>
    </row>
    <row r="39" customFormat="false" ht="15" hidden="false" customHeight="false" outlineLevel="0" collapsed="false">
      <c r="C39" s="8" t="s">
        <v>150</v>
      </c>
    </row>
  </sheetData>
  <conditionalFormatting sqref="L8:AC17">
    <cfRule type="expression" priority="2" aboveAverage="0" equalAverage="0" bottom="0" percent="0" rank="0" text="" dxfId="18">
      <formula>AND(AND(ISNUMBER($G8),ISNUMBER($H8),L$5&lt;=$H8,EDATE(L$5,1)&gt;$G8),N($I8)&gt;0,L$5&lt;$G8+($H8-$G8+1)*N($I8))</formula>
    </cfRule>
    <cfRule type="expression" priority="3" aboveAverage="0" equalAverage="0" bottom="0" percent="0" rank="0" text="" dxfId="19">
      <formula>AND(AND(ISNUMBER($G8),ISNUMBER($H8),L$5&lt;=$H8,EDATE(L$5,1)&gt;$G8),N($J8)&gt;0)</formula>
    </cfRule>
    <cfRule type="expression" priority="4" aboveAverage="0" equalAverage="0" bottom="0" percent="0" rank="0" text="" dxfId="20">
      <formula>AND(ISNUMBER($G8),ISNUMBER($H8),L$5&lt;=$H8,EDATE(L$5,1)&gt;$G8)</formula>
    </cfRule>
    <cfRule type="expression" priority="5" aboveAverage="0" equalAverage="0" bottom="0" percent="0" rank="0" text="" dxfId="21">
      <formula>AND(ISNUMBER($E8),ISNUMBER($F8),L$5&lt;=$F8,EDATE(L$5,1)&gt;$E8)</formula>
    </cfRule>
    <cfRule type="expression" priority="6" aboveAverage="0" equalAverage="0" bottom="0" percent="0" rank="0" text="" dxfId="22">
      <formula>AND(StatusDate&gt;=L$5,StatusDate&lt;EDATE(L$5,1))</formula>
    </cfRule>
  </conditionalFormatting>
  <conditionalFormatting sqref="L21:AC35">
    <cfRule type="expression" priority="7" aboveAverage="0" equalAverage="0" bottom="0" percent="0" rank="0" text="" dxfId="23">
      <formula>AND(AND(ISNUMBER($G21),$G21&gt;=L$5,$G21&lt;EDATE(L$5,1)),LEFT($H21,4)="Late")</formula>
    </cfRule>
    <cfRule type="expression" priority="8" aboveAverage="0" equalAverage="0" bottom="0" percent="0" rank="0" text="" dxfId="24">
      <formula>AND(ISNUMBER($G21),$G21&gt;=L$5,$G21&lt;EDATE(L$5,1))</formula>
    </cfRule>
    <cfRule type="expression" priority="9" aboveAverage="0" equalAverage="0" bottom="0" percent="0" rank="0" text="" dxfId="21">
      <formula>AND(ISNUMBER($E21),$E21&gt;=L$5,$E21&lt;EDATE(L$5,1))</formula>
    </cfRule>
    <cfRule type="expression" priority="10" aboveAverage="0" equalAverage="0" bottom="0" percent="0" rank="0" text="" dxfId="25">
      <formula>AND(ISNUMBER($F21),$F21&gt;=L$5,$F21&lt;EDATE(L$5,1))</formula>
    </cfRule>
    <cfRule type="expression" priority="11" aboveAverage="0" equalAverage="0" bottom="0" percent="0" rank="0" text="" dxfId="22">
      <formula>AND(StatusDate&gt;=L$5,StatusDate&lt;EDATE(L$5,1))</formula>
    </cfRule>
  </conditionalFormatting>
  <conditionalFormatting sqref="H21:H35">
    <cfRule type="expression" priority="12" aboveAverage="0" equalAverage="0" bottom="0" percent="0" rank="0" text="" dxfId="26">
      <formula>LEFT($H21,4)="Late"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true" outlineLevel="0" max="1" min="1" style="0" width="3"/>
    <col collapsed="false" customWidth="true" hidden="false" outlineLevel="0" max="2" min="2" style="0" width="36"/>
    <col collapsed="false" customWidth="true" hidden="false" outlineLevel="0" max="3" min="3" style="0" width="56"/>
    <col collapsed="false" customWidth="true" hidden="false" outlineLevel="0" max="4" min="4" style="0" width="16"/>
    <col collapsed="false" customWidth="true" hidden="false" outlineLevel="0" max="5" min="5" style="0" width="12"/>
    <col collapsed="false" customWidth="true" hidden="false" outlineLevel="0" max="7" min="6" style="0" width="10"/>
    <col collapsed="false" customWidth="true" hidden="false" outlineLevel="0" max="8" min="8" style="0" width="50"/>
  </cols>
  <sheetData>
    <row r="1" customFormat="false" ht="19.7" hidden="false" customHeight="false" outlineLevel="0" collapsed="false">
      <c r="B1" s="26" t="str">
        <f aca="false">ProjectName&amp;"  -  Status Report"</f>
        <v>Customer Portal Implementation  -  Status Report</v>
      </c>
    </row>
    <row r="2" customFormat="false" ht="15" hidden="false" customHeight="false" outlineLevel="0" collapsed="false">
      <c r="B2" s="8" t="str">
        <f aca="false">"Status date "&amp;TEXT(StatusDate,"ddd dd-mmm-yyyy")&amp;"   Project manager: "&amp;ProjectManager&amp;"   Forecast finish "&amp;TEXT(ProjectFinish,"ddd dd-mmm-yyyy")&amp;" ("&amp;TEXT(FinishVarianceDays,"+0;-0;0")&amp;" working days vs plan)"</f>
        <v>Status date Sun 25-Oct-2026   Project manager: Priya Sharma   Forecast finish Wed 06-Jan-2027 (0 working days vs plan)</v>
      </c>
    </row>
    <row r="4" customFormat="false" ht="15" hidden="false" customHeight="false" outlineLevel="0" collapsed="false">
      <c r="B4" s="9" t="s">
        <v>151</v>
      </c>
      <c r="C4" s="9" t="s">
        <v>152</v>
      </c>
      <c r="D4" s="9" t="s">
        <v>98</v>
      </c>
      <c r="E4" s="9" t="s">
        <v>153</v>
      </c>
      <c r="F4" s="44" t="s">
        <v>154</v>
      </c>
      <c r="G4" s="9" t="s">
        <v>155</v>
      </c>
      <c r="H4" s="44" t="s">
        <v>156</v>
      </c>
    </row>
    <row r="5" customFormat="false" ht="15" hidden="false" customHeight="false" outlineLevel="0" collapsed="false">
      <c r="B5" s="10" t="s">
        <v>157</v>
      </c>
      <c r="C5" s="24" t="s">
        <v>158</v>
      </c>
      <c r="D5" s="24" t="str">
        <f aca="false">COUNTIF(StatusRAG[RAG],"Red")&amp;" red, "&amp;COUNTIF(StatusRAG[RAG],"Amber")&amp;" amber"</f>
        <v>2 red, 3 amber</v>
      </c>
      <c r="E5" s="45" t="str">
        <f aca="false">CHOOSE(MAX(IF(COUNTIF(StatusRAG[RAG],"Red")&gt;0,2,0),IF(COUNTIF(StatusRAG[RAG],"Amber")&gt;0,1,0))+1,"Green","Amber","Red")</f>
        <v>Red</v>
      </c>
      <c r="F5" s="46"/>
      <c r="G5" s="45" t="str">
        <f aca="false">IF(OverallStatus[[#This Row],[PM RAG]]&lt;&gt;"",OverallStatus[[#This Row],[PM RAG]],OverallStatus[[#This Row],[Calculated]])</f>
        <v>Red</v>
      </c>
      <c r="H5" s="47"/>
    </row>
    <row r="6" customFormat="false" ht="15" hidden="false" customHeight="false" outlineLevel="0" collapsed="false">
      <c r="B6" s="48"/>
    </row>
    <row r="7" customFormat="false" ht="15" hidden="false" customHeight="false" outlineLevel="0" collapsed="false">
      <c r="B7" s="49" t="s">
        <v>151</v>
      </c>
      <c r="C7" s="9" t="s">
        <v>152</v>
      </c>
      <c r="D7" s="9" t="s">
        <v>98</v>
      </c>
      <c r="E7" s="9" t="s">
        <v>153</v>
      </c>
      <c r="F7" s="44" t="s">
        <v>154</v>
      </c>
      <c r="G7" s="9" t="s">
        <v>155</v>
      </c>
      <c r="H7" s="44" t="s">
        <v>156</v>
      </c>
    </row>
    <row r="8" customFormat="false" ht="15" hidden="false" customHeight="false" outlineLevel="0" collapsed="false">
      <c r="B8" s="10" t="s">
        <v>159</v>
      </c>
      <c r="C8" s="24" t="s">
        <v>160</v>
      </c>
      <c r="D8" s="50" t="n">
        <f aca="false">FinishVarianceDays</f>
        <v>0</v>
      </c>
      <c r="E8" s="45" t="str">
        <f aca="false">CHOOSE(IF(N(StatusRAG[[#This Row],[Value]])&gt;=RAGRedSlipDays,2,IF(N(StatusRAG[[#This Row],[Value]])&gt;=RAGAmberSlipDays,1,0))+1,"Green","Amber","Red")</f>
        <v>Green</v>
      </c>
      <c r="F8" s="46"/>
      <c r="G8" s="45" t="str">
        <f aca="false">IF(StatusRAG[[#This Row],[PM RAG]]&lt;&gt;"",StatusRAG[[#This Row],[PM RAG]],StatusRAG[[#This Row],[Calculated]])</f>
        <v>Green</v>
      </c>
      <c r="H8" s="47"/>
    </row>
    <row r="9" customFormat="false" ht="15" hidden="false" customHeight="false" outlineLevel="0" collapsed="false">
      <c r="B9" s="10" t="s">
        <v>161</v>
      </c>
      <c r="C9" s="24" t="s">
        <v>162</v>
      </c>
      <c r="D9" s="51" t="n">
        <f aca="false">evm_SPI</f>
        <v>0.76153091265947</v>
      </c>
      <c r="E9" s="45" t="str">
        <f aca="false">CHOOSE(IF(ISNUMBER(StatusRAG[[#This Row],[Value]]),IF(StatusRAG[[#This Row],[Value]]&lt;RAGRedIndex,2,IF(StatusRAG[[#This Row],[Value]]&lt;RAGAmberIndex,1,0)),0)+1,"Green","Amber","Red")</f>
        <v>Red</v>
      </c>
      <c r="F9" s="46"/>
      <c r="G9" s="45" t="str">
        <f aca="false">IF(StatusRAG[[#This Row],[PM RAG]]&lt;&gt;"",StatusRAG[[#This Row],[PM RAG]],StatusRAG[[#This Row],[Calculated]])</f>
        <v>Red</v>
      </c>
      <c r="H9" s="47"/>
    </row>
    <row r="10" customFormat="false" ht="15" hidden="false" customHeight="false" outlineLevel="0" collapsed="false">
      <c r="B10" s="10" t="s">
        <v>163</v>
      </c>
      <c r="C10" s="24" t="s">
        <v>164</v>
      </c>
      <c r="D10" s="51" t="n">
        <f aca="false">evm_CPI</f>
        <v>0.939467312348668</v>
      </c>
      <c r="E10" s="45" t="str">
        <f aca="false">CHOOSE(IF(ISNUMBER(StatusRAG[[#This Row],[Value]]),IF(StatusRAG[[#This Row],[Value]]&lt;RAGRedIndex,2,IF(StatusRAG[[#This Row],[Value]]&lt;RAGAmberIndex,1,0)),0)+1,"Green","Amber","Red")</f>
        <v>Amber</v>
      </c>
      <c r="F10" s="46"/>
      <c r="G10" s="45" t="str">
        <f aca="false">IF(StatusRAG[[#This Row],[PM RAG]]&lt;&gt;"",StatusRAG[[#This Row],[PM RAG]],StatusRAG[[#This Row],[Calculated]])</f>
        <v>Amber</v>
      </c>
      <c r="H10" s="47"/>
    </row>
    <row r="11" customFormat="false" ht="15" hidden="false" customHeight="false" outlineLevel="0" collapsed="false">
      <c r="B11" s="10" t="s">
        <v>165</v>
      </c>
      <c r="C11" s="24" t="s">
        <v>166</v>
      </c>
      <c r="D11" s="52" t="n">
        <f aca="false">COUNTIF(tsk_DeadlineCheck,"Late*")</f>
        <v>1</v>
      </c>
      <c r="E11" s="45" t="str">
        <f aca="false">CHOOSE(IF(N(StatusRAG[[#This Row],[Value]])&gt;0,2,0)+1,"Green","Amber","Red")</f>
        <v>Red</v>
      </c>
      <c r="F11" s="46"/>
      <c r="G11" s="45" t="str">
        <f aca="false">IF(StatusRAG[[#This Row],[PM RAG]]&lt;&gt;"",StatusRAG[[#This Row],[PM RAG]],StatusRAG[[#This Row],[Calculated]])</f>
        <v>Red</v>
      </c>
      <c r="H11" s="47"/>
    </row>
    <row r="12" customFormat="false" ht="15" hidden="false" customHeight="false" outlineLevel="0" collapsed="false">
      <c r="B12" s="10" t="s">
        <v>15</v>
      </c>
      <c r="C12" s="24" t="s">
        <v>167</v>
      </c>
      <c r="D12" s="52" t="n">
        <f aca="false">COUNTIFS(tsk_Critical,"Yes",tsk_IsLeaf,1,tsk_Variance,"&gt;0")</f>
        <v>5</v>
      </c>
      <c r="E12" s="45" t="str">
        <f aca="false">CHOOSE(IF(N(StatusRAG[[#This Row],[Value]])&gt;0,1,0)+1,"Green","Amber","Red")</f>
        <v>Amber</v>
      </c>
      <c r="F12" s="46"/>
      <c r="G12" s="45" t="str">
        <f aca="false">IF(StatusRAG[[#This Row],[PM RAG]]&lt;&gt;"",StatusRAG[[#This Row],[PM RAG]],StatusRAG[[#This Row],[Calculated]])</f>
        <v>Amber</v>
      </c>
      <c r="H12" s="47"/>
    </row>
    <row r="13" customFormat="false" ht="15" hidden="false" customHeight="false" outlineLevel="0" collapsed="false">
      <c r="B13" s="10" t="s">
        <v>168</v>
      </c>
      <c r="C13" s="24" t="s">
        <v>169</v>
      </c>
      <c r="D13" s="52" t="n">
        <f aca="false">COUNTIFS(raid_Rating,"High",raid_Status,"&lt;&gt;Closed")</f>
        <v>3</v>
      </c>
      <c r="E13" s="45" t="str">
        <f aca="false">CHOOSE(IF(N(StatusRAG[[#This Row],[Value]])&gt;0,1,0)+1,"Green","Amber","Red")</f>
        <v>Amber</v>
      </c>
      <c r="F13" s="46"/>
      <c r="G13" s="45" t="str">
        <f aca="false">IF(StatusRAG[[#This Row],[PM RAG]]&lt;&gt;"",StatusRAG[[#This Row],[PM RAG]],StatusRAG[[#This Row],[Calculated]])</f>
        <v>Amber</v>
      </c>
      <c r="H13" s="47"/>
    </row>
    <row r="14" customFormat="false" ht="15" hidden="false" customHeight="false" outlineLevel="0" collapsed="false">
      <c r="B14" s="10" t="s">
        <v>170</v>
      </c>
      <c r="C14" s="24" t="s">
        <v>171</v>
      </c>
      <c r="D14" s="52" t="n">
        <f aca="false">COUNTIF(tsk_LinkCheck,"?*")+COUNTIF(tsk_WBS,"~?")</f>
        <v>0</v>
      </c>
      <c r="E14" s="45" t="str">
        <f aca="false">CHOOSE(IF(N(StatusRAG[[#This Row],[Value]])&gt;0,1,0)+1,"Green","Amber","Red")</f>
        <v>Green</v>
      </c>
      <c r="F14" s="46"/>
      <c r="G14" s="45" t="str">
        <f aca="false">IF(StatusRAG[[#This Row],[PM RAG]]&lt;&gt;"",StatusRAG[[#This Row],[PM RAG]],StatusRAG[[#This Row],[Calculated]])</f>
        <v>Green</v>
      </c>
      <c r="H14" s="47"/>
    </row>
    <row r="16" customFormat="false" ht="15" hidden="false" customHeight="false" outlineLevel="0" collapsed="false">
      <c r="B16" s="30" t="s">
        <v>172</v>
      </c>
    </row>
    <row r="17" customFormat="false" ht="15" hidden="false" customHeight="false" outlineLevel="0" collapsed="false">
      <c r="B17" s="9" t="s">
        <v>152</v>
      </c>
      <c r="C17" s="9" t="s">
        <v>173</v>
      </c>
      <c r="D17" s="9" t="s">
        <v>98</v>
      </c>
    </row>
    <row r="18" customFormat="false" ht="15" hidden="false" customHeight="false" outlineLevel="0" collapsed="false">
      <c r="B18" s="24" t="s">
        <v>174</v>
      </c>
      <c r="C18" s="24" t="s">
        <v>175</v>
      </c>
      <c r="D18" s="53" t="n">
        <f aca="false">SUM(tsk_LeafBudget)</f>
        <v>69020</v>
      </c>
    </row>
    <row r="19" customFormat="false" ht="15" hidden="false" customHeight="false" outlineLevel="0" collapsed="false">
      <c r="B19" s="24" t="s">
        <v>176</v>
      </c>
      <c r="C19" s="24" t="s">
        <v>177</v>
      </c>
      <c r="D19" s="53" t="n">
        <f aca="false">SUM(tsk_LeafPV)</f>
        <v>40760</v>
      </c>
    </row>
    <row r="20" customFormat="false" ht="15" hidden="false" customHeight="false" outlineLevel="0" collapsed="false">
      <c r="B20" s="24" t="s">
        <v>178</v>
      </c>
      <c r="C20" s="24" t="s">
        <v>179</v>
      </c>
      <c r="D20" s="53" t="n">
        <f aca="false">SUM(tsk_LeafEV)</f>
        <v>31040</v>
      </c>
    </row>
    <row r="21" customFormat="false" ht="15" hidden="false" customHeight="false" outlineLevel="0" collapsed="false">
      <c r="B21" s="24" t="s">
        <v>180</v>
      </c>
      <c r="C21" s="24" t="s">
        <v>181</v>
      </c>
      <c r="D21" s="53" t="n">
        <f aca="false">SUM(tsk_LeafAC)</f>
        <v>33040</v>
      </c>
    </row>
    <row r="22" customFormat="false" ht="15" hidden="false" customHeight="false" outlineLevel="0" collapsed="false">
      <c r="B22" s="24" t="s">
        <v>182</v>
      </c>
      <c r="C22" s="24" t="s">
        <v>183</v>
      </c>
      <c r="D22" s="53" t="n">
        <f aca="false">evm_EV-evm_PV</f>
        <v>-9720</v>
      </c>
    </row>
    <row r="23" customFormat="false" ht="15" hidden="false" customHeight="false" outlineLevel="0" collapsed="false">
      <c r="B23" s="24" t="s">
        <v>184</v>
      </c>
      <c r="C23" s="24" t="s">
        <v>185</v>
      </c>
      <c r="D23" s="53" t="n">
        <f aca="false">evm_EV-evm_AC</f>
        <v>-2000</v>
      </c>
    </row>
    <row r="24" customFormat="false" ht="15" hidden="false" customHeight="false" outlineLevel="0" collapsed="false">
      <c r="B24" s="24" t="s">
        <v>186</v>
      </c>
      <c r="C24" s="24" t="s">
        <v>187</v>
      </c>
      <c r="D24" s="54" t="n">
        <f aca="false">IF(evm_PV&gt;0,evm_EV/evm_PV,"")</f>
        <v>0.76153091265947</v>
      </c>
    </row>
    <row r="25" customFormat="false" ht="15" hidden="false" customHeight="false" outlineLevel="0" collapsed="false">
      <c r="B25" s="24" t="s">
        <v>188</v>
      </c>
      <c r="C25" s="24" t="s">
        <v>189</v>
      </c>
      <c r="D25" s="54" t="n">
        <f aca="false">IF(evm_AC&gt;0,evm_EV/evm_AC,"")</f>
        <v>0.939467312348668</v>
      </c>
    </row>
    <row r="26" customFormat="false" ht="15" hidden="false" customHeight="false" outlineLevel="0" collapsed="false">
      <c r="B26" s="24" t="s">
        <v>190</v>
      </c>
      <c r="C26" s="24" t="s">
        <v>191</v>
      </c>
      <c r="D26" s="53" t="n">
        <f aca="false">IF(N(evm_CPI)&gt;0,evm_AC+(evm_BAC-evm_EV)/evm_CPI,evm_AC+evm_BAC-evm_EV)</f>
        <v>73467.1649484536</v>
      </c>
    </row>
    <row r="27" customFormat="false" ht="15" hidden="false" customHeight="false" outlineLevel="0" collapsed="false">
      <c r="B27" s="24" t="s">
        <v>192</v>
      </c>
      <c r="C27" s="24" t="s">
        <v>193</v>
      </c>
      <c r="D27" s="53" t="n">
        <f aca="false">evm_EAC-evm_AC</f>
        <v>40427.1649484536</v>
      </c>
    </row>
    <row r="28" customFormat="false" ht="15" hidden="false" customHeight="false" outlineLevel="0" collapsed="false">
      <c r="B28" s="24" t="s">
        <v>194</v>
      </c>
      <c r="C28" s="24" t="s">
        <v>195</v>
      </c>
      <c r="D28" s="53" t="n">
        <f aca="false">evm_BAC-evm_EAC</f>
        <v>-4447.1649484536</v>
      </c>
    </row>
    <row r="29" customFormat="false" ht="15" hidden="false" customHeight="false" outlineLevel="0" collapsed="false">
      <c r="B29" s="24" t="s">
        <v>196</v>
      </c>
      <c r="C29" s="24" t="s">
        <v>197</v>
      </c>
      <c r="D29" s="54" t="n">
        <f aca="false">IF(evm_BAC&gt;evm_AC,(evm_BAC-evm_EV)/(evm_BAC-evm_AC),"")</f>
        <v>1.05558643690939</v>
      </c>
    </row>
    <row r="30" customFormat="false" ht="15" hidden="false" customHeight="false" outlineLevel="0" collapsed="false">
      <c r="B30" s="24" t="s">
        <v>198</v>
      </c>
      <c r="C30" s="24" t="s">
        <v>199</v>
      </c>
      <c r="D30" s="55" t="n">
        <f aca="false">IF(evm_BAC&gt;0,evm_EV/evm_BAC,0)</f>
        <v>0.449724717473196</v>
      </c>
    </row>
    <row r="31" customFormat="false" ht="15" hidden="false" customHeight="false" outlineLevel="0" collapsed="false">
      <c r="B31" s="24" t="s">
        <v>200</v>
      </c>
      <c r="C31" s="24" t="s">
        <v>201</v>
      </c>
      <c r="D31" s="55" t="n">
        <f aca="false">IF(evm_BAC&gt;0,evm_PV/evm_BAC,0)</f>
        <v>0.590553462764416</v>
      </c>
    </row>
    <row r="33" customFormat="false" ht="15" hidden="false" customHeight="false" outlineLevel="0" collapsed="false">
      <c r="B33" s="30" t="str">
        <f aca="false">"TOP OPEN RAID ITEMS (by score)"&amp;": "&amp;COUNT(raid_TopKey)&amp;IF(COUNT(raid_TopKey)&gt;ROWS(TopRAID[_Task])," (showing the first "&amp;ROWS(TopRAID[_Task])&amp;")","")</f>
        <v>TOP OPEN RAID ITEMS (by score): 5</v>
      </c>
    </row>
    <row r="34" customFormat="false" ht="35.05" hidden="false" customHeight="false" outlineLevel="0" collapsed="false">
      <c r="A34" s="31" t="s">
        <v>131</v>
      </c>
      <c r="B34" s="9" t="s">
        <v>202</v>
      </c>
      <c r="C34" s="9" t="s">
        <v>203</v>
      </c>
      <c r="D34" s="9" t="s">
        <v>204</v>
      </c>
      <c r="E34" s="9" t="s">
        <v>205</v>
      </c>
      <c r="F34" s="9" t="s">
        <v>206</v>
      </c>
      <c r="G34" s="9" t="s">
        <v>207</v>
      </c>
      <c r="H34" s="9" t="s">
        <v>208</v>
      </c>
    </row>
    <row r="35" customFormat="false" ht="15" hidden="false" customHeight="false" outlineLevel="0" collapsed="false">
      <c r="A35" s="32" t="n">
        <f aca="false">IFERROR(MATCH(LARGE(raid_TopKey,ROW()-ROW(TopRAID[[#Headers],[_Task]])),raid_TopKey,0),"")</f>
        <v>3</v>
      </c>
      <c r="B35" s="24" t="str">
        <f aca="false">IF(TopRAID[[#This Row],[_Task]]="","",INDEX(raid_Label,TopRAID[[#This Row],[_Task]])&amp;"")</f>
        <v>Issue 3: Core API endpoints running 6 days behind plan</v>
      </c>
      <c r="C35" s="24" t="str">
        <f aca="false">IF(TopRAID[[#This Row],[_Task]]="","",INDEX(raid_Response,TopRAID[[#This Row],[_Task]])&amp;"")</f>
        <v>Add a second developer for two weeks (change request CR 2).</v>
      </c>
      <c r="D35" s="24" t="str">
        <f aca="false">IF(TopRAID[[#This Row],[_Task]]="","",INDEX(raid_Owner,TopRAID[[#This Row],[_Task]])&amp;"")</f>
        <v>Priya Sharma</v>
      </c>
      <c r="E35" s="33" t="n">
        <f aca="false">IF(TopRAID[[#This Row],[_Task]]="","",IF(N(INDEX(raid_Due,TopRAID[[#This Row],[_Task]]))=0,"",INDEX(raid_Due,TopRAID[[#This Row],[_Task]])))</f>
        <v>46318</v>
      </c>
      <c r="F35" s="56" t="n">
        <f aca="false">IF(TopRAID[[#This Row],[_Task]]="","",INDEX(raid_Score,TopRAID[[#This Row],[_Task]]))</f>
        <v>20</v>
      </c>
      <c r="G35" s="24" t="str">
        <f aca="false">IF(TopRAID[[#This Row],[_Task]]="","",INDEX(raid_Rating,TopRAID[[#This Row],[_Task]])&amp;"")</f>
        <v>High</v>
      </c>
      <c r="H35" s="24" t="str">
        <f aca="false">IF(TopRAID[[#This Row],[_Task]]="","",INDEX(raid_Task,TopRAID[[#This Row],[_Task]])&amp;"")</f>
        <v>Core API endpoints</v>
      </c>
    </row>
    <row r="36" customFormat="false" ht="15" hidden="false" customHeight="false" outlineLevel="0" collapsed="false">
      <c r="A36" s="32" t="n">
        <f aca="false">IFERROR(MATCH(LARGE(raid_TopKey,ROW()-ROW(TopRAID[[#Headers],[_Task]])),raid_TopKey,0),"")</f>
        <v>1</v>
      </c>
      <c r="B36" s="24" t="str">
        <f aca="false">IF(TopRAID[[#This Row],[_Task]]="","",INDEX(raid_Label,TopRAID[[#This Row],[_Task]])&amp;"")</f>
        <v>Risk 1: Payment provider certification takes longer than planned</v>
      </c>
      <c r="C36" s="24" t="str">
        <f aca="false">IF(TopRAID[[#This Row],[_Task]]="","",INDEX(raid_Response,TopRAID[[#This Row],[_Task]])&amp;"")</f>
        <v>Start the certification paperwork now; book the provider's test slot.</v>
      </c>
      <c r="D36" s="24" t="str">
        <f aca="false">IF(TopRAID[[#This Row],[_Task]]="","",INDEX(raid_Owner,TopRAID[[#This Row],[_Task]])&amp;"")</f>
        <v>Jordan Lee</v>
      </c>
      <c r="E36" s="33" t="n">
        <f aca="false">IF(TopRAID[[#This Row],[_Task]]="","",IF(N(INDEX(raid_Due,TopRAID[[#This Row],[_Task]]))=0,"",INDEX(raid_Due,TopRAID[[#This Row],[_Task]])))</f>
        <v>46325</v>
      </c>
      <c r="F36" s="56" t="n">
        <f aca="false">IF(TopRAID[[#This Row],[_Task]]="","",INDEX(raid_Score,TopRAID[[#This Row],[_Task]]))</f>
        <v>16</v>
      </c>
      <c r="G36" s="24" t="str">
        <f aca="false">IF(TopRAID[[#This Row],[_Task]]="","",INDEX(raid_Rating,TopRAID[[#This Row],[_Task]])&amp;"")</f>
        <v>High</v>
      </c>
      <c r="H36" s="24" t="str">
        <f aca="false">IF(TopRAID[[#This Row],[_Task]]="","",INDEX(raid_Task,TopRAID[[#This Row],[_Task]])&amp;"")</f>
        <v>Payment gateway integration</v>
      </c>
    </row>
    <row r="37" customFormat="false" ht="15" hidden="false" customHeight="false" outlineLevel="0" collapsed="false">
      <c r="A37" s="32" t="n">
        <f aca="false">IFERROR(MATCH(LARGE(raid_TopKey,ROW()-ROW(TopRAID[[#Headers],[_Task]])),raid_TopKey,0),"")</f>
        <v>5</v>
      </c>
      <c r="B37" s="24" t="str">
        <f aca="false">IF(TopRAID[[#This Row],[_Task]]="","",INDEX(raid_Label,TopRAID[[#This Row],[_Task]])&amp;"")</f>
        <v>Dependency 5: Test environment delivered by IT operations by 9 November</v>
      </c>
      <c r="C37" s="24" t="str">
        <f aca="false">IF(TopRAID[[#This Row],[_Task]]="","",INDEX(raid_Response,TopRAID[[#This Row],[_Task]])&amp;"")</f>
        <v>Weekly check-in with IT operations.</v>
      </c>
      <c r="D37" s="24" t="str">
        <f aca="false">IF(TopRAID[[#This Row],[_Task]]="","",INDEX(raid_Owner,TopRAID[[#This Row],[_Task]])&amp;"")</f>
        <v>Alex Chen</v>
      </c>
      <c r="E37" s="33" t="n">
        <f aca="false">IF(TopRAID[[#This Row],[_Task]]="","",IF(N(INDEX(raid_Due,TopRAID[[#This Row],[_Task]]))=0,"",INDEX(raid_Due,TopRAID[[#This Row],[_Task]])))</f>
        <v>46335</v>
      </c>
      <c r="F37" s="56" t="n">
        <f aca="false">IF(TopRAID[[#This Row],[_Task]]="","",INDEX(raid_Score,TopRAID[[#This Row],[_Task]]))</f>
        <v>15</v>
      </c>
      <c r="G37" s="24" t="str">
        <f aca="false">IF(TopRAID[[#This Row],[_Task]]="","",INDEX(raid_Rating,TopRAID[[#This Row],[_Task]])&amp;"")</f>
        <v>High</v>
      </c>
      <c r="H37" s="24" t="str">
        <f aca="false">IF(TopRAID[[#This Row],[_Task]]="","",INDEX(raid_Task,TopRAID[[#This Row],[_Task]])&amp;"")</f>
        <v>System integration testing</v>
      </c>
    </row>
    <row r="38" customFormat="false" ht="15" hidden="false" customHeight="false" outlineLevel="0" collapsed="false">
      <c r="A38" s="32" t="n">
        <f aca="false">IFERROR(MATCH(LARGE(raid_TopKey,ROW()-ROW(TopRAID[[#Headers],[_Task]])),raid_TopKey,0),"")</f>
        <v>2</v>
      </c>
      <c r="B38" s="24" t="str">
        <f aca="false">IF(TopRAID[[#This Row],[_Task]]="","",INDEX(raid_Label,TopRAID[[#This Row],[_Task]])&amp;"")</f>
        <v>Risk 2: UX designer on leave for two weeks in November</v>
      </c>
      <c r="C38" s="24" t="str">
        <f aca="false">IF(TopRAID[[#This Row],[_Task]]="","",INDEX(raid_Response,TopRAID[[#This Row],[_Task]])&amp;"")</f>
        <v>Agree cover with the design agency.</v>
      </c>
      <c r="D38" s="24" t="str">
        <f aca="false">IF(TopRAID[[#This Row],[_Task]]="","",INDEX(raid_Owner,TopRAID[[#This Row],[_Task]])&amp;"")</f>
        <v>Casey Kim</v>
      </c>
      <c r="E38" s="33" t="n">
        <f aca="false">IF(TopRAID[[#This Row],[_Task]]="","",IF(N(INDEX(raid_Due,TopRAID[[#This Row],[_Task]]))=0,"",INDEX(raid_Due,TopRAID[[#This Row],[_Task]])))</f>
        <v>46328</v>
      </c>
      <c r="F38" s="56" t="n">
        <f aca="false">IF(TopRAID[[#This Row],[_Task]]="","",INDEX(raid_Score,TopRAID[[#This Row],[_Task]]))</f>
        <v>9</v>
      </c>
      <c r="G38" s="24" t="str">
        <f aca="false">IF(TopRAID[[#This Row],[_Task]]="","",INDEX(raid_Rating,TopRAID[[#This Row],[_Task]])&amp;"")</f>
        <v>Medium</v>
      </c>
      <c r="H38" s="24" t="str">
        <f aca="false">IF(TopRAID[[#This Row],[_Task]]="","",INDEX(raid_Task,TopRAID[[#This Row],[_Task]])&amp;"")</f>
        <v>Accessibility review</v>
      </c>
    </row>
    <row r="39" customFormat="false" ht="15" hidden="false" customHeight="false" outlineLevel="0" collapsed="false">
      <c r="A39" s="32" t="n">
        <f aca="false">IFERROR(MATCH(LARGE(raid_TopKey,ROW()-ROW(TopRAID[[#Headers],[_Task]])),raid_TopKey,0),"")</f>
        <v>4</v>
      </c>
      <c r="B39" s="24" t="str">
        <f aca="false">IF(TopRAID[[#This Row],[_Task]]="","",INDEX(raid_Label,TopRAID[[#This Row],[_Task]])&amp;"")</f>
        <v>Assumption 4: Client UAT team available from 7 December</v>
      </c>
      <c r="C39" s="24" t="str">
        <f aca="false">IF(TopRAID[[#This Row],[_Task]]="","",INDEX(raid_Response,TopRAID[[#This Row],[_Task]])&amp;"")</f>
        <v>Confirm names and dates at the November steering committee.</v>
      </c>
      <c r="D39" s="24" t="str">
        <f aca="false">IF(TopRAID[[#This Row],[_Task]]="","",INDEX(raid_Owner,TopRAID[[#This Row],[_Task]])&amp;"")</f>
        <v>Morgan Patel</v>
      </c>
      <c r="E39" s="33" t="n">
        <f aca="false">IF(TopRAID[[#This Row],[_Task]]="","",IF(N(INDEX(raid_Due,TopRAID[[#This Row],[_Task]]))=0,"",INDEX(raid_Due,TopRAID[[#This Row],[_Task]])))</f>
        <v>46346</v>
      </c>
      <c r="F39" s="56" t="n">
        <f aca="false">IF(TopRAID[[#This Row],[_Task]]="","",INDEX(raid_Score,TopRAID[[#This Row],[_Task]]))</f>
        <v>8</v>
      </c>
      <c r="G39" s="24" t="str">
        <f aca="false">IF(TopRAID[[#This Row],[_Task]]="","",INDEX(raid_Rating,TopRAID[[#This Row],[_Task]])&amp;"")</f>
        <v>Medium</v>
      </c>
      <c r="H39" s="24" t="str">
        <f aca="false">IF(TopRAID[[#This Row],[_Task]]="","",INDEX(raid_Task,TopRAID[[#This Row],[_Task]])&amp;"")</f>
        <v>User acceptance testing</v>
      </c>
    </row>
    <row r="40" customFormat="false" ht="15" hidden="false" customHeight="false" outlineLevel="0" collapsed="false">
      <c r="A40" s="32" t="str">
        <f aca="false">IFERROR(MATCH(LARGE(raid_TopKey,ROW()-ROW(TopRAID[[#Headers],[_Task]])),raid_TopKey,0),"")</f>
        <v/>
      </c>
      <c r="B40" s="24" t="str">
        <f aca="false">IF(TopRAID[[#This Row],[_Task]]="","",INDEX(raid_Label,TopRAID[[#This Row],[_Task]])&amp;"")</f>
        <v/>
      </c>
      <c r="C40" s="24" t="str">
        <f aca="false">IF(TopRAID[[#This Row],[_Task]]="","",INDEX(raid_Response,TopRAID[[#This Row],[_Task]])&amp;"")</f>
        <v/>
      </c>
      <c r="D40" s="24" t="str">
        <f aca="false">IF(TopRAID[[#This Row],[_Task]]="","",INDEX(raid_Owner,TopRAID[[#This Row],[_Task]])&amp;"")</f>
        <v/>
      </c>
      <c r="E40" s="33" t="str">
        <f aca="false">IF(TopRAID[[#This Row],[_Task]]="","",IF(N(INDEX(raid_Due,TopRAID[[#This Row],[_Task]]))=0,"",INDEX(raid_Due,TopRAID[[#This Row],[_Task]])))</f>
        <v/>
      </c>
      <c r="F40" s="56" t="str">
        <f aca="false">IF(TopRAID[[#This Row],[_Task]]="","",INDEX(raid_Score,TopRAID[[#This Row],[_Task]]))</f>
        <v/>
      </c>
      <c r="G40" s="24" t="str">
        <f aca="false">IF(TopRAID[[#This Row],[_Task]]="","",INDEX(raid_Rating,TopRAID[[#This Row],[_Task]])&amp;"")</f>
        <v/>
      </c>
      <c r="H40" s="24" t="str">
        <f aca="false">IF(TopRAID[[#This Row],[_Task]]="","",INDEX(raid_Task,TopRAID[[#This Row],[_Task]])&amp;"")</f>
        <v/>
      </c>
    </row>
    <row r="41" customFormat="false" ht="15" hidden="false" customHeight="false" outlineLevel="0" collapsed="false">
      <c r="A41" s="32" t="str">
        <f aca="false">IFERROR(MATCH(LARGE(raid_TopKey,ROW()-ROW(TopRAID[[#Headers],[_Task]])),raid_TopKey,0),"")</f>
        <v/>
      </c>
      <c r="B41" s="24" t="str">
        <f aca="false">IF(TopRAID[[#This Row],[_Task]]="","",INDEX(raid_Label,TopRAID[[#This Row],[_Task]])&amp;"")</f>
        <v/>
      </c>
      <c r="C41" s="24" t="str">
        <f aca="false">IF(TopRAID[[#This Row],[_Task]]="","",INDEX(raid_Response,TopRAID[[#This Row],[_Task]])&amp;"")</f>
        <v/>
      </c>
      <c r="D41" s="24" t="str">
        <f aca="false">IF(TopRAID[[#This Row],[_Task]]="","",INDEX(raid_Owner,TopRAID[[#This Row],[_Task]])&amp;"")</f>
        <v/>
      </c>
      <c r="E41" s="33" t="str">
        <f aca="false">IF(TopRAID[[#This Row],[_Task]]="","",IF(N(INDEX(raid_Due,TopRAID[[#This Row],[_Task]]))=0,"",INDEX(raid_Due,TopRAID[[#This Row],[_Task]])))</f>
        <v/>
      </c>
      <c r="F41" s="56" t="str">
        <f aca="false">IF(TopRAID[[#This Row],[_Task]]="","",INDEX(raid_Score,TopRAID[[#This Row],[_Task]]))</f>
        <v/>
      </c>
      <c r="G41" s="24" t="str">
        <f aca="false">IF(TopRAID[[#This Row],[_Task]]="","",INDEX(raid_Rating,TopRAID[[#This Row],[_Task]])&amp;"")</f>
        <v/>
      </c>
      <c r="H41" s="24" t="str">
        <f aca="false">IF(TopRAID[[#This Row],[_Task]]="","",INDEX(raid_Task,TopRAID[[#This Row],[_Task]])&amp;"")</f>
        <v/>
      </c>
    </row>
    <row r="42" customFormat="false" ht="15" hidden="false" customHeight="false" outlineLevel="0" collapsed="false">
      <c r="A42" s="32" t="str">
        <f aca="false">IFERROR(MATCH(LARGE(raid_TopKey,ROW()-ROW(TopRAID[[#Headers],[_Task]])),raid_TopKey,0),"")</f>
        <v/>
      </c>
      <c r="B42" s="24" t="str">
        <f aca="false">IF(TopRAID[[#This Row],[_Task]]="","",INDEX(raid_Label,TopRAID[[#This Row],[_Task]])&amp;"")</f>
        <v/>
      </c>
      <c r="C42" s="24" t="str">
        <f aca="false">IF(TopRAID[[#This Row],[_Task]]="","",INDEX(raid_Response,TopRAID[[#This Row],[_Task]])&amp;"")</f>
        <v/>
      </c>
      <c r="D42" s="24" t="str">
        <f aca="false">IF(TopRAID[[#This Row],[_Task]]="","",INDEX(raid_Owner,TopRAID[[#This Row],[_Task]])&amp;"")</f>
        <v/>
      </c>
      <c r="E42" s="33" t="str">
        <f aca="false">IF(TopRAID[[#This Row],[_Task]]="","",IF(N(INDEX(raid_Due,TopRAID[[#This Row],[_Task]]))=0,"",INDEX(raid_Due,TopRAID[[#This Row],[_Task]])))</f>
        <v/>
      </c>
      <c r="F42" s="56" t="str">
        <f aca="false">IF(TopRAID[[#This Row],[_Task]]="","",INDEX(raid_Score,TopRAID[[#This Row],[_Task]]))</f>
        <v/>
      </c>
      <c r="G42" s="24" t="str">
        <f aca="false">IF(TopRAID[[#This Row],[_Task]]="","",INDEX(raid_Rating,TopRAID[[#This Row],[_Task]])&amp;"")</f>
        <v/>
      </c>
      <c r="H42" s="24" t="str">
        <f aca="false">IF(TopRAID[[#This Row],[_Task]]="","",INDEX(raid_Task,TopRAID[[#This Row],[_Task]])&amp;"")</f>
        <v/>
      </c>
    </row>
    <row r="44" customFormat="false" ht="15" hidden="false" customHeight="false" outlineLevel="0" collapsed="false">
      <c r="B44" s="30" t="s">
        <v>209</v>
      </c>
    </row>
    <row r="45" customFormat="false" ht="15" hidden="false" customHeight="false" outlineLevel="0" collapsed="false">
      <c r="B45" s="9" t="s">
        <v>152</v>
      </c>
      <c r="C45" s="9" t="s">
        <v>210</v>
      </c>
      <c r="D45" s="9" t="s">
        <v>98</v>
      </c>
    </row>
    <row r="46" customFormat="false" ht="15" hidden="false" customHeight="false" outlineLevel="0" collapsed="false">
      <c r="B46" s="24" t="s">
        <v>128</v>
      </c>
      <c r="C46" s="24" t="s">
        <v>211</v>
      </c>
      <c r="D46" s="57" t="n">
        <f aca="false">COUNTIF(chg_Status,"Submitted")+COUNTIF(chg_Status,"Under Review")</f>
        <v>1</v>
      </c>
    </row>
    <row r="47" customFormat="false" ht="15" hidden="false" customHeight="false" outlineLevel="0" collapsed="false">
      <c r="B47" s="24" t="s">
        <v>212</v>
      </c>
      <c r="C47" s="24" t="s">
        <v>211</v>
      </c>
      <c r="D47" s="57" t="n">
        <f aca="false">COUNTIF(chg_Status,"Approved")+COUNTIF(chg_Status,"Implemented")</f>
        <v>1</v>
      </c>
    </row>
    <row r="48" customFormat="false" ht="15" hidden="false" customHeight="false" outlineLevel="0" collapsed="false">
      <c r="B48" s="24" t="s">
        <v>213</v>
      </c>
      <c r="C48" s="24" t="s">
        <v>211</v>
      </c>
      <c r="D48" s="58" t="n">
        <f aca="false">SUMIFS(chg_Days,chg_Status,"Approved")+SUMIFS(chg_Days,chg_Status,"Implemented")</f>
        <v>2</v>
      </c>
    </row>
    <row r="49" customFormat="false" ht="15" hidden="false" customHeight="false" outlineLevel="0" collapsed="false">
      <c r="B49" s="24" t="s">
        <v>214</v>
      </c>
      <c r="C49" s="24" t="s">
        <v>211</v>
      </c>
      <c r="D49" s="53" t="n">
        <f aca="false">SUMIFS(chg_Cost,chg_Status,"Approved")+SUMIFS(chg_Cost,chg_Status,"Implemented")</f>
        <v>1360</v>
      </c>
    </row>
    <row r="50" customFormat="false" ht="15" hidden="false" customHeight="false" outlineLevel="0" collapsed="false">
      <c r="B50" s="24" t="s">
        <v>215</v>
      </c>
      <c r="C50" s="24" t="s">
        <v>211</v>
      </c>
      <c r="D50" s="53" t="n">
        <f aca="false">SUMIFS(chg_Cost,chg_Status,"Submitted")+SUMIFS(chg_Cost,chg_Status,"Under Review")</f>
        <v>6800</v>
      </c>
    </row>
    <row r="51" customFormat="false" ht="15" hidden="false" customHeight="false" outlineLevel="0" collapsed="false">
      <c r="B51" s="24" t="s">
        <v>216</v>
      </c>
      <c r="C51" s="24" t="s">
        <v>217</v>
      </c>
      <c r="D51" s="57" t="n">
        <f aca="false">COUNTIF(dec_Status,"Proposed")</f>
        <v>1</v>
      </c>
    </row>
    <row r="52" customFormat="false" ht="15" hidden="false" customHeight="false" outlineLevel="0" collapsed="false">
      <c r="B52" s="24" t="s">
        <v>218</v>
      </c>
      <c r="C52" s="24" t="s">
        <v>168</v>
      </c>
      <c r="D52" s="57" t="n">
        <f aca="false">COUNTIF(raid_Overdue,"Overdue")</f>
        <v>1</v>
      </c>
    </row>
    <row r="54" customFormat="false" ht="15" hidden="false" customHeight="false" outlineLevel="0" collapsed="false">
      <c r="B54" s="30" t="s">
        <v>219</v>
      </c>
    </row>
    <row r="55" customFormat="false" ht="15" hidden="false" customHeight="false" outlineLevel="0" collapsed="false">
      <c r="B55" s="9" t="s">
        <v>220</v>
      </c>
      <c r="C55" s="44" t="s">
        <v>221</v>
      </c>
    </row>
    <row r="56" customFormat="false" ht="36" hidden="false" customHeight="true" outlineLevel="0" collapsed="false">
      <c r="B56" s="59" t="s">
        <v>222</v>
      </c>
      <c r="C56" s="60"/>
    </row>
    <row r="57" customFormat="false" ht="36" hidden="false" customHeight="true" outlineLevel="0" collapsed="false">
      <c r="B57" s="59" t="s">
        <v>223</v>
      </c>
      <c r="C57" s="60"/>
    </row>
    <row r="58" customFormat="false" ht="36" hidden="false" customHeight="true" outlineLevel="0" collapsed="false">
      <c r="B58" s="59" t="s">
        <v>224</v>
      </c>
      <c r="C58" s="60"/>
    </row>
    <row r="59" customFormat="false" ht="36" hidden="false" customHeight="true" outlineLevel="0" collapsed="false">
      <c r="B59" s="59" t="s">
        <v>225</v>
      </c>
      <c r="C59" s="60"/>
    </row>
    <row r="60" customFormat="false" ht="36" hidden="false" customHeight="true" outlineLevel="0" collapsed="false">
      <c r="B60" s="59" t="s">
        <v>226</v>
      </c>
      <c r="C60" s="60"/>
    </row>
    <row r="61" customFormat="false" ht="36" hidden="false" customHeight="true" outlineLevel="0" collapsed="false">
      <c r="B61" s="59" t="s">
        <v>227</v>
      </c>
      <c r="C61" s="60"/>
    </row>
  </sheetData>
  <conditionalFormatting sqref="E5:G14">
    <cfRule type="expression" priority="2" aboveAverage="0" equalAverage="0" bottom="0" percent="0" rank="0" text="" dxfId="13">
      <formula>E5="Green"</formula>
    </cfRule>
    <cfRule type="expression" priority="3" aboveAverage="0" equalAverage="0" bottom="0" percent="0" rank="0" text="" dxfId="14">
      <formula>E5="Amber"</formula>
    </cfRule>
    <cfRule type="expression" priority="4" aboveAverage="0" equalAverage="0" bottom="0" percent="0" rank="0" text="" dxfId="15">
      <formula>E5="Red"</formula>
    </cfRule>
  </conditionalFormatting>
  <conditionalFormatting sqref="G35:G42">
    <cfRule type="expression" priority="5" aboveAverage="0" equalAverage="0" bottom="0" percent="0" rank="0" text="" dxfId="13">
      <formula>G35="Green"</formula>
    </cfRule>
    <cfRule type="expression" priority="6" aboveAverage="0" equalAverage="0" bottom="0" percent="0" rank="0" text="" dxfId="14">
      <formula>G35="Amber"</formula>
    </cfRule>
    <cfRule type="expression" priority="7" aboveAverage="0" equalAverage="0" bottom="0" percent="0" rank="0" text="" dxfId="15">
      <formula>G35="Red"</formula>
    </cfRule>
  </conditionalFormatting>
  <dataValidations count="1">
    <dataValidation allowBlank="false" errorStyle="stop" operator="between" showDropDown="false" showErrorMessage="false" showInputMessage="false" sqref="F5 F8:F14" type="list">
      <formula1>L_RAG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true" outlineLevel="0" max="2" min="2" style="0" width="4"/>
    <col collapsed="false" customWidth="true" hidden="false" outlineLevel="0" max="3" min="3" style="0" width="8"/>
    <col collapsed="false" customWidth="true" hidden="false" outlineLevel="0" max="4" min="4" style="0" width="40"/>
    <col collapsed="false" customWidth="true" hidden="false" outlineLevel="0" max="5" min="5" style="0" width="16"/>
    <col collapsed="false" customWidth="true" hidden="false" outlineLevel="0" max="9" min="6" style="0" width="14"/>
    <col collapsed="false" customWidth="true" hidden="false" outlineLevel="0" max="10" min="10" style="0" width="12"/>
    <col collapsed="false" customWidth="true" hidden="false" outlineLevel="0" max="12" min="11" style="0" width="14"/>
    <col collapsed="false" customWidth="true" hidden="false" outlineLevel="0" max="14" min="13" style="0" width="8"/>
    <col collapsed="false" customWidth="true" hidden="false" outlineLevel="0" max="16" min="15" style="0" width="9"/>
  </cols>
  <sheetData>
    <row r="1" customFormat="false" ht="19.7" hidden="false" customHeight="false" outlineLevel="0" collapsed="false">
      <c r="A1" s="26" t="str">
        <f aca="false">ProjectName&amp;"  -  Schedule Report"</f>
        <v>Customer Portal Implementation  -  Schedule Report</v>
      </c>
    </row>
    <row r="2" customFormat="false" ht="15" hidden="false" customHeight="false" outlineLevel="0" collapsed="false">
      <c r="A2" s="0" t="str">
        <f aca="false">"Status date "&amp;TEXT(StatusDate,"ddd dd-mmm-yyyy")&amp;"   Forecast finish "&amp;TEXT(ProjectFinish,"ddd dd-mmm-yyyy")&amp;" ("&amp;TEXT(FinishVarianceDays,"+0;-0;0")&amp;" working days vs plan)"</f>
        <v>Status date Sun 25-Oct-2026   Forecast finish Wed 06-Jan-2027 (0 working days vs plan)</v>
      </c>
    </row>
    <row r="4" customFormat="false" ht="15" hidden="false" customHeight="false" outlineLevel="0" collapsed="false">
      <c r="C4" s="30" t="str">
        <f aca="false">"Phases (outline level 1)"&amp;": "&amp;COUNT(tsk_PhaseKey)&amp;IF(COUNT(tsk_PhaseKey)&gt;ROWS(PhaseSummary[_Task])," (showing the first "&amp;ROWS(PhaseSummary[_Task])&amp;")","")</f>
        <v>Phases (outline level 1): 5</v>
      </c>
    </row>
    <row r="5" customFormat="false" ht="23.85" hidden="false" customHeight="false" outlineLevel="0" collapsed="false">
      <c r="B5" s="31" t="s">
        <v>131</v>
      </c>
      <c r="C5" s="9" t="s">
        <v>132</v>
      </c>
      <c r="D5" s="9" t="s">
        <v>133</v>
      </c>
      <c r="E5" s="9" t="s">
        <v>135</v>
      </c>
      <c r="F5" s="9" t="s">
        <v>228</v>
      </c>
      <c r="G5" s="9" t="s">
        <v>139</v>
      </c>
      <c r="H5" s="9" t="s">
        <v>138</v>
      </c>
      <c r="I5" s="9" t="s">
        <v>229</v>
      </c>
      <c r="J5" s="9" t="s">
        <v>230</v>
      </c>
      <c r="K5" s="9" t="s">
        <v>231</v>
      </c>
      <c r="L5" s="9" t="s">
        <v>232</v>
      </c>
      <c r="M5" s="9" t="s">
        <v>233</v>
      </c>
      <c r="N5" s="9" t="s">
        <v>234</v>
      </c>
      <c r="O5" s="9" t="s">
        <v>235</v>
      </c>
      <c r="P5" s="9" t="s">
        <v>155</v>
      </c>
    </row>
    <row r="6" customFormat="false" ht="15" hidden="false" customHeight="false" outlineLevel="0" collapsed="false">
      <c r="B6" s="32" t="n">
        <f aca="false">IFERROR(MATCH(SMALL(tsk_PhaseKey,ROW()-ROW(PhaseSummary[[#Headers],[_Task]])),tsk_PhaseKey,0),"")</f>
        <v>1</v>
      </c>
      <c r="C6" s="24" t="str">
        <f aca="false">IF(PhaseSummary[[#This Row],[_Task]]="","",INDEX(tsk_WBS,PhaseSummary[[#This Row],[_Task]])&amp;"")</f>
        <v>1</v>
      </c>
      <c r="D6" s="24" t="str">
        <f aca="false">IF(PhaseSummary[[#This Row],[_Task]]="","",INDEX(tsk_Name,PhaseSummary[[#This Row],[_Task]])&amp;"")</f>
        <v>Initiation</v>
      </c>
      <c r="E6" s="61" t="n">
        <f aca="false">IF(PhaseSummary[[#This Row],[_Task]]="","",IF(N(INDEX(tsk_PlanFinish,PhaseSummary[[#This Row],[_Task]]))=0,"",INDEX(tsk_PlanFinish,PhaseSummary[[#This Row],[_Task]])))</f>
        <v>46276</v>
      </c>
      <c r="F6" s="61" t="n">
        <f aca="false">IF(PhaseSummary[[#This Row],[_Task]]="","",IF(N(INDEX(tsk_FcFinish,PhaseSummary[[#This Row],[_Task]]))=0,"",INDEX(tsk_FcFinish,PhaseSummary[[#This Row],[_Task]])))</f>
        <v>46279</v>
      </c>
      <c r="G6" s="35" t="n">
        <f aca="false">IF(PhaseSummary[[#This Row],[_Task]]="","",INDEX(tsk_Variance,PhaseSummary[[#This Row],[_Task]]))</f>
        <v>1</v>
      </c>
      <c r="H6" s="34" t="n">
        <f aca="false">IF(PhaseSummary[[#This Row],[_Task]]="","",INDEX(tsk_Progress,PhaseSummary[[#This Row],[_Task]]))</f>
        <v>1</v>
      </c>
      <c r="I6" s="62" t="n">
        <f aca="false">IF(PhaseSummary[[#This Row],[_Task]]="","",INDEX(tsk_Budget,PhaseSummary[[#This Row],[_Task]]))</f>
        <v>3400</v>
      </c>
      <c r="J6" s="62" t="n">
        <f aca="false">IF(PhaseSummary[[#This Row],[_Task]]="","",INDEX(tsk_PV,PhaseSummary[[#This Row],[_Task]]))</f>
        <v>3400</v>
      </c>
      <c r="K6" s="62" t="n">
        <f aca="false">IF(PhaseSummary[[#This Row],[_Task]]="","",INDEX(tsk_EV,PhaseSummary[[#This Row],[_Task]]))</f>
        <v>3400</v>
      </c>
      <c r="L6" s="62" t="n">
        <f aca="false">IF(PhaseSummary[[#This Row],[_Task]]="","",INDEX(tsk_AC,PhaseSummary[[#This Row],[_Task]]))</f>
        <v>4160</v>
      </c>
      <c r="M6" s="63" t="n">
        <f aca="false">IF(PhaseSummary[[#This Row],[_Task]]="","",IF(N(PhaseSummary[[#This Row],[PV]])&gt;0,PhaseSummary[[#This Row],[EV]]/PhaseSummary[[#This Row],[PV]],""))</f>
        <v>1</v>
      </c>
      <c r="N6" s="63" t="n">
        <f aca="false">IF(PhaseSummary[[#This Row],[_Task]]="","",IF(N(PhaseSummary[[#This Row],[AC]])&gt;0,PhaseSummary[[#This Row],[EV]]/PhaseSummary[[#This Row],[AC]],""))</f>
        <v>0.817307692307692</v>
      </c>
      <c r="O6" s="64" t="n">
        <f aca="false">IF(PhaseSummary[[#This Row],[_Task]]="","",COUNTIFS(tsk_Phase,PhaseSummary[[#This Row],[WBS]],tsk_Critical,"Yes",tsk_IsLeaf,1))</f>
        <v>0</v>
      </c>
      <c r="P6"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Red</v>
      </c>
    </row>
    <row r="7" customFormat="false" ht="15" hidden="false" customHeight="false" outlineLevel="0" collapsed="false">
      <c r="B7" s="32" t="n">
        <f aca="false">IFERROR(MATCH(SMALL(tsk_PhaseKey,ROW()-ROW(PhaseSummary[[#Headers],[_Task]])),tsk_PhaseKey,0),"")</f>
        <v>5</v>
      </c>
      <c r="C7" s="24" t="str">
        <f aca="false">IF(PhaseSummary[[#This Row],[_Task]]="","",INDEX(tsk_WBS,PhaseSummary[[#This Row],[_Task]])&amp;"")</f>
        <v>2</v>
      </c>
      <c r="D7" s="24" t="str">
        <f aca="false">IF(PhaseSummary[[#This Row],[_Task]]="","",INDEX(tsk_Name,PhaseSummary[[#This Row],[_Task]])&amp;"")</f>
        <v>Requirements &amp; Design</v>
      </c>
      <c r="E7" s="61" t="n">
        <f aca="false">IF(PhaseSummary[[#This Row],[_Task]]="","",IF(N(INDEX(tsk_PlanFinish,PhaseSummary[[#This Row],[_Task]]))=0,"",INDEX(tsk_PlanFinish,PhaseSummary[[#This Row],[_Task]])))</f>
        <v>46296</v>
      </c>
      <c r="F7" s="61" t="n">
        <f aca="false">IF(PhaseSummary[[#This Row],[_Task]]="","",IF(N(INDEX(tsk_FcFinish,PhaseSummary[[#This Row],[_Task]]))=0,"",INDEX(tsk_FcFinish,PhaseSummary[[#This Row],[_Task]])))</f>
        <v>46301</v>
      </c>
      <c r="G7" s="35" t="n">
        <f aca="false">IF(PhaseSummary[[#This Row],[_Task]]="","",INDEX(tsk_Variance,PhaseSummary[[#This Row],[_Task]]))</f>
        <v>3</v>
      </c>
      <c r="H7" s="34" t="n">
        <f aca="false">IF(PhaseSummary[[#This Row],[_Task]]="","",INDEX(tsk_Progress,PhaseSummary[[#This Row],[_Task]]))</f>
        <v>1</v>
      </c>
      <c r="I7" s="62" t="n">
        <f aca="false">IF(PhaseSummary[[#This Row],[_Task]]="","",INDEX(tsk_Budget,PhaseSummary[[#This Row],[_Task]]))</f>
        <v>14180</v>
      </c>
      <c r="J7" s="62" t="n">
        <f aca="false">IF(PhaseSummary[[#This Row],[_Task]]="","",INDEX(tsk_PV,PhaseSummary[[#This Row],[_Task]]))</f>
        <v>14180</v>
      </c>
      <c r="K7" s="62" t="n">
        <f aca="false">IF(PhaseSummary[[#This Row],[_Task]]="","",INDEX(tsk_EV,PhaseSummary[[#This Row],[_Task]]))</f>
        <v>14180</v>
      </c>
      <c r="L7" s="62" t="n">
        <f aca="false">IF(PhaseSummary[[#This Row],[_Task]]="","",INDEX(tsk_AC,PhaseSummary[[#This Row],[_Task]]))</f>
        <v>14740</v>
      </c>
      <c r="M7" s="63" t="n">
        <f aca="false">IF(PhaseSummary[[#This Row],[_Task]]="","",IF(N(PhaseSummary[[#This Row],[PV]])&gt;0,PhaseSummary[[#This Row],[EV]]/PhaseSummary[[#This Row],[PV]],""))</f>
        <v>1</v>
      </c>
      <c r="N7" s="63" t="n">
        <f aca="false">IF(PhaseSummary[[#This Row],[_Task]]="","",IF(N(PhaseSummary[[#This Row],[AC]])&gt;0,PhaseSummary[[#This Row],[EV]]/PhaseSummary[[#This Row],[AC]],""))</f>
        <v>0.962008141112619</v>
      </c>
      <c r="O7" s="64" t="n">
        <f aca="false">IF(PhaseSummary[[#This Row],[_Task]]="","",COUNTIFS(tsk_Phase,PhaseSummary[[#This Row],[WBS]],tsk_Critical,"Yes",tsk_IsLeaf,1))</f>
        <v>0</v>
      </c>
      <c r="P7"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Amber</v>
      </c>
    </row>
    <row r="8" customFormat="false" ht="15" hidden="false" customHeight="false" outlineLevel="0" collapsed="false">
      <c r="B8" s="32" t="n">
        <f aca="false">IFERROR(MATCH(SMALL(tsk_PhaseKey,ROW()-ROW(PhaseSummary[[#Headers],[_Task]])),tsk_PhaseKey,0),"")</f>
        <v>10</v>
      </c>
      <c r="C8" s="24" t="str">
        <f aca="false">IF(PhaseSummary[[#This Row],[_Task]]="","",INDEX(tsk_WBS,PhaseSummary[[#This Row],[_Task]])&amp;"")</f>
        <v>3</v>
      </c>
      <c r="D8" s="24" t="str">
        <f aca="false">IF(PhaseSummary[[#This Row],[_Task]]="","",INDEX(tsk_Name,PhaseSummary[[#This Row],[_Task]])&amp;"")</f>
        <v>Build</v>
      </c>
      <c r="E8" s="61" t="n">
        <f aca="false">IF(PhaseSummary[[#This Row],[_Task]]="","",IF(N(INDEX(tsk_PlanFinish,PhaseSummary[[#This Row],[_Task]]))=0,"",INDEX(tsk_PlanFinish,PhaseSummary[[#This Row],[_Task]])))</f>
        <v>46325</v>
      </c>
      <c r="F8" s="61" t="n">
        <f aca="false">IF(PhaseSummary[[#This Row],[_Task]]="","",IF(N(INDEX(tsk_FcFinish,PhaseSummary[[#This Row],[_Task]]))=0,"",INDEX(tsk_FcFinish,PhaseSummary[[#This Row],[_Task]])))</f>
        <v>46335</v>
      </c>
      <c r="G8" s="35" t="n">
        <f aca="false">IF(PhaseSummary[[#This Row],[_Task]]="","",INDEX(tsk_Variance,PhaseSummary[[#This Row],[_Task]]))</f>
        <v>6</v>
      </c>
      <c r="H8" s="34" t="n">
        <f aca="false">IF(PhaseSummary[[#This Row],[_Task]]="","",INDEX(tsk_Progress,PhaseSummary[[#This Row],[_Task]]))</f>
        <v>0.451306413301663</v>
      </c>
      <c r="I8" s="62" t="n">
        <f aca="false">IF(PhaseSummary[[#This Row],[_Task]]="","",INDEX(tsk_Budget,PhaseSummary[[#This Row],[_Task]]))</f>
        <v>30300</v>
      </c>
      <c r="J8" s="62" t="n">
        <f aca="false">IF(PhaseSummary[[#This Row],[_Task]]="","",INDEX(tsk_PV,PhaseSummary[[#This Row],[_Task]]))</f>
        <v>23180</v>
      </c>
      <c r="K8" s="62" t="n">
        <f aca="false">IF(PhaseSummary[[#This Row],[_Task]]="","",INDEX(tsk_EV,PhaseSummary[[#This Row],[_Task]]))</f>
        <v>13460</v>
      </c>
      <c r="L8" s="62" t="n">
        <f aca="false">IF(PhaseSummary[[#This Row],[_Task]]="","",INDEX(tsk_AC,PhaseSummary[[#This Row],[_Task]]))</f>
        <v>14140</v>
      </c>
      <c r="M8" s="63" t="n">
        <f aca="false">IF(PhaseSummary[[#This Row],[_Task]]="","",IF(N(PhaseSummary[[#This Row],[PV]])&gt;0,PhaseSummary[[#This Row],[EV]]/PhaseSummary[[#This Row],[PV]],""))</f>
        <v>0.580672993960311</v>
      </c>
      <c r="N8" s="63" t="n">
        <f aca="false">IF(PhaseSummary[[#This Row],[_Task]]="","",IF(N(PhaseSummary[[#This Row],[AC]])&gt;0,PhaseSummary[[#This Row],[EV]]/PhaseSummary[[#This Row],[AC]],""))</f>
        <v>0.951909476661952</v>
      </c>
      <c r="O8" s="64" t="n">
        <f aca="false">IF(PhaseSummary[[#This Row],[_Task]]="","",COUNTIFS(tsk_Phase,PhaseSummary[[#This Row],[WBS]],tsk_Critical,"Yes",tsk_IsLeaf,1))</f>
        <v>5</v>
      </c>
      <c r="P8"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Red</v>
      </c>
    </row>
    <row r="9" customFormat="false" ht="15" hidden="false" customHeight="false" outlineLevel="0" collapsed="false">
      <c r="B9" s="32" t="n">
        <f aca="false">IFERROR(MATCH(SMALL(tsk_PhaseKey,ROW()-ROW(PhaseSummary[[#Headers],[_Task]])),tsk_PhaseKey,0),"")</f>
        <v>20</v>
      </c>
      <c r="C9" s="24" t="str">
        <f aca="false">IF(PhaseSummary[[#This Row],[_Task]]="","",INDEX(tsk_WBS,PhaseSummary[[#This Row],[_Task]])&amp;"")</f>
        <v>4</v>
      </c>
      <c r="D9" s="24" t="str">
        <f aca="false">IF(PhaseSummary[[#This Row],[_Task]]="","",INDEX(tsk_Name,PhaseSummary[[#This Row],[_Task]])&amp;"")</f>
        <v>Test &amp; Release</v>
      </c>
      <c r="E9" s="61" t="n">
        <f aca="false">IF(PhaseSummary[[#This Row],[_Task]]="","",IF(N(INDEX(tsk_PlanFinish,PhaseSummary[[#This Row],[_Task]]))=0,"",INDEX(tsk_PlanFinish,PhaseSummary[[#This Row],[_Task]])))</f>
        <v>46391</v>
      </c>
      <c r="F9" s="61" t="n">
        <f aca="false">IF(PhaseSummary[[#This Row],[_Task]]="","",IF(N(INDEX(tsk_FcFinish,PhaseSummary[[#This Row],[_Task]]))=0,"",INDEX(tsk_FcFinish,PhaseSummary[[#This Row],[_Task]])))</f>
        <v>46391</v>
      </c>
      <c r="G9" s="35" t="n">
        <f aca="false">IF(PhaseSummary[[#This Row],[_Task]]="","",INDEX(tsk_Variance,PhaseSummary[[#This Row],[_Task]]))</f>
        <v>0</v>
      </c>
      <c r="H9" s="34" t="n">
        <f aca="false">IF(PhaseSummary[[#This Row],[_Task]]="","",INDEX(tsk_Progress,PhaseSummary[[#This Row],[_Task]]))</f>
        <v>0</v>
      </c>
      <c r="I9" s="62" t="n">
        <f aca="false">IF(PhaseSummary[[#This Row],[_Task]]="","",INDEX(tsk_Budget,PhaseSummary[[#This Row],[_Task]]))</f>
        <v>18860</v>
      </c>
      <c r="J9" s="62" t="n">
        <f aca="false">IF(PhaseSummary[[#This Row],[_Task]]="","",INDEX(tsk_PV,PhaseSummary[[#This Row],[_Task]]))</f>
        <v>0</v>
      </c>
      <c r="K9" s="62" t="n">
        <f aca="false">IF(PhaseSummary[[#This Row],[_Task]]="","",INDEX(tsk_EV,PhaseSummary[[#This Row],[_Task]]))</f>
        <v>0</v>
      </c>
      <c r="L9" s="62" t="n">
        <f aca="false">IF(PhaseSummary[[#This Row],[_Task]]="","",INDEX(tsk_AC,PhaseSummary[[#This Row],[_Task]]))</f>
        <v>0</v>
      </c>
      <c r="M9" s="63" t="str">
        <f aca="false">IF(PhaseSummary[[#This Row],[_Task]]="","",IF(N(PhaseSummary[[#This Row],[PV]])&gt;0,PhaseSummary[[#This Row],[EV]]/PhaseSummary[[#This Row],[PV]],""))</f>
        <v/>
      </c>
      <c r="N9" s="63" t="str">
        <f aca="false">IF(PhaseSummary[[#This Row],[_Task]]="","",IF(N(PhaseSummary[[#This Row],[AC]])&gt;0,PhaseSummary[[#This Row],[EV]]/PhaseSummary[[#This Row],[AC]],""))</f>
        <v/>
      </c>
      <c r="O9" s="64" t="n">
        <f aca="false">IF(PhaseSummary[[#This Row],[_Task]]="","",COUNTIFS(tsk_Phase,PhaseSummary[[#This Row],[WBS]],tsk_Critical,"Yes",tsk_IsLeaf,1))</f>
        <v>4</v>
      </c>
      <c r="P9"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Green</v>
      </c>
    </row>
    <row r="10" customFormat="false" ht="15" hidden="false" customHeight="false" outlineLevel="0" collapsed="false">
      <c r="B10" s="32" t="n">
        <f aca="false">IFERROR(MATCH(SMALL(tsk_PhaseKey,ROW()-ROW(PhaseSummary[[#Headers],[_Task]])),tsk_PhaseKey,0),"")</f>
        <v>27</v>
      </c>
      <c r="C10" s="24" t="str">
        <f aca="false">IF(PhaseSummary[[#This Row],[_Task]]="","",INDEX(tsk_WBS,PhaseSummary[[#This Row],[_Task]])&amp;"")</f>
        <v>5</v>
      </c>
      <c r="D10" s="24" t="str">
        <f aca="false">IF(PhaseSummary[[#This Row],[_Task]]="","",INDEX(tsk_Name,PhaseSummary[[#This Row],[_Task]])&amp;"")</f>
        <v>Project Close</v>
      </c>
      <c r="E10" s="61" t="n">
        <f aca="false">IF(PhaseSummary[[#This Row],[_Task]]="","",IF(N(INDEX(tsk_PlanFinish,PhaseSummary[[#This Row],[_Task]]))=0,"",INDEX(tsk_PlanFinish,PhaseSummary[[#This Row],[_Task]])))</f>
        <v>46393</v>
      </c>
      <c r="F10" s="61" t="n">
        <f aca="false">IF(PhaseSummary[[#This Row],[_Task]]="","",IF(N(INDEX(tsk_FcFinish,PhaseSummary[[#This Row],[_Task]]))=0,"",INDEX(tsk_FcFinish,PhaseSummary[[#This Row],[_Task]])))</f>
        <v>46393</v>
      </c>
      <c r="G10" s="35" t="n">
        <f aca="false">IF(PhaseSummary[[#This Row],[_Task]]="","",INDEX(tsk_Variance,PhaseSummary[[#This Row],[_Task]]))</f>
        <v>0</v>
      </c>
      <c r="H10" s="34" t="n">
        <f aca="false">IF(PhaseSummary[[#This Row],[_Task]]="","",INDEX(tsk_Progress,PhaseSummary[[#This Row],[_Task]]))</f>
        <v>0</v>
      </c>
      <c r="I10" s="62" t="n">
        <f aca="false">IF(PhaseSummary[[#This Row],[_Task]]="","",INDEX(tsk_Budget,PhaseSummary[[#This Row],[_Task]]))</f>
        <v>2280</v>
      </c>
      <c r="J10" s="62" t="n">
        <f aca="false">IF(PhaseSummary[[#This Row],[_Task]]="","",INDEX(tsk_PV,PhaseSummary[[#This Row],[_Task]]))</f>
        <v>0</v>
      </c>
      <c r="K10" s="62" t="n">
        <f aca="false">IF(PhaseSummary[[#This Row],[_Task]]="","",INDEX(tsk_EV,PhaseSummary[[#This Row],[_Task]]))</f>
        <v>0</v>
      </c>
      <c r="L10" s="62" t="n">
        <f aca="false">IF(PhaseSummary[[#This Row],[_Task]]="","",INDEX(tsk_AC,PhaseSummary[[#This Row],[_Task]]))</f>
        <v>0</v>
      </c>
      <c r="M10" s="63" t="str">
        <f aca="false">IF(PhaseSummary[[#This Row],[_Task]]="","",IF(N(PhaseSummary[[#This Row],[PV]])&gt;0,PhaseSummary[[#This Row],[EV]]/PhaseSummary[[#This Row],[PV]],""))</f>
        <v/>
      </c>
      <c r="N10" s="63" t="str">
        <f aca="false">IF(PhaseSummary[[#This Row],[_Task]]="","",IF(N(PhaseSummary[[#This Row],[AC]])&gt;0,PhaseSummary[[#This Row],[EV]]/PhaseSummary[[#This Row],[AC]],""))</f>
        <v/>
      </c>
      <c r="O10" s="64" t="n">
        <f aca="false">IF(PhaseSummary[[#This Row],[_Task]]="","",COUNTIFS(tsk_Phase,PhaseSummary[[#This Row],[WBS]],tsk_Critical,"Yes",tsk_IsLeaf,1))</f>
        <v>2</v>
      </c>
      <c r="P10"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Green</v>
      </c>
    </row>
    <row r="11" customFormat="false" ht="15" hidden="false" customHeight="false" outlineLevel="0" collapsed="false">
      <c r="B11" s="32" t="str">
        <f aca="false">IFERROR(MATCH(SMALL(tsk_PhaseKey,ROW()-ROW(PhaseSummary[[#Headers],[_Task]])),tsk_PhaseKey,0),"")</f>
        <v/>
      </c>
      <c r="C11" s="24" t="str">
        <f aca="false">IF(PhaseSummary[[#This Row],[_Task]]="","",INDEX(tsk_WBS,PhaseSummary[[#This Row],[_Task]])&amp;"")</f>
        <v/>
      </c>
      <c r="D11" s="24" t="str">
        <f aca="false">IF(PhaseSummary[[#This Row],[_Task]]="","",INDEX(tsk_Name,PhaseSummary[[#This Row],[_Task]])&amp;"")</f>
        <v/>
      </c>
      <c r="E11" s="61" t="str">
        <f aca="false">IF(PhaseSummary[[#This Row],[_Task]]="","",IF(N(INDEX(tsk_PlanFinish,PhaseSummary[[#This Row],[_Task]]))=0,"",INDEX(tsk_PlanFinish,PhaseSummary[[#This Row],[_Task]])))</f>
        <v/>
      </c>
      <c r="F11" s="61" t="str">
        <f aca="false">IF(PhaseSummary[[#This Row],[_Task]]="","",IF(N(INDEX(tsk_FcFinish,PhaseSummary[[#This Row],[_Task]]))=0,"",INDEX(tsk_FcFinish,PhaseSummary[[#This Row],[_Task]])))</f>
        <v/>
      </c>
      <c r="G11" s="35" t="str">
        <f aca="false">IF(PhaseSummary[[#This Row],[_Task]]="","",INDEX(tsk_Variance,PhaseSummary[[#This Row],[_Task]]))</f>
        <v/>
      </c>
      <c r="H11" s="34" t="str">
        <f aca="false">IF(PhaseSummary[[#This Row],[_Task]]="","",INDEX(tsk_Progress,PhaseSummary[[#This Row],[_Task]]))</f>
        <v/>
      </c>
      <c r="I11" s="62" t="str">
        <f aca="false">IF(PhaseSummary[[#This Row],[_Task]]="","",INDEX(tsk_Budget,PhaseSummary[[#This Row],[_Task]]))</f>
        <v/>
      </c>
      <c r="J11" s="62" t="str">
        <f aca="false">IF(PhaseSummary[[#This Row],[_Task]]="","",INDEX(tsk_PV,PhaseSummary[[#This Row],[_Task]]))</f>
        <v/>
      </c>
      <c r="K11" s="62" t="str">
        <f aca="false">IF(PhaseSummary[[#This Row],[_Task]]="","",INDEX(tsk_EV,PhaseSummary[[#This Row],[_Task]]))</f>
        <v/>
      </c>
      <c r="L11" s="62" t="str">
        <f aca="false">IF(PhaseSummary[[#This Row],[_Task]]="","",INDEX(tsk_AC,PhaseSummary[[#This Row],[_Task]]))</f>
        <v/>
      </c>
      <c r="M11" s="63" t="str">
        <f aca="false">IF(PhaseSummary[[#This Row],[_Task]]="","",IF(N(PhaseSummary[[#This Row],[PV]])&gt;0,PhaseSummary[[#This Row],[EV]]/PhaseSummary[[#This Row],[PV]],""))</f>
        <v/>
      </c>
      <c r="N11" s="63" t="str">
        <f aca="false">IF(PhaseSummary[[#This Row],[_Task]]="","",IF(N(PhaseSummary[[#This Row],[AC]])&gt;0,PhaseSummary[[#This Row],[EV]]/PhaseSummary[[#This Row],[AC]],""))</f>
        <v/>
      </c>
      <c r="O11" s="64" t="str">
        <f aca="false">IF(PhaseSummary[[#This Row],[_Task]]="","",COUNTIFS(tsk_Phase,PhaseSummary[[#This Row],[WBS]],tsk_Critical,"Yes",tsk_IsLeaf,1))</f>
        <v/>
      </c>
      <c r="P11"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
      </c>
    </row>
    <row r="12" customFormat="false" ht="15" hidden="false" customHeight="false" outlineLevel="0" collapsed="false">
      <c r="B12" s="32" t="str">
        <f aca="false">IFERROR(MATCH(SMALL(tsk_PhaseKey,ROW()-ROW(PhaseSummary[[#Headers],[_Task]])),tsk_PhaseKey,0),"")</f>
        <v/>
      </c>
      <c r="C12" s="24" t="str">
        <f aca="false">IF(PhaseSummary[[#This Row],[_Task]]="","",INDEX(tsk_WBS,PhaseSummary[[#This Row],[_Task]])&amp;"")</f>
        <v/>
      </c>
      <c r="D12" s="24" t="str">
        <f aca="false">IF(PhaseSummary[[#This Row],[_Task]]="","",INDEX(tsk_Name,PhaseSummary[[#This Row],[_Task]])&amp;"")</f>
        <v/>
      </c>
      <c r="E12" s="61" t="str">
        <f aca="false">IF(PhaseSummary[[#This Row],[_Task]]="","",IF(N(INDEX(tsk_PlanFinish,PhaseSummary[[#This Row],[_Task]]))=0,"",INDEX(tsk_PlanFinish,PhaseSummary[[#This Row],[_Task]])))</f>
        <v/>
      </c>
      <c r="F12" s="61" t="str">
        <f aca="false">IF(PhaseSummary[[#This Row],[_Task]]="","",IF(N(INDEX(tsk_FcFinish,PhaseSummary[[#This Row],[_Task]]))=0,"",INDEX(tsk_FcFinish,PhaseSummary[[#This Row],[_Task]])))</f>
        <v/>
      </c>
      <c r="G12" s="35" t="str">
        <f aca="false">IF(PhaseSummary[[#This Row],[_Task]]="","",INDEX(tsk_Variance,PhaseSummary[[#This Row],[_Task]]))</f>
        <v/>
      </c>
      <c r="H12" s="34" t="str">
        <f aca="false">IF(PhaseSummary[[#This Row],[_Task]]="","",INDEX(tsk_Progress,PhaseSummary[[#This Row],[_Task]]))</f>
        <v/>
      </c>
      <c r="I12" s="62" t="str">
        <f aca="false">IF(PhaseSummary[[#This Row],[_Task]]="","",INDEX(tsk_Budget,PhaseSummary[[#This Row],[_Task]]))</f>
        <v/>
      </c>
      <c r="J12" s="62" t="str">
        <f aca="false">IF(PhaseSummary[[#This Row],[_Task]]="","",INDEX(tsk_PV,PhaseSummary[[#This Row],[_Task]]))</f>
        <v/>
      </c>
      <c r="K12" s="62" t="str">
        <f aca="false">IF(PhaseSummary[[#This Row],[_Task]]="","",INDEX(tsk_EV,PhaseSummary[[#This Row],[_Task]]))</f>
        <v/>
      </c>
      <c r="L12" s="62" t="str">
        <f aca="false">IF(PhaseSummary[[#This Row],[_Task]]="","",INDEX(tsk_AC,PhaseSummary[[#This Row],[_Task]]))</f>
        <v/>
      </c>
      <c r="M12" s="63" t="str">
        <f aca="false">IF(PhaseSummary[[#This Row],[_Task]]="","",IF(N(PhaseSummary[[#This Row],[PV]])&gt;0,PhaseSummary[[#This Row],[EV]]/PhaseSummary[[#This Row],[PV]],""))</f>
        <v/>
      </c>
      <c r="N12" s="63" t="str">
        <f aca="false">IF(PhaseSummary[[#This Row],[_Task]]="","",IF(N(PhaseSummary[[#This Row],[AC]])&gt;0,PhaseSummary[[#This Row],[EV]]/PhaseSummary[[#This Row],[AC]],""))</f>
        <v/>
      </c>
      <c r="O12" s="64" t="str">
        <f aca="false">IF(PhaseSummary[[#This Row],[_Task]]="","",COUNTIFS(tsk_Phase,PhaseSummary[[#This Row],[WBS]],tsk_Critical,"Yes",tsk_IsLeaf,1))</f>
        <v/>
      </c>
      <c r="P12"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
      </c>
    </row>
    <row r="13" customFormat="false" ht="15" hidden="false" customHeight="false" outlineLevel="0" collapsed="false">
      <c r="B13" s="32" t="str">
        <f aca="false">IFERROR(MATCH(SMALL(tsk_PhaseKey,ROW()-ROW(PhaseSummary[[#Headers],[_Task]])),tsk_PhaseKey,0),"")</f>
        <v/>
      </c>
      <c r="C13" s="24" t="str">
        <f aca="false">IF(PhaseSummary[[#This Row],[_Task]]="","",INDEX(tsk_WBS,PhaseSummary[[#This Row],[_Task]])&amp;"")</f>
        <v/>
      </c>
      <c r="D13" s="24" t="str">
        <f aca="false">IF(PhaseSummary[[#This Row],[_Task]]="","",INDEX(tsk_Name,PhaseSummary[[#This Row],[_Task]])&amp;"")</f>
        <v/>
      </c>
      <c r="E13" s="61" t="str">
        <f aca="false">IF(PhaseSummary[[#This Row],[_Task]]="","",IF(N(INDEX(tsk_PlanFinish,PhaseSummary[[#This Row],[_Task]]))=0,"",INDEX(tsk_PlanFinish,PhaseSummary[[#This Row],[_Task]])))</f>
        <v/>
      </c>
      <c r="F13" s="61" t="str">
        <f aca="false">IF(PhaseSummary[[#This Row],[_Task]]="","",IF(N(INDEX(tsk_FcFinish,PhaseSummary[[#This Row],[_Task]]))=0,"",INDEX(tsk_FcFinish,PhaseSummary[[#This Row],[_Task]])))</f>
        <v/>
      </c>
      <c r="G13" s="35" t="str">
        <f aca="false">IF(PhaseSummary[[#This Row],[_Task]]="","",INDEX(tsk_Variance,PhaseSummary[[#This Row],[_Task]]))</f>
        <v/>
      </c>
      <c r="H13" s="34" t="str">
        <f aca="false">IF(PhaseSummary[[#This Row],[_Task]]="","",INDEX(tsk_Progress,PhaseSummary[[#This Row],[_Task]]))</f>
        <v/>
      </c>
      <c r="I13" s="62" t="str">
        <f aca="false">IF(PhaseSummary[[#This Row],[_Task]]="","",INDEX(tsk_Budget,PhaseSummary[[#This Row],[_Task]]))</f>
        <v/>
      </c>
      <c r="J13" s="62" t="str">
        <f aca="false">IF(PhaseSummary[[#This Row],[_Task]]="","",INDEX(tsk_PV,PhaseSummary[[#This Row],[_Task]]))</f>
        <v/>
      </c>
      <c r="K13" s="62" t="str">
        <f aca="false">IF(PhaseSummary[[#This Row],[_Task]]="","",INDEX(tsk_EV,PhaseSummary[[#This Row],[_Task]]))</f>
        <v/>
      </c>
      <c r="L13" s="62" t="str">
        <f aca="false">IF(PhaseSummary[[#This Row],[_Task]]="","",INDEX(tsk_AC,PhaseSummary[[#This Row],[_Task]]))</f>
        <v/>
      </c>
      <c r="M13" s="63" t="str">
        <f aca="false">IF(PhaseSummary[[#This Row],[_Task]]="","",IF(N(PhaseSummary[[#This Row],[PV]])&gt;0,PhaseSummary[[#This Row],[EV]]/PhaseSummary[[#This Row],[PV]],""))</f>
        <v/>
      </c>
      <c r="N13" s="63" t="str">
        <f aca="false">IF(PhaseSummary[[#This Row],[_Task]]="","",IF(N(PhaseSummary[[#This Row],[AC]])&gt;0,PhaseSummary[[#This Row],[EV]]/PhaseSummary[[#This Row],[AC]],""))</f>
        <v/>
      </c>
      <c r="O13" s="64" t="str">
        <f aca="false">IF(PhaseSummary[[#This Row],[_Task]]="","",COUNTIFS(tsk_Phase,PhaseSummary[[#This Row],[WBS]],tsk_Critical,"Yes",tsk_IsLeaf,1))</f>
        <v/>
      </c>
      <c r="P13"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
      </c>
    </row>
    <row r="14" customFormat="false" ht="15" hidden="false" customHeight="false" outlineLevel="0" collapsed="false">
      <c r="B14" s="32" t="str">
        <f aca="false">IFERROR(MATCH(SMALL(tsk_PhaseKey,ROW()-ROW(PhaseSummary[[#Headers],[_Task]])),tsk_PhaseKey,0),"")</f>
        <v/>
      </c>
      <c r="C14" s="24" t="str">
        <f aca="false">IF(PhaseSummary[[#This Row],[_Task]]="","",INDEX(tsk_WBS,PhaseSummary[[#This Row],[_Task]])&amp;"")</f>
        <v/>
      </c>
      <c r="D14" s="24" t="str">
        <f aca="false">IF(PhaseSummary[[#This Row],[_Task]]="","",INDEX(tsk_Name,PhaseSummary[[#This Row],[_Task]])&amp;"")</f>
        <v/>
      </c>
      <c r="E14" s="61" t="str">
        <f aca="false">IF(PhaseSummary[[#This Row],[_Task]]="","",IF(N(INDEX(tsk_PlanFinish,PhaseSummary[[#This Row],[_Task]]))=0,"",INDEX(tsk_PlanFinish,PhaseSummary[[#This Row],[_Task]])))</f>
        <v/>
      </c>
      <c r="F14" s="61" t="str">
        <f aca="false">IF(PhaseSummary[[#This Row],[_Task]]="","",IF(N(INDEX(tsk_FcFinish,PhaseSummary[[#This Row],[_Task]]))=0,"",INDEX(tsk_FcFinish,PhaseSummary[[#This Row],[_Task]])))</f>
        <v/>
      </c>
      <c r="G14" s="35" t="str">
        <f aca="false">IF(PhaseSummary[[#This Row],[_Task]]="","",INDEX(tsk_Variance,PhaseSummary[[#This Row],[_Task]]))</f>
        <v/>
      </c>
      <c r="H14" s="34" t="str">
        <f aca="false">IF(PhaseSummary[[#This Row],[_Task]]="","",INDEX(tsk_Progress,PhaseSummary[[#This Row],[_Task]]))</f>
        <v/>
      </c>
      <c r="I14" s="62" t="str">
        <f aca="false">IF(PhaseSummary[[#This Row],[_Task]]="","",INDEX(tsk_Budget,PhaseSummary[[#This Row],[_Task]]))</f>
        <v/>
      </c>
      <c r="J14" s="62" t="str">
        <f aca="false">IF(PhaseSummary[[#This Row],[_Task]]="","",INDEX(tsk_PV,PhaseSummary[[#This Row],[_Task]]))</f>
        <v/>
      </c>
      <c r="K14" s="62" t="str">
        <f aca="false">IF(PhaseSummary[[#This Row],[_Task]]="","",INDEX(tsk_EV,PhaseSummary[[#This Row],[_Task]]))</f>
        <v/>
      </c>
      <c r="L14" s="62" t="str">
        <f aca="false">IF(PhaseSummary[[#This Row],[_Task]]="","",INDEX(tsk_AC,PhaseSummary[[#This Row],[_Task]]))</f>
        <v/>
      </c>
      <c r="M14" s="63" t="str">
        <f aca="false">IF(PhaseSummary[[#This Row],[_Task]]="","",IF(N(PhaseSummary[[#This Row],[PV]])&gt;0,PhaseSummary[[#This Row],[EV]]/PhaseSummary[[#This Row],[PV]],""))</f>
        <v/>
      </c>
      <c r="N14" s="63" t="str">
        <f aca="false">IF(PhaseSummary[[#This Row],[_Task]]="","",IF(N(PhaseSummary[[#This Row],[AC]])&gt;0,PhaseSummary[[#This Row],[EV]]/PhaseSummary[[#This Row],[AC]],""))</f>
        <v/>
      </c>
      <c r="O14" s="64" t="str">
        <f aca="false">IF(PhaseSummary[[#This Row],[_Task]]="","",COUNTIFS(tsk_Phase,PhaseSummary[[#This Row],[WBS]],tsk_Critical,"Yes",tsk_IsLeaf,1))</f>
        <v/>
      </c>
      <c r="P14"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
      </c>
    </row>
    <row r="15" customFormat="false" ht="15" hidden="false" customHeight="false" outlineLevel="0" collapsed="false">
      <c r="B15" s="32" t="str">
        <f aca="false">IFERROR(MATCH(SMALL(tsk_PhaseKey,ROW()-ROW(PhaseSummary[[#Headers],[_Task]])),tsk_PhaseKey,0),"")</f>
        <v/>
      </c>
      <c r="C15" s="24" t="str">
        <f aca="false">IF(PhaseSummary[[#This Row],[_Task]]="","",INDEX(tsk_WBS,PhaseSummary[[#This Row],[_Task]])&amp;"")</f>
        <v/>
      </c>
      <c r="D15" s="24" t="str">
        <f aca="false">IF(PhaseSummary[[#This Row],[_Task]]="","",INDEX(tsk_Name,PhaseSummary[[#This Row],[_Task]])&amp;"")</f>
        <v/>
      </c>
      <c r="E15" s="61" t="str">
        <f aca="false">IF(PhaseSummary[[#This Row],[_Task]]="","",IF(N(INDEX(tsk_PlanFinish,PhaseSummary[[#This Row],[_Task]]))=0,"",INDEX(tsk_PlanFinish,PhaseSummary[[#This Row],[_Task]])))</f>
        <v/>
      </c>
      <c r="F15" s="61" t="str">
        <f aca="false">IF(PhaseSummary[[#This Row],[_Task]]="","",IF(N(INDEX(tsk_FcFinish,PhaseSummary[[#This Row],[_Task]]))=0,"",INDEX(tsk_FcFinish,PhaseSummary[[#This Row],[_Task]])))</f>
        <v/>
      </c>
      <c r="G15" s="35" t="str">
        <f aca="false">IF(PhaseSummary[[#This Row],[_Task]]="","",INDEX(tsk_Variance,PhaseSummary[[#This Row],[_Task]]))</f>
        <v/>
      </c>
      <c r="H15" s="34" t="str">
        <f aca="false">IF(PhaseSummary[[#This Row],[_Task]]="","",INDEX(tsk_Progress,PhaseSummary[[#This Row],[_Task]]))</f>
        <v/>
      </c>
      <c r="I15" s="62" t="str">
        <f aca="false">IF(PhaseSummary[[#This Row],[_Task]]="","",INDEX(tsk_Budget,PhaseSummary[[#This Row],[_Task]]))</f>
        <v/>
      </c>
      <c r="J15" s="62" t="str">
        <f aca="false">IF(PhaseSummary[[#This Row],[_Task]]="","",INDEX(tsk_PV,PhaseSummary[[#This Row],[_Task]]))</f>
        <v/>
      </c>
      <c r="K15" s="62" t="str">
        <f aca="false">IF(PhaseSummary[[#This Row],[_Task]]="","",INDEX(tsk_EV,PhaseSummary[[#This Row],[_Task]]))</f>
        <v/>
      </c>
      <c r="L15" s="62" t="str">
        <f aca="false">IF(PhaseSummary[[#This Row],[_Task]]="","",INDEX(tsk_AC,PhaseSummary[[#This Row],[_Task]]))</f>
        <v/>
      </c>
      <c r="M15" s="63" t="str">
        <f aca="false">IF(PhaseSummary[[#This Row],[_Task]]="","",IF(N(PhaseSummary[[#This Row],[PV]])&gt;0,PhaseSummary[[#This Row],[EV]]/PhaseSummary[[#This Row],[PV]],""))</f>
        <v/>
      </c>
      <c r="N15" s="63" t="str">
        <f aca="false">IF(PhaseSummary[[#This Row],[_Task]]="","",IF(N(PhaseSummary[[#This Row],[AC]])&gt;0,PhaseSummary[[#This Row],[EV]]/PhaseSummary[[#This Row],[AC]],""))</f>
        <v/>
      </c>
      <c r="O15" s="64" t="str">
        <f aca="false">IF(PhaseSummary[[#This Row],[_Task]]="","",COUNTIFS(tsk_Phase,PhaseSummary[[#This Row],[WBS]],tsk_Critical,"Yes",tsk_IsLeaf,1))</f>
        <v/>
      </c>
      <c r="P15" s="45" t="str">
        <f aca="false">IF(PhaseSummary[[#This Row],[_Task]]="","",CHOOSE(MAX(IF(N(PhaseSummary[[#This Row],[Finish Var]])&gt;=RAGRedSlipDays,2,IF(N(PhaseSummary[[#This Row],[Finish Var]])&gt;=RAGAmberSlipDays,1,0)),IF(ISNUMBER(PhaseSummary[[#This Row],[SPI]]),IF(PhaseSummary[[#This Row],[SPI]]&lt;RAGRedIndex,2,IF(PhaseSummary[[#This Row],[SPI]]&lt;RAGAmberIndex,1,0)),0),IF(ISNUMBER(PhaseSummary[[#This Row],[CPI]]),IF(PhaseSummary[[#This Row],[CPI]]&lt;RAGRedIndex,2,IF(PhaseSummary[[#This Row],[CPI]]&lt;RAGAmberIndex,1,0)),0))+1,"Green","Amber","Red"))</f>
        <v/>
      </c>
    </row>
    <row r="17" customFormat="false" ht="15" hidden="false" customHeight="false" outlineLevel="0" collapsed="false">
      <c r="C17" s="30" t="str">
        <f aca="false">"Milestones (in planned order)"&amp;": "&amp;COUNT(tsk_MilestoneOrder)&amp;IF(COUNT(tsk_MilestoneOrder)&gt;ROWS(MilestoneReport[_Task])," (showing the first "&amp;ROWS(MilestoneReport[_Task])&amp;")","")</f>
        <v>Milestones (in planned order): 5</v>
      </c>
    </row>
    <row r="18" customFormat="false" ht="23.85" hidden="false" customHeight="false" outlineLevel="0" collapsed="false">
      <c r="B18" s="31" t="s">
        <v>131</v>
      </c>
      <c r="C18" s="9" t="s">
        <v>132</v>
      </c>
      <c r="D18" s="9" t="s">
        <v>140</v>
      </c>
      <c r="E18" s="9" t="s">
        <v>141</v>
      </c>
      <c r="F18" s="9" t="s">
        <v>143</v>
      </c>
      <c r="G18" s="9" t="s">
        <v>139</v>
      </c>
      <c r="H18" s="9" t="s">
        <v>142</v>
      </c>
      <c r="I18" s="9" t="s">
        <v>144</v>
      </c>
      <c r="J18" s="9" t="s">
        <v>99</v>
      </c>
    </row>
    <row r="19" customFormat="false" ht="15" hidden="false" customHeight="false" outlineLevel="0" collapsed="false">
      <c r="B19" s="32" t="n">
        <f aca="false">IFERROR(MATCH(SMALL(tsk_MilestoneOrder,ROW()-ROW(MilestoneReport[[#Headers],[_Task]])),tsk_MilestoneOrder,0),"")</f>
        <v>4</v>
      </c>
      <c r="C19" s="24" t="str">
        <f aca="false">IF(MilestoneReport[[#This Row],[_Task]]="","",INDEX(tsk_WBS,MilestoneReport[[#This Row],[_Task]])&amp;"")</f>
        <v>1.3</v>
      </c>
      <c r="D19" s="24" t="str">
        <f aca="false">IF(MilestoneReport[[#This Row],[_Task]]="","",INDEX(tsk_Name,MilestoneReport[[#This Row],[_Task]])&amp;"")</f>
        <v>Kickoff complete</v>
      </c>
      <c r="E19" s="61" t="n">
        <f aca="false">IF(MilestoneReport[[#This Row],[_Task]]="","",IF(N(INDEX(tsk_PlanFinish,MilestoneReport[[#This Row],[_Task]]))=0,"",INDEX(tsk_PlanFinish,MilestoneReport[[#This Row],[_Task]])))</f>
        <v>46276</v>
      </c>
      <c r="F19" s="61" t="n">
        <f aca="false">IF(MilestoneReport[[#This Row],[_Task]]="","",IF(N(INDEX(tsk_FcFinish,MilestoneReport[[#This Row],[_Task]]))=0,"",INDEX(tsk_FcFinish,MilestoneReport[[#This Row],[_Task]])))</f>
        <v>46279</v>
      </c>
      <c r="G19" s="35" t="n">
        <f aca="false">IF(MilestoneReport[[#This Row],[_Task]]="","",INDEX(tsk_Variance,MilestoneReport[[#This Row],[_Task]]))</f>
        <v>1</v>
      </c>
      <c r="H19" s="61" t="str">
        <f aca="false">IF(MilestoneReport[[#This Row],[_Task]]="","",IF(N(INDEX(tsk_Deadline,MilestoneReport[[#This Row],[_Task]]))=0,"",INDEX(tsk_Deadline,MilestoneReport[[#This Row],[_Task]])))</f>
        <v/>
      </c>
      <c r="I19" s="24" t="str">
        <f aca="false">IF(MilestoneReport[[#This Row],[_Task]]="","",INDEX(tsk_DeadlineCheck,MilestoneReport[[#This Row],[_Task]])&amp;"")</f>
        <v/>
      </c>
      <c r="J19" s="24" t="str">
        <f aca="false">IF(MilestoneReport[[#This Row],[_Task]]="","",INDEX(tsk_Status,MilestoneReport[[#This Row],[_Task]])&amp;"")</f>
        <v>Complete</v>
      </c>
    </row>
    <row r="20" customFormat="false" ht="15" hidden="false" customHeight="false" outlineLevel="0" collapsed="false">
      <c r="B20" s="32" t="n">
        <f aca="false">IFERROR(MATCH(SMALL(tsk_MilestoneOrder,ROW()-ROW(MilestoneReport[[#Headers],[_Task]])),tsk_MilestoneOrder,0),"")</f>
        <v>9</v>
      </c>
      <c r="C20" s="24" t="str">
        <f aca="false">IF(MilestoneReport[[#This Row],[_Task]]="","",INDEX(tsk_WBS,MilestoneReport[[#This Row],[_Task]])&amp;"")</f>
        <v>2.4</v>
      </c>
      <c r="D20" s="24" t="str">
        <f aca="false">IF(MilestoneReport[[#This Row],[_Task]]="","",INDEX(tsk_Name,MilestoneReport[[#This Row],[_Task]])&amp;"")</f>
        <v>Design sign-off</v>
      </c>
      <c r="E20" s="61" t="n">
        <f aca="false">IF(MilestoneReport[[#This Row],[_Task]]="","",IF(N(INDEX(tsk_PlanFinish,MilestoneReport[[#This Row],[_Task]]))=0,"",INDEX(tsk_PlanFinish,MilestoneReport[[#This Row],[_Task]])))</f>
        <v>46296</v>
      </c>
      <c r="F20" s="61" t="n">
        <f aca="false">IF(MilestoneReport[[#This Row],[_Task]]="","",IF(N(INDEX(tsk_FcFinish,MilestoneReport[[#This Row],[_Task]]))=0,"",INDEX(tsk_FcFinish,MilestoneReport[[#This Row],[_Task]])))</f>
        <v>46301</v>
      </c>
      <c r="G20" s="35" t="n">
        <f aca="false">IF(MilestoneReport[[#This Row],[_Task]]="","",INDEX(tsk_Variance,MilestoneReport[[#This Row],[_Task]]))</f>
        <v>3</v>
      </c>
      <c r="H20" s="61" t="str">
        <f aca="false">IF(MilestoneReport[[#This Row],[_Task]]="","",IF(N(INDEX(tsk_Deadline,MilestoneReport[[#This Row],[_Task]]))=0,"",INDEX(tsk_Deadline,MilestoneReport[[#This Row],[_Task]])))</f>
        <v/>
      </c>
      <c r="I20" s="24" t="str">
        <f aca="false">IF(MilestoneReport[[#This Row],[_Task]]="","",INDEX(tsk_DeadlineCheck,MilestoneReport[[#This Row],[_Task]])&amp;"")</f>
        <v/>
      </c>
      <c r="J20" s="24" t="str">
        <f aca="false">IF(MilestoneReport[[#This Row],[_Task]]="","",INDEX(tsk_Status,MilestoneReport[[#This Row],[_Task]])&amp;"")</f>
        <v>Complete</v>
      </c>
    </row>
    <row r="21" customFormat="false" ht="15" hidden="false" customHeight="false" outlineLevel="0" collapsed="false">
      <c r="B21" s="32" t="n">
        <f aca="false">IFERROR(MATCH(SMALL(tsk_MilestoneOrder,ROW()-ROW(MilestoneReport[[#Headers],[_Task]])),tsk_MilestoneOrder,0),"")</f>
        <v>19</v>
      </c>
      <c r="C21" s="24" t="str">
        <f aca="false">IF(MilestoneReport[[#This Row],[_Task]]="","",INDEX(tsk_WBS,MilestoneReport[[#This Row],[_Task]])&amp;"")</f>
        <v>3.3</v>
      </c>
      <c r="D21" s="24" t="str">
        <f aca="false">IF(MilestoneReport[[#This Row],[_Task]]="","",INDEX(tsk_Name,MilestoneReport[[#This Row],[_Task]])&amp;"")</f>
        <v>Build complete</v>
      </c>
      <c r="E21" s="61" t="n">
        <f aca="false">IF(MilestoneReport[[#This Row],[_Task]]="","",IF(N(INDEX(tsk_PlanFinish,MilestoneReport[[#This Row],[_Task]]))=0,"",INDEX(tsk_PlanFinish,MilestoneReport[[#This Row],[_Task]])))</f>
        <v>46325</v>
      </c>
      <c r="F21" s="61" t="n">
        <f aca="false">IF(MilestoneReport[[#This Row],[_Task]]="","",IF(N(INDEX(tsk_FcFinish,MilestoneReport[[#This Row],[_Task]]))=0,"",INDEX(tsk_FcFinish,MilestoneReport[[#This Row],[_Task]])))</f>
        <v>46335</v>
      </c>
      <c r="G21" s="35" t="n">
        <f aca="false">IF(MilestoneReport[[#This Row],[_Task]]="","",INDEX(tsk_Variance,MilestoneReport[[#This Row],[_Task]]))</f>
        <v>6</v>
      </c>
      <c r="H21" s="61" t="n">
        <f aca="false">IF(MilestoneReport[[#This Row],[_Task]]="","",IF(N(INDEX(tsk_Deadline,MilestoneReport[[#This Row],[_Task]]))=0,"",INDEX(tsk_Deadline,MilestoneReport[[#This Row],[_Task]])))</f>
        <v>46332</v>
      </c>
      <c r="I21" s="24" t="str">
        <f aca="false">IF(MilestoneReport[[#This Row],[_Task]]="","",INDEX(tsk_DeadlineCheck,MilestoneReport[[#This Row],[_Task]])&amp;"")</f>
        <v>Late by 1d</v>
      </c>
      <c r="J21" s="24" t="str">
        <f aca="false">IF(MilestoneReport[[#This Row],[_Task]]="","",INDEX(tsk_Status,MilestoneReport[[#This Row],[_Task]])&amp;"")</f>
        <v>Not Started</v>
      </c>
    </row>
    <row r="22" customFormat="false" ht="15" hidden="false" customHeight="false" outlineLevel="0" collapsed="false">
      <c r="B22" s="32" t="n">
        <f aca="false">IFERROR(MATCH(SMALL(tsk_MilestoneOrder,ROW()-ROW(MilestoneReport[[#Headers],[_Task]])),tsk_MilestoneOrder,0),"")</f>
        <v>25</v>
      </c>
      <c r="C22" s="24" t="str">
        <f aca="false">IF(MilestoneReport[[#This Row],[_Task]]="","",INDEX(tsk_WBS,MilestoneReport[[#This Row],[_Task]])&amp;"")</f>
        <v>4.5</v>
      </c>
      <c r="D22" s="24" t="str">
        <f aca="false">IF(MilestoneReport[[#This Row],[_Task]]="","",INDEX(tsk_Name,MilestoneReport[[#This Row],[_Task]])&amp;"")</f>
        <v>Go-live</v>
      </c>
      <c r="E22" s="61" t="n">
        <f aca="false">IF(MilestoneReport[[#This Row],[_Task]]="","",IF(N(INDEX(tsk_PlanFinish,MilestoneReport[[#This Row],[_Task]]))=0,"",INDEX(tsk_PlanFinish,MilestoneReport[[#This Row],[_Task]])))</f>
        <v>46371</v>
      </c>
      <c r="F22" s="61" t="n">
        <f aca="false">IF(MilestoneReport[[#This Row],[_Task]]="","",IF(N(INDEX(tsk_FcFinish,MilestoneReport[[#This Row],[_Task]]))=0,"",INDEX(tsk_FcFinish,MilestoneReport[[#This Row],[_Task]])))</f>
        <v>46371</v>
      </c>
      <c r="G22" s="35" t="n">
        <f aca="false">IF(MilestoneReport[[#This Row],[_Task]]="","",INDEX(tsk_Variance,MilestoneReport[[#This Row],[_Task]]))</f>
        <v>0</v>
      </c>
      <c r="H22" s="61" t="n">
        <f aca="false">IF(MilestoneReport[[#This Row],[_Task]]="","",IF(N(INDEX(tsk_Deadline,MilestoneReport[[#This Row],[_Task]]))=0,"",INDEX(tsk_Deadline,MilestoneReport[[#This Row],[_Task]])))</f>
        <v>46374</v>
      </c>
      <c r="I22" s="24" t="str">
        <f aca="false">IF(MilestoneReport[[#This Row],[_Task]]="","",INDEX(tsk_DeadlineCheck,MilestoneReport[[#This Row],[_Task]])&amp;"")</f>
        <v>OK</v>
      </c>
      <c r="J22" s="24" t="str">
        <f aca="false">IF(MilestoneReport[[#This Row],[_Task]]="","",INDEX(tsk_Status,MilestoneReport[[#This Row],[_Task]])&amp;"")</f>
        <v>Not Started</v>
      </c>
    </row>
    <row r="23" customFormat="false" ht="15" hidden="false" customHeight="false" outlineLevel="0" collapsed="false">
      <c r="B23" s="32" t="n">
        <f aca="false">IFERROR(MATCH(SMALL(tsk_MilestoneOrder,ROW()-ROW(MilestoneReport[[#Headers],[_Task]])),tsk_MilestoneOrder,0),"")</f>
        <v>30</v>
      </c>
      <c r="C23" s="24" t="str">
        <f aca="false">IF(MilestoneReport[[#This Row],[_Task]]="","",INDEX(tsk_WBS,MilestoneReport[[#This Row],[_Task]])&amp;"")</f>
        <v>5.3</v>
      </c>
      <c r="D23" s="24" t="str">
        <f aca="false">IF(MilestoneReport[[#This Row],[_Task]]="","",INDEX(tsk_Name,MilestoneReport[[#This Row],[_Task]])&amp;"")</f>
        <v>Project closed</v>
      </c>
      <c r="E23" s="61" t="n">
        <f aca="false">IF(MilestoneReport[[#This Row],[_Task]]="","",IF(N(INDEX(tsk_PlanFinish,MilestoneReport[[#This Row],[_Task]]))=0,"",INDEX(tsk_PlanFinish,MilestoneReport[[#This Row],[_Task]])))</f>
        <v>46393</v>
      </c>
      <c r="F23" s="61" t="n">
        <f aca="false">IF(MilestoneReport[[#This Row],[_Task]]="","",IF(N(INDEX(tsk_FcFinish,MilestoneReport[[#This Row],[_Task]]))=0,"",INDEX(tsk_FcFinish,MilestoneReport[[#This Row],[_Task]])))</f>
        <v>46393</v>
      </c>
      <c r="G23" s="35" t="n">
        <f aca="false">IF(MilestoneReport[[#This Row],[_Task]]="","",INDEX(tsk_Variance,MilestoneReport[[#This Row],[_Task]]))</f>
        <v>0</v>
      </c>
      <c r="H23" s="61" t="str">
        <f aca="false">IF(MilestoneReport[[#This Row],[_Task]]="","",IF(N(INDEX(tsk_Deadline,MilestoneReport[[#This Row],[_Task]]))=0,"",INDEX(tsk_Deadline,MilestoneReport[[#This Row],[_Task]])))</f>
        <v/>
      </c>
      <c r="I23" s="24" t="str">
        <f aca="false">IF(MilestoneReport[[#This Row],[_Task]]="","",INDEX(tsk_DeadlineCheck,MilestoneReport[[#This Row],[_Task]])&amp;"")</f>
        <v/>
      </c>
      <c r="J23" s="24" t="str">
        <f aca="false">IF(MilestoneReport[[#This Row],[_Task]]="","",INDEX(tsk_Status,MilestoneReport[[#This Row],[_Task]])&amp;"")</f>
        <v>Not Started</v>
      </c>
    </row>
    <row r="24" customFormat="false" ht="15" hidden="false" customHeight="false" outlineLevel="0" collapsed="false">
      <c r="B24" s="32" t="str">
        <f aca="false">IFERROR(MATCH(SMALL(tsk_MilestoneOrder,ROW()-ROW(MilestoneReport[[#Headers],[_Task]])),tsk_MilestoneOrder,0),"")</f>
        <v/>
      </c>
      <c r="C24" s="24" t="str">
        <f aca="false">IF(MilestoneReport[[#This Row],[_Task]]="","",INDEX(tsk_WBS,MilestoneReport[[#This Row],[_Task]])&amp;"")</f>
        <v/>
      </c>
      <c r="D24" s="24" t="str">
        <f aca="false">IF(MilestoneReport[[#This Row],[_Task]]="","",INDEX(tsk_Name,MilestoneReport[[#This Row],[_Task]])&amp;"")</f>
        <v/>
      </c>
      <c r="E24" s="61" t="str">
        <f aca="false">IF(MilestoneReport[[#This Row],[_Task]]="","",IF(N(INDEX(tsk_PlanFinish,MilestoneReport[[#This Row],[_Task]]))=0,"",INDEX(tsk_PlanFinish,MilestoneReport[[#This Row],[_Task]])))</f>
        <v/>
      </c>
      <c r="F24" s="61" t="str">
        <f aca="false">IF(MilestoneReport[[#This Row],[_Task]]="","",IF(N(INDEX(tsk_FcFinish,MilestoneReport[[#This Row],[_Task]]))=0,"",INDEX(tsk_FcFinish,MilestoneReport[[#This Row],[_Task]])))</f>
        <v/>
      </c>
      <c r="G24" s="35" t="str">
        <f aca="false">IF(MilestoneReport[[#This Row],[_Task]]="","",INDEX(tsk_Variance,MilestoneReport[[#This Row],[_Task]]))</f>
        <v/>
      </c>
      <c r="H24" s="61" t="str">
        <f aca="false">IF(MilestoneReport[[#This Row],[_Task]]="","",IF(N(INDEX(tsk_Deadline,MilestoneReport[[#This Row],[_Task]]))=0,"",INDEX(tsk_Deadline,MilestoneReport[[#This Row],[_Task]])))</f>
        <v/>
      </c>
      <c r="I24" s="24" t="str">
        <f aca="false">IF(MilestoneReport[[#This Row],[_Task]]="","",INDEX(tsk_DeadlineCheck,MilestoneReport[[#This Row],[_Task]])&amp;"")</f>
        <v/>
      </c>
      <c r="J24" s="24" t="str">
        <f aca="false">IF(MilestoneReport[[#This Row],[_Task]]="","",INDEX(tsk_Status,MilestoneReport[[#This Row],[_Task]])&amp;"")</f>
        <v/>
      </c>
    </row>
    <row r="25" customFormat="false" ht="15" hidden="false" customHeight="false" outlineLevel="0" collapsed="false">
      <c r="B25" s="32" t="str">
        <f aca="false">IFERROR(MATCH(SMALL(tsk_MilestoneOrder,ROW()-ROW(MilestoneReport[[#Headers],[_Task]])),tsk_MilestoneOrder,0),"")</f>
        <v/>
      </c>
      <c r="C25" s="24" t="str">
        <f aca="false">IF(MilestoneReport[[#This Row],[_Task]]="","",INDEX(tsk_WBS,MilestoneReport[[#This Row],[_Task]])&amp;"")</f>
        <v/>
      </c>
      <c r="D25" s="24" t="str">
        <f aca="false">IF(MilestoneReport[[#This Row],[_Task]]="","",INDEX(tsk_Name,MilestoneReport[[#This Row],[_Task]])&amp;"")</f>
        <v/>
      </c>
      <c r="E25" s="61" t="str">
        <f aca="false">IF(MilestoneReport[[#This Row],[_Task]]="","",IF(N(INDEX(tsk_PlanFinish,MilestoneReport[[#This Row],[_Task]]))=0,"",INDEX(tsk_PlanFinish,MilestoneReport[[#This Row],[_Task]])))</f>
        <v/>
      </c>
      <c r="F25" s="61" t="str">
        <f aca="false">IF(MilestoneReport[[#This Row],[_Task]]="","",IF(N(INDEX(tsk_FcFinish,MilestoneReport[[#This Row],[_Task]]))=0,"",INDEX(tsk_FcFinish,MilestoneReport[[#This Row],[_Task]])))</f>
        <v/>
      </c>
      <c r="G25" s="35" t="str">
        <f aca="false">IF(MilestoneReport[[#This Row],[_Task]]="","",INDEX(tsk_Variance,MilestoneReport[[#This Row],[_Task]]))</f>
        <v/>
      </c>
      <c r="H25" s="61" t="str">
        <f aca="false">IF(MilestoneReport[[#This Row],[_Task]]="","",IF(N(INDEX(tsk_Deadline,MilestoneReport[[#This Row],[_Task]]))=0,"",INDEX(tsk_Deadline,MilestoneReport[[#This Row],[_Task]])))</f>
        <v/>
      </c>
      <c r="I25" s="24" t="str">
        <f aca="false">IF(MilestoneReport[[#This Row],[_Task]]="","",INDEX(tsk_DeadlineCheck,MilestoneReport[[#This Row],[_Task]])&amp;"")</f>
        <v/>
      </c>
      <c r="J25" s="24" t="str">
        <f aca="false">IF(MilestoneReport[[#This Row],[_Task]]="","",INDEX(tsk_Status,MilestoneReport[[#This Row],[_Task]])&amp;"")</f>
        <v/>
      </c>
    </row>
    <row r="26" customFormat="false" ht="15" hidden="false" customHeight="false" outlineLevel="0" collapsed="false">
      <c r="B26" s="32" t="str">
        <f aca="false">IFERROR(MATCH(SMALL(tsk_MilestoneOrder,ROW()-ROW(MilestoneReport[[#Headers],[_Task]])),tsk_MilestoneOrder,0),"")</f>
        <v/>
      </c>
      <c r="C26" s="24" t="str">
        <f aca="false">IF(MilestoneReport[[#This Row],[_Task]]="","",INDEX(tsk_WBS,MilestoneReport[[#This Row],[_Task]])&amp;"")</f>
        <v/>
      </c>
      <c r="D26" s="24" t="str">
        <f aca="false">IF(MilestoneReport[[#This Row],[_Task]]="","",INDEX(tsk_Name,MilestoneReport[[#This Row],[_Task]])&amp;"")</f>
        <v/>
      </c>
      <c r="E26" s="61" t="str">
        <f aca="false">IF(MilestoneReport[[#This Row],[_Task]]="","",IF(N(INDEX(tsk_PlanFinish,MilestoneReport[[#This Row],[_Task]]))=0,"",INDEX(tsk_PlanFinish,MilestoneReport[[#This Row],[_Task]])))</f>
        <v/>
      </c>
      <c r="F26" s="61" t="str">
        <f aca="false">IF(MilestoneReport[[#This Row],[_Task]]="","",IF(N(INDEX(tsk_FcFinish,MilestoneReport[[#This Row],[_Task]]))=0,"",INDEX(tsk_FcFinish,MilestoneReport[[#This Row],[_Task]])))</f>
        <v/>
      </c>
      <c r="G26" s="35" t="str">
        <f aca="false">IF(MilestoneReport[[#This Row],[_Task]]="","",INDEX(tsk_Variance,MilestoneReport[[#This Row],[_Task]]))</f>
        <v/>
      </c>
      <c r="H26" s="61" t="str">
        <f aca="false">IF(MilestoneReport[[#This Row],[_Task]]="","",IF(N(INDEX(tsk_Deadline,MilestoneReport[[#This Row],[_Task]]))=0,"",INDEX(tsk_Deadline,MilestoneReport[[#This Row],[_Task]])))</f>
        <v/>
      </c>
      <c r="I26" s="24" t="str">
        <f aca="false">IF(MilestoneReport[[#This Row],[_Task]]="","",INDEX(tsk_DeadlineCheck,MilestoneReport[[#This Row],[_Task]])&amp;"")</f>
        <v/>
      </c>
      <c r="J26" s="24" t="str">
        <f aca="false">IF(MilestoneReport[[#This Row],[_Task]]="","",INDEX(tsk_Status,MilestoneReport[[#This Row],[_Task]])&amp;"")</f>
        <v/>
      </c>
    </row>
    <row r="27" customFormat="false" ht="15" hidden="false" customHeight="false" outlineLevel="0" collapsed="false">
      <c r="B27" s="32" t="str">
        <f aca="false">IFERROR(MATCH(SMALL(tsk_MilestoneOrder,ROW()-ROW(MilestoneReport[[#Headers],[_Task]])),tsk_MilestoneOrder,0),"")</f>
        <v/>
      </c>
      <c r="C27" s="24" t="str">
        <f aca="false">IF(MilestoneReport[[#This Row],[_Task]]="","",INDEX(tsk_WBS,MilestoneReport[[#This Row],[_Task]])&amp;"")</f>
        <v/>
      </c>
      <c r="D27" s="24" t="str">
        <f aca="false">IF(MilestoneReport[[#This Row],[_Task]]="","",INDEX(tsk_Name,MilestoneReport[[#This Row],[_Task]])&amp;"")</f>
        <v/>
      </c>
      <c r="E27" s="61" t="str">
        <f aca="false">IF(MilestoneReport[[#This Row],[_Task]]="","",IF(N(INDEX(tsk_PlanFinish,MilestoneReport[[#This Row],[_Task]]))=0,"",INDEX(tsk_PlanFinish,MilestoneReport[[#This Row],[_Task]])))</f>
        <v/>
      </c>
      <c r="F27" s="61" t="str">
        <f aca="false">IF(MilestoneReport[[#This Row],[_Task]]="","",IF(N(INDEX(tsk_FcFinish,MilestoneReport[[#This Row],[_Task]]))=0,"",INDEX(tsk_FcFinish,MilestoneReport[[#This Row],[_Task]])))</f>
        <v/>
      </c>
      <c r="G27" s="35" t="str">
        <f aca="false">IF(MilestoneReport[[#This Row],[_Task]]="","",INDEX(tsk_Variance,MilestoneReport[[#This Row],[_Task]]))</f>
        <v/>
      </c>
      <c r="H27" s="61" t="str">
        <f aca="false">IF(MilestoneReport[[#This Row],[_Task]]="","",IF(N(INDEX(tsk_Deadline,MilestoneReport[[#This Row],[_Task]]))=0,"",INDEX(tsk_Deadline,MilestoneReport[[#This Row],[_Task]])))</f>
        <v/>
      </c>
      <c r="I27" s="24" t="str">
        <f aca="false">IF(MilestoneReport[[#This Row],[_Task]]="","",INDEX(tsk_DeadlineCheck,MilestoneReport[[#This Row],[_Task]])&amp;"")</f>
        <v/>
      </c>
      <c r="J27" s="24" t="str">
        <f aca="false">IF(MilestoneReport[[#This Row],[_Task]]="","",INDEX(tsk_Status,MilestoneReport[[#This Row],[_Task]])&amp;"")</f>
        <v/>
      </c>
    </row>
    <row r="28" customFormat="false" ht="15" hidden="false" customHeight="false" outlineLevel="0" collapsed="false">
      <c r="B28" s="32" t="str">
        <f aca="false">IFERROR(MATCH(SMALL(tsk_MilestoneOrder,ROW()-ROW(MilestoneReport[[#Headers],[_Task]])),tsk_MilestoneOrder,0),"")</f>
        <v/>
      </c>
      <c r="C28" s="24" t="str">
        <f aca="false">IF(MilestoneReport[[#This Row],[_Task]]="","",INDEX(tsk_WBS,MilestoneReport[[#This Row],[_Task]])&amp;"")</f>
        <v/>
      </c>
      <c r="D28" s="24" t="str">
        <f aca="false">IF(MilestoneReport[[#This Row],[_Task]]="","",INDEX(tsk_Name,MilestoneReport[[#This Row],[_Task]])&amp;"")</f>
        <v/>
      </c>
      <c r="E28" s="61" t="str">
        <f aca="false">IF(MilestoneReport[[#This Row],[_Task]]="","",IF(N(INDEX(tsk_PlanFinish,MilestoneReport[[#This Row],[_Task]]))=0,"",INDEX(tsk_PlanFinish,MilestoneReport[[#This Row],[_Task]])))</f>
        <v/>
      </c>
      <c r="F28" s="61" t="str">
        <f aca="false">IF(MilestoneReport[[#This Row],[_Task]]="","",IF(N(INDEX(tsk_FcFinish,MilestoneReport[[#This Row],[_Task]]))=0,"",INDEX(tsk_FcFinish,MilestoneReport[[#This Row],[_Task]])))</f>
        <v/>
      </c>
      <c r="G28" s="35" t="str">
        <f aca="false">IF(MilestoneReport[[#This Row],[_Task]]="","",INDEX(tsk_Variance,MilestoneReport[[#This Row],[_Task]]))</f>
        <v/>
      </c>
      <c r="H28" s="61" t="str">
        <f aca="false">IF(MilestoneReport[[#This Row],[_Task]]="","",IF(N(INDEX(tsk_Deadline,MilestoneReport[[#This Row],[_Task]]))=0,"",INDEX(tsk_Deadline,MilestoneReport[[#This Row],[_Task]])))</f>
        <v/>
      </c>
      <c r="I28" s="24" t="str">
        <f aca="false">IF(MilestoneReport[[#This Row],[_Task]]="","",INDEX(tsk_DeadlineCheck,MilestoneReport[[#This Row],[_Task]])&amp;"")</f>
        <v/>
      </c>
      <c r="J28" s="24" t="str">
        <f aca="false">IF(MilestoneReport[[#This Row],[_Task]]="","",INDEX(tsk_Status,MilestoneReport[[#This Row],[_Task]])&amp;"")</f>
        <v/>
      </c>
    </row>
    <row r="29" customFormat="false" ht="15" hidden="false" customHeight="false" outlineLevel="0" collapsed="false">
      <c r="B29" s="32" t="str">
        <f aca="false">IFERROR(MATCH(SMALL(tsk_MilestoneOrder,ROW()-ROW(MilestoneReport[[#Headers],[_Task]])),tsk_MilestoneOrder,0),"")</f>
        <v/>
      </c>
      <c r="C29" s="24" t="str">
        <f aca="false">IF(MilestoneReport[[#This Row],[_Task]]="","",INDEX(tsk_WBS,MilestoneReport[[#This Row],[_Task]])&amp;"")</f>
        <v/>
      </c>
      <c r="D29" s="24" t="str">
        <f aca="false">IF(MilestoneReport[[#This Row],[_Task]]="","",INDEX(tsk_Name,MilestoneReport[[#This Row],[_Task]])&amp;"")</f>
        <v/>
      </c>
      <c r="E29" s="61" t="str">
        <f aca="false">IF(MilestoneReport[[#This Row],[_Task]]="","",IF(N(INDEX(tsk_PlanFinish,MilestoneReport[[#This Row],[_Task]]))=0,"",INDEX(tsk_PlanFinish,MilestoneReport[[#This Row],[_Task]])))</f>
        <v/>
      </c>
      <c r="F29" s="61" t="str">
        <f aca="false">IF(MilestoneReport[[#This Row],[_Task]]="","",IF(N(INDEX(tsk_FcFinish,MilestoneReport[[#This Row],[_Task]]))=0,"",INDEX(tsk_FcFinish,MilestoneReport[[#This Row],[_Task]])))</f>
        <v/>
      </c>
      <c r="G29" s="35" t="str">
        <f aca="false">IF(MilestoneReport[[#This Row],[_Task]]="","",INDEX(tsk_Variance,MilestoneReport[[#This Row],[_Task]]))</f>
        <v/>
      </c>
      <c r="H29" s="61" t="str">
        <f aca="false">IF(MilestoneReport[[#This Row],[_Task]]="","",IF(N(INDEX(tsk_Deadline,MilestoneReport[[#This Row],[_Task]]))=0,"",INDEX(tsk_Deadline,MilestoneReport[[#This Row],[_Task]])))</f>
        <v/>
      </c>
      <c r="I29" s="24" t="str">
        <f aca="false">IF(MilestoneReport[[#This Row],[_Task]]="","",INDEX(tsk_DeadlineCheck,MilestoneReport[[#This Row],[_Task]])&amp;"")</f>
        <v/>
      </c>
      <c r="J29" s="24" t="str">
        <f aca="false">IF(MilestoneReport[[#This Row],[_Task]]="","",INDEX(tsk_Status,MilestoneReport[[#This Row],[_Task]])&amp;"")</f>
        <v/>
      </c>
    </row>
    <row r="30" customFormat="false" ht="15" hidden="false" customHeight="false" outlineLevel="0" collapsed="false">
      <c r="B30" s="32" t="str">
        <f aca="false">IFERROR(MATCH(SMALL(tsk_MilestoneOrder,ROW()-ROW(MilestoneReport[[#Headers],[_Task]])),tsk_MilestoneOrder,0),"")</f>
        <v/>
      </c>
      <c r="C30" s="24" t="str">
        <f aca="false">IF(MilestoneReport[[#This Row],[_Task]]="","",INDEX(tsk_WBS,MilestoneReport[[#This Row],[_Task]])&amp;"")</f>
        <v/>
      </c>
      <c r="D30" s="24" t="str">
        <f aca="false">IF(MilestoneReport[[#This Row],[_Task]]="","",INDEX(tsk_Name,MilestoneReport[[#This Row],[_Task]])&amp;"")</f>
        <v/>
      </c>
      <c r="E30" s="61" t="str">
        <f aca="false">IF(MilestoneReport[[#This Row],[_Task]]="","",IF(N(INDEX(tsk_PlanFinish,MilestoneReport[[#This Row],[_Task]]))=0,"",INDEX(tsk_PlanFinish,MilestoneReport[[#This Row],[_Task]])))</f>
        <v/>
      </c>
      <c r="F30" s="61" t="str">
        <f aca="false">IF(MilestoneReport[[#This Row],[_Task]]="","",IF(N(INDEX(tsk_FcFinish,MilestoneReport[[#This Row],[_Task]]))=0,"",INDEX(tsk_FcFinish,MilestoneReport[[#This Row],[_Task]])))</f>
        <v/>
      </c>
      <c r="G30" s="35" t="str">
        <f aca="false">IF(MilestoneReport[[#This Row],[_Task]]="","",INDEX(tsk_Variance,MilestoneReport[[#This Row],[_Task]]))</f>
        <v/>
      </c>
      <c r="H30" s="61" t="str">
        <f aca="false">IF(MilestoneReport[[#This Row],[_Task]]="","",IF(N(INDEX(tsk_Deadline,MilestoneReport[[#This Row],[_Task]]))=0,"",INDEX(tsk_Deadline,MilestoneReport[[#This Row],[_Task]])))</f>
        <v/>
      </c>
      <c r="I30" s="24" t="str">
        <f aca="false">IF(MilestoneReport[[#This Row],[_Task]]="","",INDEX(tsk_DeadlineCheck,MilestoneReport[[#This Row],[_Task]])&amp;"")</f>
        <v/>
      </c>
      <c r="J30" s="24" t="str">
        <f aca="false">IF(MilestoneReport[[#This Row],[_Task]]="","",INDEX(tsk_Status,MilestoneReport[[#This Row],[_Task]])&amp;"")</f>
        <v/>
      </c>
    </row>
    <row r="31" customFormat="false" ht="15" hidden="false" customHeight="false" outlineLevel="0" collapsed="false">
      <c r="B31" s="32" t="str">
        <f aca="false">IFERROR(MATCH(SMALL(tsk_MilestoneOrder,ROW()-ROW(MilestoneReport[[#Headers],[_Task]])),tsk_MilestoneOrder,0),"")</f>
        <v/>
      </c>
      <c r="C31" s="24" t="str">
        <f aca="false">IF(MilestoneReport[[#This Row],[_Task]]="","",INDEX(tsk_WBS,MilestoneReport[[#This Row],[_Task]])&amp;"")</f>
        <v/>
      </c>
      <c r="D31" s="24" t="str">
        <f aca="false">IF(MilestoneReport[[#This Row],[_Task]]="","",INDEX(tsk_Name,MilestoneReport[[#This Row],[_Task]])&amp;"")</f>
        <v/>
      </c>
      <c r="E31" s="61" t="str">
        <f aca="false">IF(MilestoneReport[[#This Row],[_Task]]="","",IF(N(INDEX(tsk_PlanFinish,MilestoneReport[[#This Row],[_Task]]))=0,"",INDEX(tsk_PlanFinish,MilestoneReport[[#This Row],[_Task]])))</f>
        <v/>
      </c>
      <c r="F31" s="61" t="str">
        <f aca="false">IF(MilestoneReport[[#This Row],[_Task]]="","",IF(N(INDEX(tsk_FcFinish,MilestoneReport[[#This Row],[_Task]]))=0,"",INDEX(tsk_FcFinish,MilestoneReport[[#This Row],[_Task]])))</f>
        <v/>
      </c>
      <c r="G31" s="35" t="str">
        <f aca="false">IF(MilestoneReport[[#This Row],[_Task]]="","",INDEX(tsk_Variance,MilestoneReport[[#This Row],[_Task]]))</f>
        <v/>
      </c>
      <c r="H31" s="61" t="str">
        <f aca="false">IF(MilestoneReport[[#This Row],[_Task]]="","",IF(N(INDEX(tsk_Deadline,MilestoneReport[[#This Row],[_Task]]))=0,"",INDEX(tsk_Deadline,MilestoneReport[[#This Row],[_Task]])))</f>
        <v/>
      </c>
      <c r="I31" s="24" t="str">
        <f aca="false">IF(MilestoneReport[[#This Row],[_Task]]="","",INDEX(tsk_DeadlineCheck,MilestoneReport[[#This Row],[_Task]])&amp;"")</f>
        <v/>
      </c>
      <c r="J31" s="24" t="str">
        <f aca="false">IF(MilestoneReport[[#This Row],[_Task]]="","",INDEX(tsk_Status,MilestoneReport[[#This Row],[_Task]])&amp;"")</f>
        <v/>
      </c>
    </row>
    <row r="32" customFormat="false" ht="15" hidden="false" customHeight="false" outlineLevel="0" collapsed="false">
      <c r="B32" s="32" t="str">
        <f aca="false">IFERROR(MATCH(SMALL(tsk_MilestoneOrder,ROW()-ROW(MilestoneReport[[#Headers],[_Task]])),tsk_MilestoneOrder,0),"")</f>
        <v/>
      </c>
      <c r="C32" s="24" t="str">
        <f aca="false">IF(MilestoneReport[[#This Row],[_Task]]="","",INDEX(tsk_WBS,MilestoneReport[[#This Row],[_Task]])&amp;"")</f>
        <v/>
      </c>
      <c r="D32" s="24" t="str">
        <f aca="false">IF(MilestoneReport[[#This Row],[_Task]]="","",INDEX(tsk_Name,MilestoneReport[[#This Row],[_Task]])&amp;"")</f>
        <v/>
      </c>
      <c r="E32" s="61" t="str">
        <f aca="false">IF(MilestoneReport[[#This Row],[_Task]]="","",IF(N(INDEX(tsk_PlanFinish,MilestoneReport[[#This Row],[_Task]]))=0,"",INDEX(tsk_PlanFinish,MilestoneReport[[#This Row],[_Task]])))</f>
        <v/>
      </c>
      <c r="F32" s="61" t="str">
        <f aca="false">IF(MilestoneReport[[#This Row],[_Task]]="","",IF(N(INDEX(tsk_FcFinish,MilestoneReport[[#This Row],[_Task]]))=0,"",INDEX(tsk_FcFinish,MilestoneReport[[#This Row],[_Task]])))</f>
        <v/>
      </c>
      <c r="G32" s="35" t="str">
        <f aca="false">IF(MilestoneReport[[#This Row],[_Task]]="","",INDEX(tsk_Variance,MilestoneReport[[#This Row],[_Task]]))</f>
        <v/>
      </c>
      <c r="H32" s="61" t="str">
        <f aca="false">IF(MilestoneReport[[#This Row],[_Task]]="","",IF(N(INDEX(tsk_Deadline,MilestoneReport[[#This Row],[_Task]]))=0,"",INDEX(tsk_Deadline,MilestoneReport[[#This Row],[_Task]])))</f>
        <v/>
      </c>
      <c r="I32" s="24" t="str">
        <f aca="false">IF(MilestoneReport[[#This Row],[_Task]]="","",INDEX(tsk_DeadlineCheck,MilestoneReport[[#This Row],[_Task]])&amp;"")</f>
        <v/>
      </c>
      <c r="J32" s="24" t="str">
        <f aca="false">IF(MilestoneReport[[#This Row],[_Task]]="","",INDEX(tsk_Status,MilestoneReport[[#This Row],[_Task]])&amp;"")</f>
        <v/>
      </c>
    </row>
    <row r="33" customFormat="false" ht="15" hidden="false" customHeight="false" outlineLevel="0" collapsed="false">
      <c r="B33" s="32" t="str">
        <f aca="false">IFERROR(MATCH(SMALL(tsk_MilestoneOrder,ROW()-ROW(MilestoneReport[[#Headers],[_Task]])),tsk_MilestoneOrder,0),"")</f>
        <v/>
      </c>
      <c r="C33" s="24" t="str">
        <f aca="false">IF(MilestoneReport[[#This Row],[_Task]]="","",INDEX(tsk_WBS,MilestoneReport[[#This Row],[_Task]])&amp;"")</f>
        <v/>
      </c>
      <c r="D33" s="24" t="str">
        <f aca="false">IF(MilestoneReport[[#This Row],[_Task]]="","",INDEX(tsk_Name,MilestoneReport[[#This Row],[_Task]])&amp;"")</f>
        <v/>
      </c>
      <c r="E33" s="61" t="str">
        <f aca="false">IF(MilestoneReport[[#This Row],[_Task]]="","",IF(N(INDEX(tsk_PlanFinish,MilestoneReport[[#This Row],[_Task]]))=0,"",INDEX(tsk_PlanFinish,MilestoneReport[[#This Row],[_Task]])))</f>
        <v/>
      </c>
      <c r="F33" s="61" t="str">
        <f aca="false">IF(MilestoneReport[[#This Row],[_Task]]="","",IF(N(INDEX(tsk_FcFinish,MilestoneReport[[#This Row],[_Task]]))=0,"",INDEX(tsk_FcFinish,MilestoneReport[[#This Row],[_Task]])))</f>
        <v/>
      </c>
      <c r="G33" s="35" t="str">
        <f aca="false">IF(MilestoneReport[[#This Row],[_Task]]="","",INDEX(tsk_Variance,MilestoneReport[[#This Row],[_Task]]))</f>
        <v/>
      </c>
      <c r="H33" s="61" t="str">
        <f aca="false">IF(MilestoneReport[[#This Row],[_Task]]="","",IF(N(INDEX(tsk_Deadline,MilestoneReport[[#This Row],[_Task]]))=0,"",INDEX(tsk_Deadline,MilestoneReport[[#This Row],[_Task]])))</f>
        <v/>
      </c>
      <c r="I33" s="24" t="str">
        <f aca="false">IF(MilestoneReport[[#This Row],[_Task]]="","",INDEX(tsk_DeadlineCheck,MilestoneReport[[#This Row],[_Task]])&amp;"")</f>
        <v/>
      </c>
      <c r="J33" s="24" t="str">
        <f aca="false">IF(MilestoneReport[[#This Row],[_Task]]="","",INDEX(tsk_Status,MilestoneReport[[#This Row],[_Task]])&amp;"")</f>
        <v/>
      </c>
    </row>
    <row r="35" customFormat="false" ht="15" hidden="false" customHeight="false" outlineLevel="0" collapsed="false">
      <c r="C35" s="30" t="str">
        <f aca="false">"Late tasks (most days late first)"&amp;": "&amp;COUNT(tsk_LateKey)&amp;IF(COUNT(tsk_LateKey)&gt;ROWS(LateTasks[_Task])," (showing the first "&amp;ROWS(LateTasks[_Task])&amp;")","")</f>
        <v>Late tasks (most days late first): 7</v>
      </c>
    </row>
    <row r="36" customFormat="false" ht="23.85" hidden="false" customHeight="false" outlineLevel="0" collapsed="false">
      <c r="B36" s="31" t="s">
        <v>131</v>
      </c>
      <c r="C36" s="9" t="s">
        <v>132</v>
      </c>
      <c r="D36" s="9" t="s">
        <v>208</v>
      </c>
      <c r="E36" s="9" t="s">
        <v>236</v>
      </c>
      <c r="F36" s="9" t="s">
        <v>135</v>
      </c>
      <c r="G36" s="9" t="s">
        <v>228</v>
      </c>
      <c r="H36" s="9" t="s">
        <v>139</v>
      </c>
      <c r="I36" s="9" t="s">
        <v>99</v>
      </c>
      <c r="J36" s="9" t="s">
        <v>237</v>
      </c>
    </row>
    <row r="37" customFormat="false" ht="15" hidden="false" customHeight="false" outlineLevel="0" collapsed="false">
      <c r="B37" s="32" t="n">
        <f aca="false">IFERROR(MATCH(LARGE(tsk_LateKey,ROW()-ROW(LateTasks[[#Headers],[_Task]])),tsk_LateKey,0),"")</f>
        <v>13</v>
      </c>
      <c r="C37" s="24" t="str">
        <f aca="false">IF(LateTasks[[#This Row],[_Task]]="","",INDEX(tsk_WBS,LateTasks[[#This Row],[_Task]])&amp;"")</f>
        <v>3.1.2</v>
      </c>
      <c r="D37" s="24" t="str">
        <f aca="false">IF(LateTasks[[#This Row],[_Task]]="","",INDEX(tsk_Name,LateTasks[[#This Row],[_Task]])&amp;"")</f>
        <v>Core API endpoints</v>
      </c>
      <c r="E37" s="24" t="str">
        <f aca="false">IF(LateTasks[[#This Row],[_Task]]="","",INDEX(tsk_ResourceNames,LateTasks[[#This Row],[_Task]])&amp;"")</f>
        <v>Jordan Lee</v>
      </c>
      <c r="F37" s="61" t="n">
        <f aca="false">IF(LateTasks[[#This Row],[_Task]]="","",IF(N(INDEX(tsk_PlanFinish,LateTasks[[#This Row],[_Task]]))=0,"",INDEX(tsk_PlanFinish,LateTasks[[#This Row],[_Task]])))</f>
        <v>46317</v>
      </c>
      <c r="G37" s="61" t="n">
        <f aca="false">IF(LateTasks[[#This Row],[_Task]]="","",IF(N(INDEX(tsk_FcFinish,LateTasks[[#This Row],[_Task]]))=0,"",INDEX(tsk_FcFinish,LateTasks[[#This Row],[_Task]])))</f>
        <v>46325</v>
      </c>
      <c r="H37" s="35" t="n">
        <f aca="false">IF(LateTasks[[#This Row],[_Task]]="","",INDEX(tsk_Variance,LateTasks[[#This Row],[_Task]]))</f>
        <v>6</v>
      </c>
      <c r="I37" s="24" t="str">
        <f aca="false">IF(LateTasks[[#This Row],[_Task]]="","",INDEX(tsk_Status,LateTasks[[#This Row],[_Task]])&amp;"")</f>
        <v>Behind</v>
      </c>
      <c r="J37" s="24" t="str">
        <f aca="false">IF(LateTasks[[#This Row],[_Task]]="","",INDEX(tsk_Critical,LateTasks[[#This Row],[_Task]])&amp;"")</f>
        <v>Yes</v>
      </c>
    </row>
    <row r="38" customFormat="false" ht="15" hidden="false" customHeight="false" outlineLevel="0" collapsed="false">
      <c r="B38" s="32" t="n">
        <f aca="false">IFERROR(MATCH(LARGE(tsk_LateKey,ROW()-ROW(LateTasks[[#Headers],[_Task]])),tsk_LateKey,0),"")</f>
        <v>14</v>
      </c>
      <c r="C38" s="24" t="str">
        <f aca="false">IF(LateTasks[[#This Row],[_Task]]="","",INDEX(tsk_WBS,LateTasks[[#This Row],[_Task]])&amp;"")</f>
        <v>3.1.3</v>
      </c>
      <c r="D38" s="24" t="str">
        <f aca="false">IF(LateTasks[[#This Row],[_Task]]="","",INDEX(tsk_Name,LateTasks[[#This Row],[_Task]])&amp;"")</f>
        <v>Payment gateway integration</v>
      </c>
      <c r="E38" s="24" t="str">
        <f aca="false">IF(LateTasks[[#This Row],[_Task]]="","",INDEX(tsk_ResourceNames,LateTasks[[#This Row],[_Task]])&amp;"")</f>
        <v>Jordan Lee</v>
      </c>
      <c r="F38" s="61" t="n">
        <f aca="false">IF(LateTasks[[#This Row],[_Task]]="","",IF(N(INDEX(tsk_PlanFinish,LateTasks[[#This Row],[_Task]]))=0,"",INDEX(tsk_PlanFinish,LateTasks[[#This Row],[_Task]])))</f>
        <v>46325</v>
      </c>
      <c r="G38" s="61" t="n">
        <f aca="false">IF(LateTasks[[#This Row],[_Task]]="","",IF(N(INDEX(tsk_FcFinish,LateTasks[[#This Row],[_Task]]))=0,"",INDEX(tsk_FcFinish,LateTasks[[#This Row],[_Task]])))</f>
        <v>46335</v>
      </c>
      <c r="H38" s="35" t="n">
        <f aca="false">IF(LateTasks[[#This Row],[_Task]]="","",INDEX(tsk_Variance,LateTasks[[#This Row],[_Task]]))</f>
        <v>6</v>
      </c>
      <c r="I38" s="24" t="str">
        <f aca="false">IF(LateTasks[[#This Row],[_Task]]="","",INDEX(tsk_Status,LateTasks[[#This Row],[_Task]])&amp;"")</f>
        <v>Late Start</v>
      </c>
      <c r="J38" s="24" t="str">
        <f aca="false">IF(LateTasks[[#This Row],[_Task]]="","",INDEX(tsk_Critical,LateTasks[[#This Row],[_Task]])&amp;"")</f>
        <v>Yes</v>
      </c>
    </row>
    <row r="39" customFormat="false" ht="15" hidden="false" customHeight="false" outlineLevel="0" collapsed="false">
      <c r="B39" s="32" t="n">
        <f aca="false">IFERROR(MATCH(LARGE(tsk_LateKey,ROW()-ROW(LateTasks[[#Headers],[_Task]])),tsk_LateKey,0),"")</f>
        <v>17</v>
      </c>
      <c r="C39" s="24" t="str">
        <f aca="false">IF(LateTasks[[#This Row],[_Task]]="","",INDEX(tsk_WBS,LateTasks[[#This Row],[_Task]])&amp;"")</f>
        <v>3.2.2</v>
      </c>
      <c r="D39" s="24" t="str">
        <f aca="false">IF(LateTasks[[#This Row],[_Task]]="","",INDEX(tsk_Name,LateTasks[[#This Row],[_Task]])&amp;"")</f>
        <v>Feature screens</v>
      </c>
      <c r="E39" s="24" t="str">
        <f aca="false">IF(LateTasks[[#This Row],[_Task]]="","",INDEX(tsk_ResourceNames,LateTasks[[#This Row],[_Task]])&amp;"")</f>
        <v>Sam Rivera, Casey Kim[50%]</v>
      </c>
      <c r="F39" s="61" t="n">
        <f aca="false">IF(LateTasks[[#This Row],[_Task]]="","",IF(N(INDEX(tsk_PlanFinish,LateTasks[[#This Row],[_Task]]))=0,"",INDEX(tsk_PlanFinish,LateTasks[[#This Row],[_Task]])))</f>
        <v>46323</v>
      </c>
      <c r="G39" s="61" t="n">
        <f aca="false">IF(LateTasks[[#This Row],[_Task]]="","",IF(N(INDEX(tsk_FcFinish,LateTasks[[#This Row],[_Task]]))=0,"",INDEX(tsk_FcFinish,LateTasks[[#This Row],[_Task]])))</f>
        <v>46331</v>
      </c>
      <c r="H39" s="35" t="n">
        <f aca="false">IF(LateTasks[[#This Row],[_Task]]="","",INDEX(tsk_Variance,LateTasks[[#This Row],[_Task]]))</f>
        <v>6</v>
      </c>
      <c r="I39" s="24" t="str">
        <f aca="false">IF(LateTasks[[#This Row],[_Task]]="","",INDEX(tsk_Status,LateTasks[[#This Row],[_Task]])&amp;"")</f>
        <v>Behind</v>
      </c>
      <c r="J39" s="24" t="str">
        <f aca="false">IF(LateTasks[[#This Row],[_Task]]="","",INDEX(tsk_Critical,LateTasks[[#This Row],[_Task]])&amp;"")</f>
        <v>Yes</v>
      </c>
    </row>
    <row r="40" customFormat="false" ht="15" hidden="false" customHeight="false" outlineLevel="0" collapsed="false">
      <c r="B40" s="32" t="n">
        <f aca="false">IFERROR(MATCH(LARGE(tsk_LateKey,ROW()-ROW(LateTasks[[#Headers],[_Task]])),tsk_LateKey,0),"")</f>
        <v>18</v>
      </c>
      <c r="C40" s="24" t="str">
        <f aca="false">IF(LateTasks[[#This Row],[_Task]]="","",INDEX(tsk_WBS,LateTasks[[#This Row],[_Task]])&amp;"")</f>
        <v>3.2.3</v>
      </c>
      <c r="D40" s="24" t="str">
        <f aca="false">IF(LateTasks[[#This Row],[_Task]]="","",INDEX(tsk_Name,LateTasks[[#This Row],[_Task]])&amp;"")</f>
        <v>Accessibility review</v>
      </c>
      <c r="E40" s="24" t="str">
        <f aca="false">IF(LateTasks[[#This Row],[_Task]]="","",INDEX(tsk_ResourceNames,LateTasks[[#This Row],[_Task]])&amp;"")</f>
        <v>Casey Kim[50%]</v>
      </c>
      <c r="F40" s="61" t="n">
        <f aca="false">IF(LateTasks[[#This Row],[_Task]]="","",IF(N(INDEX(tsk_PlanFinish,LateTasks[[#This Row],[_Task]]))=0,"",INDEX(tsk_PlanFinish,LateTasks[[#This Row],[_Task]])))</f>
        <v>46324</v>
      </c>
      <c r="G40" s="61" t="n">
        <f aca="false">IF(LateTasks[[#This Row],[_Task]]="","",IF(N(INDEX(tsk_FcFinish,LateTasks[[#This Row],[_Task]]))=0,"",INDEX(tsk_FcFinish,LateTasks[[#This Row],[_Task]])))</f>
        <v>46332</v>
      </c>
      <c r="H40" s="35" t="n">
        <f aca="false">IF(LateTasks[[#This Row],[_Task]]="","",INDEX(tsk_Variance,LateTasks[[#This Row],[_Task]]))</f>
        <v>6</v>
      </c>
      <c r="I40" s="24" t="str">
        <f aca="false">IF(LateTasks[[#This Row],[_Task]]="","",INDEX(tsk_Status,LateTasks[[#This Row],[_Task]])&amp;"")</f>
        <v>Not Started</v>
      </c>
      <c r="J40" s="24" t="str">
        <f aca="false">IF(LateTasks[[#This Row],[_Task]]="","",INDEX(tsk_Critical,LateTasks[[#This Row],[_Task]])&amp;"")</f>
        <v>Yes</v>
      </c>
    </row>
    <row r="41" customFormat="false" ht="15" hidden="false" customHeight="false" outlineLevel="0" collapsed="false">
      <c r="B41" s="32" t="n">
        <f aca="false">IFERROR(MATCH(LARGE(tsk_LateKey,ROW()-ROW(LateTasks[[#Headers],[_Task]])),tsk_LateKey,0),"")</f>
        <v>19</v>
      </c>
      <c r="C41" s="24" t="str">
        <f aca="false">IF(LateTasks[[#This Row],[_Task]]="","",INDEX(tsk_WBS,LateTasks[[#This Row],[_Task]])&amp;"")</f>
        <v>3.3</v>
      </c>
      <c r="D41" s="24" t="str">
        <f aca="false">IF(LateTasks[[#This Row],[_Task]]="","",INDEX(tsk_Name,LateTasks[[#This Row],[_Task]])&amp;"")</f>
        <v>Build complete</v>
      </c>
      <c r="E41" s="24" t="str">
        <f aca="false">IF(LateTasks[[#This Row],[_Task]]="","",INDEX(tsk_ResourceNames,LateTasks[[#This Row],[_Task]])&amp;"")</f>
        <v/>
      </c>
      <c r="F41" s="61" t="n">
        <f aca="false">IF(LateTasks[[#This Row],[_Task]]="","",IF(N(INDEX(tsk_PlanFinish,LateTasks[[#This Row],[_Task]]))=0,"",INDEX(tsk_PlanFinish,LateTasks[[#This Row],[_Task]])))</f>
        <v>46325</v>
      </c>
      <c r="G41" s="61" t="n">
        <f aca="false">IF(LateTasks[[#This Row],[_Task]]="","",IF(N(INDEX(tsk_FcFinish,LateTasks[[#This Row],[_Task]]))=0,"",INDEX(tsk_FcFinish,LateTasks[[#This Row],[_Task]])))</f>
        <v>46335</v>
      </c>
      <c r="H41" s="35" t="n">
        <f aca="false">IF(LateTasks[[#This Row],[_Task]]="","",INDEX(tsk_Variance,LateTasks[[#This Row],[_Task]]))</f>
        <v>6</v>
      </c>
      <c r="I41" s="24" t="str">
        <f aca="false">IF(LateTasks[[#This Row],[_Task]]="","",INDEX(tsk_Status,LateTasks[[#This Row],[_Task]])&amp;"")</f>
        <v>Not Started</v>
      </c>
      <c r="J41" s="24" t="str">
        <f aca="false">IF(LateTasks[[#This Row],[_Task]]="","",INDEX(tsk_Critical,LateTasks[[#This Row],[_Task]])&amp;"")</f>
        <v>Yes</v>
      </c>
    </row>
    <row r="42" customFormat="false" ht="15" hidden="false" customHeight="false" outlineLevel="0" collapsed="false">
      <c r="B42" s="32" t="n">
        <f aca="false">IFERROR(MATCH(LARGE(tsk_LateKey,ROW()-ROW(LateTasks[[#Headers],[_Task]])),tsk_LateKey,0),"")</f>
        <v>21</v>
      </c>
      <c r="C42" s="24" t="str">
        <f aca="false">IF(LateTasks[[#This Row],[_Task]]="","",INDEX(tsk_WBS,LateTasks[[#This Row],[_Task]])&amp;"")</f>
        <v>4.1</v>
      </c>
      <c r="D42" s="24" t="str">
        <f aca="false">IF(LateTasks[[#This Row],[_Task]]="","",INDEX(tsk_Name,LateTasks[[#This Row],[_Task]])&amp;"")</f>
        <v>System integration testing</v>
      </c>
      <c r="E42" s="24" t="str">
        <f aca="false">IF(LateTasks[[#This Row],[_Task]]="","",INDEX(tsk_ResourceNames,LateTasks[[#This Row],[_Task]])&amp;"")</f>
        <v>Taylor Morgan, Sam Rivera[50%]</v>
      </c>
      <c r="F42" s="61" t="n">
        <f aca="false">IF(LateTasks[[#This Row],[_Task]]="","",IF(N(INDEX(tsk_PlanFinish,LateTasks[[#This Row],[_Task]]))=0,"",INDEX(tsk_PlanFinish,LateTasks[[#This Row],[_Task]])))</f>
        <v>46337</v>
      </c>
      <c r="G42" s="61" t="n">
        <f aca="false">IF(LateTasks[[#This Row],[_Task]]="","",IF(N(INDEX(tsk_FcFinish,LateTasks[[#This Row],[_Task]]))=0,"",INDEX(tsk_FcFinish,LateTasks[[#This Row],[_Task]])))</f>
        <v>46345</v>
      </c>
      <c r="H42" s="35" t="n">
        <f aca="false">IF(LateTasks[[#This Row],[_Task]]="","",INDEX(tsk_Variance,LateTasks[[#This Row],[_Task]]))</f>
        <v>6</v>
      </c>
      <c r="I42" s="24" t="str">
        <f aca="false">IF(LateTasks[[#This Row],[_Task]]="","",INDEX(tsk_Status,LateTasks[[#This Row],[_Task]])&amp;"")</f>
        <v>Not Started</v>
      </c>
      <c r="J42" s="24" t="str">
        <f aca="false">IF(LateTasks[[#This Row],[_Task]]="","",INDEX(tsk_Critical,LateTasks[[#This Row],[_Task]])&amp;"")</f>
        <v/>
      </c>
    </row>
    <row r="43" customFormat="false" ht="15" hidden="false" customHeight="false" outlineLevel="0" collapsed="false">
      <c r="B43" s="32" t="n">
        <f aca="false">IFERROR(MATCH(LARGE(tsk_LateKey,ROW()-ROW(LateTasks[[#Headers],[_Task]])),tsk_LateKey,0),"")</f>
        <v>23</v>
      </c>
      <c r="C43" s="24" t="str">
        <f aca="false">IF(LateTasks[[#This Row],[_Task]]="","",INDEX(tsk_WBS,LateTasks[[#This Row],[_Task]])&amp;"")</f>
        <v>4.3</v>
      </c>
      <c r="D43" s="24" t="str">
        <f aca="false">IF(LateTasks[[#This Row],[_Task]]="","",INDEX(tsk_Name,LateTasks[[#This Row],[_Task]])&amp;"")</f>
        <v>Training &amp; user guides</v>
      </c>
      <c r="E43" s="24" t="str">
        <f aca="false">IF(LateTasks[[#This Row],[_Task]]="","",INDEX(tsk_ResourceNames,LateTasks[[#This Row],[_Task]])&amp;"")</f>
        <v>Casey Kim[50%]</v>
      </c>
      <c r="F43" s="61" t="n">
        <f aca="false">IF(LateTasks[[#This Row],[_Task]]="","",IF(N(INDEX(tsk_PlanFinish,LateTasks[[#This Row],[_Task]]))=0,"",INDEX(tsk_PlanFinish,LateTasks[[#This Row],[_Task]])))</f>
        <v>46336</v>
      </c>
      <c r="G43" s="61" t="n">
        <f aca="false">IF(LateTasks[[#This Row],[_Task]]="","",IF(N(INDEX(tsk_FcFinish,LateTasks[[#This Row],[_Task]]))=0,"",INDEX(tsk_FcFinish,LateTasks[[#This Row],[_Task]])))</f>
        <v>46344</v>
      </c>
      <c r="H43" s="35" t="n">
        <f aca="false">IF(LateTasks[[#This Row],[_Task]]="","",INDEX(tsk_Variance,LateTasks[[#This Row],[_Task]]))</f>
        <v>6</v>
      </c>
      <c r="I43" s="24" t="str">
        <f aca="false">IF(LateTasks[[#This Row],[_Task]]="","",INDEX(tsk_Status,LateTasks[[#This Row],[_Task]])&amp;"")</f>
        <v>Not Started</v>
      </c>
      <c r="J43" s="24" t="str">
        <f aca="false">IF(LateTasks[[#This Row],[_Task]]="","",INDEX(tsk_Critical,LateTasks[[#This Row],[_Task]])&amp;"")</f>
        <v/>
      </c>
    </row>
    <row r="44" customFormat="false" ht="15" hidden="false" customHeight="false" outlineLevel="0" collapsed="false">
      <c r="B44" s="32" t="str">
        <f aca="false">IFERROR(MATCH(LARGE(tsk_LateKey,ROW()-ROW(LateTasks[[#Headers],[_Task]])),tsk_LateKey,0),"")</f>
        <v/>
      </c>
      <c r="C44" s="24" t="str">
        <f aca="false">IF(LateTasks[[#This Row],[_Task]]="","",INDEX(tsk_WBS,LateTasks[[#This Row],[_Task]])&amp;"")</f>
        <v/>
      </c>
      <c r="D44" s="24" t="str">
        <f aca="false">IF(LateTasks[[#This Row],[_Task]]="","",INDEX(tsk_Name,LateTasks[[#This Row],[_Task]])&amp;"")</f>
        <v/>
      </c>
      <c r="E44" s="24" t="str">
        <f aca="false">IF(LateTasks[[#This Row],[_Task]]="","",INDEX(tsk_ResourceNames,LateTasks[[#This Row],[_Task]])&amp;"")</f>
        <v/>
      </c>
      <c r="F44" s="61" t="str">
        <f aca="false">IF(LateTasks[[#This Row],[_Task]]="","",IF(N(INDEX(tsk_PlanFinish,LateTasks[[#This Row],[_Task]]))=0,"",INDEX(tsk_PlanFinish,LateTasks[[#This Row],[_Task]])))</f>
        <v/>
      </c>
      <c r="G44" s="61" t="str">
        <f aca="false">IF(LateTasks[[#This Row],[_Task]]="","",IF(N(INDEX(tsk_FcFinish,LateTasks[[#This Row],[_Task]]))=0,"",INDEX(tsk_FcFinish,LateTasks[[#This Row],[_Task]])))</f>
        <v/>
      </c>
      <c r="H44" s="35" t="str">
        <f aca="false">IF(LateTasks[[#This Row],[_Task]]="","",INDEX(tsk_Variance,LateTasks[[#This Row],[_Task]]))</f>
        <v/>
      </c>
      <c r="I44" s="24" t="str">
        <f aca="false">IF(LateTasks[[#This Row],[_Task]]="","",INDEX(tsk_Status,LateTasks[[#This Row],[_Task]])&amp;"")</f>
        <v/>
      </c>
      <c r="J44" s="24" t="str">
        <f aca="false">IF(LateTasks[[#This Row],[_Task]]="","",INDEX(tsk_Critical,LateTasks[[#This Row],[_Task]])&amp;"")</f>
        <v/>
      </c>
    </row>
    <row r="45" customFormat="false" ht="15" hidden="false" customHeight="false" outlineLevel="0" collapsed="false">
      <c r="B45" s="32" t="str">
        <f aca="false">IFERROR(MATCH(LARGE(tsk_LateKey,ROW()-ROW(LateTasks[[#Headers],[_Task]])),tsk_LateKey,0),"")</f>
        <v/>
      </c>
      <c r="C45" s="24" t="str">
        <f aca="false">IF(LateTasks[[#This Row],[_Task]]="","",INDEX(tsk_WBS,LateTasks[[#This Row],[_Task]])&amp;"")</f>
        <v/>
      </c>
      <c r="D45" s="24" t="str">
        <f aca="false">IF(LateTasks[[#This Row],[_Task]]="","",INDEX(tsk_Name,LateTasks[[#This Row],[_Task]])&amp;"")</f>
        <v/>
      </c>
      <c r="E45" s="24" t="str">
        <f aca="false">IF(LateTasks[[#This Row],[_Task]]="","",INDEX(tsk_ResourceNames,LateTasks[[#This Row],[_Task]])&amp;"")</f>
        <v/>
      </c>
      <c r="F45" s="61" t="str">
        <f aca="false">IF(LateTasks[[#This Row],[_Task]]="","",IF(N(INDEX(tsk_PlanFinish,LateTasks[[#This Row],[_Task]]))=0,"",INDEX(tsk_PlanFinish,LateTasks[[#This Row],[_Task]])))</f>
        <v/>
      </c>
      <c r="G45" s="61" t="str">
        <f aca="false">IF(LateTasks[[#This Row],[_Task]]="","",IF(N(INDEX(tsk_FcFinish,LateTasks[[#This Row],[_Task]]))=0,"",INDEX(tsk_FcFinish,LateTasks[[#This Row],[_Task]])))</f>
        <v/>
      </c>
      <c r="H45" s="35" t="str">
        <f aca="false">IF(LateTasks[[#This Row],[_Task]]="","",INDEX(tsk_Variance,LateTasks[[#This Row],[_Task]]))</f>
        <v/>
      </c>
      <c r="I45" s="24" t="str">
        <f aca="false">IF(LateTasks[[#This Row],[_Task]]="","",INDEX(tsk_Status,LateTasks[[#This Row],[_Task]])&amp;"")</f>
        <v/>
      </c>
      <c r="J45" s="24" t="str">
        <f aca="false">IF(LateTasks[[#This Row],[_Task]]="","",INDEX(tsk_Critical,LateTasks[[#This Row],[_Task]])&amp;"")</f>
        <v/>
      </c>
    </row>
    <row r="46" customFormat="false" ht="15" hidden="false" customHeight="false" outlineLevel="0" collapsed="false">
      <c r="B46" s="32" t="str">
        <f aca="false">IFERROR(MATCH(LARGE(tsk_LateKey,ROW()-ROW(LateTasks[[#Headers],[_Task]])),tsk_LateKey,0),"")</f>
        <v/>
      </c>
      <c r="C46" s="24" t="str">
        <f aca="false">IF(LateTasks[[#This Row],[_Task]]="","",INDEX(tsk_WBS,LateTasks[[#This Row],[_Task]])&amp;"")</f>
        <v/>
      </c>
      <c r="D46" s="24" t="str">
        <f aca="false">IF(LateTasks[[#This Row],[_Task]]="","",INDEX(tsk_Name,LateTasks[[#This Row],[_Task]])&amp;"")</f>
        <v/>
      </c>
      <c r="E46" s="24" t="str">
        <f aca="false">IF(LateTasks[[#This Row],[_Task]]="","",INDEX(tsk_ResourceNames,LateTasks[[#This Row],[_Task]])&amp;"")</f>
        <v/>
      </c>
      <c r="F46" s="61" t="str">
        <f aca="false">IF(LateTasks[[#This Row],[_Task]]="","",IF(N(INDEX(tsk_PlanFinish,LateTasks[[#This Row],[_Task]]))=0,"",INDEX(tsk_PlanFinish,LateTasks[[#This Row],[_Task]])))</f>
        <v/>
      </c>
      <c r="G46" s="61" t="str">
        <f aca="false">IF(LateTasks[[#This Row],[_Task]]="","",IF(N(INDEX(tsk_FcFinish,LateTasks[[#This Row],[_Task]]))=0,"",INDEX(tsk_FcFinish,LateTasks[[#This Row],[_Task]])))</f>
        <v/>
      </c>
      <c r="H46" s="35" t="str">
        <f aca="false">IF(LateTasks[[#This Row],[_Task]]="","",INDEX(tsk_Variance,LateTasks[[#This Row],[_Task]]))</f>
        <v/>
      </c>
      <c r="I46" s="24" t="str">
        <f aca="false">IF(LateTasks[[#This Row],[_Task]]="","",INDEX(tsk_Status,LateTasks[[#This Row],[_Task]])&amp;"")</f>
        <v/>
      </c>
      <c r="J46" s="24" t="str">
        <f aca="false">IF(LateTasks[[#This Row],[_Task]]="","",INDEX(tsk_Critical,LateTasks[[#This Row],[_Task]])&amp;"")</f>
        <v/>
      </c>
    </row>
    <row r="47" customFormat="false" ht="15" hidden="false" customHeight="false" outlineLevel="0" collapsed="false">
      <c r="B47" s="32" t="str">
        <f aca="false">IFERROR(MATCH(LARGE(tsk_LateKey,ROW()-ROW(LateTasks[[#Headers],[_Task]])),tsk_LateKey,0),"")</f>
        <v/>
      </c>
      <c r="C47" s="24" t="str">
        <f aca="false">IF(LateTasks[[#This Row],[_Task]]="","",INDEX(tsk_WBS,LateTasks[[#This Row],[_Task]])&amp;"")</f>
        <v/>
      </c>
      <c r="D47" s="24" t="str">
        <f aca="false">IF(LateTasks[[#This Row],[_Task]]="","",INDEX(tsk_Name,LateTasks[[#This Row],[_Task]])&amp;"")</f>
        <v/>
      </c>
      <c r="E47" s="24" t="str">
        <f aca="false">IF(LateTasks[[#This Row],[_Task]]="","",INDEX(tsk_ResourceNames,LateTasks[[#This Row],[_Task]])&amp;"")</f>
        <v/>
      </c>
      <c r="F47" s="61" t="str">
        <f aca="false">IF(LateTasks[[#This Row],[_Task]]="","",IF(N(INDEX(tsk_PlanFinish,LateTasks[[#This Row],[_Task]]))=0,"",INDEX(tsk_PlanFinish,LateTasks[[#This Row],[_Task]])))</f>
        <v/>
      </c>
      <c r="G47" s="61" t="str">
        <f aca="false">IF(LateTasks[[#This Row],[_Task]]="","",IF(N(INDEX(tsk_FcFinish,LateTasks[[#This Row],[_Task]]))=0,"",INDEX(tsk_FcFinish,LateTasks[[#This Row],[_Task]])))</f>
        <v/>
      </c>
      <c r="H47" s="35" t="str">
        <f aca="false">IF(LateTasks[[#This Row],[_Task]]="","",INDEX(tsk_Variance,LateTasks[[#This Row],[_Task]]))</f>
        <v/>
      </c>
      <c r="I47" s="24" t="str">
        <f aca="false">IF(LateTasks[[#This Row],[_Task]]="","",INDEX(tsk_Status,LateTasks[[#This Row],[_Task]])&amp;"")</f>
        <v/>
      </c>
      <c r="J47" s="24" t="str">
        <f aca="false">IF(LateTasks[[#This Row],[_Task]]="","",INDEX(tsk_Critical,LateTasks[[#This Row],[_Task]])&amp;"")</f>
        <v/>
      </c>
    </row>
    <row r="48" customFormat="false" ht="15" hidden="false" customHeight="false" outlineLevel="0" collapsed="false">
      <c r="B48" s="32" t="str">
        <f aca="false">IFERROR(MATCH(LARGE(tsk_LateKey,ROW()-ROW(LateTasks[[#Headers],[_Task]])),tsk_LateKey,0),"")</f>
        <v/>
      </c>
      <c r="C48" s="24" t="str">
        <f aca="false">IF(LateTasks[[#This Row],[_Task]]="","",INDEX(tsk_WBS,LateTasks[[#This Row],[_Task]])&amp;"")</f>
        <v/>
      </c>
      <c r="D48" s="24" t="str">
        <f aca="false">IF(LateTasks[[#This Row],[_Task]]="","",INDEX(tsk_Name,LateTasks[[#This Row],[_Task]])&amp;"")</f>
        <v/>
      </c>
      <c r="E48" s="24" t="str">
        <f aca="false">IF(LateTasks[[#This Row],[_Task]]="","",INDEX(tsk_ResourceNames,LateTasks[[#This Row],[_Task]])&amp;"")</f>
        <v/>
      </c>
      <c r="F48" s="61" t="str">
        <f aca="false">IF(LateTasks[[#This Row],[_Task]]="","",IF(N(INDEX(tsk_PlanFinish,LateTasks[[#This Row],[_Task]]))=0,"",INDEX(tsk_PlanFinish,LateTasks[[#This Row],[_Task]])))</f>
        <v/>
      </c>
      <c r="G48" s="61" t="str">
        <f aca="false">IF(LateTasks[[#This Row],[_Task]]="","",IF(N(INDEX(tsk_FcFinish,LateTasks[[#This Row],[_Task]]))=0,"",INDEX(tsk_FcFinish,LateTasks[[#This Row],[_Task]])))</f>
        <v/>
      </c>
      <c r="H48" s="35" t="str">
        <f aca="false">IF(LateTasks[[#This Row],[_Task]]="","",INDEX(tsk_Variance,LateTasks[[#This Row],[_Task]]))</f>
        <v/>
      </c>
      <c r="I48" s="24" t="str">
        <f aca="false">IF(LateTasks[[#This Row],[_Task]]="","",INDEX(tsk_Status,LateTasks[[#This Row],[_Task]])&amp;"")</f>
        <v/>
      </c>
      <c r="J48" s="24" t="str">
        <f aca="false">IF(LateTasks[[#This Row],[_Task]]="","",INDEX(tsk_Critical,LateTasks[[#This Row],[_Task]])&amp;"")</f>
        <v/>
      </c>
    </row>
    <row r="49" customFormat="false" ht="15" hidden="false" customHeight="false" outlineLevel="0" collapsed="false">
      <c r="B49" s="32" t="str">
        <f aca="false">IFERROR(MATCH(LARGE(tsk_LateKey,ROW()-ROW(LateTasks[[#Headers],[_Task]])),tsk_LateKey,0),"")</f>
        <v/>
      </c>
      <c r="C49" s="24" t="str">
        <f aca="false">IF(LateTasks[[#This Row],[_Task]]="","",INDEX(tsk_WBS,LateTasks[[#This Row],[_Task]])&amp;"")</f>
        <v/>
      </c>
      <c r="D49" s="24" t="str">
        <f aca="false">IF(LateTasks[[#This Row],[_Task]]="","",INDEX(tsk_Name,LateTasks[[#This Row],[_Task]])&amp;"")</f>
        <v/>
      </c>
      <c r="E49" s="24" t="str">
        <f aca="false">IF(LateTasks[[#This Row],[_Task]]="","",INDEX(tsk_ResourceNames,LateTasks[[#This Row],[_Task]])&amp;"")</f>
        <v/>
      </c>
      <c r="F49" s="61" t="str">
        <f aca="false">IF(LateTasks[[#This Row],[_Task]]="","",IF(N(INDEX(tsk_PlanFinish,LateTasks[[#This Row],[_Task]]))=0,"",INDEX(tsk_PlanFinish,LateTasks[[#This Row],[_Task]])))</f>
        <v/>
      </c>
      <c r="G49" s="61" t="str">
        <f aca="false">IF(LateTasks[[#This Row],[_Task]]="","",IF(N(INDEX(tsk_FcFinish,LateTasks[[#This Row],[_Task]]))=0,"",INDEX(tsk_FcFinish,LateTasks[[#This Row],[_Task]])))</f>
        <v/>
      </c>
      <c r="H49" s="35" t="str">
        <f aca="false">IF(LateTasks[[#This Row],[_Task]]="","",INDEX(tsk_Variance,LateTasks[[#This Row],[_Task]]))</f>
        <v/>
      </c>
      <c r="I49" s="24" t="str">
        <f aca="false">IF(LateTasks[[#This Row],[_Task]]="","",INDEX(tsk_Status,LateTasks[[#This Row],[_Task]])&amp;"")</f>
        <v/>
      </c>
      <c r="J49" s="24" t="str">
        <f aca="false">IF(LateTasks[[#This Row],[_Task]]="","",INDEX(tsk_Critical,LateTasks[[#This Row],[_Task]])&amp;"")</f>
        <v/>
      </c>
    </row>
    <row r="50" customFormat="false" ht="15" hidden="false" customHeight="false" outlineLevel="0" collapsed="false">
      <c r="B50" s="32" t="str">
        <f aca="false">IFERROR(MATCH(LARGE(tsk_LateKey,ROW()-ROW(LateTasks[[#Headers],[_Task]])),tsk_LateKey,0),"")</f>
        <v/>
      </c>
      <c r="C50" s="24" t="str">
        <f aca="false">IF(LateTasks[[#This Row],[_Task]]="","",INDEX(tsk_WBS,LateTasks[[#This Row],[_Task]])&amp;"")</f>
        <v/>
      </c>
      <c r="D50" s="24" t="str">
        <f aca="false">IF(LateTasks[[#This Row],[_Task]]="","",INDEX(tsk_Name,LateTasks[[#This Row],[_Task]])&amp;"")</f>
        <v/>
      </c>
      <c r="E50" s="24" t="str">
        <f aca="false">IF(LateTasks[[#This Row],[_Task]]="","",INDEX(tsk_ResourceNames,LateTasks[[#This Row],[_Task]])&amp;"")</f>
        <v/>
      </c>
      <c r="F50" s="61" t="str">
        <f aca="false">IF(LateTasks[[#This Row],[_Task]]="","",IF(N(INDEX(tsk_PlanFinish,LateTasks[[#This Row],[_Task]]))=0,"",INDEX(tsk_PlanFinish,LateTasks[[#This Row],[_Task]])))</f>
        <v/>
      </c>
      <c r="G50" s="61" t="str">
        <f aca="false">IF(LateTasks[[#This Row],[_Task]]="","",IF(N(INDEX(tsk_FcFinish,LateTasks[[#This Row],[_Task]]))=0,"",INDEX(tsk_FcFinish,LateTasks[[#This Row],[_Task]])))</f>
        <v/>
      </c>
      <c r="H50" s="35" t="str">
        <f aca="false">IF(LateTasks[[#This Row],[_Task]]="","",INDEX(tsk_Variance,LateTasks[[#This Row],[_Task]]))</f>
        <v/>
      </c>
      <c r="I50" s="24" t="str">
        <f aca="false">IF(LateTasks[[#This Row],[_Task]]="","",INDEX(tsk_Status,LateTasks[[#This Row],[_Task]])&amp;"")</f>
        <v/>
      </c>
      <c r="J50" s="24" t="str">
        <f aca="false">IF(LateTasks[[#This Row],[_Task]]="","",INDEX(tsk_Critical,LateTasks[[#This Row],[_Task]])&amp;"")</f>
        <v/>
      </c>
    </row>
    <row r="51" customFormat="false" ht="15" hidden="false" customHeight="false" outlineLevel="0" collapsed="false">
      <c r="B51" s="32" t="str">
        <f aca="false">IFERROR(MATCH(LARGE(tsk_LateKey,ROW()-ROW(LateTasks[[#Headers],[_Task]])),tsk_LateKey,0),"")</f>
        <v/>
      </c>
      <c r="C51" s="24" t="str">
        <f aca="false">IF(LateTasks[[#This Row],[_Task]]="","",INDEX(tsk_WBS,LateTasks[[#This Row],[_Task]])&amp;"")</f>
        <v/>
      </c>
      <c r="D51" s="24" t="str">
        <f aca="false">IF(LateTasks[[#This Row],[_Task]]="","",INDEX(tsk_Name,LateTasks[[#This Row],[_Task]])&amp;"")</f>
        <v/>
      </c>
      <c r="E51" s="24" t="str">
        <f aca="false">IF(LateTasks[[#This Row],[_Task]]="","",INDEX(tsk_ResourceNames,LateTasks[[#This Row],[_Task]])&amp;"")</f>
        <v/>
      </c>
      <c r="F51" s="61" t="str">
        <f aca="false">IF(LateTasks[[#This Row],[_Task]]="","",IF(N(INDEX(tsk_PlanFinish,LateTasks[[#This Row],[_Task]]))=0,"",INDEX(tsk_PlanFinish,LateTasks[[#This Row],[_Task]])))</f>
        <v/>
      </c>
      <c r="G51" s="61" t="str">
        <f aca="false">IF(LateTasks[[#This Row],[_Task]]="","",IF(N(INDEX(tsk_FcFinish,LateTasks[[#This Row],[_Task]]))=0,"",INDEX(tsk_FcFinish,LateTasks[[#This Row],[_Task]])))</f>
        <v/>
      </c>
      <c r="H51" s="35" t="str">
        <f aca="false">IF(LateTasks[[#This Row],[_Task]]="","",INDEX(tsk_Variance,LateTasks[[#This Row],[_Task]]))</f>
        <v/>
      </c>
      <c r="I51" s="24" t="str">
        <f aca="false">IF(LateTasks[[#This Row],[_Task]]="","",INDEX(tsk_Status,LateTasks[[#This Row],[_Task]])&amp;"")</f>
        <v/>
      </c>
      <c r="J51" s="24" t="str">
        <f aca="false">IF(LateTasks[[#This Row],[_Task]]="","",INDEX(tsk_Critical,LateTasks[[#This Row],[_Task]])&amp;"")</f>
        <v/>
      </c>
    </row>
    <row r="53" customFormat="false" ht="15" hidden="false" customHeight="false" outlineLevel="0" collapsed="false">
      <c r="C53" s="30" t="str">
        <f aca="false">"Starting by "&amp;TEXT(LookaheadEnd,"ddd dd-mmm")&amp;" (look-ahead "&amp;LookaheadDays&amp;" working days)"&amp;": "&amp;COUNT(tsk_StartSoonKey)&amp;IF(COUNT(tsk_StartSoonKey)&gt;ROWS(StartingSoon[_Task])," (showing the first "&amp;ROWS(StartingSoon[_Task])&amp;")","")</f>
        <v>Starting by Fri 06-Nov (look-ahead 10 working days): 2</v>
      </c>
    </row>
    <row r="54" customFormat="false" ht="23.85" hidden="false" customHeight="false" outlineLevel="0" collapsed="false">
      <c r="B54" s="31" t="s">
        <v>131</v>
      </c>
      <c r="C54" s="9" t="s">
        <v>132</v>
      </c>
      <c r="D54" s="9" t="s">
        <v>208</v>
      </c>
      <c r="E54" s="9" t="s">
        <v>236</v>
      </c>
      <c r="F54" s="9" t="s">
        <v>238</v>
      </c>
      <c r="G54" s="9" t="s">
        <v>228</v>
      </c>
      <c r="H54" s="9" t="s">
        <v>239</v>
      </c>
      <c r="I54" s="9" t="s">
        <v>57</v>
      </c>
      <c r="J54" s="9" t="s">
        <v>237</v>
      </c>
    </row>
    <row r="55" customFormat="false" ht="15" hidden="false" customHeight="false" outlineLevel="0" collapsed="false">
      <c r="B55" s="32" t="n">
        <f aca="false">IFERROR(MATCH(SMALL(tsk_StartSoonKey,ROW()-ROW(StartingSoon[[#Headers],[_Task]])),tsk_StartSoonKey,0),"")</f>
        <v>14</v>
      </c>
      <c r="C55" s="24" t="str">
        <f aca="false">IF(StartingSoon[[#This Row],[_Task]]="","",INDEX(tsk_WBS,StartingSoon[[#This Row],[_Task]])&amp;"")</f>
        <v>3.1.3</v>
      </c>
      <c r="D55" s="24" t="str">
        <f aca="false">IF(StartingSoon[[#This Row],[_Task]]="","",INDEX(tsk_Name,StartingSoon[[#This Row],[_Task]])&amp;"")</f>
        <v>Payment gateway integration</v>
      </c>
      <c r="E55" s="24" t="str">
        <f aca="false">IF(StartingSoon[[#This Row],[_Task]]="","",INDEX(tsk_ResourceNames,StartingSoon[[#This Row],[_Task]])&amp;"")</f>
        <v>Jordan Lee</v>
      </c>
      <c r="F55" s="61" t="n">
        <f aca="false">IF(StartingSoon[[#This Row],[_Task]]="","",IF(N(INDEX(tsk_FcStart,StartingSoon[[#This Row],[_Task]]))=0,"",INDEX(tsk_FcStart,StartingSoon[[#This Row],[_Task]])))</f>
        <v>46328</v>
      </c>
      <c r="G55" s="61" t="n">
        <f aca="false">IF(StartingSoon[[#This Row],[_Task]]="","",IF(N(INDEX(tsk_FcFinish,StartingSoon[[#This Row],[_Task]]))=0,"",INDEX(tsk_FcFinish,StartingSoon[[#This Row],[_Task]])))</f>
        <v>46335</v>
      </c>
      <c r="H55" s="56" t="n">
        <f aca="false">IF(StartingSoon[[#This Row],[_Task]]="","",INDEX(tsk_Duration,StartingSoon[[#This Row],[_Task]]))</f>
        <v>6</v>
      </c>
      <c r="I55" s="24" t="str">
        <f aca="false">IF(StartingSoon[[#This Row],[_Task]]="","",INDEX(tsk_Predecessors,StartingSoon[[#This Row],[_Task]])&amp;"")</f>
        <v>13</v>
      </c>
      <c r="J55" s="24" t="str">
        <f aca="false">IF(StartingSoon[[#This Row],[_Task]]="","",INDEX(tsk_Critical,StartingSoon[[#This Row],[_Task]])&amp;"")</f>
        <v>Yes</v>
      </c>
    </row>
    <row r="56" customFormat="false" ht="15" hidden="false" customHeight="false" outlineLevel="0" collapsed="false">
      <c r="B56" s="32" t="n">
        <f aca="false">IFERROR(MATCH(SMALL(tsk_StartSoonKey,ROW()-ROW(StartingSoon[[#Headers],[_Task]])),tsk_StartSoonKey,0),"")</f>
        <v>18</v>
      </c>
      <c r="C56" s="24" t="str">
        <f aca="false">IF(StartingSoon[[#This Row],[_Task]]="","",INDEX(tsk_WBS,StartingSoon[[#This Row],[_Task]])&amp;"")</f>
        <v>3.2.3</v>
      </c>
      <c r="D56" s="24" t="str">
        <f aca="false">IF(StartingSoon[[#This Row],[_Task]]="","",INDEX(tsk_Name,StartingSoon[[#This Row],[_Task]])&amp;"")</f>
        <v>Accessibility review</v>
      </c>
      <c r="E56" s="24" t="str">
        <f aca="false">IF(StartingSoon[[#This Row],[_Task]]="","",INDEX(tsk_ResourceNames,StartingSoon[[#This Row],[_Task]])&amp;"")</f>
        <v>Casey Kim[50%]</v>
      </c>
      <c r="F56" s="61" t="n">
        <f aca="false">IF(StartingSoon[[#This Row],[_Task]]="","",IF(N(INDEX(tsk_FcStart,StartingSoon[[#This Row],[_Task]]))=0,"",INDEX(tsk_FcStart,StartingSoon[[#This Row],[_Task]])))</f>
        <v>46330</v>
      </c>
      <c r="G56" s="61" t="n">
        <f aca="false">IF(StartingSoon[[#This Row],[_Task]]="","",IF(N(INDEX(tsk_FcFinish,StartingSoon[[#This Row],[_Task]]))=0,"",INDEX(tsk_FcFinish,StartingSoon[[#This Row],[_Task]])))</f>
        <v>46332</v>
      </c>
      <c r="H56" s="56" t="n">
        <f aca="false">IF(StartingSoon[[#This Row],[_Task]]="","",INDEX(tsk_Duration,StartingSoon[[#This Row],[_Task]]))</f>
        <v>3</v>
      </c>
      <c r="I56" s="24" t="str">
        <f aca="false">IF(StartingSoon[[#This Row],[_Task]]="","",INDEX(tsk_Predecessors,StartingSoon[[#This Row],[_Task]])&amp;"")</f>
        <v>17FF+1d</v>
      </c>
      <c r="J56" s="24" t="str">
        <f aca="false">IF(StartingSoon[[#This Row],[_Task]]="","",INDEX(tsk_Critical,StartingSoon[[#This Row],[_Task]])&amp;"")</f>
        <v>Yes</v>
      </c>
    </row>
    <row r="57" customFormat="false" ht="15" hidden="false" customHeight="false" outlineLevel="0" collapsed="false">
      <c r="B57" s="32" t="str">
        <f aca="false">IFERROR(MATCH(SMALL(tsk_StartSoonKey,ROW()-ROW(StartingSoon[[#Headers],[_Task]])),tsk_StartSoonKey,0),"")</f>
        <v/>
      </c>
      <c r="C57" s="24" t="str">
        <f aca="false">IF(StartingSoon[[#This Row],[_Task]]="","",INDEX(tsk_WBS,StartingSoon[[#This Row],[_Task]])&amp;"")</f>
        <v/>
      </c>
      <c r="D57" s="24" t="str">
        <f aca="false">IF(StartingSoon[[#This Row],[_Task]]="","",INDEX(tsk_Name,StartingSoon[[#This Row],[_Task]])&amp;"")</f>
        <v/>
      </c>
      <c r="E57" s="24" t="str">
        <f aca="false">IF(StartingSoon[[#This Row],[_Task]]="","",INDEX(tsk_ResourceNames,StartingSoon[[#This Row],[_Task]])&amp;"")</f>
        <v/>
      </c>
      <c r="F57" s="61" t="str">
        <f aca="false">IF(StartingSoon[[#This Row],[_Task]]="","",IF(N(INDEX(tsk_FcStart,StartingSoon[[#This Row],[_Task]]))=0,"",INDEX(tsk_FcStart,StartingSoon[[#This Row],[_Task]])))</f>
        <v/>
      </c>
      <c r="G57" s="61" t="str">
        <f aca="false">IF(StartingSoon[[#This Row],[_Task]]="","",IF(N(INDEX(tsk_FcFinish,StartingSoon[[#This Row],[_Task]]))=0,"",INDEX(tsk_FcFinish,StartingSoon[[#This Row],[_Task]])))</f>
        <v/>
      </c>
      <c r="H57" s="56" t="str">
        <f aca="false">IF(StartingSoon[[#This Row],[_Task]]="","",INDEX(tsk_Duration,StartingSoon[[#This Row],[_Task]]))</f>
        <v/>
      </c>
      <c r="I57" s="24" t="str">
        <f aca="false">IF(StartingSoon[[#This Row],[_Task]]="","",INDEX(tsk_Predecessors,StartingSoon[[#This Row],[_Task]])&amp;"")</f>
        <v/>
      </c>
      <c r="J57" s="24" t="str">
        <f aca="false">IF(StartingSoon[[#This Row],[_Task]]="","",INDEX(tsk_Critical,StartingSoon[[#This Row],[_Task]])&amp;"")</f>
        <v/>
      </c>
    </row>
    <row r="58" customFormat="false" ht="15" hidden="false" customHeight="false" outlineLevel="0" collapsed="false">
      <c r="B58" s="32" t="str">
        <f aca="false">IFERROR(MATCH(SMALL(tsk_StartSoonKey,ROW()-ROW(StartingSoon[[#Headers],[_Task]])),tsk_StartSoonKey,0),"")</f>
        <v/>
      </c>
      <c r="C58" s="24" t="str">
        <f aca="false">IF(StartingSoon[[#This Row],[_Task]]="","",INDEX(tsk_WBS,StartingSoon[[#This Row],[_Task]])&amp;"")</f>
        <v/>
      </c>
      <c r="D58" s="24" t="str">
        <f aca="false">IF(StartingSoon[[#This Row],[_Task]]="","",INDEX(tsk_Name,StartingSoon[[#This Row],[_Task]])&amp;"")</f>
        <v/>
      </c>
      <c r="E58" s="24" t="str">
        <f aca="false">IF(StartingSoon[[#This Row],[_Task]]="","",INDEX(tsk_ResourceNames,StartingSoon[[#This Row],[_Task]])&amp;"")</f>
        <v/>
      </c>
      <c r="F58" s="61" t="str">
        <f aca="false">IF(StartingSoon[[#This Row],[_Task]]="","",IF(N(INDEX(tsk_FcStart,StartingSoon[[#This Row],[_Task]]))=0,"",INDEX(tsk_FcStart,StartingSoon[[#This Row],[_Task]])))</f>
        <v/>
      </c>
      <c r="G58" s="61" t="str">
        <f aca="false">IF(StartingSoon[[#This Row],[_Task]]="","",IF(N(INDEX(tsk_FcFinish,StartingSoon[[#This Row],[_Task]]))=0,"",INDEX(tsk_FcFinish,StartingSoon[[#This Row],[_Task]])))</f>
        <v/>
      </c>
      <c r="H58" s="56" t="str">
        <f aca="false">IF(StartingSoon[[#This Row],[_Task]]="","",INDEX(tsk_Duration,StartingSoon[[#This Row],[_Task]]))</f>
        <v/>
      </c>
      <c r="I58" s="24" t="str">
        <f aca="false">IF(StartingSoon[[#This Row],[_Task]]="","",INDEX(tsk_Predecessors,StartingSoon[[#This Row],[_Task]])&amp;"")</f>
        <v/>
      </c>
      <c r="J58" s="24" t="str">
        <f aca="false">IF(StartingSoon[[#This Row],[_Task]]="","",INDEX(tsk_Critical,StartingSoon[[#This Row],[_Task]])&amp;"")</f>
        <v/>
      </c>
    </row>
    <row r="59" customFormat="false" ht="15" hidden="false" customHeight="false" outlineLevel="0" collapsed="false">
      <c r="B59" s="32" t="str">
        <f aca="false">IFERROR(MATCH(SMALL(tsk_StartSoonKey,ROW()-ROW(StartingSoon[[#Headers],[_Task]])),tsk_StartSoonKey,0),"")</f>
        <v/>
      </c>
      <c r="C59" s="24" t="str">
        <f aca="false">IF(StartingSoon[[#This Row],[_Task]]="","",INDEX(tsk_WBS,StartingSoon[[#This Row],[_Task]])&amp;"")</f>
        <v/>
      </c>
      <c r="D59" s="24" t="str">
        <f aca="false">IF(StartingSoon[[#This Row],[_Task]]="","",INDEX(tsk_Name,StartingSoon[[#This Row],[_Task]])&amp;"")</f>
        <v/>
      </c>
      <c r="E59" s="24" t="str">
        <f aca="false">IF(StartingSoon[[#This Row],[_Task]]="","",INDEX(tsk_ResourceNames,StartingSoon[[#This Row],[_Task]])&amp;"")</f>
        <v/>
      </c>
      <c r="F59" s="61" t="str">
        <f aca="false">IF(StartingSoon[[#This Row],[_Task]]="","",IF(N(INDEX(tsk_FcStart,StartingSoon[[#This Row],[_Task]]))=0,"",INDEX(tsk_FcStart,StartingSoon[[#This Row],[_Task]])))</f>
        <v/>
      </c>
      <c r="G59" s="61" t="str">
        <f aca="false">IF(StartingSoon[[#This Row],[_Task]]="","",IF(N(INDEX(tsk_FcFinish,StartingSoon[[#This Row],[_Task]]))=0,"",INDEX(tsk_FcFinish,StartingSoon[[#This Row],[_Task]])))</f>
        <v/>
      </c>
      <c r="H59" s="56" t="str">
        <f aca="false">IF(StartingSoon[[#This Row],[_Task]]="","",INDEX(tsk_Duration,StartingSoon[[#This Row],[_Task]]))</f>
        <v/>
      </c>
      <c r="I59" s="24" t="str">
        <f aca="false">IF(StartingSoon[[#This Row],[_Task]]="","",INDEX(tsk_Predecessors,StartingSoon[[#This Row],[_Task]])&amp;"")</f>
        <v/>
      </c>
      <c r="J59" s="24" t="str">
        <f aca="false">IF(StartingSoon[[#This Row],[_Task]]="","",INDEX(tsk_Critical,StartingSoon[[#This Row],[_Task]])&amp;"")</f>
        <v/>
      </c>
    </row>
    <row r="60" customFormat="false" ht="15" hidden="false" customHeight="false" outlineLevel="0" collapsed="false">
      <c r="B60" s="32" t="str">
        <f aca="false">IFERROR(MATCH(SMALL(tsk_StartSoonKey,ROW()-ROW(StartingSoon[[#Headers],[_Task]])),tsk_StartSoonKey,0),"")</f>
        <v/>
      </c>
      <c r="C60" s="24" t="str">
        <f aca="false">IF(StartingSoon[[#This Row],[_Task]]="","",INDEX(tsk_WBS,StartingSoon[[#This Row],[_Task]])&amp;"")</f>
        <v/>
      </c>
      <c r="D60" s="24" t="str">
        <f aca="false">IF(StartingSoon[[#This Row],[_Task]]="","",INDEX(tsk_Name,StartingSoon[[#This Row],[_Task]])&amp;"")</f>
        <v/>
      </c>
      <c r="E60" s="24" t="str">
        <f aca="false">IF(StartingSoon[[#This Row],[_Task]]="","",INDEX(tsk_ResourceNames,StartingSoon[[#This Row],[_Task]])&amp;"")</f>
        <v/>
      </c>
      <c r="F60" s="61" t="str">
        <f aca="false">IF(StartingSoon[[#This Row],[_Task]]="","",IF(N(INDEX(tsk_FcStart,StartingSoon[[#This Row],[_Task]]))=0,"",INDEX(tsk_FcStart,StartingSoon[[#This Row],[_Task]])))</f>
        <v/>
      </c>
      <c r="G60" s="61" t="str">
        <f aca="false">IF(StartingSoon[[#This Row],[_Task]]="","",IF(N(INDEX(tsk_FcFinish,StartingSoon[[#This Row],[_Task]]))=0,"",INDEX(tsk_FcFinish,StartingSoon[[#This Row],[_Task]])))</f>
        <v/>
      </c>
      <c r="H60" s="56" t="str">
        <f aca="false">IF(StartingSoon[[#This Row],[_Task]]="","",INDEX(tsk_Duration,StartingSoon[[#This Row],[_Task]]))</f>
        <v/>
      </c>
      <c r="I60" s="24" t="str">
        <f aca="false">IF(StartingSoon[[#This Row],[_Task]]="","",INDEX(tsk_Predecessors,StartingSoon[[#This Row],[_Task]])&amp;"")</f>
        <v/>
      </c>
      <c r="J60" s="24" t="str">
        <f aca="false">IF(StartingSoon[[#This Row],[_Task]]="","",INDEX(tsk_Critical,StartingSoon[[#This Row],[_Task]])&amp;"")</f>
        <v/>
      </c>
    </row>
    <row r="61" customFormat="false" ht="15" hidden="false" customHeight="false" outlineLevel="0" collapsed="false">
      <c r="B61" s="32" t="str">
        <f aca="false">IFERROR(MATCH(SMALL(tsk_StartSoonKey,ROW()-ROW(StartingSoon[[#Headers],[_Task]])),tsk_StartSoonKey,0),"")</f>
        <v/>
      </c>
      <c r="C61" s="24" t="str">
        <f aca="false">IF(StartingSoon[[#This Row],[_Task]]="","",INDEX(tsk_WBS,StartingSoon[[#This Row],[_Task]])&amp;"")</f>
        <v/>
      </c>
      <c r="D61" s="24" t="str">
        <f aca="false">IF(StartingSoon[[#This Row],[_Task]]="","",INDEX(tsk_Name,StartingSoon[[#This Row],[_Task]])&amp;"")</f>
        <v/>
      </c>
      <c r="E61" s="24" t="str">
        <f aca="false">IF(StartingSoon[[#This Row],[_Task]]="","",INDEX(tsk_ResourceNames,StartingSoon[[#This Row],[_Task]])&amp;"")</f>
        <v/>
      </c>
      <c r="F61" s="61" t="str">
        <f aca="false">IF(StartingSoon[[#This Row],[_Task]]="","",IF(N(INDEX(tsk_FcStart,StartingSoon[[#This Row],[_Task]]))=0,"",INDEX(tsk_FcStart,StartingSoon[[#This Row],[_Task]])))</f>
        <v/>
      </c>
      <c r="G61" s="61" t="str">
        <f aca="false">IF(StartingSoon[[#This Row],[_Task]]="","",IF(N(INDEX(tsk_FcFinish,StartingSoon[[#This Row],[_Task]]))=0,"",INDEX(tsk_FcFinish,StartingSoon[[#This Row],[_Task]])))</f>
        <v/>
      </c>
      <c r="H61" s="56" t="str">
        <f aca="false">IF(StartingSoon[[#This Row],[_Task]]="","",INDEX(tsk_Duration,StartingSoon[[#This Row],[_Task]]))</f>
        <v/>
      </c>
      <c r="I61" s="24" t="str">
        <f aca="false">IF(StartingSoon[[#This Row],[_Task]]="","",INDEX(tsk_Predecessors,StartingSoon[[#This Row],[_Task]])&amp;"")</f>
        <v/>
      </c>
      <c r="J61" s="24" t="str">
        <f aca="false">IF(StartingSoon[[#This Row],[_Task]]="","",INDEX(tsk_Critical,StartingSoon[[#This Row],[_Task]])&amp;"")</f>
        <v/>
      </c>
    </row>
    <row r="62" customFormat="false" ht="15" hidden="false" customHeight="false" outlineLevel="0" collapsed="false">
      <c r="B62" s="32" t="str">
        <f aca="false">IFERROR(MATCH(SMALL(tsk_StartSoonKey,ROW()-ROW(StartingSoon[[#Headers],[_Task]])),tsk_StartSoonKey,0),"")</f>
        <v/>
      </c>
      <c r="C62" s="24" t="str">
        <f aca="false">IF(StartingSoon[[#This Row],[_Task]]="","",INDEX(tsk_WBS,StartingSoon[[#This Row],[_Task]])&amp;"")</f>
        <v/>
      </c>
      <c r="D62" s="24" t="str">
        <f aca="false">IF(StartingSoon[[#This Row],[_Task]]="","",INDEX(tsk_Name,StartingSoon[[#This Row],[_Task]])&amp;"")</f>
        <v/>
      </c>
      <c r="E62" s="24" t="str">
        <f aca="false">IF(StartingSoon[[#This Row],[_Task]]="","",INDEX(tsk_ResourceNames,StartingSoon[[#This Row],[_Task]])&amp;"")</f>
        <v/>
      </c>
      <c r="F62" s="61" t="str">
        <f aca="false">IF(StartingSoon[[#This Row],[_Task]]="","",IF(N(INDEX(tsk_FcStart,StartingSoon[[#This Row],[_Task]]))=0,"",INDEX(tsk_FcStart,StartingSoon[[#This Row],[_Task]])))</f>
        <v/>
      </c>
      <c r="G62" s="61" t="str">
        <f aca="false">IF(StartingSoon[[#This Row],[_Task]]="","",IF(N(INDEX(tsk_FcFinish,StartingSoon[[#This Row],[_Task]]))=0,"",INDEX(tsk_FcFinish,StartingSoon[[#This Row],[_Task]])))</f>
        <v/>
      </c>
      <c r="H62" s="56" t="str">
        <f aca="false">IF(StartingSoon[[#This Row],[_Task]]="","",INDEX(tsk_Duration,StartingSoon[[#This Row],[_Task]]))</f>
        <v/>
      </c>
      <c r="I62" s="24" t="str">
        <f aca="false">IF(StartingSoon[[#This Row],[_Task]]="","",INDEX(tsk_Predecessors,StartingSoon[[#This Row],[_Task]])&amp;"")</f>
        <v/>
      </c>
      <c r="J62" s="24" t="str">
        <f aca="false">IF(StartingSoon[[#This Row],[_Task]]="","",INDEX(tsk_Critical,StartingSoon[[#This Row],[_Task]])&amp;"")</f>
        <v/>
      </c>
    </row>
    <row r="63" customFormat="false" ht="15" hidden="false" customHeight="false" outlineLevel="0" collapsed="false">
      <c r="B63" s="32" t="str">
        <f aca="false">IFERROR(MATCH(SMALL(tsk_StartSoonKey,ROW()-ROW(StartingSoon[[#Headers],[_Task]])),tsk_StartSoonKey,0),"")</f>
        <v/>
      </c>
      <c r="C63" s="24" t="str">
        <f aca="false">IF(StartingSoon[[#This Row],[_Task]]="","",INDEX(tsk_WBS,StartingSoon[[#This Row],[_Task]])&amp;"")</f>
        <v/>
      </c>
      <c r="D63" s="24" t="str">
        <f aca="false">IF(StartingSoon[[#This Row],[_Task]]="","",INDEX(tsk_Name,StartingSoon[[#This Row],[_Task]])&amp;"")</f>
        <v/>
      </c>
      <c r="E63" s="24" t="str">
        <f aca="false">IF(StartingSoon[[#This Row],[_Task]]="","",INDEX(tsk_ResourceNames,StartingSoon[[#This Row],[_Task]])&amp;"")</f>
        <v/>
      </c>
      <c r="F63" s="61" t="str">
        <f aca="false">IF(StartingSoon[[#This Row],[_Task]]="","",IF(N(INDEX(tsk_FcStart,StartingSoon[[#This Row],[_Task]]))=0,"",INDEX(tsk_FcStart,StartingSoon[[#This Row],[_Task]])))</f>
        <v/>
      </c>
      <c r="G63" s="61" t="str">
        <f aca="false">IF(StartingSoon[[#This Row],[_Task]]="","",IF(N(INDEX(tsk_FcFinish,StartingSoon[[#This Row],[_Task]]))=0,"",INDEX(tsk_FcFinish,StartingSoon[[#This Row],[_Task]])))</f>
        <v/>
      </c>
      <c r="H63" s="56" t="str">
        <f aca="false">IF(StartingSoon[[#This Row],[_Task]]="","",INDEX(tsk_Duration,StartingSoon[[#This Row],[_Task]]))</f>
        <v/>
      </c>
      <c r="I63" s="24" t="str">
        <f aca="false">IF(StartingSoon[[#This Row],[_Task]]="","",INDEX(tsk_Predecessors,StartingSoon[[#This Row],[_Task]])&amp;"")</f>
        <v/>
      </c>
      <c r="J63" s="24" t="str">
        <f aca="false">IF(StartingSoon[[#This Row],[_Task]]="","",INDEX(tsk_Critical,StartingSoon[[#This Row],[_Task]])&amp;"")</f>
        <v/>
      </c>
    </row>
    <row r="64" customFormat="false" ht="15" hidden="false" customHeight="false" outlineLevel="0" collapsed="false">
      <c r="B64" s="32" t="str">
        <f aca="false">IFERROR(MATCH(SMALL(tsk_StartSoonKey,ROW()-ROW(StartingSoon[[#Headers],[_Task]])),tsk_StartSoonKey,0),"")</f>
        <v/>
      </c>
      <c r="C64" s="24" t="str">
        <f aca="false">IF(StartingSoon[[#This Row],[_Task]]="","",INDEX(tsk_WBS,StartingSoon[[#This Row],[_Task]])&amp;"")</f>
        <v/>
      </c>
      <c r="D64" s="24" t="str">
        <f aca="false">IF(StartingSoon[[#This Row],[_Task]]="","",INDEX(tsk_Name,StartingSoon[[#This Row],[_Task]])&amp;"")</f>
        <v/>
      </c>
      <c r="E64" s="24" t="str">
        <f aca="false">IF(StartingSoon[[#This Row],[_Task]]="","",INDEX(tsk_ResourceNames,StartingSoon[[#This Row],[_Task]])&amp;"")</f>
        <v/>
      </c>
      <c r="F64" s="61" t="str">
        <f aca="false">IF(StartingSoon[[#This Row],[_Task]]="","",IF(N(INDEX(tsk_FcStart,StartingSoon[[#This Row],[_Task]]))=0,"",INDEX(tsk_FcStart,StartingSoon[[#This Row],[_Task]])))</f>
        <v/>
      </c>
      <c r="G64" s="61" t="str">
        <f aca="false">IF(StartingSoon[[#This Row],[_Task]]="","",IF(N(INDEX(tsk_FcFinish,StartingSoon[[#This Row],[_Task]]))=0,"",INDEX(tsk_FcFinish,StartingSoon[[#This Row],[_Task]])))</f>
        <v/>
      </c>
      <c r="H64" s="56" t="str">
        <f aca="false">IF(StartingSoon[[#This Row],[_Task]]="","",INDEX(tsk_Duration,StartingSoon[[#This Row],[_Task]]))</f>
        <v/>
      </c>
      <c r="I64" s="24" t="str">
        <f aca="false">IF(StartingSoon[[#This Row],[_Task]]="","",INDEX(tsk_Predecessors,StartingSoon[[#This Row],[_Task]])&amp;"")</f>
        <v/>
      </c>
      <c r="J64" s="24" t="str">
        <f aca="false">IF(StartingSoon[[#This Row],[_Task]]="","",INDEX(tsk_Critical,StartingSoon[[#This Row],[_Task]])&amp;"")</f>
        <v/>
      </c>
    </row>
    <row r="65" customFormat="false" ht="15" hidden="false" customHeight="false" outlineLevel="0" collapsed="false">
      <c r="B65" s="32" t="str">
        <f aca="false">IFERROR(MATCH(SMALL(tsk_StartSoonKey,ROW()-ROW(StartingSoon[[#Headers],[_Task]])),tsk_StartSoonKey,0),"")</f>
        <v/>
      </c>
      <c r="C65" s="24" t="str">
        <f aca="false">IF(StartingSoon[[#This Row],[_Task]]="","",INDEX(tsk_WBS,StartingSoon[[#This Row],[_Task]])&amp;"")</f>
        <v/>
      </c>
      <c r="D65" s="24" t="str">
        <f aca="false">IF(StartingSoon[[#This Row],[_Task]]="","",INDEX(tsk_Name,StartingSoon[[#This Row],[_Task]])&amp;"")</f>
        <v/>
      </c>
      <c r="E65" s="24" t="str">
        <f aca="false">IF(StartingSoon[[#This Row],[_Task]]="","",INDEX(tsk_ResourceNames,StartingSoon[[#This Row],[_Task]])&amp;"")</f>
        <v/>
      </c>
      <c r="F65" s="61" t="str">
        <f aca="false">IF(StartingSoon[[#This Row],[_Task]]="","",IF(N(INDEX(tsk_FcStart,StartingSoon[[#This Row],[_Task]]))=0,"",INDEX(tsk_FcStart,StartingSoon[[#This Row],[_Task]])))</f>
        <v/>
      </c>
      <c r="G65" s="61" t="str">
        <f aca="false">IF(StartingSoon[[#This Row],[_Task]]="","",IF(N(INDEX(tsk_FcFinish,StartingSoon[[#This Row],[_Task]]))=0,"",INDEX(tsk_FcFinish,StartingSoon[[#This Row],[_Task]])))</f>
        <v/>
      </c>
      <c r="H65" s="56" t="str">
        <f aca="false">IF(StartingSoon[[#This Row],[_Task]]="","",INDEX(tsk_Duration,StartingSoon[[#This Row],[_Task]]))</f>
        <v/>
      </c>
      <c r="I65" s="24" t="str">
        <f aca="false">IF(StartingSoon[[#This Row],[_Task]]="","",INDEX(tsk_Predecessors,StartingSoon[[#This Row],[_Task]])&amp;"")</f>
        <v/>
      </c>
      <c r="J65" s="24" t="str">
        <f aca="false">IF(StartingSoon[[#This Row],[_Task]]="","",INDEX(tsk_Critical,StartingSoon[[#This Row],[_Task]])&amp;"")</f>
        <v/>
      </c>
    </row>
    <row r="66" customFormat="false" ht="15" hidden="false" customHeight="false" outlineLevel="0" collapsed="false">
      <c r="B66" s="32" t="str">
        <f aca="false">IFERROR(MATCH(SMALL(tsk_StartSoonKey,ROW()-ROW(StartingSoon[[#Headers],[_Task]])),tsk_StartSoonKey,0),"")</f>
        <v/>
      </c>
      <c r="C66" s="24" t="str">
        <f aca="false">IF(StartingSoon[[#This Row],[_Task]]="","",INDEX(tsk_WBS,StartingSoon[[#This Row],[_Task]])&amp;"")</f>
        <v/>
      </c>
      <c r="D66" s="24" t="str">
        <f aca="false">IF(StartingSoon[[#This Row],[_Task]]="","",INDEX(tsk_Name,StartingSoon[[#This Row],[_Task]])&amp;"")</f>
        <v/>
      </c>
      <c r="E66" s="24" t="str">
        <f aca="false">IF(StartingSoon[[#This Row],[_Task]]="","",INDEX(tsk_ResourceNames,StartingSoon[[#This Row],[_Task]])&amp;"")</f>
        <v/>
      </c>
      <c r="F66" s="61" t="str">
        <f aca="false">IF(StartingSoon[[#This Row],[_Task]]="","",IF(N(INDEX(tsk_FcStart,StartingSoon[[#This Row],[_Task]]))=0,"",INDEX(tsk_FcStart,StartingSoon[[#This Row],[_Task]])))</f>
        <v/>
      </c>
      <c r="G66" s="61" t="str">
        <f aca="false">IF(StartingSoon[[#This Row],[_Task]]="","",IF(N(INDEX(tsk_FcFinish,StartingSoon[[#This Row],[_Task]]))=0,"",INDEX(tsk_FcFinish,StartingSoon[[#This Row],[_Task]])))</f>
        <v/>
      </c>
      <c r="H66" s="56" t="str">
        <f aca="false">IF(StartingSoon[[#This Row],[_Task]]="","",INDEX(tsk_Duration,StartingSoon[[#This Row],[_Task]]))</f>
        <v/>
      </c>
      <c r="I66" s="24" t="str">
        <f aca="false">IF(StartingSoon[[#This Row],[_Task]]="","",INDEX(tsk_Predecessors,StartingSoon[[#This Row],[_Task]])&amp;"")</f>
        <v/>
      </c>
      <c r="J66" s="24" t="str">
        <f aca="false">IF(StartingSoon[[#This Row],[_Task]]="","",INDEX(tsk_Critical,StartingSoon[[#This Row],[_Task]])&amp;"")</f>
        <v/>
      </c>
    </row>
    <row r="67" customFormat="false" ht="15" hidden="false" customHeight="false" outlineLevel="0" collapsed="false">
      <c r="B67" s="32" t="str">
        <f aca="false">IFERROR(MATCH(SMALL(tsk_StartSoonKey,ROW()-ROW(StartingSoon[[#Headers],[_Task]])),tsk_StartSoonKey,0),"")</f>
        <v/>
      </c>
      <c r="C67" s="24" t="str">
        <f aca="false">IF(StartingSoon[[#This Row],[_Task]]="","",INDEX(tsk_WBS,StartingSoon[[#This Row],[_Task]])&amp;"")</f>
        <v/>
      </c>
      <c r="D67" s="24" t="str">
        <f aca="false">IF(StartingSoon[[#This Row],[_Task]]="","",INDEX(tsk_Name,StartingSoon[[#This Row],[_Task]])&amp;"")</f>
        <v/>
      </c>
      <c r="E67" s="24" t="str">
        <f aca="false">IF(StartingSoon[[#This Row],[_Task]]="","",INDEX(tsk_ResourceNames,StartingSoon[[#This Row],[_Task]])&amp;"")</f>
        <v/>
      </c>
      <c r="F67" s="61" t="str">
        <f aca="false">IF(StartingSoon[[#This Row],[_Task]]="","",IF(N(INDEX(tsk_FcStart,StartingSoon[[#This Row],[_Task]]))=0,"",INDEX(tsk_FcStart,StartingSoon[[#This Row],[_Task]])))</f>
        <v/>
      </c>
      <c r="G67" s="61" t="str">
        <f aca="false">IF(StartingSoon[[#This Row],[_Task]]="","",IF(N(INDEX(tsk_FcFinish,StartingSoon[[#This Row],[_Task]]))=0,"",INDEX(tsk_FcFinish,StartingSoon[[#This Row],[_Task]])))</f>
        <v/>
      </c>
      <c r="H67" s="56" t="str">
        <f aca="false">IF(StartingSoon[[#This Row],[_Task]]="","",INDEX(tsk_Duration,StartingSoon[[#This Row],[_Task]]))</f>
        <v/>
      </c>
      <c r="I67" s="24" t="str">
        <f aca="false">IF(StartingSoon[[#This Row],[_Task]]="","",INDEX(tsk_Predecessors,StartingSoon[[#This Row],[_Task]])&amp;"")</f>
        <v/>
      </c>
      <c r="J67" s="24" t="str">
        <f aca="false">IF(StartingSoon[[#This Row],[_Task]]="","",INDEX(tsk_Critical,StartingSoon[[#This Row],[_Task]])&amp;"")</f>
        <v/>
      </c>
    </row>
    <row r="68" customFormat="false" ht="15" hidden="false" customHeight="false" outlineLevel="0" collapsed="false">
      <c r="B68" s="32" t="str">
        <f aca="false">IFERROR(MATCH(SMALL(tsk_StartSoonKey,ROW()-ROW(StartingSoon[[#Headers],[_Task]])),tsk_StartSoonKey,0),"")</f>
        <v/>
      </c>
      <c r="C68" s="24" t="str">
        <f aca="false">IF(StartingSoon[[#This Row],[_Task]]="","",INDEX(tsk_WBS,StartingSoon[[#This Row],[_Task]])&amp;"")</f>
        <v/>
      </c>
      <c r="D68" s="24" t="str">
        <f aca="false">IF(StartingSoon[[#This Row],[_Task]]="","",INDEX(tsk_Name,StartingSoon[[#This Row],[_Task]])&amp;"")</f>
        <v/>
      </c>
      <c r="E68" s="24" t="str">
        <f aca="false">IF(StartingSoon[[#This Row],[_Task]]="","",INDEX(tsk_ResourceNames,StartingSoon[[#This Row],[_Task]])&amp;"")</f>
        <v/>
      </c>
      <c r="F68" s="61" t="str">
        <f aca="false">IF(StartingSoon[[#This Row],[_Task]]="","",IF(N(INDEX(tsk_FcStart,StartingSoon[[#This Row],[_Task]]))=0,"",INDEX(tsk_FcStart,StartingSoon[[#This Row],[_Task]])))</f>
        <v/>
      </c>
      <c r="G68" s="61" t="str">
        <f aca="false">IF(StartingSoon[[#This Row],[_Task]]="","",IF(N(INDEX(tsk_FcFinish,StartingSoon[[#This Row],[_Task]]))=0,"",INDEX(tsk_FcFinish,StartingSoon[[#This Row],[_Task]])))</f>
        <v/>
      </c>
      <c r="H68" s="56" t="str">
        <f aca="false">IF(StartingSoon[[#This Row],[_Task]]="","",INDEX(tsk_Duration,StartingSoon[[#This Row],[_Task]]))</f>
        <v/>
      </c>
      <c r="I68" s="24" t="str">
        <f aca="false">IF(StartingSoon[[#This Row],[_Task]]="","",INDEX(tsk_Predecessors,StartingSoon[[#This Row],[_Task]])&amp;"")</f>
        <v/>
      </c>
      <c r="J68" s="24" t="str">
        <f aca="false">IF(StartingSoon[[#This Row],[_Task]]="","",INDEX(tsk_Critical,StartingSoon[[#This Row],[_Task]])&amp;"")</f>
        <v/>
      </c>
    </row>
    <row r="69" customFormat="false" ht="15" hidden="false" customHeight="false" outlineLevel="0" collapsed="false">
      <c r="B69" s="32" t="str">
        <f aca="false">IFERROR(MATCH(SMALL(tsk_StartSoonKey,ROW()-ROW(StartingSoon[[#Headers],[_Task]])),tsk_StartSoonKey,0),"")</f>
        <v/>
      </c>
      <c r="C69" s="24" t="str">
        <f aca="false">IF(StartingSoon[[#This Row],[_Task]]="","",INDEX(tsk_WBS,StartingSoon[[#This Row],[_Task]])&amp;"")</f>
        <v/>
      </c>
      <c r="D69" s="24" t="str">
        <f aca="false">IF(StartingSoon[[#This Row],[_Task]]="","",INDEX(tsk_Name,StartingSoon[[#This Row],[_Task]])&amp;"")</f>
        <v/>
      </c>
      <c r="E69" s="24" t="str">
        <f aca="false">IF(StartingSoon[[#This Row],[_Task]]="","",INDEX(tsk_ResourceNames,StartingSoon[[#This Row],[_Task]])&amp;"")</f>
        <v/>
      </c>
      <c r="F69" s="61" t="str">
        <f aca="false">IF(StartingSoon[[#This Row],[_Task]]="","",IF(N(INDEX(tsk_FcStart,StartingSoon[[#This Row],[_Task]]))=0,"",INDEX(tsk_FcStart,StartingSoon[[#This Row],[_Task]])))</f>
        <v/>
      </c>
      <c r="G69" s="61" t="str">
        <f aca="false">IF(StartingSoon[[#This Row],[_Task]]="","",IF(N(INDEX(tsk_FcFinish,StartingSoon[[#This Row],[_Task]]))=0,"",INDEX(tsk_FcFinish,StartingSoon[[#This Row],[_Task]])))</f>
        <v/>
      </c>
      <c r="H69" s="56" t="str">
        <f aca="false">IF(StartingSoon[[#This Row],[_Task]]="","",INDEX(tsk_Duration,StartingSoon[[#This Row],[_Task]]))</f>
        <v/>
      </c>
      <c r="I69" s="24" t="str">
        <f aca="false">IF(StartingSoon[[#This Row],[_Task]]="","",INDEX(tsk_Predecessors,StartingSoon[[#This Row],[_Task]])&amp;"")</f>
        <v/>
      </c>
      <c r="J69" s="24" t="str">
        <f aca="false">IF(StartingSoon[[#This Row],[_Task]]="","",INDEX(tsk_Critical,StartingSoon[[#This Row],[_Task]])&amp;"")</f>
        <v/>
      </c>
    </row>
    <row r="71" customFormat="false" ht="15" hidden="false" customHeight="false" outlineLevel="0" collapsed="false">
      <c r="C71" s="30" t="str">
        <f aca="false">"Due by "&amp;TEXT(LookaheadEnd,"ddd dd-mmm")&amp;": "&amp;COUNT(tsk_DueSoonKey)&amp;IF(COUNT(tsk_DueSoonKey)&gt;ROWS(DueSoon[_Task])," (showing the first "&amp;ROWS(DueSoon[_Task])&amp;")","")</f>
        <v>Due by Fri 06-Nov: 3</v>
      </c>
    </row>
    <row r="72" customFormat="false" ht="23.85" hidden="false" customHeight="false" outlineLevel="0" collapsed="false">
      <c r="B72" s="31" t="s">
        <v>131</v>
      </c>
      <c r="C72" s="9" t="s">
        <v>132</v>
      </c>
      <c r="D72" s="9" t="s">
        <v>208</v>
      </c>
      <c r="E72" s="9" t="s">
        <v>236</v>
      </c>
      <c r="F72" s="9" t="s">
        <v>228</v>
      </c>
      <c r="G72" s="9" t="s">
        <v>138</v>
      </c>
      <c r="H72" s="9" t="s">
        <v>144</v>
      </c>
      <c r="I72" s="9" t="s">
        <v>99</v>
      </c>
      <c r="J72" s="9" t="s">
        <v>237</v>
      </c>
    </row>
    <row r="73" customFormat="false" ht="15" hidden="false" customHeight="false" outlineLevel="0" collapsed="false">
      <c r="B73" s="32" t="n">
        <f aca="false">IFERROR(MATCH(SMALL(tsk_DueSoonKey,ROW()-ROW(DueSoon[[#Headers],[_Task]])),tsk_DueSoonKey,0),"")</f>
        <v>13</v>
      </c>
      <c r="C73" s="24" t="str">
        <f aca="false">IF(DueSoon[[#This Row],[_Task]]="","",INDEX(tsk_WBS,DueSoon[[#This Row],[_Task]])&amp;"")</f>
        <v>3.1.2</v>
      </c>
      <c r="D73" s="24" t="str">
        <f aca="false">IF(DueSoon[[#This Row],[_Task]]="","",INDEX(tsk_Name,DueSoon[[#This Row],[_Task]])&amp;"")</f>
        <v>Core API endpoints</v>
      </c>
      <c r="E73" s="24" t="str">
        <f aca="false">IF(DueSoon[[#This Row],[_Task]]="","",INDEX(tsk_ResourceNames,DueSoon[[#This Row],[_Task]])&amp;"")</f>
        <v>Jordan Lee</v>
      </c>
      <c r="F73" s="61" t="n">
        <f aca="false">IF(DueSoon[[#This Row],[_Task]]="","",IF(N(INDEX(tsk_FcFinish,DueSoon[[#This Row],[_Task]]))=0,"",INDEX(tsk_FcFinish,DueSoon[[#This Row],[_Task]])))</f>
        <v>46325</v>
      </c>
      <c r="G73" s="34" t="n">
        <f aca="false">IF(DueSoon[[#This Row],[_Task]]="","",INDEX(tsk_Progress,DueSoon[[#This Row],[_Task]]))</f>
        <v>0.5</v>
      </c>
      <c r="H73" s="24" t="str">
        <f aca="false">IF(DueSoon[[#This Row],[_Task]]="","",INDEX(tsk_DeadlineCheck,DueSoon[[#This Row],[_Task]])&amp;"")</f>
        <v/>
      </c>
      <c r="I73" s="24" t="str">
        <f aca="false">IF(DueSoon[[#This Row],[_Task]]="","",INDEX(tsk_Status,DueSoon[[#This Row],[_Task]])&amp;"")</f>
        <v>Behind</v>
      </c>
      <c r="J73" s="24" t="str">
        <f aca="false">IF(DueSoon[[#This Row],[_Task]]="","",INDEX(tsk_Critical,DueSoon[[#This Row],[_Task]])&amp;"")</f>
        <v>Yes</v>
      </c>
    </row>
    <row r="74" customFormat="false" ht="15" hidden="false" customHeight="false" outlineLevel="0" collapsed="false">
      <c r="B74" s="32" t="n">
        <f aca="false">IFERROR(MATCH(SMALL(tsk_DueSoonKey,ROW()-ROW(DueSoon[[#Headers],[_Task]])),tsk_DueSoonKey,0),"")</f>
        <v>17</v>
      </c>
      <c r="C74" s="24" t="str">
        <f aca="false">IF(DueSoon[[#This Row],[_Task]]="","",INDEX(tsk_WBS,DueSoon[[#This Row],[_Task]])&amp;"")</f>
        <v>3.2.2</v>
      </c>
      <c r="D74" s="24" t="str">
        <f aca="false">IF(DueSoon[[#This Row],[_Task]]="","",INDEX(tsk_Name,DueSoon[[#This Row],[_Task]])&amp;"")</f>
        <v>Feature screens</v>
      </c>
      <c r="E74" s="24" t="str">
        <f aca="false">IF(DueSoon[[#This Row],[_Task]]="","",INDEX(tsk_ResourceNames,DueSoon[[#This Row],[_Task]])&amp;"")</f>
        <v>Sam Rivera, Casey Kim[50%]</v>
      </c>
      <c r="F74" s="61" t="n">
        <f aca="false">IF(DueSoon[[#This Row],[_Task]]="","",IF(N(INDEX(tsk_FcFinish,DueSoon[[#This Row],[_Task]]))=0,"",INDEX(tsk_FcFinish,DueSoon[[#This Row],[_Task]])))</f>
        <v>46331</v>
      </c>
      <c r="G74" s="34" t="n">
        <f aca="false">IF(DueSoon[[#This Row],[_Task]]="","",INDEX(tsk_Progress,DueSoon[[#This Row],[_Task]]))</f>
        <v>0.25</v>
      </c>
      <c r="H74" s="24" t="str">
        <f aca="false">IF(DueSoon[[#This Row],[_Task]]="","",INDEX(tsk_DeadlineCheck,DueSoon[[#This Row],[_Task]])&amp;"")</f>
        <v/>
      </c>
      <c r="I74" s="24" t="str">
        <f aca="false">IF(DueSoon[[#This Row],[_Task]]="","",INDEX(tsk_Status,DueSoon[[#This Row],[_Task]])&amp;"")</f>
        <v>Behind</v>
      </c>
      <c r="J74" s="24" t="str">
        <f aca="false">IF(DueSoon[[#This Row],[_Task]]="","",INDEX(tsk_Critical,DueSoon[[#This Row],[_Task]])&amp;"")</f>
        <v>Yes</v>
      </c>
    </row>
    <row r="75" customFormat="false" ht="15" hidden="false" customHeight="false" outlineLevel="0" collapsed="false">
      <c r="B75" s="32" t="n">
        <f aca="false">IFERROR(MATCH(SMALL(tsk_DueSoonKey,ROW()-ROW(DueSoon[[#Headers],[_Task]])),tsk_DueSoonKey,0),"")</f>
        <v>18</v>
      </c>
      <c r="C75" s="24" t="str">
        <f aca="false">IF(DueSoon[[#This Row],[_Task]]="","",INDEX(tsk_WBS,DueSoon[[#This Row],[_Task]])&amp;"")</f>
        <v>3.2.3</v>
      </c>
      <c r="D75" s="24" t="str">
        <f aca="false">IF(DueSoon[[#This Row],[_Task]]="","",INDEX(tsk_Name,DueSoon[[#This Row],[_Task]])&amp;"")</f>
        <v>Accessibility review</v>
      </c>
      <c r="E75" s="24" t="str">
        <f aca="false">IF(DueSoon[[#This Row],[_Task]]="","",INDEX(tsk_ResourceNames,DueSoon[[#This Row],[_Task]])&amp;"")</f>
        <v>Casey Kim[50%]</v>
      </c>
      <c r="F75" s="61" t="n">
        <f aca="false">IF(DueSoon[[#This Row],[_Task]]="","",IF(N(INDEX(tsk_FcFinish,DueSoon[[#This Row],[_Task]]))=0,"",INDEX(tsk_FcFinish,DueSoon[[#This Row],[_Task]])))</f>
        <v>46332</v>
      </c>
      <c r="G75" s="34" t="n">
        <f aca="false">IF(DueSoon[[#This Row],[_Task]]="","",INDEX(tsk_Progress,DueSoon[[#This Row],[_Task]]))</f>
        <v>0</v>
      </c>
      <c r="H75" s="24" t="str">
        <f aca="false">IF(DueSoon[[#This Row],[_Task]]="","",INDEX(tsk_DeadlineCheck,DueSoon[[#This Row],[_Task]])&amp;"")</f>
        <v/>
      </c>
      <c r="I75" s="24" t="str">
        <f aca="false">IF(DueSoon[[#This Row],[_Task]]="","",INDEX(tsk_Status,DueSoon[[#This Row],[_Task]])&amp;"")</f>
        <v>Not Started</v>
      </c>
      <c r="J75" s="24" t="str">
        <f aca="false">IF(DueSoon[[#This Row],[_Task]]="","",INDEX(tsk_Critical,DueSoon[[#This Row],[_Task]])&amp;"")</f>
        <v>Yes</v>
      </c>
    </row>
    <row r="76" customFormat="false" ht="15" hidden="false" customHeight="false" outlineLevel="0" collapsed="false">
      <c r="B76" s="32" t="str">
        <f aca="false">IFERROR(MATCH(SMALL(tsk_DueSoonKey,ROW()-ROW(DueSoon[[#Headers],[_Task]])),tsk_DueSoonKey,0),"")</f>
        <v/>
      </c>
      <c r="C76" s="24" t="str">
        <f aca="false">IF(DueSoon[[#This Row],[_Task]]="","",INDEX(tsk_WBS,DueSoon[[#This Row],[_Task]])&amp;"")</f>
        <v/>
      </c>
      <c r="D76" s="24" t="str">
        <f aca="false">IF(DueSoon[[#This Row],[_Task]]="","",INDEX(tsk_Name,DueSoon[[#This Row],[_Task]])&amp;"")</f>
        <v/>
      </c>
      <c r="E76" s="24" t="str">
        <f aca="false">IF(DueSoon[[#This Row],[_Task]]="","",INDEX(tsk_ResourceNames,DueSoon[[#This Row],[_Task]])&amp;"")</f>
        <v/>
      </c>
      <c r="F76" s="61" t="str">
        <f aca="false">IF(DueSoon[[#This Row],[_Task]]="","",IF(N(INDEX(tsk_FcFinish,DueSoon[[#This Row],[_Task]]))=0,"",INDEX(tsk_FcFinish,DueSoon[[#This Row],[_Task]])))</f>
        <v/>
      </c>
      <c r="G76" s="34" t="str">
        <f aca="false">IF(DueSoon[[#This Row],[_Task]]="","",INDEX(tsk_Progress,DueSoon[[#This Row],[_Task]]))</f>
        <v/>
      </c>
      <c r="H76" s="24" t="str">
        <f aca="false">IF(DueSoon[[#This Row],[_Task]]="","",INDEX(tsk_DeadlineCheck,DueSoon[[#This Row],[_Task]])&amp;"")</f>
        <v/>
      </c>
      <c r="I76" s="24" t="str">
        <f aca="false">IF(DueSoon[[#This Row],[_Task]]="","",INDEX(tsk_Status,DueSoon[[#This Row],[_Task]])&amp;"")</f>
        <v/>
      </c>
      <c r="J76" s="24" t="str">
        <f aca="false">IF(DueSoon[[#This Row],[_Task]]="","",INDEX(tsk_Critical,DueSoon[[#This Row],[_Task]])&amp;"")</f>
        <v/>
      </c>
    </row>
    <row r="77" customFormat="false" ht="15" hidden="false" customHeight="false" outlineLevel="0" collapsed="false">
      <c r="B77" s="32" t="str">
        <f aca="false">IFERROR(MATCH(SMALL(tsk_DueSoonKey,ROW()-ROW(DueSoon[[#Headers],[_Task]])),tsk_DueSoonKey,0),"")</f>
        <v/>
      </c>
      <c r="C77" s="24" t="str">
        <f aca="false">IF(DueSoon[[#This Row],[_Task]]="","",INDEX(tsk_WBS,DueSoon[[#This Row],[_Task]])&amp;"")</f>
        <v/>
      </c>
      <c r="D77" s="24" t="str">
        <f aca="false">IF(DueSoon[[#This Row],[_Task]]="","",INDEX(tsk_Name,DueSoon[[#This Row],[_Task]])&amp;"")</f>
        <v/>
      </c>
      <c r="E77" s="24" t="str">
        <f aca="false">IF(DueSoon[[#This Row],[_Task]]="","",INDEX(tsk_ResourceNames,DueSoon[[#This Row],[_Task]])&amp;"")</f>
        <v/>
      </c>
      <c r="F77" s="61" t="str">
        <f aca="false">IF(DueSoon[[#This Row],[_Task]]="","",IF(N(INDEX(tsk_FcFinish,DueSoon[[#This Row],[_Task]]))=0,"",INDEX(tsk_FcFinish,DueSoon[[#This Row],[_Task]])))</f>
        <v/>
      </c>
      <c r="G77" s="34" t="str">
        <f aca="false">IF(DueSoon[[#This Row],[_Task]]="","",INDEX(tsk_Progress,DueSoon[[#This Row],[_Task]]))</f>
        <v/>
      </c>
      <c r="H77" s="24" t="str">
        <f aca="false">IF(DueSoon[[#This Row],[_Task]]="","",INDEX(tsk_DeadlineCheck,DueSoon[[#This Row],[_Task]])&amp;"")</f>
        <v/>
      </c>
      <c r="I77" s="24" t="str">
        <f aca="false">IF(DueSoon[[#This Row],[_Task]]="","",INDEX(tsk_Status,DueSoon[[#This Row],[_Task]])&amp;"")</f>
        <v/>
      </c>
      <c r="J77" s="24" t="str">
        <f aca="false">IF(DueSoon[[#This Row],[_Task]]="","",INDEX(tsk_Critical,DueSoon[[#This Row],[_Task]])&amp;"")</f>
        <v/>
      </c>
    </row>
    <row r="78" customFormat="false" ht="15" hidden="false" customHeight="false" outlineLevel="0" collapsed="false">
      <c r="B78" s="32" t="str">
        <f aca="false">IFERROR(MATCH(SMALL(tsk_DueSoonKey,ROW()-ROW(DueSoon[[#Headers],[_Task]])),tsk_DueSoonKey,0),"")</f>
        <v/>
      </c>
      <c r="C78" s="24" t="str">
        <f aca="false">IF(DueSoon[[#This Row],[_Task]]="","",INDEX(tsk_WBS,DueSoon[[#This Row],[_Task]])&amp;"")</f>
        <v/>
      </c>
      <c r="D78" s="24" t="str">
        <f aca="false">IF(DueSoon[[#This Row],[_Task]]="","",INDEX(tsk_Name,DueSoon[[#This Row],[_Task]])&amp;"")</f>
        <v/>
      </c>
      <c r="E78" s="24" t="str">
        <f aca="false">IF(DueSoon[[#This Row],[_Task]]="","",INDEX(tsk_ResourceNames,DueSoon[[#This Row],[_Task]])&amp;"")</f>
        <v/>
      </c>
      <c r="F78" s="61" t="str">
        <f aca="false">IF(DueSoon[[#This Row],[_Task]]="","",IF(N(INDEX(tsk_FcFinish,DueSoon[[#This Row],[_Task]]))=0,"",INDEX(tsk_FcFinish,DueSoon[[#This Row],[_Task]])))</f>
        <v/>
      </c>
      <c r="G78" s="34" t="str">
        <f aca="false">IF(DueSoon[[#This Row],[_Task]]="","",INDEX(tsk_Progress,DueSoon[[#This Row],[_Task]]))</f>
        <v/>
      </c>
      <c r="H78" s="24" t="str">
        <f aca="false">IF(DueSoon[[#This Row],[_Task]]="","",INDEX(tsk_DeadlineCheck,DueSoon[[#This Row],[_Task]])&amp;"")</f>
        <v/>
      </c>
      <c r="I78" s="24" t="str">
        <f aca="false">IF(DueSoon[[#This Row],[_Task]]="","",INDEX(tsk_Status,DueSoon[[#This Row],[_Task]])&amp;"")</f>
        <v/>
      </c>
      <c r="J78" s="24" t="str">
        <f aca="false">IF(DueSoon[[#This Row],[_Task]]="","",INDEX(tsk_Critical,DueSoon[[#This Row],[_Task]])&amp;"")</f>
        <v/>
      </c>
    </row>
    <row r="79" customFormat="false" ht="15" hidden="false" customHeight="false" outlineLevel="0" collapsed="false">
      <c r="B79" s="32" t="str">
        <f aca="false">IFERROR(MATCH(SMALL(tsk_DueSoonKey,ROW()-ROW(DueSoon[[#Headers],[_Task]])),tsk_DueSoonKey,0),"")</f>
        <v/>
      </c>
      <c r="C79" s="24" t="str">
        <f aca="false">IF(DueSoon[[#This Row],[_Task]]="","",INDEX(tsk_WBS,DueSoon[[#This Row],[_Task]])&amp;"")</f>
        <v/>
      </c>
      <c r="D79" s="24" t="str">
        <f aca="false">IF(DueSoon[[#This Row],[_Task]]="","",INDEX(tsk_Name,DueSoon[[#This Row],[_Task]])&amp;"")</f>
        <v/>
      </c>
      <c r="E79" s="24" t="str">
        <f aca="false">IF(DueSoon[[#This Row],[_Task]]="","",INDEX(tsk_ResourceNames,DueSoon[[#This Row],[_Task]])&amp;"")</f>
        <v/>
      </c>
      <c r="F79" s="61" t="str">
        <f aca="false">IF(DueSoon[[#This Row],[_Task]]="","",IF(N(INDEX(tsk_FcFinish,DueSoon[[#This Row],[_Task]]))=0,"",INDEX(tsk_FcFinish,DueSoon[[#This Row],[_Task]])))</f>
        <v/>
      </c>
      <c r="G79" s="34" t="str">
        <f aca="false">IF(DueSoon[[#This Row],[_Task]]="","",INDEX(tsk_Progress,DueSoon[[#This Row],[_Task]]))</f>
        <v/>
      </c>
      <c r="H79" s="24" t="str">
        <f aca="false">IF(DueSoon[[#This Row],[_Task]]="","",INDEX(tsk_DeadlineCheck,DueSoon[[#This Row],[_Task]])&amp;"")</f>
        <v/>
      </c>
      <c r="I79" s="24" t="str">
        <f aca="false">IF(DueSoon[[#This Row],[_Task]]="","",INDEX(tsk_Status,DueSoon[[#This Row],[_Task]])&amp;"")</f>
        <v/>
      </c>
      <c r="J79" s="24" t="str">
        <f aca="false">IF(DueSoon[[#This Row],[_Task]]="","",INDEX(tsk_Critical,DueSoon[[#This Row],[_Task]])&amp;"")</f>
        <v/>
      </c>
    </row>
    <row r="80" customFormat="false" ht="15" hidden="false" customHeight="false" outlineLevel="0" collapsed="false">
      <c r="B80" s="32" t="str">
        <f aca="false">IFERROR(MATCH(SMALL(tsk_DueSoonKey,ROW()-ROW(DueSoon[[#Headers],[_Task]])),tsk_DueSoonKey,0),"")</f>
        <v/>
      </c>
      <c r="C80" s="24" t="str">
        <f aca="false">IF(DueSoon[[#This Row],[_Task]]="","",INDEX(tsk_WBS,DueSoon[[#This Row],[_Task]])&amp;"")</f>
        <v/>
      </c>
      <c r="D80" s="24" t="str">
        <f aca="false">IF(DueSoon[[#This Row],[_Task]]="","",INDEX(tsk_Name,DueSoon[[#This Row],[_Task]])&amp;"")</f>
        <v/>
      </c>
      <c r="E80" s="24" t="str">
        <f aca="false">IF(DueSoon[[#This Row],[_Task]]="","",INDEX(tsk_ResourceNames,DueSoon[[#This Row],[_Task]])&amp;"")</f>
        <v/>
      </c>
      <c r="F80" s="61" t="str">
        <f aca="false">IF(DueSoon[[#This Row],[_Task]]="","",IF(N(INDEX(tsk_FcFinish,DueSoon[[#This Row],[_Task]]))=0,"",INDEX(tsk_FcFinish,DueSoon[[#This Row],[_Task]])))</f>
        <v/>
      </c>
      <c r="G80" s="34" t="str">
        <f aca="false">IF(DueSoon[[#This Row],[_Task]]="","",INDEX(tsk_Progress,DueSoon[[#This Row],[_Task]]))</f>
        <v/>
      </c>
      <c r="H80" s="24" t="str">
        <f aca="false">IF(DueSoon[[#This Row],[_Task]]="","",INDEX(tsk_DeadlineCheck,DueSoon[[#This Row],[_Task]])&amp;"")</f>
        <v/>
      </c>
      <c r="I80" s="24" t="str">
        <f aca="false">IF(DueSoon[[#This Row],[_Task]]="","",INDEX(tsk_Status,DueSoon[[#This Row],[_Task]])&amp;"")</f>
        <v/>
      </c>
      <c r="J80" s="24" t="str">
        <f aca="false">IF(DueSoon[[#This Row],[_Task]]="","",INDEX(tsk_Critical,DueSoon[[#This Row],[_Task]])&amp;"")</f>
        <v/>
      </c>
    </row>
    <row r="81" customFormat="false" ht="15" hidden="false" customHeight="false" outlineLevel="0" collapsed="false">
      <c r="B81" s="32" t="str">
        <f aca="false">IFERROR(MATCH(SMALL(tsk_DueSoonKey,ROW()-ROW(DueSoon[[#Headers],[_Task]])),tsk_DueSoonKey,0),"")</f>
        <v/>
      </c>
      <c r="C81" s="24" t="str">
        <f aca="false">IF(DueSoon[[#This Row],[_Task]]="","",INDEX(tsk_WBS,DueSoon[[#This Row],[_Task]])&amp;"")</f>
        <v/>
      </c>
      <c r="D81" s="24" t="str">
        <f aca="false">IF(DueSoon[[#This Row],[_Task]]="","",INDEX(tsk_Name,DueSoon[[#This Row],[_Task]])&amp;"")</f>
        <v/>
      </c>
      <c r="E81" s="24" t="str">
        <f aca="false">IF(DueSoon[[#This Row],[_Task]]="","",INDEX(tsk_ResourceNames,DueSoon[[#This Row],[_Task]])&amp;"")</f>
        <v/>
      </c>
      <c r="F81" s="61" t="str">
        <f aca="false">IF(DueSoon[[#This Row],[_Task]]="","",IF(N(INDEX(tsk_FcFinish,DueSoon[[#This Row],[_Task]]))=0,"",INDEX(tsk_FcFinish,DueSoon[[#This Row],[_Task]])))</f>
        <v/>
      </c>
      <c r="G81" s="34" t="str">
        <f aca="false">IF(DueSoon[[#This Row],[_Task]]="","",INDEX(tsk_Progress,DueSoon[[#This Row],[_Task]]))</f>
        <v/>
      </c>
      <c r="H81" s="24" t="str">
        <f aca="false">IF(DueSoon[[#This Row],[_Task]]="","",INDEX(tsk_DeadlineCheck,DueSoon[[#This Row],[_Task]])&amp;"")</f>
        <v/>
      </c>
      <c r="I81" s="24" t="str">
        <f aca="false">IF(DueSoon[[#This Row],[_Task]]="","",INDEX(tsk_Status,DueSoon[[#This Row],[_Task]])&amp;"")</f>
        <v/>
      </c>
      <c r="J81" s="24" t="str">
        <f aca="false">IF(DueSoon[[#This Row],[_Task]]="","",INDEX(tsk_Critical,DueSoon[[#This Row],[_Task]])&amp;"")</f>
        <v/>
      </c>
    </row>
    <row r="82" customFormat="false" ht="15" hidden="false" customHeight="false" outlineLevel="0" collapsed="false">
      <c r="B82" s="32" t="str">
        <f aca="false">IFERROR(MATCH(SMALL(tsk_DueSoonKey,ROW()-ROW(DueSoon[[#Headers],[_Task]])),tsk_DueSoonKey,0),"")</f>
        <v/>
      </c>
      <c r="C82" s="24" t="str">
        <f aca="false">IF(DueSoon[[#This Row],[_Task]]="","",INDEX(tsk_WBS,DueSoon[[#This Row],[_Task]])&amp;"")</f>
        <v/>
      </c>
      <c r="D82" s="24" t="str">
        <f aca="false">IF(DueSoon[[#This Row],[_Task]]="","",INDEX(tsk_Name,DueSoon[[#This Row],[_Task]])&amp;"")</f>
        <v/>
      </c>
      <c r="E82" s="24" t="str">
        <f aca="false">IF(DueSoon[[#This Row],[_Task]]="","",INDEX(tsk_ResourceNames,DueSoon[[#This Row],[_Task]])&amp;"")</f>
        <v/>
      </c>
      <c r="F82" s="61" t="str">
        <f aca="false">IF(DueSoon[[#This Row],[_Task]]="","",IF(N(INDEX(tsk_FcFinish,DueSoon[[#This Row],[_Task]]))=0,"",INDEX(tsk_FcFinish,DueSoon[[#This Row],[_Task]])))</f>
        <v/>
      </c>
      <c r="G82" s="34" t="str">
        <f aca="false">IF(DueSoon[[#This Row],[_Task]]="","",INDEX(tsk_Progress,DueSoon[[#This Row],[_Task]]))</f>
        <v/>
      </c>
      <c r="H82" s="24" t="str">
        <f aca="false">IF(DueSoon[[#This Row],[_Task]]="","",INDEX(tsk_DeadlineCheck,DueSoon[[#This Row],[_Task]])&amp;"")</f>
        <v/>
      </c>
      <c r="I82" s="24" t="str">
        <f aca="false">IF(DueSoon[[#This Row],[_Task]]="","",INDEX(tsk_Status,DueSoon[[#This Row],[_Task]])&amp;"")</f>
        <v/>
      </c>
      <c r="J82" s="24" t="str">
        <f aca="false">IF(DueSoon[[#This Row],[_Task]]="","",INDEX(tsk_Critical,DueSoon[[#This Row],[_Task]])&amp;"")</f>
        <v/>
      </c>
    </row>
    <row r="83" customFormat="false" ht="15" hidden="false" customHeight="false" outlineLevel="0" collapsed="false">
      <c r="B83" s="32" t="str">
        <f aca="false">IFERROR(MATCH(SMALL(tsk_DueSoonKey,ROW()-ROW(DueSoon[[#Headers],[_Task]])),tsk_DueSoonKey,0),"")</f>
        <v/>
      </c>
      <c r="C83" s="24" t="str">
        <f aca="false">IF(DueSoon[[#This Row],[_Task]]="","",INDEX(tsk_WBS,DueSoon[[#This Row],[_Task]])&amp;"")</f>
        <v/>
      </c>
      <c r="D83" s="24" t="str">
        <f aca="false">IF(DueSoon[[#This Row],[_Task]]="","",INDEX(tsk_Name,DueSoon[[#This Row],[_Task]])&amp;"")</f>
        <v/>
      </c>
      <c r="E83" s="24" t="str">
        <f aca="false">IF(DueSoon[[#This Row],[_Task]]="","",INDEX(tsk_ResourceNames,DueSoon[[#This Row],[_Task]])&amp;"")</f>
        <v/>
      </c>
      <c r="F83" s="61" t="str">
        <f aca="false">IF(DueSoon[[#This Row],[_Task]]="","",IF(N(INDEX(tsk_FcFinish,DueSoon[[#This Row],[_Task]]))=0,"",INDEX(tsk_FcFinish,DueSoon[[#This Row],[_Task]])))</f>
        <v/>
      </c>
      <c r="G83" s="34" t="str">
        <f aca="false">IF(DueSoon[[#This Row],[_Task]]="","",INDEX(tsk_Progress,DueSoon[[#This Row],[_Task]]))</f>
        <v/>
      </c>
      <c r="H83" s="24" t="str">
        <f aca="false">IF(DueSoon[[#This Row],[_Task]]="","",INDEX(tsk_DeadlineCheck,DueSoon[[#This Row],[_Task]])&amp;"")</f>
        <v/>
      </c>
      <c r="I83" s="24" t="str">
        <f aca="false">IF(DueSoon[[#This Row],[_Task]]="","",INDEX(tsk_Status,DueSoon[[#This Row],[_Task]])&amp;"")</f>
        <v/>
      </c>
      <c r="J83" s="24" t="str">
        <f aca="false">IF(DueSoon[[#This Row],[_Task]]="","",INDEX(tsk_Critical,DueSoon[[#This Row],[_Task]])&amp;"")</f>
        <v/>
      </c>
    </row>
    <row r="84" customFormat="false" ht="15" hidden="false" customHeight="false" outlineLevel="0" collapsed="false">
      <c r="B84" s="32" t="str">
        <f aca="false">IFERROR(MATCH(SMALL(tsk_DueSoonKey,ROW()-ROW(DueSoon[[#Headers],[_Task]])),tsk_DueSoonKey,0),"")</f>
        <v/>
      </c>
      <c r="C84" s="24" t="str">
        <f aca="false">IF(DueSoon[[#This Row],[_Task]]="","",INDEX(tsk_WBS,DueSoon[[#This Row],[_Task]])&amp;"")</f>
        <v/>
      </c>
      <c r="D84" s="24" t="str">
        <f aca="false">IF(DueSoon[[#This Row],[_Task]]="","",INDEX(tsk_Name,DueSoon[[#This Row],[_Task]])&amp;"")</f>
        <v/>
      </c>
      <c r="E84" s="24" t="str">
        <f aca="false">IF(DueSoon[[#This Row],[_Task]]="","",INDEX(tsk_ResourceNames,DueSoon[[#This Row],[_Task]])&amp;"")</f>
        <v/>
      </c>
      <c r="F84" s="61" t="str">
        <f aca="false">IF(DueSoon[[#This Row],[_Task]]="","",IF(N(INDEX(tsk_FcFinish,DueSoon[[#This Row],[_Task]]))=0,"",INDEX(tsk_FcFinish,DueSoon[[#This Row],[_Task]])))</f>
        <v/>
      </c>
      <c r="G84" s="34" t="str">
        <f aca="false">IF(DueSoon[[#This Row],[_Task]]="","",INDEX(tsk_Progress,DueSoon[[#This Row],[_Task]]))</f>
        <v/>
      </c>
      <c r="H84" s="24" t="str">
        <f aca="false">IF(DueSoon[[#This Row],[_Task]]="","",INDEX(tsk_DeadlineCheck,DueSoon[[#This Row],[_Task]])&amp;"")</f>
        <v/>
      </c>
      <c r="I84" s="24" t="str">
        <f aca="false">IF(DueSoon[[#This Row],[_Task]]="","",INDEX(tsk_Status,DueSoon[[#This Row],[_Task]])&amp;"")</f>
        <v/>
      </c>
      <c r="J84" s="24" t="str">
        <f aca="false">IF(DueSoon[[#This Row],[_Task]]="","",INDEX(tsk_Critical,DueSoon[[#This Row],[_Task]])&amp;"")</f>
        <v/>
      </c>
    </row>
    <row r="85" customFormat="false" ht="15" hidden="false" customHeight="false" outlineLevel="0" collapsed="false">
      <c r="B85" s="32" t="str">
        <f aca="false">IFERROR(MATCH(SMALL(tsk_DueSoonKey,ROW()-ROW(DueSoon[[#Headers],[_Task]])),tsk_DueSoonKey,0),"")</f>
        <v/>
      </c>
      <c r="C85" s="24" t="str">
        <f aca="false">IF(DueSoon[[#This Row],[_Task]]="","",INDEX(tsk_WBS,DueSoon[[#This Row],[_Task]])&amp;"")</f>
        <v/>
      </c>
      <c r="D85" s="24" t="str">
        <f aca="false">IF(DueSoon[[#This Row],[_Task]]="","",INDEX(tsk_Name,DueSoon[[#This Row],[_Task]])&amp;"")</f>
        <v/>
      </c>
      <c r="E85" s="24" t="str">
        <f aca="false">IF(DueSoon[[#This Row],[_Task]]="","",INDEX(tsk_ResourceNames,DueSoon[[#This Row],[_Task]])&amp;"")</f>
        <v/>
      </c>
      <c r="F85" s="61" t="str">
        <f aca="false">IF(DueSoon[[#This Row],[_Task]]="","",IF(N(INDEX(tsk_FcFinish,DueSoon[[#This Row],[_Task]]))=0,"",INDEX(tsk_FcFinish,DueSoon[[#This Row],[_Task]])))</f>
        <v/>
      </c>
      <c r="G85" s="34" t="str">
        <f aca="false">IF(DueSoon[[#This Row],[_Task]]="","",INDEX(tsk_Progress,DueSoon[[#This Row],[_Task]]))</f>
        <v/>
      </c>
      <c r="H85" s="24" t="str">
        <f aca="false">IF(DueSoon[[#This Row],[_Task]]="","",INDEX(tsk_DeadlineCheck,DueSoon[[#This Row],[_Task]])&amp;"")</f>
        <v/>
      </c>
      <c r="I85" s="24" t="str">
        <f aca="false">IF(DueSoon[[#This Row],[_Task]]="","",INDEX(tsk_Status,DueSoon[[#This Row],[_Task]])&amp;"")</f>
        <v/>
      </c>
      <c r="J85" s="24" t="str">
        <f aca="false">IF(DueSoon[[#This Row],[_Task]]="","",INDEX(tsk_Critical,DueSoon[[#This Row],[_Task]])&amp;"")</f>
        <v/>
      </c>
    </row>
    <row r="86" customFormat="false" ht="15" hidden="false" customHeight="false" outlineLevel="0" collapsed="false">
      <c r="B86" s="32" t="str">
        <f aca="false">IFERROR(MATCH(SMALL(tsk_DueSoonKey,ROW()-ROW(DueSoon[[#Headers],[_Task]])),tsk_DueSoonKey,0),"")</f>
        <v/>
      </c>
      <c r="C86" s="24" t="str">
        <f aca="false">IF(DueSoon[[#This Row],[_Task]]="","",INDEX(tsk_WBS,DueSoon[[#This Row],[_Task]])&amp;"")</f>
        <v/>
      </c>
      <c r="D86" s="24" t="str">
        <f aca="false">IF(DueSoon[[#This Row],[_Task]]="","",INDEX(tsk_Name,DueSoon[[#This Row],[_Task]])&amp;"")</f>
        <v/>
      </c>
      <c r="E86" s="24" t="str">
        <f aca="false">IF(DueSoon[[#This Row],[_Task]]="","",INDEX(tsk_ResourceNames,DueSoon[[#This Row],[_Task]])&amp;"")</f>
        <v/>
      </c>
      <c r="F86" s="61" t="str">
        <f aca="false">IF(DueSoon[[#This Row],[_Task]]="","",IF(N(INDEX(tsk_FcFinish,DueSoon[[#This Row],[_Task]]))=0,"",INDEX(tsk_FcFinish,DueSoon[[#This Row],[_Task]])))</f>
        <v/>
      </c>
      <c r="G86" s="34" t="str">
        <f aca="false">IF(DueSoon[[#This Row],[_Task]]="","",INDEX(tsk_Progress,DueSoon[[#This Row],[_Task]]))</f>
        <v/>
      </c>
      <c r="H86" s="24" t="str">
        <f aca="false">IF(DueSoon[[#This Row],[_Task]]="","",INDEX(tsk_DeadlineCheck,DueSoon[[#This Row],[_Task]])&amp;"")</f>
        <v/>
      </c>
      <c r="I86" s="24" t="str">
        <f aca="false">IF(DueSoon[[#This Row],[_Task]]="","",INDEX(tsk_Status,DueSoon[[#This Row],[_Task]])&amp;"")</f>
        <v/>
      </c>
      <c r="J86" s="24" t="str">
        <f aca="false">IF(DueSoon[[#This Row],[_Task]]="","",INDEX(tsk_Critical,DueSoon[[#This Row],[_Task]])&amp;"")</f>
        <v/>
      </c>
    </row>
    <row r="87" customFormat="false" ht="15" hidden="false" customHeight="false" outlineLevel="0" collapsed="false">
      <c r="B87" s="32" t="str">
        <f aca="false">IFERROR(MATCH(SMALL(tsk_DueSoonKey,ROW()-ROW(DueSoon[[#Headers],[_Task]])),tsk_DueSoonKey,0),"")</f>
        <v/>
      </c>
      <c r="C87" s="24" t="str">
        <f aca="false">IF(DueSoon[[#This Row],[_Task]]="","",INDEX(tsk_WBS,DueSoon[[#This Row],[_Task]])&amp;"")</f>
        <v/>
      </c>
      <c r="D87" s="24" t="str">
        <f aca="false">IF(DueSoon[[#This Row],[_Task]]="","",INDEX(tsk_Name,DueSoon[[#This Row],[_Task]])&amp;"")</f>
        <v/>
      </c>
      <c r="E87" s="24" t="str">
        <f aca="false">IF(DueSoon[[#This Row],[_Task]]="","",INDEX(tsk_ResourceNames,DueSoon[[#This Row],[_Task]])&amp;"")</f>
        <v/>
      </c>
      <c r="F87" s="61" t="str">
        <f aca="false">IF(DueSoon[[#This Row],[_Task]]="","",IF(N(INDEX(tsk_FcFinish,DueSoon[[#This Row],[_Task]]))=0,"",INDEX(tsk_FcFinish,DueSoon[[#This Row],[_Task]])))</f>
        <v/>
      </c>
      <c r="G87" s="34" t="str">
        <f aca="false">IF(DueSoon[[#This Row],[_Task]]="","",INDEX(tsk_Progress,DueSoon[[#This Row],[_Task]]))</f>
        <v/>
      </c>
      <c r="H87" s="24" t="str">
        <f aca="false">IF(DueSoon[[#This Row],[_Task]]="","",INDEX(tsk_DeadlineCheck,DueSoon[[#This Row],[_Task]])&amp;"")</f>
        <v/>
      </c>
      <c r="I87" s="24" t="str">
        <f aca="false">IF(DueSoon[[#This Row],[_Task]]="","",INDEX(tsk_Status,DueSoon[[#This Row],[_Task]])&amp;"")</f>
        <v/>
      </c>
      <c r="J87" s="24" t="str">
        <f aca="false">IF(DueSoon[[#This Row],[_Task]]="","",INDEX(tsk_Critical,DueSoon[[#This Row],[_Task]])&amp;"")</f>
        <v/>
      </c>
    </row>
    <row r="89" customFormat="false" ht="15" hidden="false" customHeight="false" outlineLevel="0" collapsed="false">
      <c r="C89" s="30" t="str">
        <f aca="false">"Open critical tasks (by forecast start)"&amp;": "&amp;COUNT(tsk_CriticalKey)&amp;IF(COUNT(tsk_CriticalKey)&gt;ROWS(CriticalTasks[_Task])," (showing the first "&amp;ROWS(CriticalTasks[_Task])&amp;")","")</f>
        <v>Open critical tasks (by forecast start): 11</v>
      </c>
    </row>
    <row r="90" customFormat="false" ht="23.85" hidden="false" customHeight="false" outlineLevel="0" collapsed="false">
      <c r="B90" s="31" t="s">
        <v>131</v>
      </c>
      <c r="C90" s="9" t="s">
        <v>132</v>
      </c>
      <c r="D90" s="9" t="s">
        <v>208</v>
      </c>
      <c r="E90" s="9" t="s">
        <v>236</v>
      </c>
      <c r="F90" s="9" t="s">
        <v>238</v>
      </c>
      <c r="G90" s="9" t="s">
        <v>228</v>
      </c>
      <c r="H90" s="9" t="s">
        <v>240</v>
      </c>
      <c r="I90" s="9" t="s">
        <v>144</v>
      </c>
      <c r="J90" s="9" t="s">
        <v>99</v>
      </c>
    </row>
    <row r="91" customFormat="false" ht="15" hidden="false" customHeight="false" outlineLevel="0" collapsed="false">
      <c r="B91" s="32" t="n">
        <f aca="false">IFERROR(MATCH(SMALL(tsk_CriticalKey,ROW()-ROW(CriticalTasks[[#Headers],[_Task]])),tsk_CriticalKey,0),"")</f>
        <v>13</v>
      </c>
      <c r="C91" s="24" t="str">
        <f aca="false">IF(CriticalTasks[[#This Row],[_Task]]="","",INDEX(tsk_WBS,CriticalTasks[[#This Row],[_Task]])&amp;"")</f>
        <v>3.1.2</v>
      </c>
      <c r="D91" s="24" t="str">
        <f aca="false">IF(CriticalTasks[[#This Row],[_Task]]="","",INDEX(tsk_Name,CriticalTasks[[#This Row],[_Task]])&amp;"")</f>
        <v>Core API endpoints</v>
      </c>
      <c r="E91" s="24" t="str">
        <f aca="false">IF(CriticalTasks[[#This Row],[_Task]]="","",INDEX(tsk_ResourceNames,CriticalTasks[[#This Row],[_Task]])&amp;"")</f>
        <v>Jordan Lee</v>
      </c>
      <c r="F91" s="61" t="n">
        <f aca="false">IF(CriticalTasks[[#This Row],[_Task]]="","",IF(N(INDEX(tsk_FcStart,CriticalTasks[[#This Row],[_Task]]))=0,"",INDEX(tsk_FcStart,CriticalTasks[[#This Row],[_Task]])))</f>
        <v>46310</v>
      </c>
      <c r="G91" s="61" t="n">
        <f aca="false">IF(CriticalTasks[[#This Row],[_Task]]="","",IF(N(INDEX(tsk_FcFinish,CriticalTasks[[#This Row],[_Task]]))=0,"",INDEX(tsk_FcFinish,CriticalTasks[[#This Row],[_Task]])))</f>
        <v>46325</v>
      </c>
      <c r="H91" s="56" t="n">
        <f aca="false">IF(CriticalTasks[[#This Row],[_Task]]="","",INDEX(tsk_TotalSlack,CriticalTasks[[#This Row],[_Task]]))</f>
        <v>-1</v>
      </c>
      <c r="I91" s="24" t="str">
        <f aca="false">IF(CriticalTasks[[#This Row],[_Task]]="","",INDEX(tsk_DeadlineCheck,CriticalTasks[[#This Row],[_Task]])&amp;"")</f>
        <v/>
      </c>
      <c r="J91" s="24" t="str">
        <f aca="false">IF(CriticalTasks[[#This Row],[_Task]]="","",INDEX(tsk_Status,CriticalTasks[[#This Row],[_Task]])&amp;"")</f>
        <v>Behind</v>
      </c>
    </row>
    <row r="92" customFormat="false" ht="15" hidden="false" customHeight="false" outlineLevel="0" collapsed="false">
      <c r="B92" s="32" t="n">
        <f aca="false">IFERROR(MATCH(SMALL(tsk_CriticalKey,ROW()-ROW(CriticalTasks[[#Headers],[_Task]])),tsk_CriticalKey,0),"")</f>
        <v>17</v>
      </c>
      <c r="C92" s="24" t="str">
        <f aca="false">IF(CriticalTasks[[#This Row],[_Task]]="","",INDEX(tsk_WBS,CriticalTasks[[#This Row],[_Task]])&amp;"")</f>
        <v>3.2.2</v>
      </c>
      <c r="D92" s="24" t="str">
        <f aca="false">IF(CriticalTasks[[#This Row],[_Task]]="","",INDEX(tsk_Name,CriticalTasks[[#This Row],[_Task]])&amp;"")</f>
        <v>Feature screens</v>
      </c>
      <c r="E92" s="24" t="str">
        <f aca="false">IF(CriticalTasks[[#This Row],[_Task]]="","",INDEX(tsk_ResourceNames,CriticalTasks[[#This Row],[_Task]])&amp;"")</f>
        <v>Sam Rivera, Casey Kim[50%]</v>
      </c>
      <c r="F92" s="61" t="n">
        <f aca="false">IF(CriticalTasks[[#This Row],[_Task]]="","",IF(N(INDEX(tsk_FcStart,CriticalTasks[[#This Row],[_Task]]))=0,"",INDEX(tsk_FcStart,CriticalTasks[[#This Row],[_Task]])))</f>
        <v>46314</v>
      </c>
      <c r="G92" s="61" t="n">
        <f aca="false">IF(CriticalTasks[[#This Row],[_Task]]="","",IF(N(INDEX(tsk_FcFinish,CriticalTasks[[#This Row],[_Task]]))=0,"",INDEX(tsk_FcFinish,CriticalTasks[[#This Row],[_Task]])))</f>
        <v>46331</v>
      </c>
      <c r="H92" s="56" t="n">
        <f aca="false">IF(CriticalTasks[[#This Row],[_Task]]="","",INDEX(tsk_TotalSlack,CriticalTasks[[#This Row],[_Task]]))</f>
        <v>0</v>
      </c>
      <c r="I92" s="24" t="str">
        <f aca="false">IF(CriticalTasks[[#This Row],[_Task]]="","",INDEX(tsk_DeadlineCheck,CriticalTasks[[#This Row],[_Task]])&amp;"")</f>
        <v/>
      </c>
      <c r="J92" s="24" t="str">
        <f aca="false">IF(CriticalTasks[[#This Row],[_Task]]="","",INDEX(tsk_Status,CriticalTasks[[#This Row],[_Task]])&amp;"")</f>
        <v>Behind</v>
      </c>
    </row>
    <row r="93" customFormat="false" ht="15" hidden="false" customHeight="false" outlineLevel="0" collapsed="false">
      <c r="B93" s="32" t="n">
        <f aca="false">IFERROR(MATCH(SMALL(tsk_CriticalKey,ROW()-ROW(CriticalTasks[[#Headers],[_Task]])),tsk_CriticalKey,0),"")</f>
        <v>14</v>
      </c>
      <c r="C93" s="24" t="str">
        <f aca="false">IF(CriticalTasks[[#This Row],[_Task]]="","",INDEX(tsk_WBS,CriticalTasks[[#This Row],[_Task]])&amp;"")</f>
        <v>3.1.3</v>
      </c>
      <c r="D93" s="24" t="str">
        <f aca="false">IF(CriticalTasks[[#This Row],[_Task]]="","",INDEX(tsk_Name,CriticalTasks[[#This Row],[_Task]])&amp;"")</f>
        <v>Payment gateway integration</v>
      </c>
      <c r="E93" s="24" t="str">
        <f aca="false">IF(CriticalTasks[[#This Row],[_Task]]="","",INDEX(tsk_ResourceNames,CriticalTasks[[#This Row],[_Task]])&amp;"")</f>
        <v>Jordan Lee</v>
      </c>
      <c r="F93" s="61" t="n">
        <f aca="false">IF(CriticalTasks[[#This Row],[_Task]]="","",IF(N(INDEX(tsk_FcStart,CriticalTasks[[#This Row],[_Task]]))=0,"",INDEX(tsk_FcStart,CriticalTasks[[#This Row],[_Task]])))</f>
        <v>46328</v>
      </c>
      <c r="G93" s="61" t="n">
        <f aca="false">IF(CriticalTasks[[#This Row],[_Task]]="","",IF(N(INDEX(tsk_FcFinish,CriticalTasks[[#This Row],[_Task]]))=0,"",INDEX(tsk_FcFinish,CriticalTasks[[#This Row],[_Task]])))</f>
        <v>46335</v>
      </c>
      <c r="H93" s="56" t="n">
        <f aca="false">IF(CriticalTasks[[#This Row],[_Task]]="","",INDEX(tsk_TotalSlack,CriticalTasks[[#This Row],[_Task]]))</f>
        <v>-1</v>
      </c>
      <c r="I93" s="24" t="str">
        <f aca="false">IF(CriticalTasks[[#This Row],[_Task]]="","",INDEX(tsk_DeadlineCheck,CriticalTasks[[#This Row],[_Task]])&amp;"")</f>
        <v/>
      </c>
      <c r="J93" s="24" t="str">
        <f aca="false">IF(CriticalTasks[[#This Row],[_Task]]="","",INDEX(tsk_Status,CriticalTasks[[#This Row],[_Task]])&amp;"")</f>
        <v>Late Start</v>
      </c>
    </row>
    <row r="94" customFormat="false" ht="15" hidden="false" customHeight="false" outlineLevel="0" collapsed="false">
      <c r="B94" s="32" t="n">
        <f aca="false">IFERROR(MATCH(SMALL(tsk_CriticalKey,ROW()-ROW(CriticalTasks[[#Headers],[_Task]])),tsk_CriticalKey,0),"")</f>
        <v>18</v>
      </c>
      <c r="C94" s="24" t="str">
        <f aca="false">IF(CriticalTasks[[#This Row],[_Task]]="","",INDEX(tsk_WBS,CriticalTasks[[#This Row],[_Task]])&amp;"")</f>
        <v>3.2.3</v>
      </c>
      <c r="D94" s="24" t="str">
        <f aca="false">IF(CriticalTasks[[#This Row],[_Task]]="","",INDEX(tsk_Name,CriticalTasks[[#This Row],[_Task]])&amp;"")</f>
        <v>Accessibility review</v>
      </c>
      <c r="E94" s="24" t="str">
        <f aca="false">IF(CriticalTasks[[#This Row],[_Task]]="","",INDEX(tsk_ResourceNames,CriticalTasks[[#This Row],[_Task]])&amp;"")</f>
        <v>Casey Kim[50%]</v>
      </c>
      <c r="F94" s="61" t="n">
        <f aca="false">IF(CriticalTasks[[#This Row],[_Task]]="","",IF(N(INDEX(tsk_FcStart,CriticalTasks[[#This Row],[_Task]]))=0,"",INDEX(tsk_FcStart,CriticalTasks[[#This Row],[_Task]])))</f>
        <v>46330</v>
      </c>
      <c r="G94" s="61" t="n">
        <f aca="false">IF(CriticalTasks[[#This Row],[_Task]]="","",IF(N(INDEX(tsk_FcFinish,CriticalTasks[[#This Row],[_Task]]))=0,"",INDEX(tsk_FcFinish,CriticalTasks[[#This Row],[_Task]])))</f>
        <v>46332</v>
      </c>
      <c r="H94" s="56" t="n">
        <f aca="false">IF(CriticalTasks[[#This Row],[_Task]]="","",INDEX(tsk_TotalSlack,CriticalTasks[[#This Row],[_Task]]))</f>
        <v>0</v>
      </c>
      <c r="I94" s="24" t="str">
        <f aca="false">IF(CriticalTasks[[#This Row],[_Task]]="","",INDEX(tsk_DeadlineCheck,CriticalTasks[[#This Row],[_Task]])&amp;"")</f>
        <v/>
      </c>
      <c r="J94" s="24" t="str">
        <f aca="false">IF(CriticalTasks[[#This Row],[_Task]]="","",INDEX(tsk_Status,CriticalTasks[[#This Row],[_Task]])&amp;"")</f>
        <v>Not Started</v>
      </c>
    </row>
    <row r="95" customFormat="false" ht="15" hidden="false" customHeight="false" outlineLevel="0" collapsed="false">
      <c r="B95" s="32" t="n">
        <f aca="false">IFERROR(MATCH(SMALL(tsk_CriticalKey,ROW()-ROW(CriticalTasks[[#Headers],[_Task]])),tsk_CriticalKey,0),"")</f>
        <v>19</v>
      </c>
      <c r="C95" s="24" t="str">
        <f aca="false">IF(CriticalTasks[[#This Row],[_Task]]="","",INDEX(tsk_WBS,CriticalTasks[[#This Row],[_Task]])&amp;"")</f>
        <v>3.3</v>
      </c>
      <c r="D95" s="24" t="str">
        <f aca="false">IF(CriticalTasks[[#This Row],[_Task]]="","",INDEX(tsk_Name,CriticalTasks[[#This Row],[_Task]])&amp;"")</f>
        <v>Build complete</v>
      </c>
      <c r="E95" s="24" t="str">
        <f aca="false">IF(CriticalTasks[[#This Row],[_Task]]="","",INDEX(tsk_ResourceNames,CriticalTasks[[#This Row],[_Task]])&amp;"")</f>
        <v/>
      </c>
      <c r="F95" s="61" t="n">
        <f aca="false">IF(CriticalTasks[[#This Row],[_Task]]="","",IF(N(INDEX(tsk_FcStart,CriticalTasks[[#This Row],[_Task]]))=0,"",INDEX(tsk_FcStart,CriticalTasks[[#This Row],[_Task]])))</f>
        <v>46335</v>
      </c>
      <c r="G95" s="61" t="n">
        <f aca="false">IF(CriticalTasks[[#This Row],[_Task]]="","",IF(N(INDEX(tsk_FcFinish,CriticalTasks[[#This Row],[_Task]]))=0,"",INDEX(tsk_FcFinish,CriticalTasks[[#This Row],[_Task]])))</f>
        <v>46335</v>
      </c>
      <c r="H95" s="56" t="n">
        <f aca="false">IF(CriticalTasks[[#This Row],[_Task]]="","",INDEX(tsk_TotalSlack,CriticalTasks[[#This Row],[_Task]]))</f>
        <v>-1</v>
      </c>
      <c r="I95" s="24" t="str">
        <f aca="false">IF(CriticalTasks[[#This Row],[_Task]]="","",INDEX(tsk_DeadlineCheck,CriticalTasks[[#This Row],[_Task]])&amp;"")</f>
        <v>Late by 1d</v>
      </c>
      <c r="J95" s="24" t="str">
        <f aca="false">IF(CriticalTasks[[#This Row],[_Task]]="","",INDEX(tsk_Status,CriticalTasks[[#This Row],[_Task]])&amp;"")</f>
        <v>Not Started</v>
      </c>
    </row>
    <row r="96" customFormat="false" ht="15" hidden="false" customHeight="false" outlineLevel="0" collapsed="false">
      <c r="B96" s="32" t="n">
        <f aca="false">IFERROR(MATCH(SMALL(tsk_CriticalKey,ROW()-ROW(CriticalTasks[[#Headers],[_Task]])),tsk_CriticalKey,0),"")</f>
        <v>22</v>
      </c>
      <c r="C96" s="24" t="str">
        <f aca="false">IF(CriticalTasks[[#This Row],[_Task]]="","",INDEX(tsk_WBS,CriticalTasks[[#This Row],[_Task]])&amp;"")</f>
        <v>4.2</v>
      </c>
      <c r="D96" s="24" t="str">
        <f aca="false">IF(CriticalTasks[[#This Row],[_Task]]="","",INDEX(tsk_Name,CriticalTasks[[#This Row],[_Task]])&amp;"")</f>
        <v>User acceptance testing</v>
      </c>
      <c r="E96" s="24" t="str">
        <f aca="false">IF(CriticalTasks[[#This Row],[_Task]]="","",INDEX(tsk_ResourceNames,CriticalTasks[[#This Row],[_Task]])&amp;"")</f>
        <v>Morgan Patel, Taylor Morgan</v>
      </c>
      <c r="F96" s="61" t="n">
        <f aca="false">IF(CriticalTasks[[#This Row],[_Task]]="","",IF(N(INDEX(tsk_FcStart,CriticalTasks[[#This Row],[_Task]]))=0,"",INDEX(tsk_FcStart,CriticalTasks[[#This Row],[_Task]])))</f>
        <v>46363</v>
      </c>
      <c r="G96" s="61" t="n">
        <f aca="false">IF(CriticalTasks[[#This Row],[_Task]]="","",IF(N(INDEX(tsk_FcFinish,CriticalTasks[[#This Row],[_Task]]))=0,"",INDEX(tsk_FcFinish,CriticalTasks[[#This Row],[_Task]])))</f>
        <v>46370</v>
      </c>
      <c r="H96" s="56" t="n">
        <f aca="false">IF(CriticalTasks[[#This Row],[_Task]]="","",INDEX(tsk_TotalSlack,CriticalTasks[[#This Row],[_Task]]))</f>
        <v>0</v>
      </c>
      <c r="I96" s="24" t="str">
        <f aca="false">IF(CriticalTasks[[#This Row],[_Task]]="","",INDEX(tsk_DeadlineCheck,CriticalTasks[[#This Row],[_Task]])&amp;"")</f>
        <v/>
      </c>
      <c r="J96" s="24" t="str">
        <f aca="false">IF(CriticalTasks[[#This Row],[_Task]]="","",INDEX(tsk_Status,CriticalTasks[[#This Row],[_Task]])&amp;"")</f>
        <v>Not Started</v>
      </c>
    </row>
    <row r="97" customFormat="false" ht="15" hidden="false" customHeight="false" outlineLevel="0" collapsed="false">
      <c r="B97" s="32" t="n">
        <f aca="false">IFERROR(MATCH(SMALL(tsk_CriticalKey,ROW()-ROW(CriticalTasks[[#Headers],[_Task]])),tsk_CriticalKey,0),"")</f>
        <v>24</v>
      </c>
      <c r="C97" s="24" t="str">
        <f aca="false">IF(CriticalTasks[[#This Row],[_Task]]="","",INDEX(tsk_WBS,CriticalTasks[[#This Row],[_Task]])&amp;"")</f>
        <v>4.4</v>
      </c>
      <c r="D97" s="24" t="str">
        <f aca="false">IF(CriticalTasks[[#This Row],[_Task]]="","",INDEX(tsk_Name,CriticalTasks[[#This Row],[_Task]])&amp;"")</f>
        <v>Go-live readiness review</v>
      </c>
      <c r="E97" s="24" t="str">
        <f aca="false">IF(CriticalTasks[[#This Row],[_Task]]="","",INDEX(tsk_ResourceNames,CriticalTasks[[#This Row],[_Task]])&amp;"")</f>
        <v>Priya Sharma</v>
      </c>
      <c r="F97" s="61" t="n">
        <f aca="false">IF(CriticalTasks[[#This Row],[_Task]]="","",IF(N(INDEX(tsk_FcStart,CriticalTasks[[#This Row],[_Task]]))=0,"",INDEX(tsk_FcStart,CriticalTasks[[#This Row],[_Task]])))</f>
        <v>46371</v>
      </c>
      <c r="G97" s="61" t="n">
        <f aca="false">IF(CriticalTasks[[#This Row],[_Task]]="","",IF(N(INDEX(tsk_FcFinish,CriticalTasks[[#This Row],[_Task]]))=0,"",INDEX(tsk_FcFinish,CriticalTasks[[#This Row],[_Task]])))</f>
        <v>46371</v>
      </c>
      <c r="H97" s="56" t="n">
        <f aca="false">IF(CriticalTasks[[#This Row],[_Task]]="","",INDEX(tsk_TotalSlack,CriticalTasks[[#This Row],[_Task]]))</f>
        <v>0</v>
      </c>
      <c r="I97" s="24" t="str">
        <f aca="false">IF(CriticalTasks[[#This Row],[_Task]]="","",INDEX(tsk_DeadlineCheck,CriticalTasks[[#This Row],[_Task]])&amp;"")</f>
        <v/>
      </c>
      <c r="J97" s="24" t="str">
        <f aca="false">IF(CriticalTasks[[#This Row],[_Task]]="","",INDEX(tsk_Status,CriticalTasks[[#This Row],[_Task]])&amp;"")</f>
        <v>Not Started</v>
      </c>
    </row>
    <row r="98" customFormat="false" ht="15" hidden="false" customHeight="false" outlineLevel="0" collapsed="false">
      <c r="B98" s="32" t="n">
        <f aca="false">IFERROR(MATCH(SMALL(tsk_CriticalKey,ROW()-ROW(CriticalTasks[[#Headers],[_Task]])),tsk_CriticalKey,0),"")</f>
        <v>25</v>
      </c>
      <c r="C98" s="24" t="str">
        <f aca="false">IF(CriticalTasks[[#This Row],[_Task]]="","",INDEX(tsk_WBS,CriticalTasks[[#This Row],[_Task]])&amp;"")</f>
        <v>4.5</v>
      </c>
      <c r="D98" s="24" t="str">
        <f aca="false">IF(CriticalTasks[[#This Row],[_Task]]="","",INDEX(tsk_Name,CriticalTasks[[#This Row],[_Task]])&amp;"")</f>
        <v>Go-live</v>
      </c>
      <c r="E98" s="24" t="str">
        <f aca="false">IF(CriticalTasks[[#This Row],[_Task]]="","",INDEX(tsk_ResourceNames,CriticalTasks[[#This Row],[_Task]])&amp;"")</f>
        <v/>
      </c>
      <c r="F98" s="61" t="n">
        <f aca="false">IF(CriticalTasks[[#This Row],[_Task]]="","",IF(N(INDEX(tsk_FcStart,CriticalTasks[[#This Row],[_Task]]))=0,"",INDEX(tsk_FcStart,CriticalTasks[[#This Row],[_Task]])))</f>
        <v>46371</v>
      </c>
      <c r="G98" s="61" t="n">
        <f aca="false">IF(CriticalTasks[[#This Row],[_Task]]="","",IF(N(INDEX(tsk_FcFinish,CriticalTasks[[#This Row],[_Task]]))=0,"",INDEX(tsk_FcFinish,CriticalTasks[[#This Row],[_Task]])))</f>
        <v>46371</v>
      </c>
      <c r="H98" s="56" t="n">
        <f aca="false">IF(CriticalTasks[[#This Row],[_Task]]="","",INDEX(tsk_TotalSlack,CriticalTasks[[#This Row],[_Task]]))</f>
        <v>0</v>
      </c>
      <c r="I98" s="24" t="str">
        <f aca="false">IF(CriticalTasks[[#This Row],[_Task]]="","",INDEX(tsk_DeadlineCheck,CriticalTasks[[#This Row],[_Task]])&amp;"")</f>
        <v>OK</v>
      </c>
      <c r="J98" s="24" t="str">
        <f aca="false">IF(CriticalTasks[[#This Row],[_Task]]="","",INDEX(tsk_Status,CriticalTasks[[#This Row],[_Task]])&amp;"")</f>
        <v>Not Started</v>
      </c>
    </row>
    <row r="99" customFormat="false" ht="15" hidden="false" customHeight="false" outlineLevel="0" collapsed="false">
      <c r="B99" s="32" t="n">
        <f aca="false">IFERROR(MATCH(SMALL(tsk_CriticalKey,ROW()-ROW(CriticalTasks[[#Headers],[_Task]])),tsk_CriticalKey,0),"")</f>
        <v>26</v>
      </c>
      <c r="C99" s="24" t="str">
        <f aca="false">IF(CriticalTasks[[#This Row],[_Task]]="","",INDEX(tsk_WBS,CriticalTasks[[#This Row],[_Task]])&amp;"")</f>
        <v>4.6</v>
      </c>
      <c r="D99" s="24" t="str">
        <f aca="false">IF(CriticalTasks[[#This Row],[_Task]]="","",INDEX(tsk_Name,CriticalTasks[[#This Row],[_Task]])&amp;"")</f>
        <v>Hypercare support</v>
      </c>
      <c r="E99" s="24" t="str">
        <f aca="false">IF(CriticalTasks[[#This Row],[_Task]]="","",INDEX(tsk_ResourceNames,CriticalTasks[[#This Row],[_Task]])&amp;"")</f>
        <v>Jordan Lee[50%]</v>
      </c>
      <c r="F99" s="61" t="n">
        <f aca="false">IF(CriticalTasks[[#This Row],[_Task]]="","",IF(N(INDEX(tsk_FcStart,CriticalTasks[[#This Row],[_Task]]))=0,"",INDEX(tsk_FcStart,CriticalTasks[[#This Row],[_Task]])))</f>
        <v>46372</v>
      </c>
      <c r="G99" s="61" t="n">
        <f aca="false">IF(CriticalTasks[[#This Row],[_Task]]="","",IF(N(INDEX(tsk_FcFinish,CriticalTasks[[#This Row],[_Task]]))=0,"",INDEX(tsk_FcFinish,CriticalTasks[[#This Row],[_Task]])))</f>
        <v>46391</v>
      </c>
      <c r="H99" s="56" t="n">
        <f aca="false">IF(CriticalTasks[[#This Row],[_Task]]="","",INDEX(tsk_TotalSlack,CriticalTasks[[#This Row],[_Task]]))</f>
        <v>0</v>
      </c>
      <c r="I99" s="24" t="str">
        <f aca="false">IF(CriticalTasks[[#This Row],[_Task]]="","",INDEX(tsk_DeadlineCheck,CriticalTasks[[#This Row],[_Task]])&amp;"")</f>
        <v/>
      </c>
      <c r="J99" s="24" t="str">
        <f aca="false">IF(CriticalTasks[[#This Row],[_Task]]="","",INDEX(tsk_Status,CriticalTasks[[#This Row],[_Task]])&amp;"")</f>
        <v>Not Started</v>
      </c>
    </row>
    <row r="100" customFormat="false" ht="15" hidden="false" customHeight="false" outlineLevel="0" collapsed="false">
      <c r="B100" s="32" t="n">
        <f aca="false">IFERROR(MATCH(SMALL(tsk_CriticalKey,ROW()-ROW(CriticalTasks[[#Headers],[_Task]])),tsk_CriticalKey,0),"")</f>
        <v>29</v>
      </c>
      <c r="C100" s="24" t="str">
        <f aca="false">IF(CriticalTasks[[#This Row],[_Task]]="","",INDEX(tsk_WBS,CriticalTasks[[#This Row],[_Task]])&amp;"")</f>
        <v>5.2</v>
      </c>
      <c r="D100" s="24" t="str">
        <f aca="false">IF(CriticalTasks[[#This Row],[_Task]]="","",INDEX(tsk_Name,CriticalTasks[[#This Row],[_Task]])&amp;"")</f>
        <v>Lessons learned</v>
      </c>
      <c r="E100" s="24" t="str">
        <f aca="false">IF(CriticalTasks[[#This Row],[_Task]]="","",INDEX(tsk_ResourceNames,CriticalTasks[[#This Row],[_Task]])&amp;"")</f>
        <v>Priya Sharma</v>
      </c>
      <c r="F100" s="61" t="n">
        <f aca="false">IF(CriticalTasks[[#This Row],[_Task]]="","",IF(N(INDEX(tsk_FcStart,CriticalTasks[[#This Row],[_Task]]))=0,"",INDEX(tsk_FcStart,CriticalTasks[[#This Row],[_Task]])))</f>
        <v>46392</v>
      </c>
      <c r="G100" s="61" t="n">
        <f aca="false">IF(CriticalTasks[[#This Row],[_Task]]="","",IF(N(INDEX(tsk_FcFinish,CriticalTasks[[#This Row],[_Task]]))=0,"",INDEX(tsk_FcFinish,CriticalTasks[[#This Row],[_Task]])))</f>
        <v>46393</v>
      </c>
      <c r="H100" s="56" t="n">
        <f aca="false">IF(CriticalTasks[[#This Row],[_Task]]="","",INDEX(tsk_TotalSlack,CriticalTasks[[#This Row],[_Task]]))</f>
        <v>0</v>
      </c>
      <c r="I100" s="24" t="str">
        <f aca="false">IF(CriticalTasks[[#This Row],[_Task]]="","",INDEX(tsk_DeadlineCheck,CriticalTasks[[#This Row],[_Task]])&amp;"")</f>
        <v/>
      </c>
      <c r="J100" s="24" t="str">
        <f aca="false">IF(CriticalTasks[[#This Row],[_Task]]="","",INDEX(tsk_Status,CriticalTasks[[#This Row],[_Task]])&amp;"")</f>
        <v>Not Started</v>
      </c>
    </row>
    <row r="101" customFormat="false" ht="15" hidden="false" customHeight="false" outlineLevel="0" collapsed="false">
      <c r="B101" s="32" t="n">
        <f aca="false">IFERROR(MATCH(SMALL(tsk_CriticalKey,ROW()-ROW(CriticalTasks[[#Headers],[_Task]])),tsk_CriticalKey,0),"")</f>
        <v>30</v>
      </c>
      <c r="C101" s="24" t="str">
        <f aca="false">IF(CriticalTasks[[#This Row],[_Task]]="","",INDEX(tsk_WBS,CriticalTasks[[#This Row],[_Task]])&amp;"")</f>
        <v>5.3</v>
      </c>
      <c r="D101" s="24" t="str">
        <f aca="false">IF(CriticalTasks[[#This Row],[_Task]]="","",INDEX(tsk_Name,CriticalTasks[[#This Row],[_Task]])&amp;"")</f>
        <v>Project closed</v>
      </c>
      <c r="E101" s="24" t="str">
        <f aca="false">IF(CriticalTasks[[#This Row],[_Task]]="","",INDEX(tsk_ResourceNames,CriticalTasks[[#This Row],[_Task]])&amp;"")</f>
        <v/>
      </c>
      <c r="F101" s="61" t="n">
        <f aca="false">IF(CriticalTasks[[#This Row],[_Task]]="","",IF(N(INDEX(tsk_FcStart,CriticalTasks[[#This Row],[_Task]]))=0,"",INDEX(tsk_FcStart,CriticalTasks[[#This Row],[_Task]])))</f>
        <v>46393</v>
      </c>
      <c r="G101" s="61" t="n">
        <f aca="false">IF(CriticalTasks[[#This Row],[_Task]]="","",IF(N(INDEX(tsk_FcFinish,CriticalTasks[[#This Row],[_Task]]))=0,"",INDEX(tsk_FcFinish,CriticalTasks[[#This Row],[_Task]])))</f>
        <v>46393</v>
      </c>
      <c r="H101" s="56" t="n">
        <f aca="false">IF(CriticalTasks[[#This Row],[_Task]]="","",INDEX(tsk_TotalSlack,CriticalTasks[[#This Row],[_Task]]))</f>
        <v>0</v>
      </c>
      <c r="I101" s="24" t="str">
        <f aca="false">IF(CriticalTasks[[#This Row],[_Task]]="","",INDEX(tsk_DeadlineCheck,CriticalTasks[[#This Row],[_Task]])&amp;"")</f>
        <v/>
      </c>
      <c r="J101" s="24" t="str">
        <f aca="false">IF(CriticalTasks[[#This Row],[_Task]]="","",INDEX(tsk_Status,CriticalTasks[[#This Row],[_Task]])&amp;"")</f>
        <v>Not Started</v>
      </c>
    </row>
    <row r="102" customFormat="false" ht="15" hidden="false" customHeight="false" outlineLevel="0" collapsed="false">
      <c r="B102" s="32" t="str">
        <f aca="false">IFERROR(MATCH(SMALL(tsk_CriticalKey,ROW()-ROW(CriticalTasks[[#Headers],[_Task]])),tsk_CriticalKey,0),"")</f>
        <v/>
      </c>
      <c r="C102" s="24" t="str">
        <f aca="false">IF(CriticalTasks[[#This Row],[_Task]]="","",INDEX(tsk_WBS,CriticalTasks[[#This Row],[_Task]])&amp;"")</f>
        <v/>
      </c>
      <c r="D102" s="24" t="str">
        <f aca="false">IF(CriticalTasks[[#This Row],[_Task]]="","",INDEX(tsk_Name,CriticalTasks[[#This Row],[_Task]])&amp;"")</f>
        <v/>
      </c>
      <c r="E102" s="24" t="str">
        <f aca="false">IF(CriticalTasks[[#This Row],[_Task]]="","",INDEX(tsk_ResourceNames,CriticalTasks[[#This Row],[_Task]])&amp;"")</f>
        <v/>
      </c>
      <c r="F102" s="61" t="str">
        <f aca="false">IF(CriticalTasks[[#This Row],[_Task]]="","",IF(N(INDEX(tsk_FcStart,CriticalTasks[[#This Row],[_Task]]))=0,"",INDEX(tsk_FcStart,CriticalTasks[[#This Row],[_Task]])))</f>
        <v/>
      </c>
      <c r="G102" s="61" t="str">
        <f aca="false">IF(CriticalTasks[[#This Row],[_Task]]="","",IF(N(INDEX(tsk_FcFinish,CriticalTasks[[#This Row],[_Task]]))=0,"",INDEX(tsk_FcFinish,CriticalTasks[[#This Row],[_Task]])))</f>
        <v/>
      </c>
      <c r="H102" s="56" t="str">
        <f aca="false">IF(CriticalTasks[[#This Row],[_Task]]="","",INDEX(tsk_TotalSlack,CriticalTasks[[#This Row],[_Task]]))</f>
        <v/>
      </c>
      <c r="I102" s="24" t="str">
        <f aca="false">IF(CriticalTasks[[#This Row],[_Task]]="","",INDEX(tsk_DeadlineCheck,CriticalTasks[[#This Row],[_Task]])&amp;"")</f>
        <v/>
      </c>
      <c r="J102" s="24" t="str">
        <f aca="false">IF(CriticalTasks[[#This Row],[_Task]]="","",INDEX(tsk_Status,CriticalTasks[[#This Row],[_Task]])&amp;"")</f>
        <v/>
      </c>
    </row>
    <row r="103" customFormat="false" ht="15" hidden="false" customHeight="false" outlineLevel="0" collapsed="false">
      <c r="B103" s="32" t="str">
        <f aca="false">IFERROR(MATCH(SMALL(tsk_CriticalKey,ROW()-ROW(CriticalTasks[[#Headers],[_Task]])),tsk_CriticalKey,0),"")</f>
        <v/>
      </c>
      <c r="C103" s="24" t="str">
        <f aca="false">IF(CriticalTasks[[#This Row],[_Task]]="","",INDEX(tsk_WBS,CriticalTasks[[#This Row],[_Task]])&amp;"")</f>
        <v/>
      </c>
      <c r="D103" s="24" t="str">
        <f aca="false">IF(CriticalTasks[[#This Row],[_Task]]="","",INDEX(tsk_Name,CriticalTasks[[#This Row],[_Task]])&amp;"")</f>
        <v/>
      </c>
      <c r="E103" s="24" t="str">
        <f aca="false">IF(CriticalTasks[[#This Row],[_Task]]="","",INDEX(tsk_ResourceNames,CriticalTasks[[#This Row],[_Task]])&amp;"")</f>
        <v/>
      </c>
      <c r="F103" s="61" t="str">
        <f aca="false">IF(CriticalTasks[[#This Row],[_Task]]="","",IF(N(INDEX(tsk_FcStart,CriticalTasks[[#This Row],[_Task]]))=0,"",INDEX(tsk_FcStart,CriticalTasks[[#This Row],[_Task]])))</f>
        <v/>
      </c>
      <c r="G103" s="61" t="str">
        <f aca="false">IF(CriticalTasks[[#This Row],[_Task]]="","",IF(N(INDEX(tsk_FcFinish,CriticalTasks[[#This Row],[_Task]]))=0,"",INDEX(tsk_FcFinish,CriticalTasks[[#This Row],[_Task]])))</f>
        <v/>
      </c>
      <c r="H103" s="56" t="str">
        <f aca="false">IF(CriticalTasks[[#This Row],[_Task]]="","",INDEX(tsk_TotalSlack,CriticalTasks[[#This Row],[_Task]]))</f>
        <v/>
      </c>
      <c r="I103" s="24" t="str">
        <f aca="false">IF(CriticalTasks[[#This Row],[_Task]]="","",INDEX(tsk_DeadlineCheck,CriticalTasks[[#This Row],[_Task]])&amp;"")</f>
        <v/>
      </c>
      <c r="J103" s="24" t="str">
        <f aca="false">IF(CriticalTasks[[#This Row],[_Task]]="","",INDEX(tsk_Status,CriticalTasks[[#This Row],[_Task]])&amp;"")</f>
        <v/>
      </c>
    </row>
    <row r="104" customFormat="false" ht="15" hidden="false" customHeight="false" outlineLevel="0" collapsed="false">
      <c r="B104" s="32" t="str">
        <f aca="false">IFERROR(MATCH(SMALL(tsk_CriticalKey,ROW()-ROW(CriticalTasks[[#Headers],[_Task]])),tsk_CriticalKey,0),"")</f>
        <v/>
      </c>
      <c r="C104" s="24" t="str">
        <f aca="false">IF(CriticalTasks[[#This Row],[_Task]]="","",INDEX(tsk_WBS,CriticalTasks[[#This Row],[_Task]])&amp;"")</f>
        <v/>
      </c>
      <c r="D104" s="24" t="str">
        <f aca="false">IF(CriticalTasks[[#This Row],[_Task]]="","",INDEX(tsk_Name,CriticalTasks[[#This Row],[_Task]])&amp;"")</f>
        <v/>
      </c>
      <c r="E104" s="24" t="str">
        <f aca="false">IF(CriticalTasks[[#This Row],[_Task]]="","",INDEX(tsk_ResourceNames,CriticalTasks[[#This Row],[_Task]])&amp;"")</f>
        <v/>
      </c>
      <c r="F104" s="61" t="str">
        <f aca="false">IF(CriticalTasks[[#This Row],[_Task]]="","",IF(N(INDEX(tsk_FcStart,CriticalTasks[[#This Row],[_Task]]))=0,"",INDEX(tsk_FcStart,CriticalTasks[[#This Row],[_Task]])))</f>
        <v/>
      </c>
      <c r="G104" s="61" t="str">
        <f aca="false">IF(CriticalTasks[[#This Row],[_Task]]="","",IF(N(INDEX(tsk_FcFinish,CriticalTasks[[#This Row],[_Task]]))=0,"",INDEX(tsk_FcFinish,CriticalTasks[[#This Row],[_Task]])))</f>
        <v/>
      </c>
      <c r="H104" s="56" t="str">
        <f aca="false">IF(CriticalTasks[[#This Row],[_Task]]="","",INDEX(tsk_TotalSlack,CriticalTasks[[#This Row],[_Task]]))</f>
        <v/>
      </c>
      <c r="I104" s="24" t="str">
        <f aca="false">IF(CriticalTasks[[#This Row],[_Task]]="","",INDEX(tsk_DeadlineCheck,CriticalTasks[[#This Row],[_Task]])&amp;"")</f>
        <v/>
      </c>
      <c r="J104" s="24" t="str">
        <f aca="false">IF(CriticalTasks[[#This Row],[_Task]]="","",INDEX(tsk_Status,CriticalTasks[[#This Row],[_Task]])&amp;"")</f>
        <v/>
      </c>
    </row>
    <row r="105" customFormat="false" ht="15" hidden="false" customHeight="false" outlineLevel="0" collapsed="false">
      <c r="B105" s="32" t="str">
        <f aca="false">IFERROR(MATCH(SMALL(tsk_CriticalKey,ROW()-ROW(CriticalTasks[[#Headers],[_Task]])),tsk_CriticalKey,0),"")</f>
        <v/>
      </c>
      <c r="C105" s="24" t="str">
        <f aca="false">IF(CriticalTasks[[#This Row],[_Task]]="","",INDEX(tsk_WBS,CriticalTasks[[#This Row],[_Task]])&amp;"")</f>
        <v/>
      </c>
      <c r="D105" s="24" t="str">
        <f aca="false">IF(CriticalTasks[[#This Row],[_Task]]="","",INDEX(tsk_Name,CriticalTasks[[#This Row],[_Task]])&amp;"")</f>
        <v/>
      </c>
      <c r="E105" s="24" t="str">
        <f aca="false">IF(CriticalTasks[[#This Row],[_Task]]="","",INDEX(tsk_ResourceNames,CriticalTasks[[#This Row],[_Task]])&amp;"")</f>
        <v/>
      </c>
      <c r="F105" s="61" t="str">
        <f aca="false">IF(CriticalTasks[[#This Row],[_Task]]="","",IF(N(INDEX(tsk_FcStart,CriticalTasks[[#This Row],[_Task]]))=0,"",INDEX(tsk_FcStart,CriticalTasks[[#This Row],[_Task]])))</f>
        <v/>
      </c>
      <c r="G105" s="61" t="str">
        <f aca="false">IF(CriticalTasks[[#This Row],[_Task]]="","",IF(N(INDEX(tsk_FcFinish,CriticalTasks[[#This Row],[_Task]]))=0,"",INDEX(tsk_FcFinish,CriticalTasks[[#This Row],[_Task]])))</f>
        <v/>
      </c>
      <c r="H105" s="56" t="str">
        <f aca="false">IF(CriticalTasks[[#This Row],[_Task]]="","",INDEX(tsk_TotalSlack,CriticalTasks[[#This Row],[_Task]]))</f>
        <v/>
      </c>
      <c r="I105" s="24" t="str">
        <f aca="false">IF(CriticalTasks[[#This Row],[_Task]]="","",INDEX(tsk_DeadlineCheck,CriticalTasks[[#This Row],[_Task]])&amp;"")</f>
        <v/>
      </c>
      <c r="J105" s="24" t="str">
        <f aca="false">IF(CriticalTasks[[#This Row],[_Task]]="","",INDEX(tsk_Status,CriticalTasks[[#This Row],[_Task]])&amp;"")</f>
        <v/>
      </c>
    </row>
    <row r="106" customFormat="false" ht="15" hidden="false" customHeight="false" outlineLevel="0" collapsed="false">
      <c r="B106" s="32" t="str">
        <f aca="false">IFERROR(MATCH(SMALL(tsk_CriticalKey,ROW()-ROW(CriticalTasks[[#Headers],[_Task]])),tsk_CriticalKey,0),"")</f>
        <v/>
      </c>
      <c r="C106" s="24" t="str">
        <f aca="false">IF(CriticalTasks[[#This Row],[_Task]]="","",INDEX(tsk_WBS,CriticalTasks[[#This Row],[_Task]])&amp;"")</f>
        <v/>
      </c>
      <c r="D106" s="24" t="str">
        <f aca="false">IF(CriticalTasks[[#This Row],[_Task]]="","",INDEX(tsk_Name,CriticalTasks[[#This Row],[_Task]])&amp;"")</f>
        <v/>
      </c>
      <c r="E106" s="24" t="str">
        <f aca="false">IF(CriticalTasks[[#This Row],[_Task]]="","",INDEX(tsk_ResourceNames,CriticalTasks[[#This Row],[_Task]])&amp;"")</f>
        <v/>
      </c>
      <c r="F106" s="61" t="str">
        <f aca="false">IF(CriticalTasks[[#This Row],[_Task]]="","",IF(N(INDEX(tsk_FcStart,CriticalTasks[[#This Row],[_Task]]))=0,"",INDEX(tsk_FcStart,CriticalTasks[[#This Row],[_Task]])))</f>
        <v/>
      </c>
      <c r="G106" s="61" t="str">
        <f aca="false">IF(CriticalTasks[[#This Row],[_Task]]="","",IF(N(INDEX(tsk_FcFinish,CriticalTasks[[#This Row],[_Task]]))=0,"",INDEX(tsk_FcFinish,CriticalTasks[[#This Row],[_Task]])))</f>
        <v/>
      </c>
      <c r="H106" s="56" t="str">
        <f aca="false">IF(CriticalTasks[[#This Row],[_Task]]="","",INDEX(tsk_TotalSlack,CriticalTasks[[#This Row],[_Task]]))</f>
        <v/>
      </c>
      <c r="I106" s="24" t="str">
        <f aca="false">IF(CriticalTasks[[#This Row],[_Task]]="","",INDEX(tsk_DeadlineCheck,CriticalTasks[[#This Row],[_Task]])&amp;"")</f>
        <v/>
      </c>
      <c r="J106" s="24" t="str">
        <f aca="false">IF(CriticalTasks[[#This Row],[_Task]]="","",INDEX(tsk_Status,CriticalTasks[[#This Row],[_Task]])&amp;"")</f>
        <v/>
      </c>
    </row>
    <row r="107" customFormat="false" ht="15" hidden="false" customHeight="false" outlineLevel="0" collapsed="false">
      <c r="B107" s="32" t="str">
        <f aca="false">IFERROR(MATCH(SMALL(tsk_CriticalKey,ROW()-ROW(CriticalTasks[[#Headers],[_Task]])),tsk_CriticalKey,0),"")</f>
        <v/>
      </c>
      <c r="C107" s="24" t="str">
        <f aca="false">IF(CriticalTasks[[#This Row],[_Task]]="","",INDEX(tsk_WBS,CriticalTasks[[#This Row],[_Task]])&amp;"")</f>
        <v/>
      </c>
      <c r="D107" s="24" t="str">
        <f aca="false">IF(CriticalTasks[[#This Row],[_Task]]="","",INDEX(tsk_Name,CriticalTasks[[#This Row],[_Task]])&amp;"")</f>
        <v/>
      </c>
      <c r="E107" s="24" t="str">
        <f aca="false">IF(CriticalTasks[[#This Row],[_Task]]="","",INDEX(tsk_ResourceNames,CriticalTasks[[#This Row],[_Task]])&amp;"")</f>
        <v/>
      </c>
      <c r="F107" s="61" t="str">
        <f aca="false">IF(CriticalTasks[[#This Row],[_Task]]="","",IF(N(INDEX(tsk_FcStart,CriticalTasks[[#This Row],[_Task]]))=0,"",INDEX(tsk_FcStart,CriticalTasks[[#This Row],[_Task]])))</f>
        <v/>
      </c>
      <c r="G107" s="61" t="str">
        <f aca="false">IF(CriticalTasks[[#This Row],[_Task]]="","",IF(N(INDEX(tsk_FcFinish,CriticalTasks[[#This Row],[_Task]]))=0,"",INDEX(tsk_FcFinish,CriticalTasks[[#This Row],[_Task]])))</f>
        <v/>
      </c>
      <c r="H107" s="56" t="str">
        <f aca="false">IF(CriticalTasks[[#This Row],[_Task]]="","",INDEX(tsk_TotalSlack,CriticalTasks[[#This Row],[_Task]]))</f>
        <v/>
      </c>
      <c r="I107" s="24" t="str">
        <f aca="false">IF(CriticalTasks[[#This Row],[_Task]]="","",INDEX(tsk_DeadlineCheck,CriticalTasks[[#This Row],[_Task]])&amp;"")</f>
        <v/>
      </c>
      <c r="J107" s="24" t="str">
        <f aca="false">IF(CriticalTasks[[#This Row],[_Task]]="","",INDEX(tsk_Status,CriticalTasks[[#This Row],[_Task]])&amp;"")</f>
        <v/>
      </c>
    </row>
    <row r="108" customFormat="false" ht="15" hidden="false" customHeight="false" outlineLevel="0" collapsed="false">
      <c r="B108" s="32" t="str">
        <f aca="false">IFERROR(MATCH(SMALL(tsk_CriticalKey,ROW()-ROW(CriticalTasks[[#Headers],[_Task]])),tsk_CriticalKey,0),"")</f>
        <v/>
      </c>
      <c r="C108" s="24" t="str">
        <f aca="false">IF(CriticalTasks[[#This Row],[_Task]]="","",INDEX(tsk_WBS,CriticalTasks[[#This Row],[_Task]])&amp;"")</f>
        <v/>
      </c>
      <c r="D108" s="24" t="str">
        <f aca="false">IF(CriticalTasks[[#This Row],[_Task]]="","",INDEX(tsk_Name,CriticalTasks[[#This Row],[_Task]])&amp;"")</f>
        <v/>
      </c>
      <c r="E108" s="24" t="str">
        <f aca="false">IF(CriticalTasks[[#This Row],[_Task]]="","",INDEX(tsk_ResourceNames,CriticalTasks[[#This Row],[_Task]])&amp;"")</f>
        <v/>
      </c>
      <c r="F108" s="61" t="str">
        <f aca="false">IF(CriticalTasks[[#This Row],[_Task]]="","",IF(N(INDEX(tsk_FcStart,CriticalTasks[[#This Row],[_Task]]))=0,"",INDEX(tsk_FcStart,CriticalTasks[[#This Row],[_Task]])))</f>
        <v/>
      </c>
      <c r="G108" s="61" t="str">
        <f aca="false">IF(CriticalTasks[[#This Row],[_Task]]="","",IF(N(INDEX(tsk_FcFinish,CriticalTasks[[#This Row],[_Task]]))=0,"",INDEX(tsk_FcFinish,CriticalTasks[[#This Row],[_Task]])))</f>
        <v/>
      </c>
      <c r="H108" s="56" t="str">
        <f aca="false">IF(CriticalTasks[[#This Row],[_Task]]="","",INDEX(tsk_TotalSlack,CriticalTasks[[#This Row],[_Task]]))</f>
        <v/>
      </c>
      <c r="I108" s="24" t="str">
        <f aca="false">IF(CriticalTasks[[#This Row],[_Task]]="","",INDEX(tsk_DeadlineCheck,CriticalTasks[[#This Row],[_Task]])&amp;"")</f>
        <v/>
      </c>
      <c r="J108" s="24" t="str">
        <f aca="false">IF(CriticalTasks[[#This Row],[_Task]]="","",INDEX(tsk_Status,CriticalTasks[[#This Row],[_Task]])&amp;"")</f>
        <v/>
      </c>
    </row>
    <row r="109" customFormat="false" ht="15" hidden="false" customHeight="false" outlineLevel="0" collapsed="false">
      <c r="B109" s="32" t="str">
        <f aca="false">IFERROR(MATCH(SMALL(tsk_CriticalKey,ROW()-ROW(CriticalTasks[[#Headers],[_Task]])),tsk_CriticalKey,0),"")</f>
        <v/>
      </c>
      <c r="C109" s="24" t="str">
        <f aca="false">IF(CriticalTasks[[#This Row],[_Task]]="","",INDEX(tsk_WBS,CriticalTasks[[#This Row],[_Task]])&amp;"")</f>
        <v/>
      </c>
      <c r="D109" s="24" t="str">
        <f aca="false">IF(CriticalTasks[[#This Row],[_Task]]="","",INDEX(tsk_Name,CriticalTasks[[#This Row],[_Task]])&amp;"")</f>
        <v/>
      </c>
      <c r="E109" s="24" t="str">
        <f aca="false">IF(CriticalTasks[[#This Row],[_Task]]="","",INDEX(tsk_ResourceNames,CriticalTasks[[#This Row],[_Task]])&amp;"")</f>
        <v/>
      </c>
      <c r="F109" s="61" t="str">
        <f aca="false">IF(CriticalTasks[[#This Row],[_Task]]="","",IF(N(INDEX(tsk_FcStart,CriticalTasks[[#This Row],[_Task]]))=0,"",INDEX(tsk_FcStart,CriticalTasks[[#This Row],[_Task]])))</f>
        <v/>
      </c>
      <c r="G109" s="61" t="str">
        <f aca="false">IF(CriticalTasks[[#This Row],[_Task]]="","",IF(N(INDEX(tsk_FcFinish,CriticalTasks[[#This Row],[_Task]]))=0,"",INDEX(tsk_FcFinish,CriticalTasks[[#This Row],[_Task]])))</f>
        <v/>
      </c>
      <c r="H109" s="56" t="str">
        <f aca="false">IF(CriticalTasks[[#This Row],[_Task]]="","",INDEX(tsk_TotalSlack,CriticalTasks[[#This Row],[_Task]]))</f>
        <v/>
      </c>
      <c r="I109" s="24" t="str">
        <f aca="false">IF(CriticalTasks[[#This Row],[_Task]]="","",INDEX(tsk_DeadlineCheck,CriticalTasks[[#This Row],[_Task]])&amp;"")</f>
        <v/>
      </c>
      <c r="J109" s="24" t="str">
        <f aca="false">IF(CriticalTasks[[#This Row],[_Task]]="","",INDEX(tsk_Status,CriticalTasks[[#This Row],[_Task]])&amp;"")</f>
        <v/>
      </c>
    </row>
    <row r="110" customFormat="false" ht="15" hidden="false" customHeight="false" outlineLevel="0" collapsed="false">
      <c r="B110" s="32" t="str">
        <f aca="false">IFERROR(MATCH(SMALL(tsk_CriticalKey,ROW()-ROW(CriticalTasks[[#Headers],[_Task]])),tsk_CriticalKey,0),"")</f>
        <v/>
      </c>
      <c r="C110" s="24" t="str">
        <f aca="false">IF(CriticalTasks[[#This Row],[_Task]]="","",INDEX(tsk_WBS,CriticalTasks[[#This Row],[_Task]])&amp;"")</f>
        <v/>
      </c>
      <c r="D110" s="24" t="str">
        <f aca="false">IF(CriticalTasks[[#This Row],[_Task]]="","",INDEX(tsk_Name,CriticalTasks[[#This Row],[_Task]])&amp;"")</f>
        <v/>
      </c>
      <c r="E110" s="24" t="str">
        <f aca="false">IF(CriticalTasks[[#This Row],[_Task]]="","",INDEX(tsk_ResourceNames,CriticalTasks[[#This Row],[_Task]])&amp;"")</f>
        <v/>
      </c>
      <c r="F110" s="61" t="str">
        <f aca="false">IF(CriticalTasks[[#This Row],[_Task]]="","",IF(N(INDEX(tsk_FcStart,CriticalTasks[[#This Row],[_Task]]))=0,"",INDEX(tsk_FcStart,CriticalTasks[[#This Row],[_Task]])))</f>
        <v/>
      </c>
      <c r="G110" s="61" t="str">
        <f aca="false">IF(CriticalTasks[[#This Row],[_Task]]="","",IF(N(INDEX(tsk_FcFinish,CriticalTasks[[#This Row],[_Task]]))=0,"",INDEX(tsk_FcFinish,CriticalTasks[[#This Row],[_Task]])))</f>
        <v/>
      </c>
      <c r="H110" s="56" t="str">
        <f aca="false">IF(CriticalTasks[[#This Row],[_Task]]="","",INDEX(tsk_TotalSlack,CriticalTasks[[#This Row],[_Task]]))</f>
        <v/>
      </c>
      <c r="I110" s="24" t="str">
        <f aca="false">IF(CriticalTasks[[#This Row],[_Task]]="","",INDEX(tsk_DeadlineCheck,CriticalTasks[[#This Row],[_Task]])&amp;"")</f>
        <v/>
      </c>
      <c r="J110" s="24" t="str">
        <f aca="false">IF(CriticalTasks[[#This Row],[_Task]]="","",INDEX(tsk_Status,CriticalTasks[[#This Row],[_Task]])&amp;"")</f>
        <v/>
      </c>
    </row>
  </sheetData>
  <conditionalFormatting sqref="P6:P15">
    <cfRule type="expression" priority="2" aboveAverage="0" equalAverage="0" bottom="0" percent="0" rank="0" text="" dxfId="13">
      <formula>P6="Green"</formula>
    </cfRule>
    <cfRule type="expression" priority="3" aboveAverage="0" equalAverage="0" bottom="0" percent="0" rank="0" text="" dxfId="14">
      <formula>P6="Amber"</formula>
    </cfRule>
    <cfRule type="expression" priority="4" aboveAverage="0" equalAverage="0" bottom="0" percent="0" rank="0" text="" dxfId="15">
      <formula>P6="Red"</formula>
    </cfRule>
  </conditionalFormatting>
  <conditionalFormatting sqref="G6:G15">
    <cfRule type="expression" priority="5" aboveAverage="0" equalAverage="0" bottom="0" percent="0" rank="0" text="" dxfId="26">
      <formula>AND(ISNUMBER(G6),G6&gt;0)</formula>
    </cfRule>
  </conditionalFormatting>
  <conditionalFormatting sqref="G19:G33">
    <cfRule type="expression" priority="6" aboveAverage="0" equalAverage="0" bottom="0" percent="0" rank="0" text="" dxfId="26">
      <formula>AND(ISNUMBER(G19),G19&gt;0)</formula>
    </cfRule>
  </conditionalFormatting>
  <conditionalFormatting sqref="I19:I33">
    <cfRule type="expression" priority="7" aboveAverage="0" equalAverage="0" bottom="0" percent="0" rank="0" text="" dxfId="26">
      <formula>LEFT(I19,4)="Late"</formula>
    </cfRule>
  </conditionalFormatting>
  <conditionalFormatting sqref="H37:H51">
    <cfRule type="expression" priority="8" aboveAverage="0" equalAverage="0" bottom="0" percent="0" rank="0" text="" dxfId="26">
      <formula>AND(ISNUMBER(H37),H37&gt;0)</formula>
    </cfRule>
  </conditionalFormatting>
  <conditionalFormatting sqref="J37:J51">
    <cfRule type="expression" priority="9" aboveAverage="0" equalAverage="0" bottom="0" percent="0" rank="0" text="" dxfId="33">
      <formula>J37="Yes"</formula>
    </cfRule>
  </conditionalFormatting>
  <conditionalFormatting sqref="J55:J69">
    <cfRule type="expression" priority="10" aboveAverage="0" equalAverage="0" bottom="0" percent="0" rank="0" text="" dxfId="33">
      <formula>J55="Yes"</formula>
    </cfRule>
  </conditionalFormatting>
  <conditionalFormatting sqref="J73:J87">
    <cfRule type="expression" priority="11" aboveAverage="0" equalAverage="0" bottom="0" percent="0" rank="0" text="" dxfId="33">
      <formula>J73="Yes"</formula>
    </cfRule>
  </conditionalFormatting>
  <conditionalFormatting sqref="H73:H87">
    <cfRule type="expression" priority="12" aboveAverage="0" equalAverage="0" bottom="0" percent="0" rank="0" text="" dxfId="26">
      <formula>LEFT(H73,4)="Late"</formula>
    </cfRule>
  </conditionalFormatting>
  <conditionalFormatting sqref="I91:I110">
    <cfRule type="expression" priority="13" aboveAverage="0" equalAverage="0" bottom="0" percent="0" rank="0" text="" dxfId="26">
      <formula>LEFT(I91,4)="Late"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AD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29" min="4" style="0" width="9"/>
  </cols>
  <sheetData>
    <row r="1" customFormat="false" ht="19.7" hidden="false" customHeight="false" outlineLevel="0" collapsed="false">
      <c r="A1" s="26" t="str">
        <f aca="false">ProjectName&amp;"  -  Resource Report"</f>
        <v>Customer Portal Implementation  -  Resource Report</v>
      </c>
    </row>
    <row r="2" customFormat="false" ht="15" hidden="false" customHeight="false" outlineLevel="0" collapsed="false">
      <c r="A2" s="0" t="str">
        <f aca="false">"Weeks from "&amp;TEXT(ResourceWeekStart,"ddd dd-mmm-yyyy")&amp;" (Settings &gt; ResourceWeekStart). Hours are each task's work spread over its forecast working days; red = more than Max Units x HoursPerDay x working days in the week, less leave (Leave sheet)."</f>
        <v>Weeks from Mon 05-Oct-2026 (Settings &gt; ResourceWeekStart). Hours are each task's work spread over its forecast working days; red = more than Max Units x HoursPerDay x working days in the week, less leave (Leave sheet).</v>
      </c>
    </row>
    <row r="4" customFormat="false" ht="15" hidden="false" customHeight="false" outlineLevel="0" collapsed="false">
      <c r="B4" s="30" t="s">
        <v>241</v>
      </c>
    </row>
    <row r="5" customFormat="false" ht="23.85" hidden="false" customHeight="false" outlineLevel="0" collapsed="false">
      <c r="B5" s="9" t="s">
        <v>236</v>
      </c>
      <c r="C5" s="9" t="s">
        <v>242</v>
      </c>
      <c r="D5" s="9" t="s">
        <v>243</v>
      </c>
      <c r="E5" s="9" t="s">
        <v>244</v>
      </c>
      <c r="F5" s="9" t="s">
        <v>245</v>
      </c>
      <c r="G5" s="9" t="s">
        <v>246</v>
      </c>
      <c r="H5" s="9" t="s">
        <v>247</v>
      </c>
      <c r="I5" s="9" t="s">
        <v>248</v>
      </c>
      <c r="J5" s="9" t="s">
        <v>249</v>
      </c>
      <c r="K5" s="9" t="s">
        <v>235</v>
      </c>
      <c r="L5" s="9" t="s">
        <v>250</v>
      </c>
      <c r="M5" s="9" t="s">
        <v>251</v>
      </c>
      <c r="N5" s="9" t="s">
        <v>252</v>
      </c>
      <c r="O5" s="9" t="s">
        <v>253</v>
      </c>
    </row>
    <row r="6" customFormat="false" ht="15" hidden="false" customHeight="false" outlineLevel="0" collapsed="false">
      <c r="B6" s="24" t="str">
        <f aca="false">IFERROR(INDEX(res_Name,ROW()-ROW(ResourceSummary[[#Headers],[Resource]]))&amp;"","")</f>
        <v>Priya Sharma</v>
      </c>
      <c r="C6" s="34" t="n">
        <f aca="false">IF(ResourceSummary[[#This Row],[Resource]]="","",INDEX(ResourceTable[Max Units],ROW()-ROW(ResourceSummary[[#Headers],[Resource]])))</f>
        <v>0.5</v>
      </c>
      <c r="D6" s="64" t="n">
        <f aca="false">IF(ResourceSummary[[#This Row],[Resource]]="","",INDEX(ResourceTable[Tasks],ROW()-ROW(ResourceSummary[[#Headers],[Resource]])))</f>
        <v>4</v>
      </c>
      <c r="E6" s="65" t="n">
        <f aca="false">IF(ResourceSummary[[#This Row],[Resource]]="","",INDEX(ResourceTable[Work],ROW()-ROW(ResourceSummary[[#Headers],[Resource]])))</f>
        <v>56</v>
      </c>
      <c r="F6" s="65" t="n">
        <f aca="false">IF(ResourceSummary[[#This Row],[Resource]]="","",SUMIFS(tsk_LeafWorkDone,tsk_Resource,ResourceSummary[[#This Row],[Resource]])+SUMIFS(asg_WorkDone,asg_Resource,ResourceSummary[[#This Row],[Resource]]))</f>
        <v>24</v>
      </c>
      <c r="G6" s="65" t="n">
        <f aca="false">IF(ResourceSummary[[#This Row],[Resource]]="","",ResourceSummary[[#This Row],[Work]]-ResourceSummary[[#This Row],[Work Done]])</f>
        <v>32</v>
      </c>
      <c r="H6" s="65" t="n">
        <f aca="false">IF(ResourceSummary[[#This Row],[Resource]]="","",INDEX(ResourceTable[Cost],ROW()-ROW(ResourceSummary[[#Headers],[Resource]])))</f>
        <v>5320</v>
      </c>
      <c r="I6" s="65" t="n">
        <f aca="false">IF(ResourceSummary[[#This Row],[Resource]]="","",INDEX(ResourceTable[Actual Cost],ROW()-ROW(ResourceSummary[[#Headers],[Resource]])))</f>
        <v>3040</v>
      </c>
      <c r="J6" s="64" t="n">
        <f aca="false">IF(ResourceSummary[[#This Row],[Resource]]="","",COUNTIFS(tsk_Resource,ResourceSummary[[#This Row],[Resource]],tsk_LateKey,"&gt;0")+SUMIFS(asg_Late,asg_Resource,ResourceSummary[[#This Row],[Resource]]))</f>
        <v>0</v>
      </c>
      <c r="K6" s="64" t="n">
        <f aca="false">IF(ResourceSummary[[#This Row],[Resource]]="","",COUNTIFS(tsk_Resource,ResourceSummary[[#This Row],[Resource]],tsk_Critical,"Yes",tsk_IsLeaf,1)+SUMIFS(asg_Critical,asg_Resource,ResourceSummary[[#This Row],[Resource]]))</f>
        <v>2</v>
      </c>
      <c r="L6" s="62" t="n">
        <f aca="false">IF(ResourceSummary[[#This Row],[Resource]]="","",MAX(INDEX(rw_Load,ROW()-ROW(ResourceSummary[[#Headers],[Resource]]),0)))</f>
        <v>16</v>
      </c>
      <c r="M6" s="34" t="n">
        <f aca="false">IF(ResourceSummary[[#This Row],[Resource]]="","",MAX(INDEX(rw_Util,ROW()-ROW(ResourceSummary[[#Headers],[Resource]]),0)))</f>
        <v>0.8</v>
      </c>
      <c r="N6" s="64" t="n">
        <f aca="false">IF(ResourceSummary[[#This Row],[Resource]]="","",COUNTIF(INDEX(rw_Util,ROW()-ROW(ResourceSummary[[#Headers],[Resource]]),0),"&gt;1"))</f>
        <v>0</v>
      </c>
      <c r="O6" s="66" t="n">
        <f aca="false">IF(ResourceSummary[[#This Row],[Resource]]="","",SUM(INDEX(rw_Leave,ROW()-ROW(ResourceSummary[[#Headers],[Resource]]),0)))</f>
        <v>0</v>
      </c>
    </row>
    <row r="7" customFormat="false" ht="15" hidden="false" customHeight="false" outlineLevel="0" collapsed="false">
      <c r="B7" s="24" t="str">
        <f aca="false">IFERROR(INDEX(res_Name,ROW()-ROW(ResourceSummary[[#Headers],[Resource]]))&amp;"","")</f>
        <v>Morgan Patel</v>
      </c>
      <c r="C7" s="34" t="n">
        <f aca="false">IF(ResourceSummary[[#This Row],[Resource]]="","",INDEX(ResourceTable[Max Units],ROW()-ROW(ResourceSummary[[#Headers],[Resource]])))</f>
        <v>1</v>
      </c>
      <c r="D7" s="64" t="n">
        <f aca="false">IF(ResourceSummary[[#This Row],[Resource]]="","",INDEX(ResourceTable[Tasks],ROW()-ROW(ResourceSummary[[#Headers],[Resource]])))</f>
        <v>3</v>
      </c>
      <c r="E7" s="65" t="n">
        <f aca="false">IF(ResourceSummary[[#This Row],[Resource]]="","",INDEX(ResourceTable[Work],ROW()-ROW(ResourceSummary[[#Headers],[Resource]])))</f>
        <v>128</v>
      </c>
      <c r="F7" s="65" t="n">
        <f aca="false">IF(ResourceSummary[[#This Row],[Resource]]="","",SUMIFS(tsk_LeafWorkDone,tsk_Resource,ResourceSummary[[#This Row],[Resource]])+SUMIFS(asg_WorkDone,asg_Resource,ResourceSummary[[#This Row],[Resource]]))</f>
        <v>80</v>
      </c>
      <c r="G7" s="65" t="n">
        <f aca="false">IF(ResourceSummary[[#This Row],[Resource]]="","",ResourceSummary[[#This Row],[Work]]-ResourceSummary[[#This Row],[Work Done]])</f>
        <v>48</v>
      </c>
      <c r="H7" s="65" t="n">
        <f aca="false">IF(ResourceSummary[[#This Row],[Resource]]="","",INDEX(ResourceTable[Cost],ROW()-ROW(ResourceSummary[[#Headers],[Resource]])))</f>
        <v>8960</v>
      </c>
      <c r="I7" s="65" t="n">
        <f aca="false">IF(ResourceSummary[[#This Row],[Resource]]="","",INDEX(ResourceTable[Actual Cost],ROW()-ROW(ResourceSummary[[#Headers],[Resource]])))</f>
        <v>6160</v>
      </c>
      <c r="J7" s="64" t="n">
        <f aca="false">IF(ResourceSummary[[#This Row],[Resource]]="","",COUNTIFS(tsk_Resource,ResourceSummary[[#This Row],[Resource]],tsk_LateKey,"&gt;0")+SUMIFS(asg_Late,asg_Resource,ResourceSummary[[#This Row],[Resource]]))</f>
        <v>0</v>
      </c>
      <c r="K7" s="64" t="n">
        <f aca="false">IF(ResourceSummary[[#This Row],[Resource]]="","",COUNTIFS(tsk_Resource,ResourceSummary[[#This Row],[Resource]],tsk_Critical,"Yes",tsk_IsLeaf,1)+SUMIFS(asg_Critical,asg_Resource,ResourceSummary[[#This Row],[Resource]]))</f>
        <v>1</v>
      </c>
      <c r="L7" s="62" t="n">
        <f aca="false">IF(ResourceSummary[[#This Row],[Resource]]="","",MAX(INDEX(rw_Load,ROW()-ROW(ResourceSummary[[#Headers],[Resource]]),0)))</f>
        <v>40</v>
      </c>
      <c r="M7" s="34" t="n">
        <f aca="false">IF(ResourceSummary[[#This Row],[Resource]]="","",MAX(INDEX(rw_Util,ROW()-ROW(ResourceSummary[[#Headers],[Resource]]),0)))</f>
        <v>1</v>
      </c>
      <c r="N7" s="64" t="n">
        <f aca="false">IF(ResourceSummary[[#This Row],[Resource]]="","",COUNTIF(INDEX(rw_Util,ROW()-ROW(ResourceSummary[[#Headers],[Resource]]),0),"&gt;1"))</f>
        <v>0</v>
      </c>
      <c r="O7" s="66" t="n">
        <f aca="false">IF(ResourceSummary[[#This Row],[Resource]]="","",SUM(INDEX(rw_Leave,ROW()-ROW(ResourceSummary[[#Headers],[Resource]]),0)))</f>
        <v>3</v>
      </c>
    </row>
    <row r="8" customFormat="false" ht="15" hidden="false" customHeight="false" outlineLevel="0" collapsed="false">
      <c r="B8" s="24" t="str">
        <f aca="false">IFERROR(INDEX(res_Name,ROW()-ROW(ResourceSummary[[#Headers],[Resource]]))&amp;"","")</f>
        <v>Alex Chen</v>
      </c>
      <c r="C8" s="34" t="n">
        <f aca="false">IF(ResourceSummary[[#This Row],[Resource]]="","",INDEX(ResourceTable[Max Units],ROW()-ROW(ResourceSummary[[#Headers],[Resource]])))</f>
        <v>0.5</v>
      </c>
      <c r="D8" s="64" t="n">
        <f aca="false">IF(ResourceSummary[[#This Row],[Resource]]="","",INDEX(ResourceTable[Tasks],ROW()-ROW(ResourceSummary[[#Headers],[Resource]])))</f>
        <v>1</v>
      </c>
      <c r="E8" s="65" t="n">
        <f aca="false">IF(ResourceSummary[[#This Row],[Resource]]="","",INDEX(ResourceTable[Work],ROW()-ROW(ResourceSummary[[#Headers],[Resource]])))</f>
        <v>40</v>
      </c>
      <c r="F8" s="65" t="n">
        <f aca="false">IF(ResourceSummary[[#This Row],[Resource]]="","",SUMIFS(tsk_LeafWorkDone,tsk_Resource,ResourceSummary[[#This Row],[Resource]])+SUMIFS(asg_WorkDone,asg_Resource,ResourceSummary[[#This Row],[Resource]]))</f>
        <v>40</v>
      </c>
      <c r="G8" s="65" t="n">
        <f aca="false">IF(ResourceSummary[[#This Row],[Resource]]="","",ResourceSummary[[#This Row],[Work]]-ResourceSummary[[#This Row],[Work Done]])</f>
        <v>0</v>
      </c>
      <c r="H8" s="65" t="n">
        <f aca="false">IF(ResourceSummary[[#This Row],[Resource]]="","",INDEX(ResourceTable[Cost],ROW()-ROW(ResourceSummary[[#Headers],[Resource]])))</f>
        <v>4400</v>
      </c>
      <c r="I8" s="65" t="n">
        <f aca="false">IF(ResourceSummary[[#This Row],[Resource]]="","",INDEX(ResourceTable[Actual Cost],ROW()-ROW(ResourceSummary[[#Headers],[Resource]])))</f>
        <v>4400</v>
      </c>
      <c r="J8" s="64" t="n">
        <f aca="false">IF(ResourceSummary[[#This Row],[Resource]]="","",COUNTIFS(tsk_Resource,ResourceSummary[[#This Row],[Resource]],tsk_LateKey,"&gt;0")+SUMIFS(asg_Late,asg_Resource,ResourceSummary[[#This Row],[Resource]]))</f>
        <v>0</v>
      </c>
      <c r="K8" s="64" t="n">
        <f aca="false">IF(ResourceSummary[[#This Row],[Resource]]="","",COUNTIFS(tsk_Resource,ResourceSummary[[#This Row],[Resource]],tsk_Critical,"Yes",tsk_IsLeaf,1)+SUMIFS(asg_Critical,asg_Resource,ResourceSummary[[#This Row],[Resource]]))</f>
        <v>0</v>
      </c>
      <c r="L8" s="62" t="n">
        <f aca="false">IF(ResourceSummary[[#This Row],[Resource]]="","",MAX(INDEX(rw_Load,ROW()-ROW(ResourceSummary[[#Headers],[Resource]]),0)))</f>
        <v>0</v>
      </c>
      <c r="M8" s="34" t="n">
        <f aca="false">IF(ResourceSummary[[#This Row],[Resource]]="","",MAX(INDEX(rw_Util,ROW()-ROW(ResourceSummary[[#Headers],[Resource]]),0)))</f>
        <v>0</v>
      </c>
      <c r="N8" s="64" t="n">
        <f aca="false">IF(ResourceSummary[[#This Row],[Resource]]="","",COUNTIF(INDEX(rw_Util,ROW()-ROW(ResourceSummary[[#Headers],[Resource]]),0),"&gt;1"))</f>
        <v>0</v>
      </c>
      <c r="O8" s="66" t="n">
        <f aca="false">IF(ResourceSummary[[#This Row],[Resource]]="","",SUM(INDEX(rw_Leave,ROW()-ROW(ResourceSummary[[#Headers],[Resource]]),0)))</f>
        <v>0</v>
      </c>
    </row>
    <row r="9" customFormat="false" ht="15" hidden="false" customHeight="false" outlineLevel="0" collapsed="false">
      <c r="B9" s="24" t="str">
        <f aca="false">IFERROR(INDEX(res_Name,ROW()-ROW(ResourceSummary[[#Headers],[Resource]]))&amp;"","")</f>
        <v>Casey Kim</v>
      </c>
      <c r="C9" s="34" t="n">
        <f aca="false">IF(ResourceSummary[[#This Row],[Resource]]="","",INDEX(ResourceTable[Max Units],ROW()-ROW(ResourceSummary[[#Headers],[Resource]])))</f>
        <v>1</v>
      </c>
      <c r="D9" s="64" t="n">
        <f aca="false">IF(ResourceSummary[[#This Row],[Resource]]="","",INDEX(ResourceTable[Tasks],ROW()-ROW(ResourceSummary[[#Headers],[Resource]])))</f>
        <v>4</v>
      </c>
      <c r="E9" s="65" t="n">
        <f aca="false">IF(ResourceSummary[[#This Row],[Resource]]="","",INDEX(ResourceTable[Work],ROW()-ROW(ResourceSummary[[#Headers],[Resource]])))</f>
        <v>128</v>
      </c>
      <c r="F9" s="65" t="n">
        <f aca="false">IF(ResourceSummary[[#This Row],[Resource]]="","",SUMIFS(tsk_LeafWorkDone,tsk_Resource,ResourceSummary[[#This Row],[Resource]])+SUMIFS(asg_WorkDone,asg_Resource,ResourceSummary[[#This Row],[Resource]]))</f>
        <v>60</v>
      </c>
      <c r="G9" s="65" t="n">
        <f aca="false">IF(ResourceSummary[[#This Row],[Resource]]="","",ResourceSummary[[#This Row],[Work]]-ResourceSummary[[#This Row],[Work Done]])</f>
        <v>68</v>
      </c>
      <c r="H9" s="65" t="n">
        <f aca="false">IF(ResourceSummary[[#This Row],[Resource]]="","",INDEX(ResourceTable[Cost],ROW()-ROW(ResourceSummary[[#Headers],[Resource]])))</f>
        <v>9600</v>
      </c>
      <c r="I9" s="65" t="n">
        <f aca="false">IF(ResourceSummary[[#This Row],[Resource]]="","",INDEX(ResourceTable[Actual Cost],ROW()-ROW(ResourceSummary[[#Headers],[Resource]])))</f>
        <v>4500</v>
      </c>
      <c r="J9" s="64" t="n">
        <f aca="false">IF(ResourceSummary[[#This Row],[Resource]]="","",COUNTIFS(tsk_Resource,ResourceSummary[[#This Row],[Resource]],tsk_LateKey,"&gt;0")+SUMIFS(asg_Late,asg_Resource,ResourceSummary[[#This Row],[Resource]]))</f>
        <v>3</v>
      </c>
      <c r="K9" s="64" t="n">
        <f aca="false">IF(ResourceSummary[[#This Row],[Resource]]="","",COUNTIFS(tsk_Resource,ResourceSummary[[#This Row],[Resource]],tsk_Critical,"Yes",tsk_IsLeaf,1)+SUMIFS(asg_Critical,asg_Resource,ResourceSummary[[#This Row],[Resource]]))</f>
        <v>2</v>
      </c>
      <c r="L9" s="62" t="n">
        <f aca="false">IF(ResourceSummary[[#This Row],[Resource]]="","",MAX(INDEX(rw_Load,ROW()-ROW(ResourceSummary[[#Headers],[Resource]]),0)))</f>
        <v>25.7142857142857</v>
      </c>
      <c r="M9" s="34" t="n">
        <f aca="false">IF(ResourceSummary[[#This Row],[Resource]]="","",MAX(INDEX(rw_Util,ROW()-ROW(ResourceSummary[[#Headers],[Resource]]),0)))</f>
        <v>3</v>
      </c>
      <c r="N9" s="64" t="n">
        <f aca="false">IF(ResourceSummary[[#This Row],[Resource]]="","",COUNTIF(INDEX(rw_Util,ROW()-ROW(ResourceSummary[[#Headers],[Resource]]),0),"&gt;1"))</f>
        <v>1</v>
      </c>
      <c r="O9" s="66" t="n">
        <f aca="false">IF(ResourceSummary[[#This Row],[Resource]]="","",SUM(INDEX(rw_Leave,ROW()-ROW(ResourceSummary[[#Headers],[Resource]]),0)))</f>
        <v>9.5</v>
      </c>
    </row>
    <row r="10" customFormat="false" ht="15" hidden="false" customHeight="false" outlineLevel="0" collapsed="false">
      <c r="B10" s="24" t="str">
        <f aca="false">IFERROR(INDEX(res_Name,ROW()-ROW(ResourceSummary[[#Headers],[Resource]]))&amp;"","")</f>
        <v>Jordan Lee</v>
      </c>
      <c r="C10" s="34" t="n">
        <f aca="false">IF(ResourceSummary[[#This Row],[Resource]]="","",INDEX(ResourceTable[Max Units],ROW()-ROW(ResourceSummary[[#Headers],[Resource]])))</f>
        <v>1</v>
      </c>
      <c r="D10" s="64" t="n">
        <f aca="false">IF(ResourceSummary[[#This Row],[Resource]]="","",INDEX(ResourceTable[Tasks],ROW()-ROW(ResourceSummary[[#Headers],[Resource]])))</f>
        <v>5</v>
      </c>
      <c r="E10" s="65" t="n">
        <f aca="false">IF(ResourceSummary[[#This Row],[Resource]]="","",INDEX(ResourceTable[Work],ROW()-ROW(ResourceSummary[[#Headers],[Resource]])))</f>
        <v>228</v>
      </c>
      <c r="F10" s="65" t="n">
        <f aca="false">IF(ResourceSummary[[#This Row],[Resource]]="","",SUMIFS(tsk_LeafWorkDone,tsk_Resource,ResourceSummary[[#This Row],[Resource]])+SUMIFS(asg_WorkDone,asg_Resource,ResourceSummary[[#This Row],[Resource]]))</f>
        <v>100</v>
      </c>
      <c r="G10" s="65" t="n">
        <f aca="false">IF(ResourceSummary[[#This Row],[Resource]]="","",ResourceSummary[[#This Row],[Work]]-ResourceSummary[[#This Row],[Work Done]])</f>
        <v>128</v>
      </c>
      <c r="H10" s="65" t="n">
        <f aca="false">IF(ResourceSummary[[#This Row],[Resource]]="","",INDEX(ResourceTable[Cost],ROW()-ROW(ResourceSummary[[#Headers],[Resource]])))</f>
        <v>19380</v>
      </c>
      <c r="I10" s="65" t="n">
        <f aca="false">IF(ResourceSummary[[#This Row],[Resource]]="","",INDEX(ResourceTable[Actual Cost],ROW()-ROW(ResourceSummary[[#Headers],[Resource]])))</f>
        <v>9180</v>
      </c>
      <c r="J10" s="64" t="n">
        <f aca="false">IF(ResourceSummary[[#This Row],[Resource]]="","",COUNTIFS(tsk_Resource,ResourceSummary[[#This Row],[Resource]],tsk_LateKey,"&gt;0")+SUMIFS(asg_Late,asg_Resource,ResourceSummary[[#This Row],[Resource]]))</f>
        <v>2</v>
      </c>
      <c r="K10" s="64" t="n">
        <f aca="false">IF(ResourceSummary[[#This Row],[Resource]]="","",COUNTIFS(tsk_Resource,ResourceSummary[[#This Row],[Resource]],tsk_Critical,"Yes",tsk_IsLeaf,1)+SUMIFS(asg_Critical,asg_Resource,ResourceSummary[[#This Row],[Resource]]))</f>
        <v>3</v>
      </c>
      <c r="L10" s="62" t="n">
        <f aca="false">IF(ResourceSummary[[#This Row],[Resource]]="","",MAX(INDEX(rw_Load,ROW()-ROW(ResourceSummary[[#Headers],[Resource]]),0)))</f>
        <v>40</v>
      </c>
      <c r="M10" s="34" t="n">
        <f aca="false">IF(ResourceSummary[[#This Row],[Resource]]="","",MAX(INDEX(rw_Util,ROW()-ROW(ResourceSummary[[#Headers],[Resource]]),0)))</f>
        <v>3</v>
      </c>
      <c r="N10" s="64" t="n">
        <f aca="false">IF(ResourceSummary[[#This Row],[Resource]]="","",COUNTIF(INDEX(rw_Util,ROW()-ROW(ResourceSummary[[#Headers],[Resource]]),0),"&gt;1"))</f>
        <v>2</v>
      </c>
      <c r="O10" s="66" t="n">
        <f aca="false">IF(ResourceSummary[[#This Row],[Resource]]="","",SUM(INDEX(rw_Leave,ROW()-ROW(ResourceSummary[[#Headers],[Resource]]),0)))</f>
        <v>3.5</v>
      </c>
    </row>
    <row r="11" customFormat="false" ht="15" hidden="false" customHeight="false" outlineLevel="0" collapsed="false">
      <c r="B11" s="24" t="str">
        <f aca="false">IFERROR(INDEX(res_Name,ROW()-ROW(ResourceSummary[[#Headers],[Resource]]))&amp;"","")</f>
        <v>Sam Rivera</v>
      </c>
      <c r="C11" s="34" t="n">
        <f aca="false">IF(ResourceSummary[[#This Row],[Resource]]="","",INDEX(ResourceTable[Max Units],ROW()-ROW(ResourceSummary[[#Headers],[Resource]])))</f>
        <v>1</v>
      </c>
      <c r="D11" s="64" t="n">
        <f aca="false">IF(ResourceSummary[[#This Row],[Resource]]="","",INDEX(ResourceTable[Tasks],ROW()-ROW(ResourceSummary[[#Headers],[Resource]])))</f>
        <v>3</v>
      </c>
      <c r="E11" s="65" t="n">
        <f aca="false">IF(ResourceSummary[[#This Row],[Resource]]="","",INDEX(ResourceTable[Work],ROW()-ROW(ResourceSummary[[#Headers],[Resource]])))</f>
        <v>176</v>
      </c>
      <c r="F11" s="65" t="n">
        <f aca="false">IF(ResourceSummary[[#This Row],[Resource]]="","",SUMIFS(tsk_LeafWorkDone,tsk_Resource,ResourceSummary[[#This Row],[Resource]])+SUMIFS(asg_WorkDone,asg_Resource,ResourceSummary[[#This Row],[Resource]]))</f>
        <v>72</v>
      </c>
      <c r="G11" s="65" t="n">
        <f aca="false">IF(ResourceSummary[[#This Row],[Resource]]="","",ResourceSummary[[#This Row],[Work]]-ResourceSummary[[#This Row],[Work Done]])</f>
        <v>104</v>
      </c>
      <c r="H11" s="65" t="n">
        <f aca="false">IF(ResourceSummary[[#This Row],[Resource]]="","",INDEX(ResourceTable[Cost],ROW()-ROW(ResourceSummary[[#Headers],[Resource]])))</f>
        <v>14080</v>
      </c>
      <c r="I11" s="65" t="n">
        <f aca="false">IF(ResourceSummary[[#This Row],[Resource]]="","",INDEX(ResourceTable[Actual Cost],ROW()-ROW(ResourceSummary[[#Headers],[Resource]])))</f>
        <v>5760</v>
      </c>
      <c r="J11" s="64" t="n">
        <f aca="false">IF(ResourceSummary[[#This Row],[Resource]]="","",COUNTIFS(tsk_Resource,ResourceSummary[[#This Row],[Resource]],tsk_LateKey,"&gt;0")+SUMIFS(asg_Late,asg_Resource,ResourceSummary[[#This Row],[Resource]]))</f>
        <v>2</v>
      </c>
      <c r="K11" s="64" t="n">
        <f aca="false">IF(ResourceSummary[[#This Row],[Resource]]="","",COUNTIFS(tsk_Resource,ResourceSummary[[#This Row],[Resource]],tsk_Critical,"Yes",tsk_IsLeaf,1)+SUMIFS(asg_Critical,asg_Resource,ResourceSummary[[#This Row],[Resource]]))</f>
        <v>1</v>
      </c>
      <c r="L11" s="62" t="n">
        <f aca="false">IF(ResourceSummary[[#This Row],[Resource]]="","",MAX(INDEX(rw_Load,ROW()-ROW(ResourceSummary[[#Headers],[Resource]]),0)))</f>
        <v>34.2857142857143</v>
      </c>
      <c r="M11" s="34" t="n">
        <f aca="false">IF(ResourceSummary[[#This Row],[Resource]]="","",MAX(INDEX(rw_Util,ROW()-ROW(ResourceSummary[[#Headers],[Resource]]),0)))</f>
        <v>0.857142857142858</v>
      </c>
      <c r="N11" s="64" t="n">
        <f aca="false">IF(ResourceSummary[[#This Row],[Resource]]="","",COUNTIF(INDEX(rw_Util,ROW()-ROW(ResourceSummary[[#Headers],[Resource]]),0),"&gt;1"))</f>
        <v>0</v>
      </c>
      <c r="O11" s="66" t="n">
        <f aca="false">IF(ResourceSummary[[#This Row],[Resource]]="","",SUM(INDEX(rw_Leave,ROW()-ROW(ResourceSummary[[#Headers],[Resource]]),0)))</f>
        <v>0.5</v>
      </c>
    </row>
    <row r="12" customFormat="false" ht="15" hidden="false" customHeight="false" outlineLevel="0" collapsed="false">
      <c r="B12" s="24" t="str">
        <f aca="false">IFERROR(INDEX(res_Name,ROW()-ROW(ResourceSummary[[#Headers],[Resource]]))&amp;"","")</f>
        <v>Taylor Morgan</v>
      </c>
      <c r="C12" s="34" t="n">
        <f aca="false">IF(ResourceSummary[[#This Row],[Resource]]="","",INDEX(ResourceTable[Max Units],ROW()-ROW(ResourceSummary[[#Headers],[Resource]])))</f>
        <v>1</v>
      </c>
      <c r="D12" s="64" t="n">
        <f aca="false">IF(ResourceSummary[[#This Row],[Resource]]="","",INDEX(ResourceTable[Tasks],ROW()-ROW(ResourceSummary[[#Headers],[Resource]])))</f>
        <v>2</v>
      </c>
      <c r="E12" s="65" t="n">
        <f aca="false">IF(ResourceSummary[[#This Row],[Resource]]="","",INDEX(ResourceTable[Work],ROW()-ROW(ResourceSummary[[#Headers],[Resource]])))</f>
        <v>112</v>
      </c>
      <c r="F12" s="65" t="n">
        <f aca="false">IF(ResourceSummary[[#This Row],[Resource]]="","",SUMIFS(tsk_LeafWorkDone,tsk_Resource,ResourceSummary[[#This Row],[Resource]])+SUMIFS(asg_WorkDone,asg_Resource,ResourceSummary[[#This Row],[Resource]]))</f>
        <v>0</v>
      </c>
      <c r="G12" s="65" t="n">
        <f aca="false">IF(ResourceSummary[[#This Row],[Resource]]="","",ResourceSummary[[#This Row],[Work]]-ResourceSummary[[#This Row],[Work Done]])</f>
        <v>112</v>
      </c>
      <c r="H12" s="65" t="n">
        <f aca="false">IF(ResourceSummary[[#This Row],[Resource]]="","",INDEX(ResourceTable[Cost],ROW()-ROW(ResourceSummary[[#Headers],[Resource]])))</f>
        <v>7280</v>
      </c>
      <c r="I12" s="65" t="n">
        <f aca="false">IF(ResourceSummary[[#This Row],[Resource]]="","",INDEX(ResourceTable[Actual Cost],ROW()-ROW(ResourceSummary[[#Headers],[Resource]])))</f>
        <v>0</v>
      </c>
      <c r="J12" s="64" t="n">
        <f aca="false">IF(ResourceSummary[[#This Row],[Resource]]="","",COUNTIFS(tsk_Resource,ResourceSummary[[#This Row],[Resource]],tsk_LateKey,"&gt;0")+SUMIFS(asg_Late,asg_Resource,ResourceSummary[[#This Row],[Resource]]))</f>
        <v>1</v>
      </c>
      <c r="K12" s="64" t="n">
        <f aca="false">IF(ResourceSummary[[#This Row],[Resource]]="","",COUNTIFS(tsk_Resource,ResourceSummary[[#This Row],[Resource]],tsk_Critical,"Yes",tsk_IsLeaf,1)+SUMIFS(asg_Critical,asg_Resource,ResourceSummary[[#This Row],[Resource]]))</f>
        <v>1</v>
      </c>
      <c r="L12" s="62" t="n">
        <f aca="false">IF(ResourceSummary[[#This Row],[Resource]]="","",MAX(INDEX(rw_Load,ROW()-ROW(ResourceSummary[[#Headers],[Resource]]),0)))</f>
        <v>40</v>
      </c>
      <c r="M12" s="34" t="n">
        <f aca="false">IF(ResourceSummary[[#This Row],[Resource]]="","",MAX(INDEX(rw_Util,ROW()-ROW(ResourceSummary[[#Headers],[Resource]]),0)))</f>
        <v>1</v>
      </c>
      <c r="N12" s="64" t="n">
        <f aca="false">IF(ResourceSummary[[#This Row],[Resource]]="","",COUNTIF(INDEX(rw_Util,ROW()-ROW(ResourceSummary[[#Headers],[Resource]]),0),"&gt;1"))</f>
        <v>0</v>
      </c>
      <c r="O12" s="66" t="n">
        <f aca="false">IF(ResourceSummary[[#This Row],[Resource]]="","",SUM(INDEX(rw_Leave,ROW()-ROW(ResourceSummary[[#Headers],[Resource]]),0)))</f>
        <v>0</v>
      </c>
    </row>
    <row r="13" customFormat="false" ht="15" hidden="false" customHeight="false" outlineLevel="0" collapsed="false">
      <c r="B13" s="24" t="str">
        <f aca="false">IFERROR(INDEX(res_Name,ROW()-ROW(ResourceSummary[[#Headers],[Resource]]))&amp;"","")</f>
        <v/>
      </c>
      <c r="C13" s="34" t="str">
        <f aca="false">IF(ResourceSummary[[#This Row],[Resource]]="","",INDEX(ResourceTable[Max Units],ROW()-ROW(ResourceSummary[[#Headers],[Resource]])))</f>
        <v/>
      </c>
      <c r="D13" s="64" t="str">
        <f aca="false">IF(ResourceSummary[[#This Row],[Resource]]="","",INDEX(ResourceTable[Tasks],ROW()-ROW(ResourceSummary[[#Headers],[Resource]])))</f>
        <v/>
      </c>
      <c r="E13" s="65" t="str">
        <f aca="false">IF(ResourceSummary[[#This Row],[Resource]]="","",INDEX(ResourceTable[Work],ROW()-ROW(ResourceSummary[[#Headers],[Resource]])))</f>
        <v/>
      </c>
      <c r="F13" s="65" t="str">
        <f aca="false">IF(ResourceSummary[[#This Row],[Resource]]="","",SUMIFS(tsk_LeafWorkDone,tsk_Resource,ResourceSummary[[#This Row],[Resource]])+SUMIFS(asg_WorkDone,asg_Resource,ResourceSummary[[#This Row],[Resource]]))</f>
        <v/>
      </c>
      <c r="G13" s="65" t="str">
        <f aca="false">IF(ResourceSummary[[#This Row],[Resource]]="","",ResourceSummary[[#This Row],[Work]]-ResourceSummary[[#This Row],[Work Done]])</f>
        <v/>
      </c>
      <c r="H13" s="65" t="str">
        <f aca="false">IF(ResourceSummary[[#This Row],[Resource]]="","",INDEX(ResourceTable[Cost],ROW()-ROW(ResourceSummary[[#Headers],[Resource]])))</f>
        <v/>
      </c>
      <c r="I13" s="65" t="str">
        <f aca="false">IF(ResourceSummary[[#This Row],[Resource]]="","",INDEX(ResourceTable[Actual Cost],ROW()-ROW(ResourceSummary[[#Headers],[Resource]])))</f>
        <v/>
      </c>
      <c r="J13" s="64" t="str">
        <f aca="false">IF(ResourceSummary[[#This Row],[Resource]]="","",COUNTIFS(tsk_Resource,ResourceSummary[[#This Row],[Resource]],tsk_LateKey,"&gt;0")+SUMIFS(asg_Late,asg_Resource,ResourceSummary[[#This Row],[Resource]]))</f>
        <v/>
      </c>
      <c r="K13" s="64" t="str">
        <f aca="false">IF(ResourceSummary[[#This Row],[Resource]]="","",COUNTIFS(tsk_Resource,ResourceSummary[[#This Row],[Resource]],tsk_Critical,"Yes",tsk_IsLeaf,1)+SUMIFS(asg_Critical,asg_Resource,ResourceSummary[[#This Row],[Resource]]))</f>
        <v/>
      </c>
      <c r="L13" s="62" t="str">
        <f aca="false">IF(ResourceSummary[[#This Row],[Resource]]="","",MAX(INDEX(rw_Load,ROW()-ROW(ResourceSummary[[#Headers],[Resource]]),0)))</f>
        <v/>
      </c>
      <c r="M13" s="34" t="str">
        <f aca="false">IF(ResourceSummary[[#This Row],[Resource]]="","",MAX(INDEX(rw_Util,ROW()-ROW(ResourceSummary[[#Headers],[Resource]]),0)))</f>
        <v/>
      </c>
      <c r="N13" s="64" t="str">
        <f aca="false">IF(ResourceSummary[[#This Row],[Resource]]="","",COUNTIF(INDEX(rw_Util,ROW()-ROW(ResourceSummary[[#Headers],[Resource]]),0),"&gt;1"))</f>
        <v/>
      </c>
      <c r="O13" s="66" t="str">
        <f aca="false">IF(ResourceSummary[[#This Row],[Resource]]="","",SUM(INDEX(rw_Leave,ROW()-ROW(ResourceSummary[[#Headers],[Resource]]),0)))</f>
        <v/>
      </c>
    </row>
    <row r="14" customFormat="false" ht="15" hidden="false" customHeight="false" outlineLevel="0" collapsed="false">
      <c r="B14" s="24" t="str">
        <f aca="false">IFERROR(INDEX(res_Name,ROW()-ROW(ResourceSummary[[#Headers],[Resource]]))&amp;"","")</f>
        <v/>
      </c>
      <c r="C14" s="34" t="str">
        <f aca="false">IF(ResourceSummary[[#This Row],[Resource]]="","",INDEX(ResourceTable[Max Units],ROW()-ROW(ResourceSummary[[#Headers],[Resource]])))</f>
        <v/>
      </c>
      <c r="D14" s="64" t="str">
        <f aca="false">IF(ResourceSummary[[#This Row],[Resource]]="","",INDEX(ResourceTable[Tasks],ROW()-ROW(ResourceSummary[[#Headers],[Resource]])))</f>
        <v/>
      </c>
      <c r="E14" s="65" t="str">
        <f aca="false">IF(ResourceSummary[[#This Row],[Resource]]="","",INDEX(ResourceTable[Work],ROW()-ROW(ResourceSummary[[#Headers],[Resource]])))</f>
        <v/>
      </c>
      <c r="F14" s="65" t="str">
        <f aca="false">IF(ResourceSummary[[#This Row],[Resource]]="","",SUMIFS(tsk_LeafWorkDone,tsk_Resource,ResourceSummary[[#This Row],[Resource]])+SUMIFS(asg_WorkDone,asg_Resource,ResourceSummary[[#This Row],[Resource]]))</f>
        <v/>
      </c>
      <c r="G14" s="65" t="str">
        <f aca="false">IF(ResourceSummary[[#This Row],[Resource]]="","",ResourceSummary[[#This Row],[Work]]-ResourceSummary[[#This Row],[Work Done]])</f>
        <v/>
      </c>
      <c r="H14" s="65" t="str">
        <f aca="false">IF(ResourceSummary[[#This Row],[Resource]]="","",INDEX(ResourceTable[Cost],ROW()-ROW(ResourceSummary[[#Headers],[Resource]])))</f>
        <v/>
      </c>
      <c r="I14" s="65" t="str">
        <f aca="false">IF(ResourceSummary[[#This Row],[Resource]]="","",INDEX(ResourceTable[Actual Cost],ROW()-ROW(ResourceSummary[[#Headers],[Resource]])))</f>
        <v/>
      </c>
      <c r="J14" s="64" t="str">
        <f aca="false">IF(ResourceSummary[[#This Row],[Resource]]="","",COUNTIFS(tsk_Resource,ResourceSummary[[#This Row],[Resource]],tsk_LateKey,"&gt;0")+SUMIFS(asg_Late,asg_Resource,ResourceSummary[[#This Row],[Resource]]))</f>
        <v/>
      </c>
      <c r="K14" s="64" t="str">
        <f aca="false">IF(ResourceSummary[[#This Row],[Resource]]="","",COUNTIFS(tsk_Resource,ResourceSummary[[#This Row],[Resource]],tsk_Critical,"Yes",tsk_IsLeaf,1)+SUMIFS(asg_Critical,asg_Resource,ResourceSummary[[#This Row],[Resource]]))</f>
        <v/>
      </c>
      <c r="L14" s="62" t="str">
        <f aca="false">IF(ResourceSummary[[#This Row],[Resource]]="","",MAX(INDEX(rw_Load,ROW()-ROW(ResourceSummary[[#Headers],[Resource]]),0)))</f>
        <v/>
      </c>
      <c r="M14" s="34" t="str">
        <f aca="false">IF(ResourceSummary[[#This Row],[Resource]]="","",MAX(INDEX(rw_Util,ROW()-ROW(ResourceSummary[[#Headers],[Resource]]),0)))</f>
        <v/>
      </c>
      <c r="N14" s="64" t="str">
        <f aca="false">IF(ResourceSummary[[#This Row],[Resource]]="","",COUNTIF(INDEX(rw_Util,ROW()-ROW(ResourceSummary[[#Headers],[Resource]]),0),"&gt;1"))</f>
        <v/>
      </c>
      <c r="O14" s="66" t="str">
        <f aca="false">IF(ResourceSummary[[#This Row],[Resource]]="","",SUM(INDEX(rw_Leave,ROW()-ROW(ResourceSummary[[#Headers],[Resource]]),0)))</f>
        <v/>
      </c>
    </row>
    <row r="15" customFormat="false" ht="15" hidden="false" customHeight="false" outlineLevel="0" collapsed="false">
      <c r="B15" s="24" t="str">
        <f aca="false">IFERROR(INDEX(res_Name,ROW()-ROW(ResourceSummary[[#Headers],[Resource]]))&amp;"","")</f>
        <v/>
      </c>
      <c r="C15" s="34" t="str">
        <f aca="false">IF(ResourceSummary[[#This Row],[Resource]]="","",INDEX(ResourceTable[Max Units],ROW()-ROW(ResourceSummary[[#Headers],[Resource]])))</f>
        <v/>
      </c>
      <c r="D15" s="64" t="str">
        <f aca="false">IF(ResourceSummary[[#This Row],[Resource]]="","",INDEX(ResourceTable[Tasks],ROW()-ROW(ResourceSummary[[#Headers],[Resource]])))</f>
        <v/>
      </c>
      <c r="E15" s="65" t="str">
        <f aca="false">IF(ResourceSummary[[#This Row],[Resource]]="","",INDEX(ResourceTable[Work],ROW()-ROW(ResourceSummary[[#Headers],[Resource]])))</f>
        <v/>
      </c>
      <c r="F15" s="65" t="str">
        <f aca="false">IF(ResourceSummary[[#This Row],[Resource]]="","",SUMIFS(tsk_LeafWorkDone,tsk_Resource,ResourceSummary[[#This Row],[Resource]])+SUMIFS(asg_WorkDone,asg_Resource,ResourceSummary[[#This Row],[Resource]]))</f>
        <v/>
      </c>
      <c r="G15" s="65" t="str">
        <f aca="false">IF(ResourceSummary[[#This Row],[Resource]]="","",ResourceSummary[[#This Row],[Work]]-ResourceSummary[[#This Row],[Work Done]])</f>
        <v/>
      </c>
      <c r="H15" s="65" t="str">
        <f aca="false">IF(ResourceSummary[[#This Row],[Resource]]="","",INDEX(ResourceTable[Cost],ROW()-ROW(ResourceSummary[[#Headers],[Resource]])))</f>
        <v/>
      </c>
      <c r="I15" s="65" t="str">
        <f aca="false">IF(ResourceSummary[[#This Row],[Resource]]="","",INDEX(ResourceTable[Actual Cost],ROW()-ROW(ResourceSummary[[#Headers],[Resource]])))</f>
        <v/>
      </c>
      <c r="J15" s="64" t="str">
        <f aca="false">IF(ResourceSummary[[#This Row],[Resource]]="","",COUNTIFS(tsk_Resource,ResourceSummary[[#This Row],[Resource]],tsk_LateKey,"&gt;0")+SUMIFS(asg_Late,asg_Resource,ResourceSummary[[#This Row],[Resource]]))</f>
        <v/>
      </c>
      <c r="K15" s="64" t="str">
        <f aca="false">IF(ResourceSummary[[#This Row],[Resource]]="","",COUNTIFS(tsk_Resource,ResourceSummary[[#This Row],[Resource]],tsk_Critical,"Yes",tsk_IsLeaf,1)+SUMIFS(asg_Critical,asg_Resource,ResourceSummary[[#This Row],[Resource]]))</f>
        <v/>
      </c>
      <c r="L15" s="62" t="str">
        <f aca="false">IF(ResourceSummary[[#This Row],[Resource]]="","",MAX(INDEX(rw_Load,ROW()-ROW(ResourceSummary[[#Headers],[Resource]]),0)))</f>
        <v/>
      </c>
      <c r="M15" s="34" t="str">
        <f aca="false">IF(ResourceSummary[[#This Row],[Resource]]="","",MAX(INDEX(rw_Util,ROW()-ROW(ResourceSummary[[#Headers],[Resource]]),0)))</f>
        <v/>
      </c>
      <c r="N15" s="64" t="str">
        <f aca="false">IF(ResourceSummary[[#This Row],[Resource]]="","",COUNTIF(INDEX(rw_Util,ROW()-ROW(ResourceSummary[[#Headers],[Resource]]),0),"&gt;1"))</f>
        <v/>
      </c>
      <c r="O15" s="66" t="str">
        <f aca="false">IF(ResourceSummary[[#This Row],[Resource]]="","",SUM(INDEX(rw_Leave,ROW()-ROW(ResourceSummary[[#Headers],[Resource]]),0)))</f>
        <v/>
      </c>
    </row>
    <row r="16" customFormat="false" ht="15" hidden="false" customHeight="false" outlineLevel="0" collapsed="false">
      <c r="B16" s="24" t="str">
        <f aca="false">IFERROR(INDEX(res_Name,ROW()-ROW(ResourceSummary[[#Headers],[Resource]]))&amp;"","")</f>
        <v/>
      </c>
      <c r="C16" s="34" t="str">
        <f aca="false">IF(ResourceSummary[[#This Row],[Resource]]="","",INDEX(ResourceTable[Max Units],ROW()-ROW(ResourceSummary[[#Headers],[Resource]])))</f>
        <v/>
      </c>
      <c r="D16" s="64" t="str">
        <f aca="false">IF(ResourceSummary[[#This Row],[Resource]]="","",INDEX(ResourceTable[Tasks],ROW()-ROW(ResourceSummary[[#Headers],[Resource]])))</f>
        <v/>
      </c>
      <c r="E16" s="65" t="str">
        <f aca="false">IF(ResourceSummary[[#This Row],[Resource]]="","",INDEX(ResourceTable[Work],ROW()-ROW(ResourceSummary[[#Headers],[Resource]])))</f>
        <v/>
      </c>
      <c r="F16" s="65" t="str">
        <f aca="false">IF(ResourceSummary[[#This Row],[Resource]]="","",SUMIFS(tsk_LeafWorkDone,tsk_Resource,ResourceSummary[[#This Row],[Resource]])+SUMIFS(asg_WorkDone,asg_Resource,ResourceSummary[[#This Row],[Resource]]))</f>
        <v/>
      </c>
      <c r="G16" s="65" t="str">
        <f aca="false">IF(ResourceSummary[[#This Row],[Resource]]="","",ResourceSummary[[#This Row],[Work]]-ResourceSummary[[#This Row],[Work Done]])</f>
        <v/>
      </c>
      <c r="H16" s="65" t="str">
        <f aca="false">IF(ResourceSummary[[#This Row],[Resource]]="","",INDEX(ResourceTable[Cost],ROW()-ROW(ResourceSummary[[#Headers],[Resource]])))</f>
        <v/>
      </c>
      <c r="I16" s="65" t="str">
        <f aca="false">IF(ResourceSummary[[#This Row],[Resource]]="","",INDEX(ResourceTable[Actual Cost],ROW()-ROW(ResourceSummary[[#Headers],[Resource]])))</f>
        <v/>
      </c>
      <c r="J16" s="64" t="str">
        <f aca="false">IF(ResourceSummary[[#This Row],[Resource]]="","",COUNTIFS(tsk_Resource,ResourceSummary[[#This Row],[Resource]],tsk_LateKey,"&gt;0")+SUMIFS(asg_Late,asg_Resource,ResourceSummary[[#This Row],[Resource]]))</f>
        <v/>
      </c>
      <c r="K16" s="64" t="str">
        <f aca="false">IF(ResourceSummary[[#This Row],[Resource]]="","",COUNTIFS(tsk_Resource,ResourceSummary[[#This Row],[Resource]],tsk_Critical,"Yes",tsk_IsLeaf,1)+SUMIFS(asg_Critical,asg_Resource,ResourceSummary[[#This Row],[Resource]]))</f>
        <v/>
      </c>
      <c r="L16" s="62" t="str">
        <f aca="false">IF(ResourceSummary[[#This Row],[Resource]]="","",MAX(INDEX(rw_Load,ROW()-ROW(ResourceSummary[[#Headers],[Resource]]),0)))</f>
        <v/>
      </c>
      <c r="M16" s="34" t="str">
        <f aca="false">IF(ResourceSummary[[#This Row],[Resource]]="","",MAX(INDEX(rw_Util,ROW()-ROW(ResourceSummary[[#Headers],[Resource]]),0)))</f>
        <v/>
      </c>
      <c r="N16" s="64" t="str">
        <f aca="false">IF(ResourceSummary[[#This Row],[Resource]]="","",COUNTIF(INDEX(rw_Util,ROW()-ROW(ResourceSummary[[#Headers],[Resource]]),0),"&gt;1"))</f>
        <v/>
      </c>
      <c r="O16" s="66" t="str">
        <f aca="false">IF(ResourceSummary[[#This Row],[Resource]]="","",SUM(INDEX(rw_Leave,ROW()-ROW(ResourceSummary[[#Headers],[Resource]]),0)))</f>
        <v/>
      </c>
    </row>
    <row r="17" customFormat="false" ht="15" hidden="false" customHeight="false" outlineLevel="0" collapsed="false">
      <c r="B17" s="24" t="str">
        <f aca="false">IFERROR(INDEX(res_Name,ROW()-ROW(ResourceSummary[[#Headers],[Resource]]))&amp;"","")</f>
        <v/>
      </c>
      <c r="C17" s="34" t="str">
        <f aca="false">IF(ResourceSummary[[#This Row],[Resource]]="","",INDEX(ResourceTable[Max Units],ROW()-ROW(ResourceSummary[[#Headers],[Resource]])))</f>
        <v/>
      </c>
      <c r="D17" s="64" t="str">
        <f aca="false">IF(ResourceSummary[[#This Row],[Resource]]="","",INDEX(ResourceTable[Tasks],ROW()-ROW(ResourceSummary[[#Headers],[Resource]])))</f>
        <v/>
      </c>
      <c r="E17" s="65" t="str">
        <f aca="false">IF(ResourceSummary[[#This Row],[Resource]]="","",INDEX(ResourceTable[Work],ROW()-ROW(ResourceSummary[[#Headers],[Resource]])))</f>
        <v/>
      </c>
      <c r="F17" s="65" t="str">
        <f aca="false">IF(ResourceSummary[[#This Row],[Resource]]="","",SUMIFS(tsk_LeafWorkDone,tsk_Resource,ResourceSummary[[#This Row],[Resource]])+SUMIFS(asg_WorkDone,asg_Resource,ResourceSummary[[#This Row],[Resource]]))</f>
        <v/>
      </c>
      <c r="G17" s="65" t="str">
        <f aca="false">IF(ResourceSummary[[#This Row],[Resource]]="","",ResourceSummary[[#This Row],[Work]]-ResourceSummary[[#This Row],[Work Done]])</f>
        <v/>
      </c>
      <c r="H17" s="65" t="str">
        <f aca="false">IF(ResourceSummary[[#This Row],[Resource]]="","",INDEX(ResourceTable[Cost],ROW()-ROW(ResourceSummary[[#Headers],[Resource]])))</f>
        <v/>
      </c>
      <c r="I17" s="65" t="str">
        <f aca="false">IF(ResourceSummary[[#This Row],[Resource]]="","",INDEX(ResourceTable[Actual Cost],ROW()-ROW(ResourceSummary[[#Headers],[Resource]])))</f>
        <v/>
      </c>
      <c r="J17" s="64" t="str">
        <f aca="false">IF(ResourceSummary[[#This Row],[Resource]]="","",COUNTIFS(tsk_Resource,ResourceSummary[[#This Row],[Resource]],tsk_LateKey,"&gt;0")+SUMIFS(asg_Late,asg_Resource,ResourceSummary[[#This Row],[Resource]]))</f>
        <v/>
      </c>
      <c r="K17" s="64" t="str">
        <f aca="false">IF(ResourceSummary[[#This Row],[Resource]]="","",COUNTIFS(tsk_Resource,ResourceSummary[[#This Row],[Resource]],tsk_Critical,"Yes",tsk_IsLeaf,1)+SUMIFS(asg_Critical,asg_Resource,ResourceSummary[[#This Row],[Resource]]))</f>
        <v/>
      </c>
      <c r="L17" s="62" t="str">
        <f aca="false">IF(ResourceSummary[[#This Row],[Resource]]="","",MAX(INDEX(rw_Load,ROW()-ROW(ResourceSummary[[#Headers],[Resource]]),0)))</f>
        <v/>
      </c>
      <c r="M17" s="34" t="str">
        <f aca="false">IF(ResourceSummary[[#This Row],[Resource]]="","",MAX(INDEX(rw_Util,ROW()-ROW(ResourceSummary[[#Headers],[Resource]]),0)))</f>
        <v/>
      </c>
      <c r="N17" s="64" t="str">
        <f aca="false">IF(ResourceSummary[[#This Row],[Resource]]="","",COUNTIF(INDEX(rw_Util,ROW()-ROW(ResourceSummary[[#Headers],[Resource]]),0),"&gt;1"))</f>
        <v/>
      </c>
      <c r="O17" s="66" t="str">
        <f aca="false">IF(ResourceSummary[[#This Row],[Resource]]="","",SUM(INDEX(rw_Leave,ROW()-ROW(ResourceSummary[[#Headers],[Resource]]),0)))</f>
        <v/>
      </c>
    </row>
    <row r="18" customFormat="false" ht="15" hidden="false" customHeight="false" outlineLevel="0" collapsed="false">
      <c r="B18" s="24" t="str">
        <f aca="false">IFERROR(INDEX(res_Name,ROW()-ROW(ResourceSummary[[#Headers],[Resource]]))&amp;"","")</f>
        <v/>
      </c>
      <c r="C18" s="34" t="str">
        <f aca="false">IF(ResourceSummary[[#This Row],[Resource]]="","",INDEX(ResourceTable[Max Units],ROW()-ROW(ResourceSummary[[#Headers],[Resource]])))</f>
        <v/>
      </c>
      <c r="D18" s="64" t="str">
        <f aca="false">IF(ResourceSummary[[#This Row],[Resource]]="","",INDEX(ResourceTable[Tasks],ROW()-ROW(ResourceSummary[[#Headers],[Resource]])))</f>
        <v/>
      </c>
      <c r="E18" s="65" t="str">
        <f aca="false">IF(ResourceSummary[[#This Row],[Resource]]="","",INDEX(ResourceTable[Work],ROW()-ROW(ResourceSummary[[#Headers],[Resource]])))</f>
        <v/>
      </c>
      <c r="F18" s="65" t="str">
        <f aca="false">IF(ResourceSummary[[#This Row],[Resource]]="","",SUMIFS(tsk_LeafWorkDone,tsk_Resource,ResourceSummary[[#This Row],[Resource]])+SUMIFS(asg_WorkDone,asg_Resource,ResourceSummary[[#This Row],[Resource]]))</f>
        <v/>
      </c>
      <c r="G18" s="65" t="str">
        <f aca="false">IF(ResourceSummary[[#This Row],[Resource]]="","",ResourceSummary[[#This Row],[Work]]-ResourceSummary[[#This Row],[Work Done]])</f>
        <v/>
      </c>
      <c r="H18" s="65" t="str">
        <f aca="false">IF(ResourceSummary[[#This Row],[Resource]]="","",INDEX(ResourceTable[Cost],ROW()-ROW(ResourceSummary[[#Headers],[Resource]])))</f>
        <v/>
      </c>
      <c r="I18" s="65" t="str">
        <f aca="false">IF(ResourceSummary[[#This Row],[Resource]]="","",INDEX(ResourceTable[Actual Cost],ROW()-ROW(ResourceSummary[[#Headers],[Resource]])))</f>
        <v/>
      </c>
      <c r="J18" s="64" t="str">
        <f aca="false">IF(ResourceSummary[[#This Row],[Resource]]="","",COUNTIFS(tsk_Resource,ResourceSummary[[#This Row],[Resource]],tsk_LateKey,"&gt;0")+SUMIFS(asg_Late,asg_Resource,ResourceSummary[[#This Row],[Resource]]))</f>
        <v/>
      </c>
      <c r="K18" s="64" t="str">
        <f aca="false">IF(ResourceSummary[[#This Row],[Resource]]="","",COUNTIFS(tsk_Resource,ResourceSummary[[#This Row],[Resource]],tsk_Critical,"Yes",tsk_IsLeaf,1)+SUMIFS(asg_Critical,asg_Resource,ResourceSummary[[#This Row],[Resource]]))</f>
        <v/>
      </c>
      <c r="L18" s="62" t="str">
        <f aca="false">IF(ResourceSummary[[#This Row],[Resource]]="","",MAX(INDEX(rw_Load,ROW()-ROW(ResourceSummary[[#Headers],[Resource]]),0)))</f>
        <v/>
      </c>
      <c r="M18" s="34" t="str">
        <f aca="false">IF(ResourceSummary[[#This Row],[Resource]]="","",MAX(INDEX(rw_Util,ROW()-ROW(ResourceSummary[[#Headers],[Resource]]),0)))</f>
        <v/>
      </c>
      <c r="N18" s="64" t="str">
        <f aca="false">IF(ResourceSummary[[#This Row],[Resource]]="","",COUNTIF(INDEX(rw_Util,ROW()-ROW(ResourceSummary[[#Headers],[Resource]]),0),"&gt;1"))</f>
        <v/>
      </c>
      <c r="O18" s="66" t="str">
        <f aca="false">IF(ResourceSummary[[#This Row],[Resource]]="","",SUM(INDEX(rw_Leave,ROW()-ROW(ResourceSummary[[#Headers],[Resource]]),0)))</f>
        <v/>
      </c>
    </row>
    <row r="19" customFormat="false" ht="15" hidden="false" customHeight="false" outlineLevel="0" collapsed="false">
      <c r="B19" s="24" t="str">
        <f aca="false">IFERROR(INDEX(res_Name,ROW()-ROW(ResourceSummary[[#Headers],[Resource]]))&amp;"","")</f>
        <v/>
      </c>
      <c r="C19" s="34" t="str">
        <f aca="false">IF(ResourceSummary[[#This Row],[Resource]]="","",INDEX(ResourceTable[Max Units],ROW()-ROW(ResourceSummary[[#Headers],[Resource]])))</f>
        <v/>
      </c>
      <c r="D19" s="64" t="str">
        <f aca="false">IF(ResourceSummary[[#This Row],[Resource]]="","",INDEX(ResourceTable[Tasks],ROW()-ROW(ResourceSummary[[#Headers],[Resource]])))</f>
        <v/>
      </c>
      <c r="E19" s="65" t="str">
        <f aca="false">IF(ResourceSummary[[#This Row],[Resource]]="","",INDEX(ResourceTable[Work],ROW()-ROW(ResourceSummary[[#Headers],[Resource]])))</f>
        <v/>
      </c>
      <c r="F19" s="65" t="str">
        <f aca="false">IF(ResourceSummary[[#This Row],[Resource]]="","",SUMIFS(tsk_LeafWorkDone,tsk_Resource,ResourceSummary[[#This Row],[Resource]])+SUMIFS(asg_WorkDone,asg_Resource,ResourceSummary[[#This Row],[Resource]]))</f>
        <v/>
      </c>
      <c r="G19" s="65" t="str">
        <f aca="false">IF(ResourceSummary[[#This Row],[Resource]]="","",ResourceSummary[[#This Row],[Work]]-ResourceSummary[[#This Row],[Work Done]])</f>
        <v/>
      </c>
      <c r="H19" s="65" t="str">
        <f aca="false">IF(ResourceSummary[[#This Row],[Resource]]="","",INDEX(ResourceTable[Cost],ROW()-ROW(ResourceSummary[[#Headers],[Resource]])))</f>
        <v/>
      </c>
      <c r="I19" s="65" t="str">
        <f aca="false">IF(ResourceSummary[[#This Row],[Resource]]="","",INDEX(ResourceTable[Actual Cost],ROW()-ROW(ResourceSummary[[#Headers],[Resource]])))</f>
        <v/>
      </c>
      <c r="J19" s="64" t="str">
        <f aca="false">IF(ResourceSummary[[#This Row],[Resource]]="","",COUNTIFS(tsk_Resource,ResourceSummary[[#This Row],[Resource]],tsk_LateKey,"&gt;0")+SUMIFS(asg_Late,asg_Resource,ResourceSummary[[#This Row],[Resource]]))</f>
        <v/>
      </c>
      <c r="K19" s="64" t="str">
        <f aca="false">IF(ResourceSummary[[#This Row],[Resource]]="","",COUNTIFS(tsk_Resource,ResourceSummary[[#This Row],[Resource]],tsk_Critical,"Yes",tsk_IsLeaf,1)+SUMIFS(asg_Critical,asg_Resource,ResourceSummary[[#This Row],[Resource]]))</f>
        <v/>
      </c>
      <c r="L19" s="62" t="str">
        <f aca="false">IF(ResourceSummary[[#This Row],[Resource]]="","",MAX(INDEX(rw_Load,ROW()-ROW(ResourceSummary[[#Headers],[Resource]]),0)))</f>
        <v/>
      </c>
      <c r="M19" s="34" t="str">
        <f aca="false">IF(ResourceSummary[[#This Row],[Resource]]="","",MAX(INDEX(rw_Util,ROW()-ROW(ResourceSummary[[#Headers],[Resource]]),0)))</f>
        <v/>
      </c>
      <c r="N19" s="64" t="str">
        <f aca="false">IF(ResourceSummary[[#This Row],[Resource]]="","",COUNTIF(INDEX(rw_Util,ROW()-ROW(ResourceSummary[[#Headers],[Resource]]),0),"&gt;1"))</f>
        <v/>
      </c>
      <c r="O19" s="66" t="str">
        <f aca="false">IF(ResourceSummary[[#This Row],[Resource]]="","",SUM(INDEX(rw_Leave,ROW()-ROW(ResourceSummary[[#Headers],[Resource]]),0)))</f>
        <v/>
      </c>
    </row>
    <row r="20" customFormat="false" ht="15" hidden="false" customHeight="false" outlineLevel="0" collapsed="false">
      <c r="B20" s="24" t="str">
        <f aca="false">IFERROR(INDEX(res_Name,ROW()-ROW(ResourceSummary[[#Headers],[Resource]]))&amp;"","")</f>
        <v/>
      </c>
      <c r="C20" s="34" t="str">
        <f aca="false">IF(ResourceSummary[[#This Row],[Resource]]="","",INDEX(ResourceTable[Max Units],ROW()-ROW(ResourceSummary[[#Headers],[Resource]])))</f>
        <v/>
      </c>
      <c r="D20" s="64" t="str">
        <f aca="false">IF(ResourceSummary[[#This Row],[Resource]]="","",INDEX(ResourceTable[Tasks],ROW()-ROW(ResourceSummary[[#Headers],[Resource]])))</f>
        <v/>
      </c>
      <c r="E20" s="65" t="str">
        <f aca="false">IF(ResourceSummary[[#This Row],[Resource]]="","",INDEX(ResourceTable[Work],ROW()-ROW(ResourceSummary[[#Headers],[Resource]])))</f>
        <v/>
      </c>
      <c r="F20" s="65" t="str">
        <f aca="false">IF(ResourceSummary[[#This Row],[Resource]]="","",SUMIFS(tsk_LeafWorkDone,tsk_Resource,ResourceSummary[[#This Row],[Resource]])+SUMIFS(asg_WorkDone,asg_Resource,ResourceSummary[[#This Row],[Resource]]))</f>
        <v/>
      </c>
      <c r="G20" s="65" t="str">
        <f aca="false">IF(ResourceSummary[[#This Row],[Resource]]="","",ResourceSummary[[#This Row],[Work]]-ResourceSummary[[#This Row],[Work Done]])</f>
        <v/>
      </c>
      <c r="H20" s="65" t="str">
        <f aca="false">IF(ResourceSummary[[#This Row],[Resource]]="","",INDEX(ResourceTable[Cost],ROW()-ROW(ResourceSummary[[#Headers],[Resource]])))</f>
        <v/>
      </c>
      <c r="I20" s="65" t="str">
        <f aca="false">IF(ResourceSummary[[#This Row],[Resource]]="","",INDEX(ResourceTable[Actual Cost],ROW()-ROW(ResourceSummary[[#Headers],[Resource]])))</f>
        <v/>
      </c>
      <c r="J20" s="64" t="str">
        <f aca="false">IF(ResourceSummary[[#This Row],[Resource]]="","",COUNTIFS(tsk_Resource,ResourceSummary[[#This Row],[Resource]],tsk_LateKey,"&gt;0")+SUMIFS(asg_Late,asg_Resource,ResourceSummary[[#This Row],[Resource]]))</f>
        <v/>
      </c>
      <c r="K20" s="64" t="str">
        <f aca="false">IF(ResourceSummary[[#This Row],[Resource]]="","",COUNTIFS(tsk_Resource,ResourceSummary[[#This Row],[Resource]],tsk_Critical,"Yes",tsk_IsLeaf,1)+SUMIFS(asg_Critical,asg_Resource,ResourceSummary[[#This Row],[Resource]]))</f>
        <v/>
      </c>
      <c r="L20" s="62" t="str">
        <f aca="false">IF(ResourceSummary[[#This Row],[Resource]]="","",MAX(INDEX(rw_Load,ROW()-ROW(ResourceSummary[[#Headers],[Resource]]),0)))</f>
        <v/>
      </c>
      <c r="M20" s="34" t="str">
        <f aca="false">IF(ResourceSummary[[#This Row],[Resource]]="","",MAX(INDEX(rw_Util,ROW()-ROW(ResourceSummary[[#Headers],[Resource]]),0)))</f>
        <v/>
      </c>
      <c r="N20" s="64" t="str">
        <f aca="false">IF(ResourceSummary[[#This Row],[Resource]]="","",COUNTIF(INDEX(rw_Util,ROW()-ROW(ResourceSummary[[#Headers],[Resource]]),0),"&gt;1"))</f>
        <v/>
      </c>
      <c r="O20" s="66" t="str">
        <f aca="false">IF(ResourceSummary[[#This Row],[Resource]]="","",SUM(INDEX(rw_Leave,ROW()-ROW(ResourceSummary[[#Headers],[Resource]]),0)))</f>
        <v/>
      </c>
    </row>
    <row r="21" customFormat="false" ht="15" hidden="false" customHeight="false" outlineLevel="0" collapsed="false">
      <c r="B21" s="24" t="str">
        <f aca="false">IFERROR(INDEX(res_Name,ROW()-ROW(ResourceSummary[[#Headers],[Resource]]))&amp;"","")</f>
        <v/>
      </c>
      <c r="C21" s="34" t="str">
        <f aca="false">IF(ResourceSummary[[#This Row],[Resource]]="","",INDEX(ResourceTable[Max Units],ROW()-ROW(ResourceSummary[[#Headers],[Resource]])))</f>
        <v/>
      </c>
      <c r="D21" s="64" t="str">
        <f aca="false">IF(ResourceSummary[[#This Row],[Resource]]="","",INDEX(ResourceTable[Tasks],ROW()-ROW(ResourceSummary[[#Headers],[Resource]])))</f>
        <v/>
      </c>
      <c r="E21" s="65" t="str">
        <f aca="false">IF(ResourceSummary[[#This Row],[Resource]]="","",INDEX(ResourceTable[Work],ROW()-ROW(ResourceSummary[[#Headers],[Resource]])))</f>
        <v/>
      </c>
      <c r="F21" s="65" t="str">
        <f aca="false">IF(ResourceSummary[[#This Row],[Resource]]="","",SUMIFS(tsk_LeafWorkDone,tsk_Resource,ResourceSummary[[#This Row],[Resource]])+SUMIFS(asg_WorkDone,asg_Resource,ResourceSummary[[#This Row],[Resource]]))</f>
        <v/>
      </c>
      <c r="G21" s="65" t="str">
        <f aca="false">IF(ResourceSummary[[#This Row],[Resource]]="","",ResourceSummary[[#This Row],[Work]]-ResourceSummary[[#This Row],[Work Done]])</f>
        <v/>
      </c>
      <c r="H21" s="65" t="str">
        <f aca="false">IF(ResourceSummary[[#This Row],[Resource]]="","",INDEX(ResourceTable[Cost],ROW()-ROW(ResourceSummary[[#Headers],[Resource]])))</f>
        <v/>
      </c>
      <c r="I21" s="65" t="str">
        <f aca="false">IF(ResourceSummary[[#This Row],[Resource]]="","",INDEX(ResourceTable[Actual Cost],ROW()-ROW(ResourceSummary[[#Headers],[Resource]])))</f>
        <v/>
      </c>
      <c r="J21" s="64" t="str">
        <f aca="false">IF(ResourceSummary[[#This Row],[Resource]]="","",COUNTIFS(tsk_Resource,ResourceSummary[[#This Row],[Resource]],tsk_LateKey,"&gt;0")+SUMIFS(asg_Late,asg_Resource,ResourceSummary[[#This Row],[Resource]]))</f>
        <v/>
      </c>
      <c r="K21" s="64" t="str">
        <f aca="false">IF(ResourceSummary[[#This Row],[Resource]]="","",COUNTIFS(tsk_Resource,ResourceSummary[[#This Row],[Resource]],tsk_Critical,"Yes",tsk_IsLeaf,1)+SUMIFS(asg_Critical,asg_Resource,ResourceSummary[[#This Row],[Resource]]))</f>
        <v/>
      </c>
      <c r="L21" s="62" t="str">
        <f aca="false">IF(ResourceSummary[[#This Row],[Resource]]="","",MAX(INDEX(rw_Load,ROW()-ROW(ResourceSummary[[#Headers],[Resource]]),0)))</f>
        <v/>
      </c>
      <c r="M21" s="34" t="str">
        <f aca="false">IF(ResourceSummary[[#This Row],[Resource]]="","",MAX(INDEX(rw_Util,ROW()-ROW(ResourceSummary[[#Headers],[Resource]]),0)))</f>
        <v/>
      </c>
      <c r="N21" s="64" t="str">
        <f aca="false">IF(ResourceSummary[[#This Row],[Resource]]="","",COUNTIF(INDEX(rw_Util,ROW()-ROW(ResourceSummary[[#Headers],[Resource]]),0),"&gt;1"))</f>
        <v/>
      </c>
      <c r="O21" s="66" t="str">
        <f aca="false">IF(ResourceSummary[[#This Row],[Resource]]="","",SUM(INDEX(rw_Leave,ROW()-ROW(ResourceSummary[[#Headers],[Resource]]),0)))</f>
        <v/>
      </c>
    </row>
    <row r="22" customFormat="false" ht="15" hidden="false" customHeight="false" outlineLevel="0" collapsed="false">
      <c r="B22" s="24" t="str">
        <f aca="false">IFERROR(INDEX(res_Name,ROW()-ROW(ResourceSummary[[#Headers],[Resource]]))&amp;"","")</f>
        <v/>
      </c>
      <c r="C22" s="34" t="str">
        <f aca="false">IF(ResourceSummary[[#This Row],[Resource]]="","",INDEX(ResourceTable[Max Units],ROW()-ROW(ResourceSummary[[#Headers],[Resource]])))</f>
        <v/>
      </c>
      <c r="D22" s="64" t="str">
        <f aca="false">IF(ResourceSummary[[#This Row],[Resource]]="","",INDEX(ResourceTable[Tasks],ROW()-ROW(ResourceSummary[[#Headers],[Resource]])))</f>
        <v/>
      </c>
      <c r="E22" s="65" t="str">
        <f aca="false">IF(ResourceSummary[[#This Row],[Resource]]="","",INDEX(ResourceTable[Work],ROW()-ROW(ResourceSummary[[#Headers],[Resource]])))</f>
        <v/>
      </c>
      <c r="F22" s="65" t="str">
        <f aca="false">IF(ResourceSummary[[#This Row],[Resource]]="","",SUMIFS(tsk_LeafWorkDone,tsk_Resource,ResourceSummary[[#This Row],[Resource]])+SUMIFS(asg_WorkDone,asg_Resource,ResourceSummary[[#This Row],[Resource]]))</f>
        <v/>
      </c>
      <c r="G22" s="65" t="str">
        <f aca="false">IF(ResourceSummary[[#This Row],[Resource]]="","",ResourceSummary[[#This Row],[Work]]-ResourceSummary[[#This Row],[Work Done]])</f>
        <v/>
      </c>
      <c r="H22" s="65" t="str">
        <f aca="false">IF(ResourceSummary[[#This Row],[Resource]]="","",INDEX(ResourceTable[Cost],ROW()-ROW(ResourceSummary[[#Headers],[Resource]])))</f>
        <v/>
      </c>
      <c r="I22" s="65" t="str">
        <f aca="false">IF(ResourceSummary[[#This Row],[Resource]]="","",INDEX(ResourceTable[Actual Cost],ROW()-ROW(ResourceSummary[[#Headers],[Resource]])))</f>
        <v/>
      </c>
      <c r="J22" s="64" t="str">
        <f aca="false">IF(ResourceSummary[[#This Row],[Resource]]="","",COUNTIFS(tsk_Resource,ResourceSummary[[#This Row],[Resource]],tsk_LateKey,"&gt;0")+SUMIFS(asg_Late,asg_Resource,ResourceSummary[[#This Row],[Resource]]))</f>
        <v/>
      </c>
      <c r="K22" s="64" t="str">
        <f aca="false">IF(ResourceSummary[[#This Row],[Resource]]="","",COUNTIFS(tsk_Resource,ResourceSummary[[#This Row],[Resource]],tsk_Critical,"Yes",tsk_IsLeaf,1)+SUMIFS(asg_Critical,asg_Resource,ResourceSummary[[#This Row],[Resource]]))</f>
        <v/>
      </c>
      <c r="L22" s="62" t="str">
        <f aca="false">IF(ResourceSummary[[#This Row],[Resource]]="","",MAX(INDEX(rw_Load,ROW()-ROW(ResourceSummary[[#Headers],[Resource]]),0)))</f>
        <v/>
      </c>
      <c r="M22" s="34" t="str">
        <f aca="false">IF(ResourceSummary[[#This Row],[Resource]]="","",MAX(INDEX(rw_Util,ROW()-ROW(ResourceSummary[[#Headers],[Resource]]),0)))</f>
        <v/>
      </c>
      <c r="N22" s="64" t="str">
        <f aca="false">IF(ResourceSummary[[#This Row],[Resource]]="","",COUNTIF(INDEX(rw_Util,ROW()-ROW(ResourceSummary[[#Headers],[Resource]]),0),"&gt;1"))</f>
        <v/>
      </c>
      <c r="O22" s="66" t="str">
        <f aca="false">IF(ResourceSummary[[#This Row],[Resource]]="","",SUM(INDEX(rw_Leave,ROW()-ROW(ResourceSummary[[#Headers],[Resource]]),0)))</f>
        <v/>
      </c>
    </row>
    <row r="23" customFormat="false" ht="15" hidden="false" customHeight="false" outlineLevel="0" collapsed="false">
      <c r="B23" s="24" t="str">
        <f aca="false">IFERROR(INDEX(res_Name,ROW()-ROW(ResourceSummary[[#Headers],[Resource]]))&amp;"","")</f>
        <v/>
      </c>
      <c r="C23" s="34" t="str">
        <f aca="false">IF(ResourceSummary[[#This Row],[Resource]]="","",INDEX(ResourceTable[Max Units],ROW()-ROW(ResourceSummary[[#Headers],[Resource]])))</f>
        <v/>
      </c>
      <c r="D23" s="64" t="str">
        <f aca="false">IF(ResourceSummary[[#This Row],[Resource]]="","",INDEX(ResourceTable[Tasks],ROW()-ROW(ResourceSummary[[#Headers],[Resource]])))</f>
        <v/>
      </c>
      <c r="E23" s="65" t="str">
        <f aca="false">IF(ResourceSummary[[#This Row],[Resource]]="","",INDEX(ResourceTable[Work],ROW()-ROW(ResourceSummary[[#Headers],[Resource]])))</f>
        <v/>
      </c>
      <c r="F23" s="65" t="str">
        <f aca="false">IF(ResourceSummary[[#This Row],[Resource]]="","",SUMIFS(tsk_LeafWorkDone,tsk_Resource,ResourceSummary[[#This Row],[Resource]])+SUMIFS(asg_WorkDone,asg_Resource,ResourceSummary[[#This Row],[Resource]]))</f>
        <v/>
      </c>
      <c r="G23" s="65" t="str">
        <f aca="false">IF(ResourceSummary[[#This Row],[Resource]]="","",ResourceSummary[[#This Row],[Work]]-ResourceSummary[[#This Row],[Work Done]])</f>
        <v/>
      </c>
      <c r="H23" s="65" t="str">
        <f aca="false">IF(ResourceSummary[[#This Row],[Resource]]="","",INDEX(ResourceTable[Cost],ROW()-ROW(ResourceSummary[[#Headers],[Resource]])))</f>
        <v/>
      </c>
      <c r="I23" s="65" t="str">
        <f aca="false">IF(ResourceSummary[[#This Row],[Resource]]="","",INDEX(ResourceTable[Actual Cost],ROW()-ROW(ResourceSummary[[#Headers],[Resource]])))</f>
        <v/>
      </c>
      <c r="J23" s="64" t="str">
        <f aca="false">IF(ResourceSummary[[#This Row],[Resource]]="","",COUNTIFS(tsk_Resource,ResourceSummary[[#This Row],[Resource]],tsk_LateKey,"&gt;0")+SUMIFS(asg_Late,asg_Resource,ResourceSummary[[#This Row],[Resource]]))</f>
        <v/>
      </c>
      <c r="K23" s="64" t="str">
        <f aca="false">IF(ResourceSummary[[#This Row],[Resource]]="","",COUNTIFS(tsk_Resource,ResourceSummary[[#This Row],[Resource]],tsk_Critical,"Yes",tsk_IsLeaf,1)+SUMIFS(asg_Critical,asg_Resource,ResourceSummary[[#This Row],[Resource]]))</f>
        <v/>
      </c>
      <c r="L23" s="62" t="str">
        <f aca="false">IF(ResourceSummary[[#This Row],[Resource]]="","",MAX(INDEX(rw_Load,ROW()-ROW(ResourceSummary[[#Headers],[Resource]]),0)))</f>
        <v/>
      </c>
      <c r="M23" s="34" t="str">
        <f aca="false">IF(ResourceSummary[[#This Row],[Resource]]="","",MAX(INDEX(rw_Util,ROW()-ROW(ResourceSummary[[#Headers],[Resource]]),0)))</f>
        <v/>
      </c>
      <c r="N23" s="64" t="str">
        <f aca="false">IF(ResourceSummary[[#This Row],[Resource]]="","",COUNTIF(INDEX(rw_Util,ROW()-ROW(ResourceSummary[[#Headers],[Resource]]),0),"&gt;1"))</f>
        <v/>
      </c>
      <c r="O23" s="66" t="str">
        <f aca="false">IF(ResourceSummary[[#This Row],[Resource]]="","",SUM(INDEX(rw_Leave,ROW()-ROW(ResourceSummary[[#Headers],[Resource]]),0)))</f>
        <v/>
      </c>
    </row>
    <row r="24" customFormat="false" ht="15" hidden="false" customHeight="false" outlineLevel="0" collapsed="false">
      <c r="B24" s="24" t="str">
        <f aca="false">IFERROR(INDEX(res_Name,ROW()-ROW(ResourceSummary[[#Headers],[Resource]]))&amp;"","")</f>
        <v/>
      </c>
      <c r="C24" s="34" t="str">
        <f aca="false">IF(ResourceSummary[[#This Row],[Resource]]="","",INDEX(ResourceTable[Max Units],ROW()-ROW(ResourceSummary[[#Headers],[Resource]])))</f>
        <v/>
      </c>
      <c r="D24" s="64" t="str">
        <f aca="false">IF(ResourceSummary[[#This Row],[Resource]]="","",INDEX(ResourceTable[Tasks],ROW()-ROW(ResourceSummary[[#Headers],[Resource]])))</f>
        <v/>
      </c>
      <c r="E24" s="65" t="str">
        <f aca="false">IF(ResourceSummary[[#This Row],[Resource]]="","",INDEX(ResourceTable[Work],ROW()-ROW(ResourceSummary[[#Headers],[Resource]])))</f>
        <v/>
      </c>
      <c r="F24" s="65" t="str">
        <f aca="false">IF(ResourceSummary[[#This Row],[Resource]]="","",SUMIFS(tsk_LeafWorkDone,tsk_Resource,ResourceSummary[[#This Row],[Resource]])+SUMIFS(asg_WorkDone,asg_Resource,ResourceSummary[[#This Row],[Resource]]))</f>
        <v/>
      </c>
      <c r="G24" s="65" t="str">
        <f aca="false">IF(ResourceSummary[[#This Row],[Resource]]="","",ResourceSummary[[#This Row],[Work]]-ResourceSummary[[#This Row],[Work Done]])</f>
        <v/>
      </c>
      <c r="H24" s="65" t="str">
        <f aca="false">IF(ResourceSummary[[#This Row],[Resource]]="","",INDEX(ResourceTable[Cost],ROW()-ROW(ResourceSummary[[#Headers],[Resource]])))</f>
        <v/>
      </c>
      <c r="I24" s="65" t="str">
        <f aca="false">IF(ResourceSummary[[#This Row],[Resource]]="","",INDEX(ResourceTable[Actual Cost],ROW()-ROW(ResourceSummary[[#Headers],[Resource]])))</f>
        <v/>
      </c>
      <c r="J24" s="64" t="str">
        <f aca="false">IF(ResourceSummary[[#This Row],[Resource]]="","",COUNTIFS(tsk_Resource,ResourceSummary[[#This Row],[Resource]],tsk_LateKey,"&gt;0")+SUMIFS(asg_Late,asg_Resource,ResourceSummary[[#This Row],[Resource]]))</f>
        <v/>
      </c>
      <c r="K24" s="64" t="str">
        <f aca="false">IF(ResourceSummary[[#This Row],[Resource]]="","",COUNTIFS(tsk_Resource,ResourceSummary[[#This Row],[Resource]],tsk_Critical,"Yes",tsk_IsLeaf,1)+SUMIFS(asg_Critical,asg_Resource,ResourceSummary[[#This Row],[Resource]]))</f>
        <v/>
      </c>
      <c r="L24" s="62" t="str">
        <f aca="false">IF(ResourceSummary[[#This Row],[Resource]]="","",MAX(INDEX(rw_Load,ROW()-ROW(ResourceSummary[[#Headers],[Resource]]),0)))</f>
        <v/>
      </c>
      <c r="M24" s="34" t="str">
        <f aca="false">IF(ResourceSummary[[#This Row],[Resource]]="","",MAX(INDEX(rw_Util,ROW()-ROW(ResourceSummary[[#Headers],[Resource]]),0)))</f>
        <v/>
      </c>
      <c r="N24" s="64" t="str">
        <f aca="false">IF(ResourceSummary[[#This Row],[Resource]]="","",COUNTIF(INDEX(rw_Util,ROW()-ROW(ResourceSummary[[#Headers],[Resource]]),0),"&gt;1"))</f>
        <v/>
      </c>
      <c r="O24" s="66" t="str">
        <f aca="false">IF(ResourceSummary[[#This Row],[Resource]]="","",SUM(INDEX(rw_Leave,ROW()-ROW(ResourceSummary[[#Headers],[Resource]]),0)))</f>
        <v/>
      </c>
    </row>
    <row r="25" customFormat="false" ht="15" hidden="false" customHeight="false" outlineLevel="0" collapsed="false">
      <c r="B25" s="24" t="str">
        <f aca="false">IFERROR(INDEX(res_Name,ROW()-ROW(ResourceSummary[[#Headers],[Resource]]))&amp;"","")</f>
        <v/>
      </c>
      <c r="C25" s="34" t="str">
        <f aca="false">IF(ResourceSummary[[#This Row],[Resource]]="","",INDEX(ResourceTable[Max Units],ROW()-ROW(ResourceSummary[[#Headers],[Resource]])))</f>
        <v/>
      </c>
      <c r="D25" s="64" t="str">
        <f aca="false">IF(ResourceSummary[[#This Row],[Resource]]="","",INDEX(ResourceTable[Tasks],ROW()-ROW(ResourceSummary[[#Headers],[Resource]])))</f>
        <v/>
      </c>
      <c r="E25" s="65" t="str">
        <f aca="false">IF(ResourceSummary[[#This Row],[Resource]]="","",INDEX(ResourceTable[Work],ROW()-ROW(ResourceSummary[[#Headers],[Resource]])))</f>
        <v/>
      </c>
      <c r="F25" s="65" t="str">
        <f aca="false">IF(ResourceSummary[[#This Row],[Resource]]="","",SUMIFS(tsk_LeafWorkDone,tsk_Resource,ResourceSummary[[#This Row],[Resource]])+SUMIFS(asg_WorkDone,asg_Resource,ResourceSummary[[#This Row],[Resource]]))</f>
        <v/>
      </c>
      <c r="G25" s="65" t="str">
        <f aca="false">IF(ResourceSummary[[#This Row],[Resource]]="","",ResourceSummary[[#This Row],[Work]]-ResourceSummary[[#This Row],[Work Done]])</f>
        <v/>
      </c>
      <c r="H25" s="65" t="str">
        <f aca="false">IF(ResourceSummary[[#This Row],[Resource]]="","",INDEX(ResourceTable[Cost],ROW()-ROW(ResourceSummary[[#Headers],[Resource]])))</f>
        <v/>
      </c>
      <c r="I25" s="65" t="str">
        <f aca="false">IF(ResourceSummary[[#This Row],[Resource]]="","",INDEX(ResourceTable[Actual Cost],ROW()-ROW(ResourceSummary[[#Headers],[Resource]])))</f>
        <v/>
      </c>
      <c r="J25" s="64" t="str">
        <f aca="false">IF(ResourceSummary[[#This Row],[Resource]]="","",COUNTIFS(tsk_Resource,ResourceSummary[[#This Row],[Resource]],tsk_LateKey,"&gt;0")+SUMIFS(asg_Late,asg_Resource,ResourceSummary[[#This Row],[Resource]]))</f>
        <v/>
      </c>
      <c r="K25" s="64" t="str">
        <f aca="false">IF(ResourceSummary[[#This Row],[Resource]]="","",COUNTIFS(tsk_Resource,ResourceSummary[[#This Row],[Resource]],tsk_Critical,"Yes",tsk_IsLeaf,1)+SUMIFS(asg_Critical,asg_Resource,ResourceSummary[[#This Row],[Resource]]))</f>
        <v/>
      </c>
      <c r="L25" s="62" t="str">
        <f aca="false">IF(ResourceSummary[[#This Row],[Resource]]="","",MAX(INDEX(rw_Load,ROW()-ROW(ResourceSummary[[#Headers],[Resource]]),0)))</f>
        <v/>
      </c>
      <c r="M25" s="34" t="str">
        <f aca="false">IF(ResourceSummary[[#This Row],[Resource]]="","",MAX(INDEX(rw_Util,ROW()-ROW(ResourceSummary[[#Headers],[Resource]]),0)))</f>
        <v/>
      </c>
      <c r="N25" s="64" t="str">
        <f aca="false">IF(ResourceSummary[[#This Row],[Resource]]="","",COUNTIF(INDEX(rw_Util,ROW()-ROW(ResourceSummary[[#Headers],[Resource]]),0),"&gt;1"))</f>
        <v/>
      </c>
      <c r="O25" s="66" t="str">
        <f aca="false">IF(ResourceSummary[[#This Row],[Resource]]="","",SUM(INDEX(rw_Leave,ROW()-ROW(ResourceSummary[[#Headers],[Resource]]),0)))</f>
        <v/>
      </c>
    </row>
    <row r="26" customFormat="false" ht="15" hidden="false" customHeight="false" outlineLevel="0" collapsed="false">
      <c r="B26" s="24" t="str">
        <f aca="false">IFERROR(INDEX(res_Name,ROW()-ROW(ResourceSummary[[#Headers],[Resource]]))&amp;"","")</f>
        <v/>
      </c>
      <c r="C26" s="34" t="str">
        <f aca="false">IF(ResourceSummary[[#This Row],[Resource]]="","",INDEX(ResourceTable[Max Units],ROW()-ROW(ResourceSummary[[#Headers],[Resource]])))</f>
        <v/>
      </c>
      <c r="D26" s="64" t="str">
        <f aca="false">IF(ResourceSummary[[#This Row],[Resource]]="","",INDEX(ResourceTable[Tasks],ROW()-ROW(ResourceSummary[[#Headers],[Resource]])))</f>
        <v/>
      </c>
      <c r="E26" s="65" t="str">
        <f aca="false">IF(ResourceSummary[[#This Row],[Resource]]="","",INDEX(ResourceTable[Work],ROW()-ROW(ResourceSummary[[#Headers],[Resource]])))</f>
        <v/>
      </c>
      <c r="F26" s="65" t="str">
        <f aca="false">IF(ResourceSummary[[#This Row],[Resource]]="","",SUMIFS(tsk_LeafWorkDone,tsk_Resource,ResourceSummary[[#This Row],[Resource]])+SUMIFS(asg_WorkDone,asg_Resource,ResourceSummary[[#This Row],[Resource]]))</f>
        <v/>
      </c>
      <c r="G26" s="65" t="str">
        <f aca="false">IF(ResourceSummary[[#This Row],[Resource]]="","",ResourceSummary[[#This Row],[Work]]-ResourceSummary[[#This Row],[Work Done]])</f>
        <v/>
      </c>
      <c r="H26" s="65" t="str">
        <f aca="false">IF(ResourceSummary[[#This Row],[Resource]]="","",INDEX(ResourceTable[Cost],ROW()-ROW(ResourceSummary[[#Headers],[Resource]])))</f>
        <v/>
      </c>
      <c r="I26" s="65" t="str">
        <f aca="false">IF(ResourceSummary[[#This Row],[Resource]]="","",INDEX(ResourceTable[Actual Cost],ROW()-ROW(ResourceSummary[[#Headers],[Resource]])))</f>
        <v/>
      </c>
      <c r="J26" s="64" t="str">
        <f aca="false">IF(ResourceSummary[[#This Row],[Resource]]="","",COUNTIFS(tsk_Resource,ResourceSummary[[#This Row],[Resource]],tsk_LateKey,"&gt;0")+SUMIFS(asg_Late,asg_Resource,ResourceSummary[[#This Row],[Resource]]))</f>
        <v/>
      </c>
      <c r="K26" s="64" t="str">
        <f aca="false">IF(ResourceSummary[[#This Row],[Resource]]="","",COUNTIFS(tsk_Resource,ResourceSummary[[#This Row],[Resource]],tsk_Critical,"Yes",tsk_IsLeaf,1)+SUMIFS(asg_Critical,asg_Resource,ResourceSummary[[#This Row],[Resource]]))</f>
        <v/>
      </c>
      <c r="L26" s="62" t="str">
        <f aca="false">IF(ResourceSummary[[#This Row],[Resource]]="","",MAX(INDEX(rw_Load,ROW()-ROW(ResourceSummary[[#Headers],[Resource]]),0)))</f>
        <v/>
      </c>
      <c r="M26" s="34" t="str">
        <f aca="false">IF(ResourceSummary[[#This Row],[Resource]]="","",MAX(INDEX(rw_Util,ROW()-ROW(ResourceSummary[[#Headers],[Resource]]),0)))</f>
        <v/>
      </c>
      <c r="N26" s="64" t="str">
        <f aca="false">IF(ResourceSummary[[#This Row],[Resource]]="","",COUNTIF(INDEX(rw_Util,ROW()-ROW(ResourceSummary[[#Headers],[Resource]]),0),"&gt;1"))</f>
        <v/>
      </c>
      <c r="O26" s="66" t="str">
        <f aca="false">IF(ResourceSummary[[#This Row],[Resource]]="","",SUM(INDEX(rw_Leave,ROW()-ROW(ResourceSummary[[#Headers],[Resource]]),0)))</f>
        <v/>
      </c>
    </row>
    <row r="27" customFormat="false" ht="15" hidden="false" customHeight="false" outlineLevel="0" collapsed="false">
      <c r="B27" s="24" t="str">
        <f aca="false">IFERROR(INDEX(res_Name,ROW()-ROW(ResourceSummary[[#Headers],[Resource]]))&amp;"","")</f>
        <v/>
      </c>
      <c r="C27" s="34" t="str">
        <f aca="false">IF(ResourceSummary[[#This Row],[Resource]]="","",INDEX(ResourceTable[Max Units],ROW()-ROW(ResourceSummary[[#Headers],[Resource]])))</f>
        <v/>
      </c>
      <c r="D27" s="64" t="str">
        <f aca="false">IF(ResourceSummary[[#This Row],[Resource]]="","",INDEX(ResourceTable[Tasks],ROW()-ROW(ResourceSummary[[#Headers],[Resource]])))</f>
        <v/>
      </c>
      <c r="E27" s="65" t="str">
        <f aca="false">IF(ResourceSummary[[#This Row],[Resource]]="","",INDEX(ResourceTable[Work],ROW()-ROW(ResourceSummary[[#Headers],[Resource]])))</f>
        <v/>
      </c>
      <c r="F27" s="65" t="str">
        <f aca="false">IF(ResourceSummary[[#This Row],[Resource]]="","",SUMIFS(tsk_LeafWorkDone,tsk_Resource,ResourceSummary[[#This Row],[Resource]])+SUMIFS(asg_WorkDone,asg_Resource,ResourceSummary[[#This Row],[Resource]]))</f>
        <v/>
      </c>
      <c r="G27" s="65" t="str">
        <f aca="false">IF(ResourceSummary[[#This Row],[Resource]]="","",ResourceSummary[[#This Row],[Work]]-ResourceSummary[[#This Row],[Work Done]])</f>
        <v/>
      </c>
      <c r="H27" s="65" t="str">
        <f aca="false">IF(ResourceSummary[[#This Row],[Resource]]="","",INDEX(ResourceTable[Cost],ROW()-ROW(ResourceSummary[[#Headers],[Resource]])))</f>
        <v/>
      </c>
      <c r="I27" s="65" t="str">
        <f aca="false">IF(ResourceSummary[[#This Row],[Resource]]="","",INDEX(ResourceTable[Actual Cost],ROW()-ROW(ResourceSummary[[#Headers],[Resource]])))</f>
        <v/>
      </c>
      <c r="J27" s="64" t="str">
        <f aca="false">IF(ResourceSummary[[#This Row],[Resource]]="","",COUNTIFS(tsk_Resource,ResourceSummary[[#This Row],[Resource]],tsk_LateKey,"&gt;0")+SUMIFS(asg_Late,asg_Resource,ResourceSummary[[#This Row],[Resource]]))</f>
        <v/>
      </c>
      <c r="K27" s="64" t="str">
        <f aca="false">IF(ResourceSummary[[#This Row],[Resource]]="","",COUNTIFS(tsk_Resource,ResourceSummary[[#This Row],[Resource]],tsk_Critical,"Yes",tsk_IsLeaf,1)+SUMIFS(asg_Critical,asg_Resource,ResourceSummary[[#This Row],[Resource]]))</f>
        <v/>
      </c>
      <c r="L27" s="62" t="str">
        <f aca="false">IF(ResourceSummary[[#This Row],[Resource]]="","",MAX(INDEX(rw_Load,ROW()-ROW(ResourceSummary[[#Headers],[Resource]]),0)))</f>
        <v/>
      </c>
      <c r="M27" s="34" t="str">
        <f aca="false">IF(ResourceSummary[[#This Row],[Resource]]="","",MAX(INDEX(rw_Util,ROW()-ROW(ResourceSummary[[#Headers],[Resource]]),0)))</f>
        <v/>
      </c>
      <c r="N27" s="64" t="str">
        <f aca="false">IF(ResourceSummary[[#This Row],[Resource]]="","",COUNTIF(INDEX(rw_Util,ROW()-ROW(ResourceSummary[[#Headers],[Resource]]),0),"&gt;1"))</f>
        <v/>
      </c>
      <c r="O27" s="66" t="str">
        <f aca="false">IF(ResourceSummary[[#This Row],[Resource]]="","",SUM(INDEX(rw_Leave,ROW()-ROW(ResourceSummary[[#Headers],[Resource]]),0)))</f>
        <v/>
      </c>
    </row>
    <row r="28" customFormat="false" ht="15" hidden="false" customHeight="false" outlineLevel="0" collapsed="false">
      <c r="B28" s="24" t="str">
        <f aca="false">IFERROR(INDEX(res_Name,ROW()-ROW(ResourceSummary[[#Headers],[Resource]]))&amp;"","")</f>
        <v/>
      </c>
      <c r="C28" s="34" t="str">
        <f aca="false">IF(ResourceSummary[[#This Row],[Resource]]="","",INDEX(ResourceTable[Max Units],ROW()-ROW(ResourceSummary[[#Headers],[Resource]])))</f>
        <v/>
      </c>
      <c r="D28" s="64" t="str">
        <f aca="false">IF(ResourceSummary[[#This Row],[Resource]]="","",INDEX(ResourceTable[Tasks],ROW()-ROW(ResourceSummary[[#Headers],[Resource]])))</f>
        <v/>
      </c>
      <c r="E28" s="65" t="str">
        <f aca="false">IF(ResourceSummary[[#This Row],[Resource]]="","",INDEX(ResourceTable[Work],ROW()-ROW(ResourceSummary[[#Headers],[Resource]])))</f>
        <v/>
      </c>
      <c r="F28" s="65" t="str">
        <f aca="false">IF(ResourceSummary[[#This Row],[Resource]]="","",SUMIFS(tsk_LeafWorkDone,tsk_Resource,ResourceSummary[[#This Row],[Resource]])+SUMIFS(asg_WorkDone,asg_Resource,ResourceSummary[[#This Row],[Resource]]))</f>
        <v/>
      </c>
      <c r="G28" s="65" t="str">
        <f aca="false">IF(ResourceSummary[[#This Row],[Resource]]="","",ResourceSummary[[#This Row],[Work]]-ResourceSummary[[#This Row],[Work Done]])</f>
        <v/>
      </c>
      <c r="H28" s="65" t="str">
        <f aca="false">IF(ResourceSummary[[#This Row],[Resource]]="","",INDEX(ResourceTable[Cost],ROW()-ROW(ResourceSummary[[#Headers],[Resource]])))</f>
        <v/>
      </c>
      <c r="I28" s="65" t="str">
        <f aca="false">IF(ResourceSummary[[#This Row],[Resource]]="","",INDEX(ResourceTable[Actual Cost],ROW()-ROW(ResourceSummary[[#Headers],[Resource]])))</f>
        <v/>
      </c>
      <c r="J28" s="64" t="str">
        <f aca="false">IF(ResourceSummary[[#This Row],[Resource]]="","",COUNTIFS(tsk_Resource,ResourceSummary[[#This Row],[Resource]],tsk_LateKey,"&gt;0")+SUMIFS(asg_Late,asg_Resource,ResourceSummary[[#This Row],[Resource]]))</f>
        <v/>
      </c>
      <c r="K28" s="64" t="str">
        <f aca="false">IF(ResourceSummary[[#This Row],[Resource]]="","",COUNTIFS(tsk_Resource,ResourceSummary[[#This Row],[Resource]],tsk_Critical,"Yes",tsk_IsLeaf,1)+SUMIFS(asg_Critical,asg_Resource,ResourceSummary[[#This Row],[Resource]]))</f>
        <v/>
      </c>
      <c r="L28" s="62" t="str">
        <f aca="false">IF(ResourceSummary[[#This Row],[Resource]]="","",MAX(INDEX(rw_Load,ROW()-ROW(ResourceSummary[[#Headers],[Resource]]),0)))</f>
        <v/>
      </c>
      <c r="M28" s="34" t="str">
        <f aca="false">IF(ResourceSummary[[#This Row],[Resource]]="","",MAX(INDEX(rw_Util,ROW()-ROW(ResourceSummary[[#Headers],[Resource]]),0)))</f>
        <v/>
      </c>
      <c r="N28" s="64" t="str">
        <f aca="false">IF(ResourceSummary[[#This Row],[Resource]]="","",COUNTIF(INDEX(rw_Util,ROW()-ROW(ResourceSummary[[#Headers],[Resource]]),0),"&gt;1"))</f>
        <v/>
      </c>
      <c r="O28" s="66" t="str">
        <f aca="false">IF(ResourceSummary[[#This Row],[Resource]]="","",SUM(INDEX(rw_Leave,ROW()-ROW(ResourceSummary[[#Headers],[Resource]]),0)))</f>
        <v/>
      </c>
    </row>
    <row r="29" customFormat="false" ht="15" hidden="false" customHeight="false" outlineLevel="0" collapsed="false">
      <c r="B29" s="24" t="str">
        <f aca="false">IFERROR(INDEX(res_Name,ROW()-ROW(ResourceSummary[[#Headers],[Resource]]))&amp;"","")</f>
        <v/>
      </c>
      <c r="C29" s="34" t="str">
        <f aca="false">IF(ResourceSummary[[#This Row],[Resource]]="","",INDEX(ResourceTable[Max Units],ROW()-ROW(ResourceSummary[[#Headers],[Resource]])))</f>
        <v/>
      </c>
      <c r="D29" s="64" t="str">
        <f aca="false">IF(ResourceSummary[[#This Row],[Resource]]="","",INDEX(ResourceTable[Tasks],ROW()-ROW(ResourceSummary[[#Headers],[Resource]])))</f>
        <v/>
      </c>
      <c r="E29" s="65" t="str">
        <f aca="false">IF(ResourceSummary[[#This Row],[Resource]]="","",INDEX(ResourceTable[Work],ROW()-ROW(ResourceSummary[[#Headers],[Resource]])))</f>
        <v/>
      </c>
      <c r="F29" s="65" t="str">
        <f aca="false">IF(ResourceSummary[[#This Row],[Resource]]="","",SUMIFS(tsk_LeafWorkDone,tsk_Resource,ResourceSummary[[#This Row],[Resource]])+SUMIFS(asg_WorkDone,asg_Resource,ResourceSummary[[#This Row],[Resource]]))</f>
        <v/>
      </c>
      <c r="G29" s="65" t="str">
        <f aca="false">IF(ResourceSummary[[#This Row],[Resource]]="","",ResourceSummary[[#This Row],[Work]]-ResourceSummary[[#This Row],[Work Done]])</f>
        <v/>
      </c>
      <c r="H29" s="65" t="str">
        <f aca="false">IF(ResourceSummary[[#This Row],[Resource]]="","",INDEX(ResourceTable[Cost],ROW()-ROW(ResourceSummary[[#Headers],[Resource]])))</f>
        <v/>
      </c>
      <c r="I29" s="65" t="str">
        <f aca="false">IF(ResourceSummary[[#This Row],[Resource]]="","",INDEX(ResourceTable[Actual Cost],ROW()-ROW(ResourceSummary[[#Headers],[Resource]])))</f>
        <v/>
      </c>
      <c r="J29" s="64" t="str">
        <f aca="false">IF(ResourceSummary[[#This Row],[Resource]]="","",COUNTIFS(tsk_Resource,ResourceSummary[[#This Row],[Resource]],tsk_LateKey,"&gt;0")+SUMIFS(asg_Late,asg_Resource,ResourceSummary[[#This Row],[Resource]]))</f>
        <v/>
      </c>
      <c r="K29" s="64" t="str">
        <f aca="false">IF(ResourceSummary[[#This Row],[Resource]]="","",COUNTIFS(tsk_Resource,ResourceSummary[[#This Row],[Resource]],tsk_Critical,"Yes",tsk_IsLeaf,1)+SUMIFS(asg_Critical,asg_Resource,ResourceSummary[[#This Row],[Resource]]))</f>
        <v/>
      </c>
      <c r="L29" s="62" t="str">
        <f aca="false">IF(ResourceSummary[[#This Row],[Resource]]="","",MAX(INDEX(rw_Load,ROW()-ROW(ResourceSummary[[#Headers],[Resource]]),0)))</f>
        <v/>
      </c>
      <c r="M29" s="34" t="str">
        <f aca="false">IF(ResourceSummary[[#This Row],[Resource]]="","",MAX(INDEX(rw_Util,ROW()-ROW(ResourceSummary[[#Headers],[Resource]]),0)))</f>
        <v/>
      </c>
      <c r="N29" s="64" t="str">
        <f aca="false">IF(ResourceSummary[[#This Row],[Resource]]="","",COUNTIF(INDEX(rw_Util,ROW()-ROW(ResourceSummary[[#Headers],[Resource]]),0),"&gt;1"))</f>
        <v/>
      </c>
      <c r="O29" s="66" t="str">
        <f aca="false">IF(ResourceSummary[[#This Row],[Resource]]="","",SUM(INDEX(rw_Leave,ROW()-ROW(ResourceSummary[[#Headers],[Resource]]),0)))</f>
        <v/>
      </c>
    </row>
    <row r="30" customFormat="false" ht="15" hidden="false" customHeight="false" outlineLevel="0" collapsed="false">
      <c r="B30" s="24" t="str">
        <f aca="false">IFERROR(INDEX(res_Name,ROW()-ROW(ResourceSummary[[#Headers],[Resource]]))&amp;"","")</f>
        <v/>
      </c>
      <c r="C30" s="34" t="str">
        <f aca="false">IF(ResourceSummary[[#This Row],[Resource]]="","",INDEX(ResourceTable[Max Units],ROW()-ROW(ResourceSummary[[#Headers],[Resource]])))</f>
        <v/>
      </c>
      <c r="D30" s="64" t="str">
        <f aca="false">IF(ResourceSummary[[#This Row],[Resource]]="","",INDEX(ResourceTable[Tasks],ROW()-ROW(ResourceSummary[[#Headers],[Resource]])))</f>
        <v/>
      </c>
      <c r="E30" s="65" t="str">
        <f aca="false">IF(ResourceSummary[[#This Row],[Resource]]="","",INDEX(ResourceTable[Work],ROW()-ROW(ResourceSummary[[#Headers],[Resource]])))</f>
        <v/>
      </c>
      <c r="F30" s="65" t="str">
        <f aca="false">IF(ResourceSummary[[#This Row],[Resource]]="","",SUMIFS(tsk_LeafWorkDone,tsk_Resource,ResourceSummary[[#This Row],[Resource]])+SUMIFS(asg_WorkDone,asg_Resource,ResourceSummary[[#This Row],[Resource]]))</f>
        <v/>
      </c>
      <c r="G30" s="65" t="str">
        <f aca="false">IF(ResourceSummary[[#This Row],[Resource]]="","",ResourceSummary[[#This Row],[Work]]-ResourceSummary[[#This Row],[Work Done]])</f>
        <v/>
      </c>
      <c r="H30" s="65" t="str">
        <f aca="false">IF(ResourceSummary[[#This Row],[Resource]]="","",INDEX(ResourceTable[Cost],ROW()-ROW(ResourceSummary[[#Headers],[Resource]])))</f>
        <v/>
      </c>
      <c r="I30" s="65" t="str">
        <f aca="false">IF(ResourceSummary[[#This Row],[Resource]]="","",INDEX(ResourceTable[Actual Cost],ROW()-ROW(ResourceSummary[[#Headers],[Resource]])))</f>
        <v/>
      </c>
      <c r="J30" s="64" t="str">
        <f aca="false">IF(ResourceSummary[[#This Row],[Resource]]="","",COUNTIFS(tsk_Resource,ResourceSummary[[#This Row],[Resource]],tsk_LateKey,"&gt;0")+SUMIFS(asg_Late,asg_Resource,ResourceSummary[[#This Row],[Resource]]))</f>
        <v/>
      </c>
      <c r="K30" s="64" t="str">
        <f aca="false">IF(ResourceSummary[[#This Row],[Resource]]="","",COUNTIFS(tsk_Resource,ResourceSummary[[#This Row],[Resource]],tsk_Critical,"Yes",tsk_IsLeaf,1)+SUMIFS(asg_Critical,asg_Resource,ResourceSummary[[#This Row],[Resource]]))</f>
        <v/>
      </c>
      <c r="L30" s="62" t="str">
        <f aca="false">IF(ResourceSummary[[#This Row],[Resource]]="","",MAX(INDEX(rw_Load,ROW()-ROW(ResourceSummary[[#Headers],[Resource]]),0)))</f>
        <v/>
      </c>
      <c r="M30" s="34" t="str">
        <f aca="false">IF(ResourceSummary[[#This Row],[Resource]]="","",MAX(INDEX(rw_Util,ROW()-ROW(ResourceSummary[[#Headers],[Resource]]),0)))</f>
        <v/>
      </c>
      <c r="N30" s="64" t="str">
        <f aca="false">IF(ResourceSummary[[#This Row],[Resource]]="","",COUNTIF(INDEX(rw_Util,ROW()-ROW(ResourceSummary[[#Headers],[Resource]]),0),"&gt;1"))</f>
        <v/>
      </c>
      <c r="O30" s="66" t="str">
        <f aca="false">IF(ResourceSummary[[#This Row],[Resource]]="","",SUM(INDEX(rw_Leave,ROW()-ROW(ResourceSummary[[#Headers],[Resource]]),0)))</f>
        <v/>
      </c>
    </row>
    <row r="32" customFormat="false" ht="15" hidden="false" customHeight="false" outlineLevel="0" collapsed="false">
      <c r="B32" s="67" t="s">
        <v>254</v>
      </c>
    </row>
    <row r="34" customFormat="false" ht="15" hidden="false" customHeight="false" outlineLevel="0" collapsed="false">
      <c r="B34" s="9" t="s">
        <v>236</v>
      </c>
      <c r="C34" s="9" t="s">
        <v>242</v>
      </c>
      <c r="D34" s="68" t="n">
        <f aca="false">(ResourceWeekStart+7*((COLUMN()-COLUMN(rw_LoadOrigin)-1)-1))</f>
        <v>46300</v>
      </c>
      <c r="E34" s="68" t="n">
        <f aca="false">(ResourceWeekStart+7*((COLUMN()-COLUMN(rw_LoadOrigin)-1)-1))</f>
        <v>46307</v>
      </c>
      <c r="F34" s="68" t="n">
        <f aca="false">(ResourceWeekStart+7*((COLUMN()-COLUMN(rw_LoadOrigin)-1)-1))</f>
        <v>46314</v>
      </c>
      <c r="G34" s="68" t="n">
        <f aca="false">(ResourceWeekStart+7*((COLUMN()-COLUMN(rw_LoadOrigin)-1)-1))</f>
        <v>46321</v>
      </c>
      <c r="H34" s="68" t="n">
        <f aca="false">(ResourceWeekStart+7*((COLUMN()-COLUMN(rw_LoadOrigin)-1)-1))</f>
        <v>46328</v>
      </c>
      <c r="I34" s="68" t="n">
        <f aca="false">(ResourceWeekStart+7*((COLUMN()-COLUMN(rw_LoadOrigin)-1)-1))</f>
        <v>46335</v>
      </c>
      <c r="J34" s="68" t="n">
        <f aca="false">(ResourceWeekStart+7*((COLUMN()-COLUMN(rw_LoadOrigin)-1)-1))</f>
        <v>46342</v>
      </c>
      <c r="K34" s="68" t="n">
        <f aca="false">(ResourceWeekStart+7*((COLUMN()-COLUMN(rw_LoadOrigin)-1)-1))</f>
        <v>46349</v>
      </c>
      <c r="L34" s="68" t="n">
        <f aca="false">(ResourceWeekStart+7*((COLUMN()-COLUMN(rw_LoadOrigin)-1)-1))</f>
        <v>46356</v>
      </c>
      <c r="M34" s="68" t="n">
        <f aca="false">(ResourceWeekStart+7*((COLUMN()-COLUMN(rw_LoadOrigin)-1)-1))</f>
        <v>46363</v>
      </c>
      <c r="N34" s="68" t="n">
        <f aca="false">(ResourceWeekStart+7*((COLUMN()-COLUMN(rw_LoadOrigin)-1)-1))</f>
        <v>46370</v>
      </c>
      <c r="O34" s="68" t="n">
        <f aca="false">(ResourceWeekStart+7*((COLUMN()-COLUMN(rw_LoadOrigin)-1)-1))</f>
        <v>46377</v>
      </c>
      <c r="P34" s="68" t="n">
        <f aca="false">(ResourceWeekStart+7*((COLUMN()-COLUMN(rw_LoadOrigin)-1)-1))</f>
        <v>46384</v>
      </c>
      <c r="Q34" s="68" t="n">
        <f aca="false">(ResourceWeekStart+7*((COLUMN()-COLUMN(rw_LoadOrigin)-1)-1))</f>
        <v>46391</v>
      </c>
      <c r="R34" s="68" t="n">
        <f aca="false">(ResourceWeekStart+7*((COLUMN()-COLUMN(rw_LoadOrigin)-1)-1))</f>
        <v>46398</v>
      </c>
      <c r="S34" s="68" t="n">
        <f aca="false">(ResourceWeekStart+7*((COLUMN()-COLUMN(rw_LoadOrigin)-1)-1))</f>
        <v>46405</v>
      </c>
      <c r="T34" s="68" t="n">
        <f aca="false">(ResourceWeekStart+7*((COLUMN()-COLUMN(rw_LoadOrigin)-1)-1))</f>
        <v>46412</v>
      </c>
      <c r="U34" s="68" t="n">
        <f aca="false">(ResourceWeekStart+7*((COLUMN()-COLUMN(rw_LoadOrigin)-1)-1))</f>
        <v>46419</v>
      </c>
      <c r="V34" s="68" t="n">
        <f aca="false">(ResourceWeekStart+7*((COLUMN()-COLUMN(rw_LoadOrigin)-1)-1))</f>
        <v>46426</v>
      </c>
      <c r="W34" s="68" t="n">
        <f aca="false">(ResourceWeekStart+7*((COLUMN()-COLUMN(rw_LoadOrigin)-1)-1))</f>
        <v>46433</v>
      </c>
      <c r="X34" s="68" t="n">
        <f aca="false">(ResourceWeekStart+7*((COLUMN()-COLUMN(rw_LoadOrigin)-1)-1))</f>
        <v>46440</v>
      </c>
      <c r="Y34" s="68" t="n">
        <f aca="false">(ResourceWeekStart+7*((COLUMN()-COLUMN(rw_LoadOrigin)-1)-1))</f>
        <v>46447</v>
      </c>
      <c r="Z34" s="68" t="n">
        <f aca="false">(ResourceWeekStart+7*((COLUMN()-COLUMN(rw_LoadOrigin)-1)-1))</f>
        <v>46454</v>
      </c>
      <c r="AA34" s="68" t="n">
        <f aca="false">(ResourceWeekStart+7*((COLUMN()-COLUMN(rw_LoadOrigin)-1)-1))</f>
        <v>46461</v>
      </c>
      <c r="AB34" s="68" t="n">
        <f aca="false">(ResourceWeekStart+7*((COLUMN()-COLUMN(rw_LoadOrigin)-1)-1))</f>
        <v>46468</v>
      </c>
      <c r="AC34" s="68" t="n">
        <f aca="false">(ResourceWeekStart+7*((COLUMN()-COLUMN(rw_LoadOrigin)-1)-1))</f>
        <v>46475</v>
      </c>
    </row>
    <row r="35" customFormat="false" ht="15" hidden="false" customHeight="false" outlineLevel="0" collapsed="false">
      <c r="B35" s="69" t="s">
        <v>255</v>
      </c>
      <c r="D35" s="70" t="n">
        <f aca="false">NETWORKDAYS.INTL((ResourceWeekStart+7*((COLUMN()-COLUMN(rw_LoadOrigin)-1)-1)),(ResourceWeekStart+7*((COLUMN()-COLUMN(rw_LoadOrigin)-1)-1))+6,WorkWeek,Holidays)</f>
        <v>5</v>
      </c>
      <c r="E35" s="70" t="n">
        <f aca="false">NETWORKDAYS.INTL((ResourceWeekStart+7*((COLUMN()-COLUMN(rw_LoadOrigin)-1)-1)),(ResourceWeekStart+7*((COLUMN()-COLUMN(rw_LoadOrigin)-1)-1))+6,WorkWeek,Holidays)</f>
        <v>5</v>
      </c>
      <c r="F35" s="70" t="n">
        <f aca="false">NETWORKDAYS.INTL((ResourceWeekStart+7*((COLUMN()-COLUMN(rw_LoadOrigin)-1)-1)),(ResourceWeekStart+7*((COLUMN()-COLUMN(rw_LoadOrigin)-1)-1))+6,WorkWeek,Holidays)</f>
        <v>5</v>
      </c>
      <c r="G35" s="70" t="n">
        <f aca="false">NETWORKDAYS.INTL((ResourceWeekStart+7*((COLUMN()-COLUMN(rw_LoadOrigin)-1)-1)),(ResourceWeekStart+7*((COLUMN()-COLUMN(rw_LoadOrigin)-1)-1))+6,WorkWeek,Holidays)</f>
        <v>5</v>
      </c>
      <c r="H35" s="70" t="n">
        <f aca="false">NETWORKDAYS.INTL((ResourceWeekStart+7*((COLUMN()-COLUMN(rw_LoadOrigin)-1)-1)),(ResourceWeekStart+7*((COLUMN()-COLUMN(rw_LoadOrigin)-1)-1))+6,WorkWeek,Holidays)</f>
        <v>5</v>
      </c>
      <c r="I35" s="70" t="n">
        <f aca="false">NETWORKDAYS.INTL((ResourceWeekStart+7*((COLUMN()-COLUMN(rw_LoadOrigin)-1)-1)),(ResourceWeekStart+7*((COLUMN()-COLUMN(rw_LoadOrigin)-1)-1))+6,WorkWeek,Holidays)</f>
        <v>5</v>
      </c>
      <c r="J35" s="70" t="n">
        <f aca="false">NETWORKDAYS.INTL((ResourceWeekStart+7*((COLUMN()-COLUMN(rw_LoadOrigin)-1)-1)),(ResourceWeekStart+7*((COLUMN()-COLUMN(rw_LoadOrigin)-1)-1))+6,WorkWeek,Holidays)</f>
        <v>5</v>
      </c>
      <c r="K35" s="70" t="n">
        <f aca="false">NETWORKDAYS.INTL((ResourceWeekStart+7*((COLUMN()-COLUMN(rw_LoadOrigin)-1)-1)),(ResourceWeekStart+7*((COLUMN()-COLUMN(rw_LoadOrigin)-1)-1))+6,WorkWeek,Holidays)</f>
        <v>5</v>
      </c>
      <c r="L35" s="70" t="n">
        <f aca="false">NETWORKDAYS.INTL((ResourceWeekStart+7*((COLUMN()-COLUMN(rw_LoadOrigin)-1)-1)),(ResourceWeekStart+7*((COLUMN()-COLUMN(rw_LoadOrigin)-1)-1))+6,WorkWeek,Holidays)</f>
        <v>5</v>
      </c>
      <c r="M35" s="70" t="n">
        <f aca="false">NETWORKDAYS.INTL((ResourceWeekStart+7*((COLUMN()-COLUMN(rw_LoadOrigin)-1)-1)),(ResourceWeekStart+7*((COLUMN()-COLUMN(rw_LoadOrigin)-1)-1))+6,WorkWeek,Holidays)</f>
        <v>5</v>
      </c>
      <c r="N35" s="70" t="n">
        <f aca="false">NETWORKDAYS.INTL((ResourceWeekStart+7*((COLUMN()-COLUMN(rw_LoadOrigin)-1)-1)),(ResourceWeekStart+7*((COLUMN()-COLUMN(rw_LoadOrigin)-1)-1))+6,WorkWeek,Holidays)</f>
        <v>5</v>
      </c>
      <c r="O35" s="70" t="n">
        <f aca="false">NETWORKDAYS.INTL((ResourceWeekStart+7*((COLUMN()-COLUMN(rw_LoadOrigin)-1)-1)),(ResourceWeekStart+7*((COLUMN()-COLUMN(rw_LoadOrigin)-1)-1))+6,WorkWeek,Holidays)</f>
        <v>3</v>
      </c>
      <c r="P35" s="70" t="n">
        <f aca="false">NETWORKDAYS.INTL((ResourceWeekStart+7*((COLUMN()-COLUMN(rw_LoadOrigin)-1)-1)),(ResourceWeekStart+7*((COLUMN()-COLUMN(rw_LoadOrigin)-1)-1))+6,WorkWeek,Holidays)</f>
        <v>3</v>
      </c>
      <c r="Q35" s="70" t="n">
        <f aca="false">NETWORKDAYS.INTL((ResourceWeekStart+7*((COLUMN()-COLUMN(rw_LoadOrigin)-1)-1)),(ResourceWeekStart+7*((COLUMN()-COLUMN(rw_LoadOrigin)-1)-1))+6,WorkWeek,Holidays)</f>
        <v>5</v>
      </c>
      <c r="R35" s="70" t="n">
        <f aca="false">NETWORKDAYS.INTL((ResourceWeekStart+7*((COLUMN()-COLUMN(rw_LoadOrigin)-1)-1)),(ResourceWeekStart+7*((COLUMN()-COLUMN(rw_LoadOrigin)-1)-1))+6,WorkWeek,Holidays)</f>
        <v>5</v>
      </c>
      <c r="S35" s="70" t="n">
        <f aca="false">NETWORKDAYS.INTL((ResourceWeekStart+7*((COLUMN()-COLUMN(rw_LoadOrigin)-1)-1)),(ResourceWeekStart+7*((COLUMN()-COLUMN(rw_LoadOrigin)-1)-1))+6,WorkWeek,Holidays)</f>
        <v>5</v>
      </c>
      <c r="T35" s="70" t="n">
        <f aca="false">NETWORKDAYS.INTL((ResourceWeekStart+7*((COLUMN()-COLUMN(rw_LoadOrigin)-1)-1)),(ResourceWeekStart+7*((COLUMN()-COLUMN(rw_LoadOrigin)-1)-1))+6,WorkWeek,Holidays)</f>
        <v>5</v>
      </c>
      <c r="U35" s="70" t="n">
        <f aca="false">NETWORKDAYS.INTL((ResourceWeekStart+7*((COLUMN()-COLUMN(rw_LoadOrigin)-1)-1)),(ResourceWeekStart+7*((COLUMN()-COLUMN(rw_LoadOrigin)-1)-1))+6,WorkWeek,Holidays)</f>
        <v>5</v>
      </c>
      <c r="V35" s="70" t="n">
        <f aca="false">NETWORKDAYS.INTL((ResourceWeekStart+7*((COLUMN()-COLUMN(rw_LoadOrigin)-1)-1)),(ResourceWeekStart+7*((COLUMN()-COLUMN(rw_LoadOrigin)-1)-1))+6,WorkWeek,Holidays)</f>
        <v>5</v>
      </c>
      <c r="W35" s="70" t="n">
        <f aca="false">NETWORKDAYS.INTL((ResourceWeekStart+7*((COLUMN()-COLUMN(rw_LoadOrigin)-1)-1)),(ResourceWeekStart+7*((COLUMN()-COLUMN(rw_LoadOrigin)-1)-1))+6,WorkWeek,Holidays)</f>
        <v>5</v>
      </c>
      <c r="X35" s="70" t="n">
        <f aca="false">NETWORKDAYS.INTL((ResourceWeekStart+7*((COLUMN()-COLUMN(rw_LoadOrigin)-1)-1)),(ResourceWeekStart+7*((COLUMN()-COLUMN(rw_LoadOrigin)-1)-1))+6,WorkWeek,Holidays)</f>
        <v>5</v>
      </c>
      <c r="Y35" s="70" t="n">
        <f aca="false">NETWORKDAYS.INTL((ResourceWeekStart+7*((COLUMN()-COLUMN(rw_LoadOrigin)-1)-1)),(ResourceWeekStart+7*((COLUMN()-COLUMN(rw_LoadOrigin)-1)-1))+6,WorkWeek,Holidays)</f>
        <v>5</v>
      </c>
      <c r="Z35" s="70" t="n">
        <f aca="false">NETWORKDAYS.INTL((ResourceWeekStart+7*((COLUMN()-COLUMN(rw_LoadOrigin)-1)-1)),(ResourceWeekStart+7*((COLUMN()-COLUMN(rw_LoadOrigin)-1)-1))+6,WorkWeek,Holidays)</f>
        <v>5</v>
      </c>
      <c r="AA35" s="70" t="n">
        <f aca="false">NETWORKDAYS.INTL((ResourceWeekStart+7*((COLUMN()-COLUMN(rw_LoadOrigin)-1)-1)),(ResourceWeekStart+7*((COLUMN()-COLUMN(rw_LoadOrigin)-1)-1))+6,WorkWeek,Holidays)</f>
        <v>5</v>
      </c>
      <c r="AB35" s="70" t="n">
        <f aca="false">NETWORKDAYS.INTL((ResourceWeekStart+7*((COLUMN()-COLUMN(rw_LoadOrigin)-1)-1)),(ResourceWeekStart+7*((COLUMN()-COLUMN(rw_LoadOrigin)-1)-1))+6,WorkWeek,Holidays)</f>
        <v>5</v>
      </c>
      <c r="AC35" s="70" t="n">
        <f aca="false">NETWORKDAYS.INTL((ResourceWeekStart+7*((COLUMN()-COLUMN(rw_LoadOrigin)-1)-1)),(ResourceWeekStart+7*((COLUMN()-COLUMN(rw_LoadOrigin)-1)-1))+6,WorkWeek,Holidays)</f>
        <v>5</v>
      </c>
    </row>
    <row r="36" customFormat="false" ht="15" hidden="false" customHeight="false" outlineLevel="0" collapsed="false">
      <c r="B36" s="48" t="str">
        <f aca="false">IFERROR(INDEX(res_Name,(ROW()-ROW(rw_LoadOrigin)-1))&amp;"","")</f>
        <v>Priya Sharma</v>
      </c>
      <c r="C36" s="71" t="n">
        <f aca="false">IFERROR(IF(INDEX(res_Name,(ROW()-ROW(rw_LoadOrigin)-1))="","",INDEX(res_MaxUnits,(ROW()-ROW(rw_LoadOrigin)-1))),"")</f>
        <v>0.5</v>
      </c>
      <c r="D36" s="72" t="n">
        <f aca="false">IFERROR(IF(INDEX(res_Name,(ROW()-ROW(rw_LoadOrigin)-1))="","",INDEX(rw_Cum,(ROW()-ROW(rw_LoadOrigin)-1),(COLUMN()-COLUMN(rw_LoadOrigin)-1)+1)-INDEX(rw_Cum,(ROW()-ROW(rw_LoadOrigin)-1),(COLUMN()-COLUMN(rw_LoadOrigin)-1))),"")</f>
        <v>0</v>
      </c>
      <c r="E36" s="72" t="n">
        <f aca="false">IFERROR(IF(INDEX(res_Name,(ROW()-ROW(rw_LoadOrigin)-1))="","",INDEX(rw_Cum,(ROW()-ROW(rw_LoadOrigin)-1),(COLUMN()-COLUMN(rw_LoadOrigin)-1)+1)-INDEX(rw_Cum,(ROW()-ROW(rw_LoadOrigin)-1),(COLUMN()-COLUMN(rw_LoadOrigin)-1))),"")</f>
        <v>0</v>
      </c>
      <c r="F36" s="72" t="n">
        <f aca="false">IFERROR(IF(INDEX(res_Name,(ROW()-ROW(rw_LoadOrigin)-1))="","",INDEX(rw_Cum,(ROW()-ROW(rw_LoadOrigin)-1),(COLUMN()-COLUMN(rw_LoadOrigin)-1)+1)-INDEX(rw_Cum,(ROW()-ROW(rw_LoadOrigin)-1),(COLUMN()-COLUMN(rw_LoadOrigin)-1))),"")</f>
        <v>0</v>
      </c>
      <c r="G36" s="72" t="n">
        <f aca="false">IFERROR(IF(INDEX(res_Name,(ROW()-ROW(rw_LoadOrigin)-1))="","",INDEX(rw_Cum,(ROW()-ROW(rw_LoadOrigin)-1),(COLUMN()-COLUMN(rw_LoadOrigin)-1)+1)-INDEX(rw_Cum,(ROW()-ROW(rw_LoadOrigin)-1),(COLUMN()-COLUMN(rw_LoadOrigin)-1))),"")</f>
        <v>0</v>
      </c>
      <c r="H36" s="72" t="n">
        <f aca="false">IFERROR(IF(INDEX(res_Name,(ROW()-ROW(rw_LoadOrigin)-1))="","",INDEX(rw_Cum,(ROW()-ROW(rw_LoadOrigin)-1),(COLUMN()-COLUMN(rw_LoadOrigin)-1)+1)-INDEX(rw_Cum,(ROW()-ROW(rw_LoadOrigin)-1),(COLUMN()-COLUMN(rw_LoadOrigin)-1))),"")</f>
        <v>0</v>
      </c>
      <c r="I36" s="72" t="n">
        <f aca="false">IFERROR(IF(INDEX(res_Name,(ROW()-ROW(rw_LoadOrigin)-1))="","",INDEX(rw_Cum,(ROW()-ROW(rw_LoadOrigin)-1),(COLUMN()-COLUMN(rw_LoadOrigin)-1)+1)-INDEX(rw_Cum,(ROW()-ROW(rw_LoadOrigin)-1),(COLUMN()-COLUMN(rw_LoadOrigin)-1))),"")</f>
        <v>0</v>
      </c>
      <c r="J36" s="72" t="n">
        <f aca="false">IFERROR(IF(INDEX(res_Name,(ROW()-ROW(rw_LoadOrigin)-1))="","",INDEX(rw_Cum,(ROW()-ROW(rw_LoadOrigin)-1),(COLUMN()-COLUMN(rw_LoadOrigin)-1)+1)-INDEX(rw_Cum,(ROW()-ROW(rw_LoadOrigin)-1),(COLUMN()-COLUMN(rw_LoadOrigin)-1))),"")</f>
        <v>8</v>
      </c>
      <c r="K36" s="72" t="n">
        <f aca="false">IFERROR(IF(INDEX(res_Name,(ROW()-ROW(rw_LoadOrigin)-1))="","",INDEX(rw_Cum,(ROW()-ROW(rw_LoadOrigin)-1),(COLUMN()-COLUMN(rw_LoadOrigin)-1)+1)-INDEX(rw_Cum,(ROW()-ROW(rw_LoadOrigin)-1),(COLUMN()-COLUMN(rw_LoadOrigin)-1))),"")</f>
        <v>0</v>
      </c>
      <c r="L36" s="72" t="n">
        <f aca="false">IFERROR(IF(INDEX(res_Name,(ROW()-ROW(rw_LoadOrigin)-1))="","",INDEX(rw_Cum,(ROW()-ROW(rw_LoadOrigin)-1),(COLUMN()-COLUMN(rw_LoadOrigin)-1)+1)-INDEX(rw_Cum,(ROW()-ROW(rw_LoadOrigin)-1),(COLUMN()-COLUMN(rw_LoadOrigin)-1))),"")</f>
        <v>0</v>
      </c>
      <c r="M36" s="72" t="n">
        <f aca="false">IFERROR(IF(INDEX(res_Name,(ROW()-ROW(rw_LoadOrigin)-1))="","",INDEX(rw_Cum,(ROW()-ROW(rw_LoadOrigin)-1),(COLUMN()-COLUMN(rw_LoadOrigin)-1)+1)-INDEX(rw_Cum,(ROW()-ROW(rw_LoadOrigin)-1),(COLUMN()-COLUMN(rw_LoadOrigin)-1))),"")</f>
        <v>0</v>
      </c>
      <c r="N36" s="72" t="n">
        <f aca="false">IFERROR(IF(INDEX(res_Name,(ROW()-ROW(rw_LoadOrigin)-1))="","",INDEX(rw_Cum,(ROW()-ROW(rw_LoadOrigin)-1),(COLUMN()-COLUMN(rw_LoadOrigin)-1)+1)-INDEX(rw_Cum,(ROW()-ROW(rw_LoadOrigin)-1),(COLUMN()-COLUMN(rw_LoadOrigin)-1))),"")</f>
        <v>8</v>
      </c>
      <c r="O36" s="72" t="n">
        <f aca="false">IFERROR(IF(INDEX(res_Name,(ROW()-ROW(rw_LoadOrigin)-1))="","",INDEX(rw_Cum,(ROW()-ROW(rw_LoadOrigin)-1),(COLUMN()-COLUMN(rw_LoadOrigin)-1)+1)-INDEX(rw_Cum,(ROW()-ROW(rw_LoadOrigin)-1),(COLUMN()-COLUMN(rw_LoadOrigin)-1))),"")</f>
        <v>0</v>
      </c>
      <c r="P36" s="72" t="n">
        <f aca="false">IFERROR(IF(INDEX(res_Name,(ROW()-ROW(rw_LoadOrigin)-1))="","",INDEX(rw_Cum,(ROW()-ROW(rw_LoadOrigin)-1),(COLUMN()-COLUMN(rw_LoadOrigin)-1)+1)-INDEX(rw_Cum,(ROW()-ROW(rw_LoadOrigin)-1),(COLUMN()-COLUMN(rw_LoadOrigin)-1))),"")</f>
        <v>0</v>
      </c>
      <c r="Q36" s="72" t="n">
        <f aca="false">IFERROR(IF(INDEX(res_Name,(ROW()-ROW(rw_LoadOrigin)-1))="","",INDEX(rw_Cum,(ROW()-ROW(rw_LoadOrigin)-1),(COLUMN()-COLUMN(rw_LoadOrigin)-1)+1)-INDEX(rw_Cum,(ROW()-ROW(rw_LoadOrigin)-1),(COLUMN()-COLUMN(rw_LoadOrigin)-1))),"")</f>
        <v>16</v>
      </c>
      <c r="R36" s="72" t="n">
        <f aca="false">IFERROR(IF(INDEX(res_Name,(ROW()-ROW(rw_LoadOrigin)-1))="","",INDEX(rw_Cum,(ROW()-ROW(rw_LoadOrigin)-1),(COLUMN()-COLUMN(rw_LoadOrigin)-1)+1)-INDEX(rw_Cum,(ROW()-ROW(rw_LoadOrigin)-1),(COLUMN()-COLUMN(rw_LoadOrigin)-1))),"")</f>
        <v>0</v>
      </c>
      <c r="S36" s="72" t="n">
        <f aca="false">IFERROR(IF(INDEX(res_Name,(ROW()-ROW(rw_LoadOrigin)-1))="","",INDEX(rw_Cum,(ROW()-ROW(rw_LoadOrigin)-1),(COLUMN()-COLUMN(rw_LoadOrigin)-1)+1)-INDEX(rw_Cum,(ROW()-ROW(rw_LoadOrigin)-1),(COLUMN()-COLUMN(rw_LoadOrigin)-1))),"")</f>
        <v>0</v>
      </c>
      <c r="T36" s="72" t="n">
        <f aca="false">IFERROR(IF(INDEX(res_Name,(ROW()-ROW(rw_LoadOrigin)-1))="","",INDEX(rw_Cum,(ROW()-ROW(rw_LoadOrigin)-1),(COLUMN()-COLUMN(rw_LoadOrigin)-1)+1)-INDEX(rw_Cum,(ROW()-ROW(rw_LoadOrigin)-1),(COLUMN()-COLUMN(rw_LoadOrigin)-1))),"")</f>
        <v>0</v>
      </c>
      <c r="U36" s="72" t="n">
        <f aca="false">IFERROR(IF(INDEX(res_Name,(ROW()-ROW(rw_LoadOrigin)-1))="","",INDEX(rw_Cum,(ROW()-ROW(rw_LoadOrigin)-1),(COLUMN()-COLUMN(rw_LoadOrigin)-1)+1)-INDEX(rw_Cum,(ROW()-ROW(rw_LoadOrigin)-1),(COLUMN()-COLUMN(rw_LoadOrigin)-1))),"")</f>
        <v>0</v>
      </c>
      <c r="V36" s="72" t="n">
        <f aca="false">IFERROR(IF(INDEX(res_Name,(ROW()-ROW(rw_LoadOrigin)-1))="","",INDEX(rw_Cum,(ROW()-ROW(rw_LoadOrigin)-1),(COLUMN()-COLUMN(rw_LoadOrigin)-1)+1)-INDEX(rw_Cum,(ROW()-ROW(rw_LoadOrigin)-1),(COLUMN()-COLUMN(rw_LoadOrigin)-1))),"")</f>
        <v>0</v>
      </c>
      <c r="W36" s="72" t="n">
        <f aca="false">IFERROR(IF(INDEX(res_Name,(ROW()-ROW(rw_LoadOrigin)-1))="","",INDEX(rw_Cum,(ROW()-ROW(rw_LoadOrigin)-1),(COLUMN()-COLUMN(rw_LoadOrigin)-1)+1)-INDEX(rw_Cum,(ROW()-ROW(rw_LoadOrigin)-1),(COLUMN()-COLUMN(rw_LoadOrigin)-1))),"")</f>
        <v>0</v>
      </c>
      <c r="X36" s="72" t="n">
        <f aca="false">IFERROR(IF(INDEX(res_Name,(ROW()-ROW(rw_LoadOrigin)-1))="","",INDEX(rw_Cum,(ROW()-ROW(rw_LoadOrigin)-1),(COLUMN()-COLUMN(rw_LoadOrigin)-1)+1)-INDEX(rw_Cum,(ROW()-ROW(rw_LoadOrigin)-1),(COLUMN()-COLUMN(rw_LoadOrigin)-1))),"")</f>
        <v>0</v>
      </c>
      <c r="Y36" s="72" t="n">
        <f aca="false">IFERROR(IF(INDEX(res_Name,(ROW()-ROW(rw_LoadOrigin)-1))="","",INDEX(rw_Cum,(ROW()-ROW(rw_LoadOrigin)-1),(COLUMN()-COLUMN(rw_LoadOrigin)-1)+1)-INDEX(rw_Cum,(ROW()-ROW(rw_LoadOrigin)-1),(COLUMN()-COLUMN(rw_LoadOrigin)-1))),"")</f>
        <v>0</v>
      </c>
      <c r="Z36" s="72" t="n">
        <f aca="false">IFERROR(IF(INDEX(res_Name,(ROW()-ROW(rw_LoadOrigin)-1))="","",INDEX(rw_Cum,(ROW()-ROW(rw_LoadOrigin)-1),(COLUMN()-COLUMN(rw_LoadOrigin)-1)+1)-INDEX(rw_Cum,(ROW()-ROW(rw_LoadOrigin)-1),(COLUMN()-COLUMN(rw_LoadOrigin)-1))),"")</f>
        <v>0</v>
      </c>
      <c r="AA36" s="72" t="n">
        <f aca="false">IFERROR(IF(INDEX(res_Name,(ROW()-ROW(rw_LoadOrigin)-1))="","",INDEX(rw_Cum,(ROW()-ROW(rw_LoadOrigin)-1),(COLUMN()-COLUMN(rw_LoadOrigin)-1)+1)-INDEX(rw_Cum,(ROW()-ROW(rw_LoadOrigin)-1),(COLUMN()-COLUMN(rw_LoadOrigin)-1))),"")</f>
        <v>0</v>
      </c>
      <c r="AB36" s="72" t="n">
        <f aca="false">IFERROR(IF(INDEX(res_Name,(ROW()-ROW(rw_LoadOrigin)-1))="","",INDEX(rw_Cum,(ROW()-ROW(rw_LoadOrigin)-1),(COLUMN()-COLUMN(rw_LoadOrigin)-1)+1)-INDEX(rw_Cum,(ROW()-ROW(rw_LoadOrigin)-1),(COLUMN()-COLUMN(rw_LoadOrigin)-1))),"")</f>
        <v>0</v>
      </c>
      <c r="AC36" s="72" t="n">
        <f aca="false">IFERROR(IF(INDEX(res_Name,(ROW()-ROW(rw_LoadOrigin)-1))="","",INDEX(rw_Cum,(ROW()-ROW(rw_LoadOrigin)-1),(COLUMN()-COLUMN(rw_LoadOrigin)-1)+1)-INDEX(rw_Cum,(ROW()-ROW(rw_LoadOrigin)-1),(COLUMN()-COLUMN(rw_LoadOrigin)-1))),"")</f>
        <v>0</v>
      </c>
    </row>
    <row r="37" customFormat="false" ht="15" hidden="false" customHeight="false" outlineLevel="0" collapsed="false">
      <c r="B37" s="48" t="str">
        <f aca="false">IFERROR(INDEX(res_Name,(ROW()-ROW(rw_LoadOrigin)-1))&amp;"","")</f>
        <v>Morgan Patel</v>
      </c>
      <c r="C37" s="71" t="n">
        <f aca="false">IFERROR(IF(INDEX(res_Name,(ROW()-ROW(rw_LoadOrigin)-1))="","",INDEX(res_MaxUnits,(ROW()-ROW(rw_LoadOrigin)-1))),"")</f>
        <v>1</v>
      </c>
      <c r="D37" s="72" t="n">
        <f aca="false">IFERROR(IF(INDEX(res_Name,(ROW()-ROW(rw_LoadOrigin)-1))="","",INDEX(rw_Cum,(ROW()-ROW(rw_LoadOrigin)-1),(COLUMN()-COLUMN(rw_LoadOrigin)-1)+1)-INDEX(rw_Cum,(ROW()-ROW(rw_LoadOrigin)-1),(COLUMN()-COLUMN(rw_LoadOrigin)-1))),"")</f>
        <v>0</v>
      </c>
      <c r="E37" s="72" t="n">
        <f aca="false">IFERROR(IF(INDEX(res_Name,(ROW()-ROW(rw_LoadOrigin)-1))="","",INDEX(rw_Cum,(ROW()-ROW(rw_LoadOrigin)-1),(COLUMN()-COLUMN(rw_LoadOrigin)-1)+1)-INDEX(rw_Cum,(ROW()-ROW(rw_LoadOrigin)-1),(COLUMN()-COLUMN(rw_LoadOrigin)-1))),"")</f>
        <v>0</v>
      </c>
      <c r="F37" s="72" t="n">
        <f aca="false">IFERROR(IF(INDEX(res_Name,(ROW()-ROW(rw_LoadOrigin)-1))="","",INDEX(rw_Cum,(ROW()-ROW(rw_LoadOrigin)-1),(COLUMN()-COLUMN(rw_LoadOrigin)-1)+1)-INDEX(rw_Cum,(ROW()-ROW(rw_LoadOrigin)-1),(COLUMN()-COLUMN(rw_LoadOrigin)-1))),"")</f>
        <v>0</v>
      </c>
      <c r="G37" s="72" t="n">
        <f aca="false">IFERROR(IF(INDEX(res_Name,(ROW()-ROW(rw_LoadOrigin)-1))="","",INDEX(rw_Cum,(ROW()-ROW(rw_LoadOrigin)-1),(COLUMN()-COLUMN(rw_LoadOrigin)-1)+1)-INDEX(rw_Cum,(ROW()-ROW(rw_LoadOrigin)-1),(COLUMN()-COLUMN(rw_LoadOrigin)-1))),"")</f>
        <v>0</v>
      </c>
      <c r="H37" s="72" t="n">
        <f aca="false">IFERROR(IF(INDEX(res_Name,(ROW()-ROW(rw_LoadOrigin)-1))="","",INDEX(rw_Cum,(ROW()-ROW(rw_LoadOrigin)-1),(COLUMN()-COLUMN(rw_LoadOrigin)-1)+1)-INDEX(rw_Cum,(ROW()-ROW(rw_LoadOrigin)-1),(COLUMN()-COLUMN(rw_LoadOrigin)-1))),"")</f>
        <v>0</v>
      </c>
      <c r="I37" s="72" t="n">
        <f aca="false">IFERROR(IF(INDEX(res_Name,(ROW()-ROW(rw_LoadOrigin)-1))="","",INDEX(rw_Cum,(ROW()-ROW(rw_LoadOrigin)-1),(COLUMN()-COLUMN(rw_LoadOrigin)-1)+1)-INDEX(rw_Cum,(ROW()-ROW(rw_LoadOrigin)-1),(COLUMN()-COLUMN(rw_LoadOrigin)-1))),"")</f>
        <v>0</v>
      </c>
      <c r="J37" s="72" t="n">
        <f aca="false">IFERROR(IF(INDEX(res_Name,(ROW()-ROW(rw_LoadOrigin)-1))="","",INDEX(rw_Cum,(ROW()-ROW(rw_LoadOrigin)-1),(COLUMN()-COLUMN(rw_LoadOrigin)-1)+1)-INDEX(rw_Cum,(ROW()-ROW(rw_LoadOrigin)-1),(COLUMN()-COLUMN(rw_LoadOrigin)-1))),"")</f>
        <v>0</v>
      </c>
      <c r="K37" s="72" t="n">
        <f aca="false">IFERROR(IF(INDEX(res_Name,(ROW()-ROW(rw_LoadOrigin)-1))="","",INDEX(rw_Cum,(ROW()-ROW(rw_LoadOrigin)-1),(COLUMN()-COLUMN(rw_LoadOrigin)-1)+1)-INDEX(rw_Cum,(ROW()-ROW(rw_LoadOrigin)-1),(COLUMN()-COLUMN(rw_LoadOrigin)-1))),"")</f>
        <v>0</v>
      </c>
      <c r="L37" s="72" t="n">
        <f aca="false">IFERROR(IF(INDEX(res_Name,(ROW()-ROW(rw_LoadOrigin)-1))="","",INDEX(rw_Cum,(ROW()-ROW(rw_LoadOrigin)-1),(COLUMN()-COLUMN(rw_LoadOrigin)-1)+1)-INDEX(rw_Cum,(ROW()-ROW(rw_LoadOrigin)-1),(COLUMN()-COLUMN(rw_LoadOrigin)-1))),"")</f>
        <v>0</v>
      </c>
      <c r="M37" s="72" t="n">
        <f aca="false">IFERROR(IF(INDEX(res_Name,(ROW()-ROW(rw_LoadOrigin)-1))="","",INDEX(rw_Cum,(ROW()-ROW(rw_LoadOrigin)-1),(COLUMN()-COLUMN(rw_LoadOrigin)-1)+1)-INDEX(rw_Cum,(ROW()-ROW(rw_LoadOrigin)-1),(COLUMN()-COLUMN(rw_LoadOrigin)-1))),"")</f>
        <v>40</v>
      </c>
      <c r="N37" s="72" t="n">
        <f aca="false">IFERROR(IF(INDEX(res_Name,(ROW()-ROW(rw_LoadOrigin)-1))="","",INDEX(rw_Cum,(ROW()-ROW(rw_LoadOrigin)-1),(COLUMN()-COLUMN(rw_LoadOrigin)-1)+1)-INDEX(rw_Cum,(ROW()-ROW(rw_LoadOrigin)-1),(COLUMN()-COLUMN(rw_LoadOrigin)-1))),"")</f>
        <v>8</v>
      </c>
      <c r="O37" s="72" t="n">
        <f aca="false">IFERROR(IF(INDEX(res_Name,(ROW()-ROW(rw_LoadOrigin)-1))="","",INDEX(rw_Cum,(ROW()-ROW(rw_LoadOrigin)-1),(COLUMN()-COLUMN(rw_LoadOrigin)-1)+1)-INDEX(rw_Cum,(ROW()-ROW(rw_LoadOrigin)-1),(COLUMN()-COLUMN(rw_LoadOrigin)-1))),"")</f>
        <v>0</v>
      </c>
      <c r="P37" s="72" t="n">
        <f aca="false">IFERROR(IF(INDEX(res_Name,(ROW()-ROW(rw_LoadOrigin)-1))="","",INDEX(rw_Cum,(ROW()-ROW(rw_LoadOrigin)-1),(COLUMN()-COLUMN(rw_LoadOrigin)-1)+1)-INDEX(rw_Cum,(ROW()-ROW(rw_LoadOrigin)-1),(COLUMN()-COLUMN(rw_LoadOrigin)-1))),"")</f>
        <v>0</v>
      </c>
      <c r="Q37" s="72" t="n">
        <f aca="false">IFERROR(IF(INDEX(res_Name,(ROW()-ROW(rw_LoadOrigin)-1))="","",INDEX(rw_Cum,(ROW()-ROW(rw_LoadOrigin)-1),(COLUMN()-COLUMN(rw_LoadOrigin)-1)+1)-INDEX(rw_Cum,(ROW()-ROW(rw_LoadOrigin)-1),(COLUMN()-COLUMN(rw_LoadOrigin)-1))),"")</f>
        <v>0</v>
      </c>
      <c r="R37" s="72" t="n">
        <f aca="false">IFERROR(IF(INDEX(res_Name,(ROW()-ROW(rw_LoadOrigin)-1))="","",INDEX(rw_Cum,(ROW()-ROW(rw_LoadOrigin)-1),(COLUMN()-COLUMN(rw_LoadOrigin)-1)+1)-INDEX(rw_Cum,(ROW()-ROW(rw_LoadOrigin)-1),(COLUMN()-COLUMN(rw_LoadOrigin)-1))),"")</f>
        <v>0</v>
      </c>
      <c r="S37" s="72" t="n">
        <f aca="false">IFERROR(IF(INDEX(res_Name,(ROW()-ROW(rw_LoadOrigin)-1))="","",INDEX(rw_Cum,(ROW()-ROW(rw_LoadOrigin)-1),(COLUMN()-COLUMN(rw_LoadOrigin)-1)+1)-INDEX(rw_Cum,(ROW()-ROW(rw_LoadOrigin)-1),(COLUMN()-COLUMN(rw_LoadOrigin)-1))),"")</f>
        <v>0</v>
      </c>
      <c r="T37" s="72" t="n">
        <f aca="false">IFERROR(IF(INDEX(res_Name,(ROW()-ROW(rw_LoadOrigin)-1))="","",INDEX(rw_Cum,(ROW()-ROW(rw_LoadOrigin)-1),(COLUMN()-COLUMN(rw_LoadOrigin)-1)+1)-INDEX(rw_Cum,(ROW()-ROW(rw_LoadOrigin)-1),(COLUMN()-COLUMN(rw_LoadOrigin)-1))),"")</f>
        <v>0</v>
      </c>
      <c r="U37" s="72" t="n">
        <f aca="false">IFERROR(IF(INDEX(res_Name,(ROW()-ROW(rw_LoadOrigin)-1))="","",INDEX(rw_Cum,(ROW()-ROW(rw_LoadOrigin)-1),(COLUMN()-COLUMN(rw_LoadOrigin)-1)+1)-INDEX(rw_Cum,(ROW()-ROW(rw_LoadOrigin)-1),(COLUMN()-COLUMN(rw_LoadOrigin)-1))),"")</f>
        <v>0</v>
      </c>
      <c r="V37" s="72" t="n">
        <f aca="false">IFERROR(IF(INDEX(res_Name,(ROW()-ROW(rw_LoadOrigin)-1))="","",INDEX(rw_Cum,(ROW()-ROW(rw_LoadOrigin)-1),(COLUMN()-COLUMN(rw_LoadOrigin)-1)+1)-INDEX(rw_Cum,(ROW()-ROW(rw_LoadOrigin)-1),(COLUMN()-COLUMN(rw_LoadOrigin)-1))),"")</f>
        <v>0</v>
      </c>
      <c r="W37" s="72" t="n">
        <f aca="false">IFERROR(IF(INDEX(res_Name,(ROW()-ROW(rw_LoadOrigin)-1))="","",INDEX(rw_Cum,(ROW()-ROW(rw_LoadOrigin)-1),(COLUMN()-COLUMN(rw_LoadOrigin)-1)+1)-INDEX(rw_Cum,(ROW()-ROW(rw_LoadOrigin)-1),(COLUMN()-COLUMN(rw_LoadOrigin)-1))),"")</f>
        <v>0</v>
      </c>
      <c r="X37" s="72" t="n">
        <f aca="false">IFERROR(IF(INDEX(res_Name,(ROW()-ROW(rw_LoadOrigin)-1))="","",INDEX(rw_Cum,(ROW()-ROW(rw_LoadOrigin)-1),(COLUMN()-COLUMN(rw_LoadOrigin)-1)+1)-INDEX(rw_Cum,(ROW()-ROW(rw_LoadOrigin)-1),(COLUMN()-COLUMN(rw_LoadOrigin)-1))),"")</f>
        <v>0</v>
      </c>
      <c r="Y37" s="72" t="n">
        <f aca="false">IFERROR(IF(INDEX(res_Name,(ROW()-ROW(rw_LoadOrigin)-1))="","",INDEX(rw_Cum,(ROW()-ROW(rw_LoadOrigin)-1),(COLUMN()-COLUMN(rw_LoadOrigin)-1)+1)-INDEX(rw_Cum,(ROW()-ROW(rw_LoadOrigin)-1),(COLUMN()-COLUMN(rw_LoadOrigin)-1))),"")</f>
        <v>0</v>
      </c>
      <c r="Z37" s="72" t="n">
        <f aca="false">IFERROR(IF(INDEX(res_Name,(ROW()-ROW(rw_LoadOrigin)-1))="","",INDEX(rw_Cum,(ROW()-ROW(rw_LoadOrigin)-1),(COLUMN()-COLUMN(rw_LoadOrigin)-1)+1)-INDEX(rw_Cum,(ROW()-ROW(rw_LoadOrigin)-1),(COLUMN()-COLUMN(rw_LoadOrigin)-1))),"")</f>
        <v>0</v>
      </c>
      <c r="AA37" s="72" t="n">
        <f aca="false">IFERROR(IF(INDEX(res_Name,(ROW()-ROW(rw_LoadOrigin)-1))="","",INDEX(rw_Cum,(ROW()-ROW(rw_LoadOrigin)-1),(COLUMN()-COLUMN(rw_LoadOrigin)-1)+1)-INDEX(rw_Cum,(ROW()-ROW(rw_LoadOrigin)-1),(COLUMN()-COLUMN(rw_LoadOrigin)-1))),"")</f>
        <v>0</v>
      </c>
      <c r="AB37" s="72" t="n">
        <f aca="false">IFERROR(IF(INDEX(res_Name,(ROW()-ROW(rw_LoadOrigin)-1))="","",INDEX(rw_Cum,(ROW()-ROW(rw_LoadOrigin)-1),(COLUMN()-COLUMN(rw_LoadOrigin)-1)+1)-INDEX(rw_Cum,(ROW()-ROW(rw_LoadOrigin)-1),(COLUMN()-COLUMN(rw_LoadOrigin)-1))),"")</f>
        <v>0</v>
      </c>
      <c r="AC37" s="72" t="n">
        <f aca="false">IFERROR(IF(INDEX(res_Name,(ROW()-ROW(rw_LoadOrigin)-1))="","",INDEX(rw_Cum,(ROW()-ROW(rw_LoadOrigin)-1),(COLUMN()-COLUMN(rw_LoadOrigin)-1)+1)-INDEX(rw_Cum,(ROW()-ROW(rw_LoadOrigin)-1),(COLUMN()-COLUMN(rw_LoadOrigin)-1))),"")</f>
        <v>0</v>
      </c>
    </row>
    <row r="38" customFormat="false" ht="15" hidden="false" customHeight="false" outlineLevel="0" collapsed="false">
      <c r="B38" s="48" t="str">
        <f aca="false">IFERROR(INDEX(res_Name,(ROW()-ROW(rw_LoadOrigin)-1))&amp;"","")</f>
        <v>Alex Chen</v>
      </c>
      <c r="C38" s="71" t="n">
        <f aca="false">IFERROR(IF(INDEX(res_Name,(ROW()-ROW(rw_LoadOrigin)-1))="","",INDEX(res_MaxUnits,(ROW()-ROW(rw_LoadOrigin)-1))),"")</f>
        <v>0.5</v>
      </c>
      <c r="D38" s="72" t="n">
        <f aca="false">IFERROR(IF(INDEX(res_Name,(ROW()-ROW(rw_LoadOrigin)-1))="","",INDEX(rw_Cum,(ROW()-ROW(rw_LoadOrigin)-1),(COLUMN()-COLUMN(rw_LoadOrigin)-1)+1)-INDEX(rw_Cum,(ROW()-ROW(rw_LoadOrigin)-1),(COLUMN()-COLUMN(rw_LoadOrigin)-1))),"")</f>
        <v>0</v>
      </c>
      <c r="E38" s="72" t="n">
        <f aca="false">IFERROR(IF(INDEX(res_Name,(ROW()-ROW(rw_LoadOrigin)-1))="","",INDEX(rw_Cum,(ROW()-ROW(rw_LoadOrigin)-1),(COLUMN()-COLUMN(rw_LoadOrigin)-1)+1)-INDEX(rw_Cum,(ROW()-ROW(rw_LoadOrigin)-1),(COLUMN()-COLUMN(rw_LoadOrigin)-1))),"")</f>
        <v>0</v>
      </c>
      <c r="F38" s="72" t="n">
        <f aca="false">IFERROR(IF(INDEX(res_Name,(ROW()-ROW(rw_LoadOrigin)-1))="","",INDEX(rw_Cum,(ROW()-ROW(rw_LoadOrigin)-1),(COLUMN()-COLUMN(rw_LoadOrigin)-1)+1)-INDEX(rw_Cum,(ROW()-ROW(rw_LoadOrigin)-1),(COLUMN()-COLUMN(rw_LoadOrigin)-1))),"")</f>
        <v>0</v>
      </c>
      <c r="G38" s="72" t="n">
        <f aca="false">IFERROR(IF(INDEX(res_Name,(ROW()-ROW(rw_LoadOrigin)-1))="","",INDEX(rw_Cum,(ROW()-ROW(rw_LoadOrigin)-1),(COLUMN()-COLUMN(rw_LoadOrigin)-1)+1)-INDEX(rw_Cum,(ROW()-ROW(rw_LoadOrigin)-1),(COLUMN()-COLUMN(rw_LoadOrigin)-1))),"")</f>
        <v>0</v>
      </c>
      <c r="H38" s="72" t="n">
        <f aca="false">IFERROR(IF(INDEX(res_Name,(ROW()-ROW(rw_LoadOrigin)-1))="","",INDEX(rw_Cum,(ROW()-ROW(rw_LoadOrigin)-1),(COLUMN()-COLUMN(rw_LoadOrigin)-1)+1)-INDEX(rw_Cum,(ROW()-ROW(rw_LoadOrigin)-1),(COLUMN()-COLUMN(rw_LoadOrigin)-1))),"")</f>
        <v>0</v>
      </c>
      <c r="I38" s="72" t="n">
        <f aca="false">IFERROR(IF(INDEX(res_Name,(ROW()-ROW(rw_LoadOrigin)-1))="","",INDEX(rw_Cum,(ROW()-ROW(rw_LoadOrigin)-1),(COLUMN()-COLUMN(rw_LoadOrigin)-1)+1)-INDEX(rw_Cum,(ROW()-ROW(rw_LoadOrigin)-1),(COLUMN()-COLUMN(rw_LoadOrigin)-1))),"")</f>
        <v>0</v>
      </c>
      <c r="J38" s="72" t="n">
        <f aca="false">IFERROR(IF(INDEX(res_Name,(ROW()-ROW(rw_LoadOrigin)-1))="","",INDEX(rw_Cum,(ROW()-ROW(rw_LoadOrigin)-1),(COLUMN()-COLUMN(rw_LoadOrigin)-1)+1)-INDEX(rw_Cum,(ROW()-ROW(rw_LoadOrigin)-1),(COLUMN()-COLUMN(rw_LoadOrigin)-1))),"")</f>
        <v>0</v>
      </c>
      <c r="K38" s="72" t="n">
        <f aca="false">IFERROR(IF(INDEX(res_Name,(ROW()-ROW(rw_LoadOrigin)-1))="","",INDEX(rw_Cum,(ROW()-ROW(rw_LoadOrigin)-1),(COLUMN()-COLUMN(rw_LoadOrigin)-1)+1)-INDEX(rw_Cum,(ROW()-ROW(rw_LoadOrigin)-1),(COLUMN()-COLUMN(rw_LoadOrigin)-1))),"")</f>
        <v>0</v>
      </c>
      <c r="L38" s="72" t="n">
        <f aca="false">IFERROR(IF(INDEX(res_Name,(ROW()-ROW(rw_LoadOrigin)-1))="","",INDEX(rw_Cum,(ROW()-ROW(rw_LoadOrigin)-1),(COLUMN()-COLUMN(rw_LoadOrigin)-1)+1)-INDEX(rw_Cum,(ROW()-ROW(rw_LoadOrigin)-1),(COLUMN()-COLUMN(rw_LoadOrigin)-1))),"")</f>
        <v>0</v>
      </c>
      <c r="M38" s="72" t="n">
        <f aca="false">IFERROR(IF(INDEX(res_Name,(ROW()-ROW(rw_LoadOrigin)-1))="","",INDEX(rw_Cum,(ROW()-ROW(rw_LoadOrigin)-1),(COLUMN()-COLUMN(rw_LoadOrigin)-1)+1)-INDEX(rw_Cum,(ROW()-ROW(rw_LoadOrigin)-1),(COLUMN()-COLUMN(rw_LoadOrigin)-1))),"")</f>
        <v>0</v>
      </c>
      <c r="N38" s="72" t="n">
        <f aca="false">IFERROR(IF(INDEX(res_Name,(ROW()-ROW(rw_LoadOrigin)-1))="","",INDEX(rw_Cum,(ROW()-ROW(rw_LoadOrigin)-1),(COLUMN()-COLUMN(rw_LoadOrigin)-1)+1)-INDEX(rw_Cum,(ROW()-ROW(rw_LoadOrigin)-1),(COLUMN()-COLUMN(rw_LoadOrigin)-1))),"")</f>
        <v>0</v>
      </c>
      <c r="O38" s="72" t="n">
        <f aca="false">IFERROR(IF(INDEX(res_Name,(ROW()-ROW(rw_LoadOrigin)-1))="","",INDEX(rw_Cum,(ROW()-ROW(rw_LoadOrigin)-1),(COLUMN()-COLUMN(rw_LoadOrigin)-1)+1)-INDEX(rw_Cum,(ROW()-ROW(rw_LoadOrigin)-1),(COLUMN()-COLUMN(rw_LoadOrigin)-1))),"")</f>
        <v>0</v>
      </c>
      <c r="P38" s="72" t="n">
        <f aca="false">IFERROR(IF(INDEX(res_Name,(ROW()-ROW(rw_LoadOrigin)-1))="","",INDEX(rw_Cum,(ROW()-ROW(rw_LoadOrigin)-1),(COLUMN()-COLUMN(rw_LoadOrigin)-1)+1)-INDEX(rw_Cum,(ROW()-ROW(rw_LoadOrigin)-1),(COLUMN()-COLUMN(rw_LoadOrigin)-1))),"")</f>
        <v>0</v>
      </c>
      <c r="Q38" s="72" t="n">
        <f aca="false">IFERROR(IF(INDEX(res_Name,(ROW()-ROW(rw_LoadOrigin)-1))="","",INDEX(rw_Cum,(ROW()-ROW(rw_LoadOrigin)-1),(COLUMN()-COLUMN(rw_LoadOrigin)-1)+1)-INDEX(rw_Cum,(ROW()-ROW(rw_LoadOrigin)-1),(COLUMN()-COLUMN(rw_LoadOrigin)-1))),"")</f>
        <v>0</v>
      </c>
      <c r="R38" s="72" t="n">
        <f aca="false">IFERROR(IF(INDEX(res_Name,(ROW()-ROW(rw_LoadOrigin)-1))="","",INDEX(rw_Cum,(ROW()-ROW(rw_LoadOrigin)-1),(COLUMN()-COLUMN(rw_LoadOrigin)-1)+1)-INDEX(rw_Cum,(ROW()-ROW(rw_LoadOrigin)-1),(COLUMN()-COLUMN(rw_LoadOrigin)-1))),"")</f>
        <v>0</v>
      </c>
      <c r="S38" s="72" t="n">
        <f aca="false">IFERROR(IF(INDEX(res_Name,(ROW()-ROW(rw_LoadOrigin)-1))="","",INDEX(rw_Cum,(ROW()-ROW(rw_LoadOrigin)-1),(COLUMN()-COLUMN(rw_LoadOrigin)-1)+1)-INDEX(rw_Cum,(ROW()-ROW(rw_LoadOrigin)-1),(COLUMN()-COLUMN(rw_LoadOrigin)-1))),"")</f>
        <v>0</v>
      </c>
      <c r="T38" s="72" t="n">
        <f aca="false">IFERROR(IF(INDEX(res_Name,(ROW()-ROW(rw_LoadOrigin)-1))="","",INDEX(rw_Cum,(ROW()-ROW(rw_LoadOrigin)-1),(COLUMN()-COLUMN(rw_LoadOrigin)-1)+1)-INDEX(rw_Cum,(ROW()-ROW(rw_LoadOrigin)-1),(COLUMN()-COLUMN(rw_LoadOrigin)-1))),"")</f>
        <v>0</v>
      </c>
      <c r="U38" s="72" t="n">
        <f aca="false">IFERROR(IF(INDEX(res_Name,(ROW()-ROW(rw_LoadOrigin)-1))="","",INDEX(rw_Cum,(ROW()-ROW(rw_LoadOrigin)-1),(COLUMN()-COLUMN(rw_LoadOrigin)-1)+1)-INDEX(rw_Cum,(ROW()-ROW(rw_LoadOrigin)-1),(COLUMN()-COLUMN(rw_LoadOrigin)-1))),"")</f>
        <v>0</v>
      </c>
      <c r="V38" s="72" t="n">
        <f aca="false">IFERROR(IF(INDEX(res_Name,(ROW()-ROW(rw_LoadOrigin)-1))="","",INDEX(rw_Cum,(ROW()-ROW(rw_LoadOrigin)-1),(COLUMN()-COLUMN(rw_LoadOrigin)-1)+1)-INDEX(rw_Cum,(ROW()-ROW(rw_LoadOrigin)-1),(COLUMN()-COLUMN(rw_LoadOrigin)-1))),"")</f>
        <v>0</v>
      </c>
      <c r="W38" s="72" t="n">
        <f aca="false">IFERROR(IF(INDEX(res_Name,(ROW()-ROW(rw_LoadOrigin)-1))="","",INDEX(rw_Cum,(ROW()-ROW(rw_LoadOrigin)-1),(COLUMN()-COLUMN(rw_LoadOrigin)-1)+1)-INDEX(rw_Cum,(ROW()-ROW(rw_LoadOrigin)-1),(COLUMN()-COLUMN(rw_LoadOrigin)-1))),"")</f>
        <v>0</v>
      </c>
      <c r="X38" s="72" t="n">
        <f aca="false">IFERROR(IF(INDEX(res_Name,(ROW()-ROW(rw_LoadOrigin)-1))="","",INDEX(rw_Cum,(ROW()-ROW(rw_LoadOrigin)-1),(COLUMN()-COLUMN(rw_LoadOrigin)-1)+1)-INDEX(rw_Cum,(ROW()-ROW(rw_LoadOrigin)-1),(COLUMN()-COLUMN(rw_LoadOrigin)-1))),"")</f>
        <v>0</v>
      </c>
      <c r="Y38" s="72" t="n">
        <f aca="false">IFERROR(IF(INDEX(res_Name,(ROW()-ROW(rw_LoadOrigin)-1))="","",INDEX(rw_Cum,(ROW()-ROW(rw_LoadOrigin)-1),(COLUMN()-COLUMN(rw_LoadOrigin)-1)+1)-INDEX(rw_Cum,(ROW()-ROW(rw_LoadOrigin)-1),(COLUMN()-COLUMN(rw_LoadOrigin)-1))),"")</f>
        <v>0</v>
      </c>
      <c r="Z38" s="72" t="n">
        <f aca="false">IFERROR(IF(INDEX(res_Name,(ROW()-ROW(rw_LoadOrigin)-1))="","",INDEX(rw_Cum,(ROW()-ROW(rw_LoadOrigin)-1),(COLUMN()-COLUMN(rw_LoadOrigin)-1)+1)-INDEX(rw_Cum,(ROW()-ROW(rw_LoadOrigin)-1),(COLUMN()-COLUMN(rw_LoadOrigin)-1))),"")</f>
        <v>0</v>
      </c>
      <c r="AA38" s="72" t="n">
        <f aca="false">IFERROR(IF(INDEX(res_Name,(ROW()-ROW(rw_LoadOrigin)-1))="","",INDEX(rw_Cum,(ROW()-ROW(rw_LoadOrigin)-1),(COLUMN()-COLUMN(rw_LoadOrigin)-1)+1)-INDEX(rw_Cum,(ROW()-ROW(rw_LoadOrigin)-1),(COLUMN()-COLUMN(rw_LoadOrigin)-1))),"")</f>
        <v>0</v>
      </c>
      <c r="AB38" s="72" t="n">
        <f aca="false">IFERROR(IF(INDEX(res_Name,(ROW()-ROW(rw_LoadOrigin)-1))="","",INDEX(rw_Cum,(ROW()-ROW(rw_LoadOrigin)-1),(COLUMN()-COLUMN(rw_LoadOrigin)-1)+1)-INDEX(rw_Cum,(ROW()-ROW(rw_LoadOrigin)-1),(COLUMN()-COLUMN(rw_LoadOrigin)-1))),"")</f>
        <v>0</v>
      </c>
      <c r="AC38" s="72" t="n">
        <f aca="false">IFERROR(IF(INDEX(res_Name,(ROW()-ROW(rw_LoadOrigin)-1))="","",INDEX(rw_Cum,(ROW()-ROW(rw_LoadOrigin)-1),(COLUMN()-COLUMN(rw_LoadOrigin)-1)+1)-INDEX(rw_Cum,(ROW()-ROW(rw_LoadOrigin)-1),(COLUMN()-COLUMN(rw_LoadOrigin)-1))),"")</f>
        <v>0</v>
      </c>
    </row>
    <row r="39" customFormat="false" ht="15" hidden="false" customHeight="false" outlineLevel="0" collapsed="false">
      <c r="B39" s="48" t="str">
        <f aca="false">IFERROR(INDEX(res_Name,(ROW()-ROW(rw_LoadOrigin)-1))&amp;"","")</f>
        <v>Casey Kim</v>
      </c>
      <c r="C39" s="71" t="n">
        <f aca="false">IFERROR(IF(INDEX(res_Name,(ROW()-ROW(rw_LoadOrigin)-1))="","",INDEX(res_MaxUnits,(ROW()-ROW(rw_LoadOrigin)-1))),"")</f>
        <v>1</v>
      </c>
      <c r="D39" s="72" t="n">
        <f aca="false">IFERROR(IF(INDEX(res_Name,(ROW()-ROW(rw_LoadOrigin)-1))="","",INDEX(rw_Cum,(ROW()-ROW(rw_LoadOrigin)-1),(COLUMN()-COLUMN(rw_LoadOrigin)-1)+1)-INDEX(rw_Cum,(ROW()-ROW(rw_LoadOrigin)-1),(COLUMN()-COLUMN(rw_LoadOrigin)-1))),"")</f>
        <v>13.7142857142857</v>
      </c>
      <c r="E39" s="72" t="n">
        <f aca="false">IFERROR(IF(INDEX(res_Name,(ROW()-ROW(rw_LoadOrigin)-1))="","",INDEX(rw_Cum,(ROW()-ROW(rw_LoadOrigin)-1),(COLUMN()-COLUMN(rw_LoadOrigin)-1)+1)-INDEX(rw_Cum,(ROW()-ROW(rw_LoadOrigin)-1),(COLUMN()-COLUMN(rw_LoadOrigin)-1))),"")</f>
        <v>0</v>
      </c>
      <c r="F39" s="72" t="n">
        <f aca="false">IFERROR(IF(INDEX(res_Name,(ROW()-ROW(rw_LoadOrigin)-1))="","",INDEX(rw_Cum,(ROW()-ROW(rw_LoadOrigin)-1),(COLUMN()-COLUMN(rw_LoadOrigin)-1)+1)-INDEX(rw_Cum,(ROW()-ROW(rw_LoadOrigin)-1),(COLUMN()-COLUMN(rw_LoadOrigin)-1))),"")</f>
        <v>17.1428571428572</v>
      </c>
      <c r="G39" s="72" t="n">
        <f aca="false">IFERROR(IF(INDEX(res_Name,(ROW()-ROW(rw_LoadOrigin)-1))="","",INDEX(rw_Cum,(ROW()-ROW(rw_LoadOrigin)-1),(COLUMN()-COLUMN(rw_LoadOrigin)-1)+1)-INDEX(rw_Cum,(ROW()-ROW(rw_LoadOrigin)-1),(COLUMN()-COLUMN(rw_LoadOrigin)-1))),"")</f>
        <v>17.1428571428571</v>
      </c>
      <c r="H39" s="72" t="n">
        <f aca="false">IFERROR(IF(INDEX(res_Name,(ROW()-ROW(rw_LoadOrigin)-1))="","",INDEX(rw_Cum,(ROW()-ROW(rw_LoadOrigin)-1),(COLUMN()-COLUMN(rw_LoadOrigin)-1)+1)-INDEX(rw_Cum,(ROW()-ROW(rw_LoadOrigin)-1),(COLUMN()-COLUMN(rw_LoadOrigin)-1))),"")</f>
        <v>25.7142857142857</v>
      </c>
      <c r="I39" s="72" t="n">
        <f aca="false">IFERROR(IF(INDEX(res_Name,(ROW()-ROW(rw_LoadOrigin)-1))="","",INDEX(rw_Cum,(ROW()-ROW(rw_LoadOrigin)-1),(COLUMN()-COLUMN(rw_LoadOrigin)-1)+1)-INDEX(rw_Cum,(ROW()-ROW(rw_LoadOrigin)-1),(COLUMN()-COLUMN(rw_LoadOrigin)-1))),"")</f>
        <v>8</v>
      </c>
      <c r="J39" s="72" t="n">
        <f aca="false">IFERROR(IF(INDEX(res_Name,(ROW()-ROW(rw_LoadOrigin)-1))="","",INDEX(rw_Cum,(ROW()-ROW(rw_LoadOrigin)-1),(COLUMN()-COLUMN(rw_LoadOrigin)-1)+1)-INDEX(rw_Cum,(ROW()-ROW(rw_LoadOrigin)-1),(COLUMN()-COLUMN(rw_LoadOrigin)-1))),"")</f>
        <v>12</v>
      </c>
      <c r="K39" s="72" t="n">
        <f aca="false">IFERROR(IF(INDEX(res_Name,(ROW()-ROW(rw_LoadOrigin)-1))="","",INDEX(rw_Cum,(ROW()-ROW(rw_LoadOrigin)-1),(COLUMN()-COLUMN(rw_LoadOrigin)-1)+1)-INDEX(rw_Cum,(ROW()-ROW(rw_LoadOrigin)-1),(COLUMN()-COLUMN(rw_LoadOrigin)-1))),"")</f>
        <v>0</v>
      </c>
      <c r="L39" s="72" t="n">
        <f aca="false">IFERROR(IF(INDEX(res_Name,(ROW()-ROW(rw_LoadOrigin)-1))="","",INDEX(rw_Cum,(ROW()-ROW(rw_LoadOrigin)-1),(COLUMN()-COLUMN(rw_LoadOrigin)-1)+1)-INDEX(rw_Cum,(ROW()-ROW(rw_LoadOrigin)-1),(COLUMN()-COLUMN(rw_LoadOrigin)-1))),"")</f>
        <v>0</v>
      </c>
      <c r="M39" s="72" t="n">
        <f aca="false">IFERROR(IF(INDEX(res_Name,(ROW()-ROW(rw_LoadOrigin)-1))="","",INDEX(rw_Cum,(ROW()-ROW(rw_LoadOrigin)-1),(COLUMN()-COLUMN(rw_LoadOrigin)-1)+1)-INDEX(rw_Cum,(ROW()-ROW(rw_LoadOrigin)-1),(COLUMN()-COLUMN(rw_LoadOrigin)-1))),"")</f>
        <v>0</v>
      </c>
      <c r="N39" s="72" t="n">
        <f aca="false">IFERROR(IF(INDEX(res_Name,(ROW()-ROW(rw_LoadOrigin)-1))="","",INDEX(rw_Cum,(ROW()-ROW(rw_LoadOrigin)-1),(COLUMN()-COLUMN(rw_LoadOrigin)-1)+1)-INDEX(rw_Cum,(ROW()-ROW(rw_LoadOrigin)-1),(COLUMN()-COLUMN(rw_LoadOrigin)-1))),"")</f>
        <v>0</v>
      </c>
      <c r="O39" s="72" t="n">
        <f aca="false">IFERROR(IF(INDEX(res_Name,(ROW()-ROW(rw_LoadOrigin)-1))="","",INDEX(rw_Cum,(ROW()-ROW(rw_LoadOrigin)-1),(COLUMN()-COLUMN(rw_LoadOrigin)-1)+1)-INDEX(rw_Cum,(ROW()-ROW(rw_LoadOrigin)-1),(COLUMN()-COLUMN(rw_LoadOrigin)-1))),"")</f>
        <v>0</v>
      </c>
      <c r="P39" s="72" t="n">
        <f aca="false">IFERROR(IF(INDEX(res_Name,(ROW()-ROW(rw_LoadOrigin)-1))="","",INDEX(rw_Cum,(ROW()-ROW(rw_LoadOrigin)-1),(COLUMN()-COLUMN(rw_LoadOrigin)-1)+1)-INDEX(rw_Cum,(ROW()-ROW(rw_LoadOrigin)-1),(COLUMN()-COLUMN(rw_LoadOrigin)-1))),"")</f>
        <v>0</v>
      </c>
      <c r="Q39" s="72" t="n">
        <f aca="false">IFERROR(IF(INDEX(res_Name,(ROW()-ROW(rw_LoadOrigin)-1))="","",INDEX(rw_Cum,(ROW()-ROW(rw_LoadOrigin)-1),(COLUMN()-COLUMN(rw_LoadOrigin)-1)+1)-INDEX(rw_Cum,(ROW()-ROW(rw_LoadOrigin)-1),(COLUMN()-COLUMN(rw_LoadOrigin)-1))),"")</f>
        <v>0</v>
      </c>
      <c r="R39" s="72" t="n">
        <f aca="false">IFERROR(IF(INDEX(res_Name,(ROW()-ROW(rw_LoadOrigin)-1))="","",INDEX(rw_Cum,(ROW()-ROW(rw_LoadOrigin)-1),(COLUMN()-COLUMN(rw_LoadOrigin)-1)+1)-INDEX(rw_Cum,(ROW()-ROW(rw_LoadOrigin)-1),(COLUMN()-COLUMN(rw_LoadOrigin)-1))),"")</f>
        <v>0</v>
      </c>
      <c r="S39" s="72" t="n">
        <f aca="false">IFERROR(IF(INDEX(res_Name,(ROW()-ROW(rw_LoadOrigin)-1))="","",INDEX(rw_Cum,(ROW()-ROW(rw_LoadOrigin)-1),(COLUMN()-COLUMN(rw_LoadOrigin)-1)+1)-INDEX(rw_Cum,(ROW()-ROW(rw_LoadOrigin)-1),(COLUMN()-COLUMN(rw_LoadOrigin)-1))),"")</f>
        <v>0</v>
      </c>
      <c r="T39" s="72" t="n">
        <f aca="false">IFERROR(IF(INDEX(res_Name,(ROW()-ROW(rw_LoadOrigin)-1))="","",INDEX(rw_Cum,(ROW()-ROW(rw_LoadOrigin)-1),(COLUMN()-COLUMN(rw_LoadOrigin)-1)+1)-INDEX(rw_Cum,(ROW()-ROW(rw_LoadOrigin)-1),(COLUMN()-COLUMN(rw_LoadOrigin)-1))),"")</f>
        <v>0</v>
      </c>
      <c r="U39" s="72" t="n">
        <f aca="false">IFERROR(IF(INDEX(res_Name,(ROW()-ROW(rw_LoadOrigin)-1))="","",INDEX(rw_Cum,(ROW()-ROW(rw_LoadOrigin)-1),(COLUMN()-COLUMN(rw_LoadOrigin)-1)+1)-INDEX(rw_Cum,(ROW()-ROW(rw_LoadOrigin)-1),(COLUMN()-COLUMN(rw_LoadOrigin)-1))),"")</f>
        <v>0</v>
      </c>
      <c r="V39" s="72" t="n">
        <f aca="false">IFERROR(IF(INDEX(res_Name,(ROW()-ROW(rw_LoadOrigin)-1))="","",INDEX(rw_Cum,(ROW()-ROW(rw_LoadOrigin)-1),(COLUMN()-COLUMN(rw_LoadOrigin)-1)+1)-INDEX(rw_Cum,(ROW()-ROW(rw_LoadOrigin)-1),(COLUMN()-COLUMN(rw_LoadOrigin)-1))),"")</f>
        <v>0</v>
      </c>
      <c r="W39" s="72" t="n">
        <f aca="false">IFERROR(IF(INDEX(res_Name,(ROW()-ROW(rw_LoadOrigin)-1))="","",INDEX(rw_Cum,(ROW()-ROW(rw_LoadOrigin)-1),(COLUMN()-COLUMN(rw_LoadOrigin)-1)+1)-INDEX(rw_Cum,(ROW()-ROW(rw_LoadOrigin)-1),(COLUMN()-COLUMN(rw_LoadOrigin)-1))),"")</f>
        <v>0</v>
      </c>
      <c r="X39" s="72" t="n">
        <f aca="false">IFERROR(IF(INDEX(res_Name,(ROW()-ROW(rw_LoadOrigin)-1))="","",INDEX(rw_Cum,(ROW()-ROW(rw_LoadOrigin)-1),(COLUMN()-COLUMN(rw_LoadOrigin)-1)+1)-INDEX(rw_Cum,(ROW()-ROW(rw_LoadOrigin)-1),(COLUMN()-COLUMN(rw_LoadOrigin)-1))),"")</f>
        <v>0</v>
      </c>
      <c r="Y39" s="72" t="n">
        <f aca="false">IFERROR(IF(INDEX(res_Name,(ROW()-ROW(rw_LoadOrigin)-1))="","",INDEX(rw_Cum,(ROW()-ROW(rw_LoadOrigin)-1),(COLUMN()-COLUMN(rw_LoadOrigin)-1)+1)-INDEX(rw_Cum,(ROW()-ROW(rw_LoadOrigin)-1),(COLUMN()-COLUMN(rw_LoadOrigin)-1))),"")</f>
        <v>0</v>
      </c>
      <c r="Z39" s="72" t="n">
        <f aca="false">IFERROR(IF(INDEX(res_Name,(ROW()-ROW(rw_LoadOrigin)-1))="","",INDEX(rw_Cum,(ROW()-ROW(rw_LoadOrigin)-1),(COLUMN()-COLUMN(rw_LoadOrigin)-1)+1)-INDEX(rw_Cum,(ROW()-ROW(rw_LoadOrigin)-1),(COLUMN()-COLUMN(rw_LoadOrigin)-1))),"")</f>
        <v>0</v>
      </c>
      <c r="AA39" s="72" t="n">
        <f aca="false">IFERROR(IF(INDEX(res_Name,(ROW()-ROW(rw_LoadOrigin)-1))="","",INDEX(rw_Cum,(ROW()-ROW(rw_LoadOrigin)-1),(COLUMN()-COLUMN(rw_LoadOrigin)-1)+1)-INDEX(rw_Cum,(ROW()-ROW(rw_LoadOrigin)-1),(COLUMN()-COLUMN(rw_LoadOrigin)-1))),"")</f>
        <v>0</v>
      </c>
      <c r="AB39" s="72" t="n">
        <f aca="false">IFERROR(IF(INDEX(res_Name,(ROW()-ROW(rw_LoadOrigin)-1))="","",INDEX(rw_Cum,(ROW()-ROW(rw_LoadOrigin)-1),(COLUMN()-COLUMN(rw_LoadOrigin)-1)+1)-INDEX(rw_Cum,(ROW()-ROW(rw_LoadOrigin)-1),(COLUMN()-COLUMN(rw_LoadOrigin)-1))),"")</f>
        <v>0</v>
      </c>
      <c r="AC39" s="72" t="n">
        <f aca="false">IFERROR(IF(INDEX(res_Name,(ROW()-ROW(rw_LoadOrigin)-1))="","",INDEX(rw_Cum,(ROW()-ROW(rw_LoadOrigin)-1),(COLUMN()-COLUMN(rw_LoadOrigin)-1)+1)-INDEX(rw_Cum,(ROW()-ROW(rw_LoadOrigin)-1),(COLUMN()-COLUMN(rw_LoadOrigin)-1))),"")</f>
        <v>0</v>
      </c>
    </row>
    <row r="40" customFormat="false" ht="15" hidden="false" customHeight="false" outlineLevel="0" collapsed="false">
      <c r="B40" s="48" t="str">
        <f aca="false">IFERROR(INDEX(res_Name,(ROW()-ROW(rw_LoadOrigin)-1))&amp;"","")</f>
        <v>Jordan Lee</v>
      </c>
      <c r="C40" s="71" t="n">
        <f aca="false">IFERROR(IF(INDEX(res_Name,(ROW()-ROW(rw_LoadOrigin)-1))="","",INDEX(res_MaxUnits,(ROW()-ROW(rw_LoadOrigin)-1))),"")</f>
        <v>1</v>
      </c>
      <c r="D40" s="72" t="n">
        <f aca="false">IFERROR(IF(INDEX(res_Name,(ROW()-ROW(rw_LoadOrigin)-1))="","",INDEX(rw_Cum,(ROW()-ROW(rw_LoadOrigin)-1),(COLUMN()-COLUMN(rw_LoadOrigin)-1)+1)-INDEX(rw_Cum,(ROW()-ROW(rw_LoadOrigin)-1),(COLUMN()-COLUMN(rw_LoadOrigin)-1))),"")</f>
        <v>20</v>
      </c>
      <c r="E40" s="72" t="n">
        <f aca="false">IFERROR(IF(INDEX(res_Name,(ROW()-ROW(rw_LoadOrigin)-1))="","",INDEX(rw_Cum,(ROW()-ROW(rw_LoadOrigin)-1),(COLUMN()-COLUMN(rw_LoadOrigin)-1)+1)-INDEX(rw_Cum,(ROW()-ROW(rw_LoadOrigin)-1),(COLUMN()-COLUMN(rw_LoadOrigin)-1))),"")</f>
        <v>33.3333333333333</v>
      </c>
      <c r="F40" s="72" t="n">
        <f aca="false">IFERROR(IF(INDEX(res_Name,(ROW()-ROW(rw_LoadOrigin)-1))="","",INDEX(rw_Cum,(ROW()-ROW(rw_LoadOrigin)-1),(COLUMN()-COLUMN(rw_LoadOrigin)-1)+1)-INDEX(rw_Cum,(ROW()-ROW(rw_LoadOrigin)-1),(COLUMN()-COLUMN(rw_LoadOrigin)-1))),"")</f>
        <v>33.3333333333334</v>
      </c>
      <c r="G40" s="72" t="n">
        <f aca="false">IFERROR(IF(INDEX(res_Name,(ROW()-ROW(rw_LoadOrigin)-1))="","",INDEX(rw_Cum,(ROW()-ROW(rw_LoadOrigin)-1),(COLUMN()-COLUMN(rw_LoadOrigin)-1)+1)-INDEX(rw_Cum,(ROW()-ROW(rw_LoadOrigin)-1),(COLUMN()-COLUMN(rw_LoadOrigin)-1))),"")</f>
        <v>33.3333333333333</v>
      </c>
      <c r="H40" s="72" t="n">
        <f aca="false">IFERROR(IF(INDEX(res_Name,(ROW()-ROW(rw_LoadOrigin)-1))="","",INDEX(rw_Cum,(ROW()-ROW(rw_LoadOrigin)-1),(COLUMN()-COLUMN(rw_LoadOrigin)-1)+1)-INDEX(rw_Cum,(ROW()-ROW(rw_LoadOrigin)-1),(COLUMN()-COLUMN(rw_LoadOrigin)-1))),"")</f>
        <v>40</v>
      </c>
      <c r="I40" s="72" t="n">
        <f aca="false">IFERROR(IF(INDEX(res_Name,(ROW()-ROW(rw_LoadOrigin)-1))="","",INDEX(rw_Cum,(ROW()-ROW(rw_LoadOrigin)-1),(COLUMN()-COLUMN(rw_LoadOrigin)-1)+1)-INDEX(rw_Cum,(ROW()-ROW(rw_LoadOrigin)-1),(COLUMN()-COLUMN(rw_LoadOrigin)-1))),"")</f>
        <v>8</v>
      </c>
      <c r="J40" s="72" t="n">
        <f aca="false">IFERROR(IF(INDEX(res_Name,(ROW()-ROW(rw_LoadOrigin)-1))="","",INDEX(rw_Cum,(ROW()-ROW(rw_LoadOrigin)-1),(COLUMN()-COLUMN(rw_LoadOrigin)-1)+1)-INDEX(rw_Cum,(ROW()-ROW(rw_LoadOrigin)-1),(COLUMN()-COLUMN(rw_LoadOrigin)-1))),"")</f>
        <v>0</v>
      </c>
      <c r="K40" s="72" t="n">
        <f aca="false">IFERROR(IF(INDEX(res_Name,(ROW()-ROW(rw_LoadOrigin)-1))="","",INDEX(rw_Cum,(ROW()-ROW(rw_LoadOrigin)-1),(COLUMN()-COLUMN(rw_LoadOrigin)-1)+1)-INDEX(rw_Cum,(ROW()-ROW(rw_LoadOrigin)-1),(COLUMN()-COLUMN(rw_LoadOrigin)-1))),"")</f>
        <v>0</v>
      </c>
      <c r="L40" s="72" t="n">
        <f aca="false">IFERROR(IF(INDEX(res_Name,(ROW()-ROW(rw_LoadOrigin)-1))="","",INDEX(rw_Cum,(ROW()-ROW(rw_LoadOrigin)-1),(COLUMN()-COLUMN(rw_LoadOrigin)-1)+1)-INDEX(rw_Cum,(ROW()-ROW(rw_LoadOrigin)-1),(COLUMN()-COLUMN(rw_LoadOrigin)-1))),"")</f>
        <v>0</v>
      </c>
      <c r="M40" s="72" t="n">
        <f aca="false">IFERROR(IF(INDEX(res_Name,(ROW()-ROW(rw_LoadOrigin)-1))="","",INDEX(rw_Cum,(ROW()-ROW(rw_LoadOrigin)-1),(COLUMN()-COLUMN(rw_LoadOrigin)-1)+1)-INDEX(rw_Cum,(ROW()-ROW(rw_LoadOrigin)-1),(COLUMN()-COLUMN(rw_LoadOrigin)-1))),"")</f>
        <v>0</v>
      </c>
      <c r="N40" s="72" t="n">
        <f aca="false">IFERROR(IF(INDEX(res_Name,(ROW()-ROW(rw_LoadOrigin)-1))="","",INDEX(rw_Cum,(ROW()-ROW(rw_LoadOrigin)-1),(COLUMN()-COLUMN(rw_LoadOrigin)-1)+1)-INDEX(rw_Cum,(ROW()-ROW(rw_LoadOrigin)-1),(COLUMN()-COLUMN(rw_LoadOrigin)-1))),"")</f>
        <v>12</v>
      </c>
      <c r="O40" s="72" t="n">
        <f aca="false">IFERROR(IF(INDEX(res_Name,(ROW()-ROW(rw_LoadOrigin)-1))="","",INDEX(rw_Cum,(ROW()-ROW(rw_LoadOrigin)-1),(COLUMN()-COLUMN(rw_LoadOrigin)-1)+1)-INDEX(rw_Cum,(ROW()-ROW(rw_LoadOrigin)-1),(COLUMN()-COLUMN(rw_LoadOrigin)-1))),"")</f>
        <v>12</v>
      </c>
      <c r="P40" s="72" t="n">
        <f aca="false">IFERROR(IF(INDEX(res_Name,(ROW()-ROW(rw_LoadOrigin)-1))="","",INDEX(rw_Cum,(ROW()-ROW(rw_LoadOrigin)-1),(COLUMN()-COLUMN(rw_LoadOrigin)-1)+1)-INDEX(rw_Cum,(ROW()-ROW(rw_LoadOrigin)-1),(COLUMN()-COLUMN(rw_LoadOrigin)-1))),"")</f>
        <v>12</v>
      </c>
      <c r="Q40" s="72" t="n">
        <f aca="false">IFERROR(IF(INDEX(res_Name,(ROW()-ROW(rw_LoadOrigin)-1))="","",INDEX(rw_Cum,(ROW()-ROW(rw_LoadOrigin)-1),(COLUMN()-COLUMN(rw_LoadOrigin)-1)+1)-INDEX(rw_Cum,(ROW()-ROW(rw_LoadOrigin)-1),(COLUMN()-COLUMN(rw_LoadOrigin)-1))),"")</f>
        <v>4</v>
      </c>
      <c r="R40" s="72" t="n">
        <f aca="false">IFERROR(IF(INDEX(res_Name,(ROW()-ROW(rw_LoadOrigin)-1))="","",INDEX(rw_Cum,(ROW()-ROW(rw_LoadOrigin)-1),(COLUMN()-COLUMN(rw_LoadOrigin)-1)+1)-INDEX(rw_Cum,(ROW()-ROW(rw_LoadOrigin)-1),(COLUMN()-COLUMN(rw_LoadOrigin)-1))),"")</f>
        <v>0</v>
      </c>
      <c r="S40" s="72" t="n">
        <f aca="false">IFERROR(IF(INDEX(res_Name,(ROW()-ROW(rw_LoadOrigin)-1))="","",INDEX(rw_Cum,(ROW()-ROW(rw_LoadOrigin)-1),(COLUMN()-COLUMN(rw_LoadOrigin)-1)+1)-INDEX(rw_Cum,(ROW()-ROW(rw_LoadOrigin)-1),(COLUMN()-COLUMN(rw_LoadOrigin)-1))),"")</f>
        <v>0</v>
      </c>
      <c r="T40" s="72" t="n">
        <f aca="false">IFERROR(IF(INDEX(res_Name,(ROW()-ROW(rw_LoadOrigin)-1))="","",INDEX(rw_Cum,(ROW()-ROW(rw_LoadOrigin)-1),(COLUMN()-COLUMN(rw_LoadOrigin)-1)+1)-INDEX(rw_Cum,(ROW()-ROW(rw_LoadOrigin)-1),(COLUMN()-COLUMN(rw_LoadOrigin)-1))),"")</f>
        <v>0</v>
      </c>
      <c r="U40" s="72" t="n">
        <f aca="false">IFERROR(IF(INDEX(res_Name,(ROW()-ROW(rw_LoadOrigin)-1))="","",INDEX(rw_Cum,(ROW()-ROW(rw_LoadOrigin)-1),(COLUMN()-COLUMN(rw_LoadOrigin)-1)+1)-INDEX(rw_Cum,(ROW()-ROW(rw_LoadOrigin)-1),(COLUMN()-COLUMN(rw_LoadOrigin)-1))),"")</f>
        <v>0</v>
      </c>
      <c r="V40" s="72" t="n">
        <f aca="false">IFERROR(IF(INDEX(res_Name,(ROW()-ROW(rw_LoadOrigin)-1))="","",INDEX(rw_Cum,(ROW()-ROW(rw_LoadOrigin)-1),(COLUMN()-COLUMN(rw_LoadOrigin)-1)+1)-INDEX(rw_Cum,(ROW()-ROW(rw_LoadOrigin)-1),(COLUMN()-COLUMN(rw_LoadOrigin)-1))),"")</f>
        <v>0</v>
      </c>
      <c r="W40" s="72" t="n">
        <f aca="false">IFERROR(IF(INDEX(res_Name,(ROW()-ROW(rw_LoadOrigin)-1))="","",INDEX(rw_Cum,(ROW()-ROW(rw_LoadOrigin)-1),(COLUMN()-COLUMN(rw_LoadOrigin)-1)+1)-INDEX(rw_Cum,(ROW()-ROW(rw_LoadOrigin)-1),(COLUMN()-COLUMN(rw_LoadOrigin)-1))),"")</f>
        <v>0</v>
      </c>
      <c r="X40" s="72" t="n">
        <f aca="false">IFERROR(IF(INDEX(res_Name,(ROW()-ROW(rw_LoadOrigin)-1))="","",INDEX(rw_Cum,(ROW()-ROW(rw_LoadOrigin)-1),(COLUMN()-COLUMN(rw_LoadOrigin)-1)+1)-INDEX(rw_Cum,(ROW()-ROW(rw_LoadOrigin)-1),(COLUMN()-COLUMN(rw_LoadOrigin)-1))),"")</f>
        <v>0</v>
      </c>
      <c r="Y40" s="72" t="n">
        <f aca="false">IFERROR(IF(INDEX(res_Name,(ROW()-ROW(rw_LoadOrigin)-1))="","",INDEX(rw_Cum,(ROW()-ROW(rw_LoadOrigin)-1),(COLUMN()-COLUMN(rw_LoadOrigin)-1)+1)-INDEX(rw_Cum,(ROW()-ROW(rw_LoadOrigin)-1),(COLUMN()-COLUMN(rw_LoadOrigin)-1))),"")</f>
        <v>0</v>
      </c>
      <c r="Z40" s="72" t="n">
        <f aca="false">IFERROR(IF(INDEX(res_Name,(ROW()-ROW(rw_LoadOrigin)-1))="","",INDEX(rw_Cum,(ROW()-ROW(rw_LoadOrigin)-1),(COLUMN()-COLUMN(rw_LoadOrigin)-1)+1)-INDEX(rw_Cum,(ROW()-ROW(rw_LoadOrigin)-1),(COLUMN()-COLUMN(rw_LoadOrigin)-1))),"")</f>
        <v>0</v>
      </c>
      <c r="AA40" s="72" t="n">
        <f aca="false">IFERROR(IF(INDEX(res_Name,(ROW()-ROW(rw_LoadOrigin)-1))="","",INDEX(rw_Cum,(ROW()-ROW(rw_LoadOrigin)-1),(COLUMN()-COLUMN(rw_LoadOrigin)-1)+1)-INDEX(rw_Cum,(ROW()-ROW(rw_LoadOrigin)-1),(COLUMN()-COLUMN(rw_LoadOrigin)-1))),"")</f>
        <v>0</v>
      </c>
      <c r="AB40" s="72" t="n">
        <f aca="false">IFERROR(IF(INDEX(res_Name,(ROW()-ROW(rw_LoadOrigin)-1))="","",INDEX(rw_Cum,(ROW()-ROW(rw_LoadOrigin)-1),(COLUMN()-COLUMN(rw_LoadOrigin)-1)+1)-INDEX(rw_Cum,(ROW()-ROW(rw_LoadOrigin)-1),(COLUMN()-COLUMN(rw_LoadOrigin)-1))),"")</f>
        <v>0</v>
      </c>
      <c r="AC40" s="72" t="n">
        <f aca="false">IFERROR(IF(INDEX(res_Name,(ROW()-ROW(rw_LoadOrigin)-1))="","",INDEX(rw_Cum,(ROW()-ROW(rw_LoadOrigin)-1),(COLUMN()-COLUMN(rw_LoadOrigin)-1)+1)-INDEX(rw_Cum,(ROW()-ROW(rw_LoadOrigin)-1),(COLUMN()-COLUMN(rw_LoadOrigin)-1))),"")</f>
        <v>0</v>
      </c>
    </row>
    <row r="41" customFormat="false" ht="15" hidden="false" customHeight="false" outlineLevel="0" collapsed="false">
      <c r="B41" s="48" t="str">
        <f aca="false">IFERROR(INDEX(res_Name,(ROW()-ROW(rw_LoadOrigin)-1))&amp;"","")</f>
        <v>Sam Rivera</v>
      </c>
      <c r="C41" s="71" t="n">
        <f aca="false">IFERROR(IF(INDEX(res_Name,(ROW()-ROW(rw_LoadOrigin)-1))="","",INDEX(res_MaxUnits,(ROW()-ROW(rw_LoadOrigin)-1))),"")</f>
        <v>1</v>
      </c>
      <c r="D41" s="72" t="n">
        <f aca="false">IFERROR(IF(INDEX(res_Name,(ROW()-ROW(rw_LoadOrigin)-1))="","",INDEX(rw_Cum,(ROW()-ROW(rw_LoadOrigin)-1),(COLUMN()-COLUMN(rw_LoadOrigin)-1)+1)-INDEX(rw_Cum,(ROW()-ROW(rw_LoadOrigin)-1),(COLUMN()-COLUMN(rw_LoadOrigin)-1))),"")</f>
        <v>18</v>
      </c>
      <c r="E41" s="72" t="n">
        <f aca="false">IFERROR(IF(INDEX(res_Name,(ROW()-ROW(rw_LoadOrigin)-1))="","",INDEX(rw_Cum,(ROW()-ROW(rw_LoadOrigin)-1),(COLUMN()-COLUMN(rw_LoadOrigin)-1)+1)-INDEX(rw_Cum,(ROW()-ROW(rw_LoadOrigin)-1),(COLUMN()-COLUMN(rw_LoadOrigin)-1))),"")</f>
        <v>30</v>
      </c>
      <c r="F41" s="72" t="n">
        <f aca="false">IFERROR(IF(INDEX(res_Name,(ROW()-ROW(rw_LoadOrigin)-1))="","",INDEX(rw_Cum,(ROW()-ROW(rw_LoadOrigin)-1),(COLUMN()-COLUMN(rw_LoadOrigin)-1)+1)-INDEX(rw_Cum,(ROW()-ROW(rw_LoadOrigin)-1),(COLUMN()-COLUMN(rw_LoadOrigin)-1))),"")</f>
        <v>34.2857142857143</v>
      </c>
      <c r="G41" s="72" t="n">
        <f aca="false">IFERROR(IF(INDEX(res_Name,(ROW()-ROW(rw_LoadOrigin)-1))="","",INDEX(rw_Cum,(ROW()-ROW(rw_LoadOrigin)-1),(COLUMN()-COLUMN(rw_LoadOrigin)-1)+1)-INDEX(rw_Cum,(ROW()-ROW(rw_LoadOrigin)-1),(COLUMN()-COLUMN(rw_LoadOrigin)-1))),"")</f>
        <v>34.2857142857143</v>
      </c>
      <c r="H41" s="72" t="n">
        <f aca="false">IFERROR(IF(INDEX(res_Name,(ROW()-ROW(rw_LoadOrigin)-1))="","",INDEX(rw_Cum,(ROW()-ROW(rw_LoadOrigin)-1),(COLUMN()-COLUMN(rw_LoadOrigin)-1)+1)-INDEX(rw_Cum,(ROW()-ROW(rw_LoadOrigin)-1),(COLUMN()-COLUMN(rw_LoadOrigin)-1))),"")</f>
        <v>27.4285714285714</v>
      </c>
      <c r="I41" s="72" t="n">
        <f aca="false">IFERROR(IF(INDEX(res_Name,(ROW()-ROW(rw_LoadOrigin)-1))="","",INDEX(rw_Cum,(ROW()-ROW(rw_LoadOrigin)-1),(COLUMN()-COLUMN(rw_LoadOrigin)-1)+1)-INDEX(rw_Cum,(ROW()-ROW(rw_LoadOrigin)-1),(COLUMN()-COLUMN(rw_LoadOrigin)-1))),"")</f>
        <v>16</v>
      </c>
      <c r="J41" s="72" t="n">
        <f aca="false">IFERROR(IF(INDEX(res_Name,(ROW()-ROW(rw_LoadOrigin)-1))="","",INDEX(rw_Cum,(ROW()-ROW(rw_LoadOrigin)-1),(COLUMN()-COLUMN(rw_LoadOrigin)-1)+1)-INDEX(rw_Cum,(ROW()-ROW(rw_LoadOrigin)-1),(COLUMN()-COLUMN(rw_LoadOrigin)-1))),"")</f>
        <v>16</v>
      </c>
      <c r="K41" s="72" t="n">
        <f aca="false">IFERROR(IF(INDEX(res_Name,(ROW()-ROW(rw_LoadOrigin)-1))="","",INDEX(rw_Cum,(ROW()-ROW(rw_LoadOrigin)-1),(COLUMN()-COLUMN(rw_LoadOrigin)-1)+1)-INDEX(rw_Cum,(ROW()-ROW(rw_LoadOrigin)-1),(COLUMN()-COLUMN(rw_LoadOrigin)-1))),"")</f>
        <v>0</v>
      </c>
      <c r="L41" s="72" t="n">
        <f aca="false">IFERROR(IF(INDEX(res_Name,(ROW()-ROW(rw_LoadOrigin)-1))="","",INDEX(rw_Cum,(ROW()-ROW(rw_LoadOrigin)-1),(COLUMN()-COLUMN(rw_LoadOrigin)-1)+1)-INDEX(rw_Cum,(ROW()-ROW(rw_LoadOrigin)-1),(COLUMN()-COLUMN(rw_LoadOrigin)-1))),"")</f>
        <v>0</v>
      </c>
      <c r="M41" s="72" t="n">
        <f aca="false">IFERROR(IF(INDEX(res_Name,(ROW()-ROW(rw_LoadOrigin)-1))="","",INDEX(rw_Cum,(ROW()-ROW(rw_LoadOrigin)-1),(COLUMN()-COLUMN(rw_LoadOrigin)-1)+1)-INDEX(rw_Cum,(ROW()-ROW(rw_LoadOrigin)-1),(COLUMN()-COLUMN(rw_LoadOrigin)-1))),"")</f>
        <v>0</v>
      </c>
      <c r="N41" s="72" t="n">
        <f aca="false">IFERROR(IF(INDEX(res_Name,(ROW()-ROW(rw_LoadOrigin)-1))="","",INDEX(rw_Cum,(ROW()-ROW(rw_LoadOrigin)-1),(COLUMN()-COLUMN(rw_LoadOrigin)-1)+1)-INDEX(rw_Cum,(ROW()-ROW(rw_LoadOrigin)-1),(COLUMN()-COLUMN(rw_LoadOrigin)-1))),"")</f>
        <v>0</v>
      </c>
      <c r="O41" s="72" t="n">
        <f aca="false">IFERROR(IF(INDEX(res_Name,(ROW()-ROW(rw_LoadOrigin)-1))="","",INDEX(rw_Cum,(ROW()-ROW(rw_LoadOrigin)-1),(COLUMN()-COLUMN(rw_LoadOrigin)-1)+1)-INDEX(rw_Cum,(ROW()-ROW(rw_LoadOrigin)-1),(COLUMN()-COLUMN(rw_LoadOrigin)-1))),"")</f>
        <v>0</v>
      </c>
      <c r="P41" s="72" t="n">
        <f aca="false">IFERROR(IF(INDEX(res_Name,(ROW()-ROW(rw_LoadOrigin)-1))="","",INDEX(rw_Cum,(ROW()-ROW(rw_LoadOrigin)-1),(COLUMN()-COLUMN(rw_LoadOrigin)-1)+1)-INDEX(rw_Cum,(ROW()-ROW(rw_LoadOrigin)-1),(COLUMN()-COLUMN(rw_LoadOrigin)-1))),"")</f>
        <v>0</v>
      </c>
      <c r="Q41" s="72" t="n">
        <f aca="false">IFERROR(IF(INDEX(res_Name,(ROW()-ROW(rw_LoadOrigin)-1))="","",INDEX(rw_Cum,(ROW()-ROW(rw_LoadOrigin)-1),(COLUMN()-COLUMN(rw_LoadOrigin)-1)+1)-INDEX(rw_Cum,(ROW()-ROW(rw_LoadOrigin)-1),(COLUMN()-COLUMN(rw_LoadOrigin)-1))),"")</f>
        <v>0</v>
      </c>
      <c r="R41" s="72" t="n">
        <f aca="false">IFERROR(IF(INDEX(res_Name,(ROW()-ROW(rw_LoadOrigin)-1))="","",INDEX(rw_Cum,(ROW()-ROW(rw_LoadOrigin)-1),(COLUMN()-COLUMN(rw_LoadOrigin)-1)+1)-INDEX(rw_Cum,(ROW()-ROW(rw_LoadOrigin)-1),(COLUMN()-COLUMN(rw_LoadOrigin)-1))),"")</f>
        <v>0</v>
      </c>
      <c r="S41" s="72" t="n">
        <f aca="false">IFERROR(IF(INDEX(res_Name,(ROW()-ROW(rw_LoadOrigin)-1))="","",INDEX(rw_Cum,(ROW()-ROW(rw_LoadOrigin)-1),(COLUMN()-COLUMN(rw_LoadOrigin)-1)+1)-INDEX(rw_Cum,(ROW()-ROW(rw_LoadOrigin)-1),(COLUMN()-COLUMN(rw_LoadOrigin)-1))),"")</f>
        <v>0</v>
      </c>
      <c r="T41" s="72" t="n">
        <f aca="false">IFERROR(IF(INDEX(res_Name,(ROW()-ROW(rw_LoadOrigin)-1))="","",INDEX(rw_Cum,(ROW()-ROW(rw_LoadOrigin)-1),(COLUMN()-COLUMN(rw_LoadOrigin)-1)+1)-INDEX(rw_Cum,(ROW()-ROW(rw_LoadOrigin)-1),(COLUMN()-COLUMN(rw_LoadOrigin)-1))),"")</f>
        <v>0</v>
      </c>
      <c r="U41" s="72" t="n">
        <f aca="false">IFERROR(IF(INDEX(res_Name,(ROW()-ROW(rw_LoadOrigin)-1))="","",INDEX(rw_Cum,(ROW()-ROW(rw_LoadOrigin)-1),(COLUMN()-COLUMN(rw_LoadOrigin)-1)+1)-INDEX(rw_Cum,(ROW()-ROW(rw_LoadOrigin)-1),(COLUMN()-COLUMN(rw_LoadOrigin)-1))),"")</f>
        <v>0</v>
      </c>
      <c r="V41" s="72" t="n">
        <f aca="false">IFERROR(IF(INDEX(res_Name,(ROW()-ROW(rw_LoadOrigin)-1))="","",INDEX(rw_Cum,(ROW()-ROW(rw_LoadOrigin)-1),(COLUMN()-COLUMN(rw_LoadOrigin)-1)+1)-INDEX(rw_Cum,(ROW()-ROW(rw_LoadOrigin)-1),(COLUMN()-COLUMN(rw_LoadOrigin)-1))),"")</f>
        <v>0</v>
      </c>
      <c r="W41" s="72" t="n">
        <f aca="false">IFERROR(IF(INDEX(res_Name,(ROW()-ROW(rw_LoadOrigin)-1))="","",INDEX(rw_Cum,(ROW()-ROW(rw_LoadOrigin)-1),(COLUMN()-COLUMN(rw_LoadOrigin)-1)+1)-INDEX(rw_Cum,(ROW()-ROW(rw_LoadOrigin)-1),(COLUMN()-COLUMN(rw_LoadOrigin)-1))),"")</f>
        <v>0</v>
      </c>
      <c r="X41" s="72" t="n">
        <f aca="false">IFERROR(IF(INDEX(res_Name,(ROW()-ROW(rw_LoadOrigin)-1))="","",INDEX(rw_Cum,(ROW()-ROW(rw_LoadOrigin)-1),(COLUMN()-COLUMN(rw_LoadOrigin)-1)+1)-INDEX(rw_Cum,(ROW()-ROW(rw_LoadOrigin)-1),(COLUMN()-COLUMN(rw_LoadOrigin)-1))),"")</f>
        <v>0</v>
      </c>
      <c r="Y41" s="72" t="n">
        <f aca="false">IFERROR(IF(INDEX(res_Name,(ROW()-ROW(rw_LoadOrigin)-1))="","",INDEX(rw_Cum,(ROW()-ROW(rw_LoadOrigin)-1),(COLUMN()-COLUMN(rw_LoadOrigin)-1)+1)-INDEX(rw_Cum,(ROW()-ROW(rw_LoadOrigin)-1),(COLUMN()-COLUMN(rw_LoadOrigin)-1))),"")</f>
        <v>0</v>
      </c>
      <c r="Z41" s="72" t="n">
        <f aca="false">IFERROR(IF(INDEX(res_Name,(ROW()-ROW(rw_LoadOrigin)-1))="","",INDEX(rw_Cum,(ROW()-ROW(rw_LoadOrigin)-1),(COLUMN()-COLUMN(rw_LoadOrigin)-1)+1)-INDEX(rw_Cum,(ROW()-ROW(rw_LoadOrigin)-1),(COLUMN()-COLUMN(rw_LoadOrigin)-1))),"")</f>
        <v>0</v>
      </c>
      <c r="AA41" s="72" t="n">
        <f aca="false">IFERROR(IF(INDEX(res_Name,(ROW()-ROW(rw_LoadOrigin)-1))="","",INDEX(rw_Cum,(ROW()-ROW(rw_LoadOrigin)-1),(COLUMN()-COLUMN(rw_LoadOrigin)-1)+1)-INDEX(rw_Cum,(ROW()-ROW(rw_LoadOrigin)-1),(COLUMN()-COLUMN(rw_LoadOrigin)-1))),"")</f>
        <v>0</v>
      </c>
      <c r="AB41" s="72" t="n">
        <f aca="false">IFERROR(IF(INDEX(res_Name,(ROW()-ROW(rw_LoadOrigin)-1))="","",INDEX(rw_Cum,(ROW()-ROW(rw_LoadOrigin)-1),(COLUMN()-COLUMN(rw_LoadOrigin)-1)+1)-INDEX(rw_Cum,(ROW()-ROW(rw_LoadOrigin)-1),(COLUMN()-COLUMN(rw_LoadOrigin)-1))),"")</f>
        <v>0</v>
      </c>
      <c r="AC41" s="72" t="n">
        <f aca="false">IFERROR(IF(INDEX(res_Name,(ROW()-ROW(rw_LoadOrigin)-1))="","",INDEX(rw_Cum,(ROW()-ROW(rw_LoadOrigin)-1),(COLUMN()-COLUMN(rw_LoadOrigin)-1)+1)-INDEX(rw_Cum,(ROW()-ROW(rw_LoadOrigin)-1),(COLUMN()-COLUMN(rw_LoadOrigin)-1))),"")</f>
        <v>0</v>
      </c>
    </row>
    <row r="42" customFormat="false" ht="15" hidden="false" customHeight="false" outlineLevel="0" collapsed="false">
      <c r="B42" s="48" t="str">
        <f aca="false">IFERROR(INDEX(res_Name,(ROW()-ROW(rw_LoadOrigin)-1))&amp;"","")</f>
        <v>Taylor Morgan</v>
      </c>
      <c r="C42" s="71" t="n">
        <f aca="false">IFERROR(IF(INDEX(res_Name,(ROW()-ROW(rw_LoadOrigin)-1))="","",INDEX(res_MaxUnits,(ROW()-ROW(rw_LoadOrigin)-1))),"")</f>
        <v>1</v>
      </c>
      <c r="D42" s="72" t="n">
        <f aca="false">IFERROR(IF(INDEX(res_Name,(ROW()-ROW(rw_LoadOrigin)-1))="","",INDEX(rw_Cum,(ROW()-ROW(rw_LoadOrigin)-1),(COLUMN()-COLUMN(rw_LoadOrigin)-1)+1)-INDEX(rw_Cum,(ROW()-ROW(rw_LoadOrigin)-1),(COLUMN()-COLUMN(rw_LoadOrigin)-1))),"")</f>
        <v>0</v>
      </c>
      <c r="E42" s="72" t="n">
        <f aca="false">IFERROR(IF(INDEX(res_Name,(ROW()-ROW(rw_LoadOrigin)-1))="","",INDEX(rw_Cum,(ROW()-ROW(rw_LoadOrigin)-1),(COLUMN()-COLUMN(rw_LoadOrigin)-1)+1)-INDEX(rw_Cum,(ROW()-ROW(rw_LoadOrigin)-1),(COLUMN()-COLUMN(rw_LoadOrigin)-1))),"")</f>
        <v>0</v>
      </c>
      <c r="F42" s="72" t="n">
        <f aca="false">IFERROR(IF(INDEX(res_Name,(ROW()-ROW(rw_LoadOrigin)-1))="","",INDEX(rw_Cum,(ROW()-ROW(rw_LoadOrigin)-1),(COLUMN()-COLUMN(rw_LoadOrigin)-1)+1)-INDEX(rw_Cum,(ROW()-ROW(rw_LoadOrigin)-1),(COLUMN()-COLUMN(rw_LoadOrigin)-1))),"")</f>
        <v>0</v>
      </c>
      <c r="G42" s="72" t="n">
        <f aca="false">IFERROR(IF(INDEX(res_Name,(ROW()-ROW(rw_LoadOrigin)-1))="","",INDEX(rw_Cum,(ROW()-ROW(rw_LoadOrigin)-1),(COLUMN()-COLUMN(rw_LoadOrigin)-1)+1)-INDEX(rw_Cum,(ROW()-ROW(rw_LoadOrigin)-1),(COLUMN()-COLUMN(rw_LoadOrigin)-1))),"")</f>
        <v>0</v>
      </c>
      <c r="H42" s="72" t="n">
        <f aca="false">IFERROR(IF(INDEX(res_Name,(ROW()-ROW(rw_LoadOrigin)-1))="","",INDEX(rw_Cum,(ROW()-ROW(rw_LoadOrigin)-1),(COLUMN()-COLUMN(rw_LoadOrigin)-1)+1)-INDEX(rw_Cum,(ROW()-ROW(rw_LoadOrigin)-1),(COLUMN()-COLUMN(rw_LoadOrigin)-1))),"")</f>
        <v>0</v>
      </c>
      <c r="I42" s="72" t="n">
        <f aca="false">IFERROR(IF(INDEX(res_Name,(ROW()-ROW(rw_LoadOrigin)-1))="","",INDEX(rw_Cum,(ROW()-ROW(rw_LoadOrigin)-1),(COLUMN()-COLUMN(rw_LoadOrigin)-1)+1)-INDEX(rw_Cum,(ROW()-ROW(rw_LoadOrigin)-1),(COLUMN()-COLUMN(rw_LoadOrigin)-1))),"")</f>
        <v>32</v>
      </c>
      <c r="J42" s="72" t="n">
        <f aca="false">IFERROR(IF(INDEX(res_Name,(ROW()-ROW(rw_LoadOrigin)-1))="","",INDEX(rw_Cum,(ROW()-ROW(rw_LoadOrigin)-1),(COLUMN()-COLUMN(rw_LoadOrigin)-1)+1)-INDEX(rw_Cum,(ROW()-ROW(rw_LoadOrigin)-1),(COLUMN()-COLUMN(rw_LoadOrigin)-1))),"")</f>
        <v>32</v>
      </c>
      <c r="K42" s="72" t="n">
        <f aca="false">IFERROR(IF(INDEX(res_Name,(ROW()-ROW(rw_LoadOrigin)-1))="","",INDEX(rw_Cum,(ROW()-ROW(rw_LoadOrigin)-1),(COLUMN()-COLUMN(rw_LoadOrigin)-1)+1)-INDEX(rw_Cum,(ROW()-ROW(rw_LoadOrigin)-1),(COLUMN()-COLUMN(rw_LoadOrigin)-1))),"")</f>
        <v>0</v>
      </c>
      <c r="L42" s="72" t="n">
        <f aca="false">IFERROR(IF(INDEX(res_Name,(ROW()-ROW(rw_LoadOrigin)-1))="","",INDEX(rw_Cum,(ROW()-ROW(rw_LoadOrigin)-1),(COLUMN()-COLUMN(rw_LoadOrigin)-1)+1)-INDEX(rw_Cum,(ROW()-ROW(rw_LoadOrigin)-1),(COLUMN()-COLUMN(rw_LoadOrigin)-1))),"")</f>
        <v>0</v>
      </c>
      <c r="M42" s="72" t="n">
        <f aca="false">IFERROR(IF(INDEX(res_Name,(ROW()-ROW(rw_LoadOrigin)-1))="","",INDEX(rw_Cum,(ROW()-ROW(rw_LoadOrigin)-1),(COLUMN()-COLUMN(rw_LoadOrigin)-1)+1)-INDEX(rw_Cum,(ROW()-ROW(rw_LoadOrigin)-1),(COLUMN()-COLUMN(rw_LoadOrigin)-1))),"")</f>
        <v>40</v>
      </c>
      <c r="N42" s="72" t="n">
        <f aca="false">IFERROR(IF(INDEX(res_Name,(ROW()-ROW(rw_LoadOrigin)-1))="","",INDEX(rw_Cum,(ROW()-ROW(rw_LoadOrigin)-1),(COLUMN()-COLUMN(rw_LoadOrigin)-1)+1)-INDEX(rw_Cum,(ROW()-ROW(rw_LoadOrigin)-1),(COLUMN()-COLUMN(rw_LoadOrigin)-1))),"")</f>
        <v>8</v>
      </c>
      <c r="O42" s="72" t="n">
        <f aca="false">IFERROR(IF(INDEX(res_Name,(ROW()-ROW(rw_LoadOrigin)-1))="","",INDEX(rw_Cum,(ROW()-ROW(rw_LoadOrigin)-1),(COLUMN()-COLUMN(rw_LoadOrigin)-1)+1)-INDEX(rw_Cum,(ROW()-ROW(rw_LoadOrigin)-1),(COLUMN()-COLUMN(rw_LoadOrigin)-1))),"")</f>
        <v>0</v>
      </c>
      <c r="P42" s="72" t="n">
        <f aca="false">IFERROR(IF(INDEX(res_Name,(ROW()-ROW(rw_LoadOrigin)-1))="","",INDEX(rw_Cum,(ROW()-ROW(rw_LoadOrigin)-1),(COLUMN()-COLUMN(rw_LoadOrigin)-1)+1)-INDEX(rw_Cum,(ROW()-ROW(rw_LoadOrigin)-1),(COLUMN()-COLUMN(rw_LoadOrigin)-1))),"")</f>
        <v>0</v>
      </c>
      <c r="Q42" s="72" t="n">
        <f aca="false">IFERROR(IF(INDEX(res_Name,(ROW()-ROW(rw_LoadOrigin)-1))="","",INDEX(rw_Cum,(ROW()-ROW(rw_LoadOrigin)-1),(COLUMN()-COLUMN(rw_LoadOrigin)-1)+1)-INDEX(rw_Cum,(ROW()-ROW(rw_LoadOrigin)-1),(COLUMN()-COLUMN(rw_LoadOrigin)-1))),"")</f>
        <v>0</v>
      </c>
      <c r="R42" s="72" t="n">
        <f aca="false">IFERROR(IF(INDEX(res_Name,(ROW()-ROW(rw_LoadOrigin)-1))="","",INDEX(rw_Cum,(ROW()-ROW(rw_LoadOrigin)-1),(COLUMN()-COLUMN(rw_LoadOrigin)-1)+1)-INDEX(rw_Cum,(ROW()-ROW(rw_LoadOrigin)-1),(COLUMN()-COLUMN(rw_LoadOrigin)-1))),"")</f>
        <v>0</v>
      </c>
      <c r="S42" s="72" t="n">
        <f aca="false">IFERROR(IF(INDEX(res_Name,(ROW()-ROW(rw_LoadOrigin)-1))="","",INDEX(rw_Cum,(ROW()-ROW(rw_LoadOrigin)-1),(COLUMN()-COLUMN(rw_LoadOrigin)-1)+1)-INDEX(rw_Cum,(ROW()-ROW(rw_LoadOrigin)-1),(COLUMN()-COLUMN(rw_LoadOrigin)-1))),"")</f>
        <v>0</v>
      </c>
      <c r="T42" s="72" t="n">
        <f aca="false">IFERROR(IF(INDEX(res_Name,(ROW()-ROW(rw_LoadOrigin)-1))="","",INDEX(rw_Cum,(ROW()-ROW(rw_LoadOrigin)-1),(COLUMN()-COLUMN(rw_LoadOrigin)-1)+1)-INDEX(rw_Cum,(ROW()-ROW(rw_LoadOrigin)-1),(COLUMN()-COLUMN(rw_LoadOrigin)-1))),"")</f>
        <v>0</v>
      </c>
      <c r="U42" s="72" t="n">
        <f aca="false">IFERROR(IF(INDEX(res_Name,(ROW()-ROW(rw_LoadOrigin)-1))="","",INDEX(rw_Cum,(ROW()-ROW(rw_LoadOrigin)-1),(COLUMN()-COLUMN(rw_LoadOrigin)-1)+1)-INDEX(rw_Cum,(ROW()-ROW(rw_LoadOrigin)-1),(COLUMN()-COLUMN(rw_LoadOrigin)-1))),"")</f>
        <v>0</v>
      </c>
      <c r="V42" s="72" t="n">
        <f aca="false">IFERROR(IF(INDEX(res_Name,(ROW()-ROW(rw_LoadOrigin)-1))="","",INDEX(rw_Cum,(ROW()-ROW(rw_LoadOrigin)-1),(COLUMN()-COLUMN(rw_LoadOrigin)-1)+1)-INDEX(rw_Cum,(ROW()-ROW(rw_LoadOrigin)-1),(COLUMN()-COLUMN(rw_LoadOrigin)-1))),"")</f>
        <v>0</v>
      </c>
      <c r="W42" s="72" t="n">
        <f aca="false">IFERROR(IF(INDEX(res_Name,(ROW()-ROW(rw_LoadOrigin)-1))="","",INDEX(rw_Cum,(ROW()-ROW(rw_LoadOrigin)-1),(COLUMN()-COLUMN(rw_LoadOrigin)-1)+1)-INDEX(rw_Cum,(ROW()-ROW(rw_LoadOrigin)-1),(COLUMN()-COLUMN(rw_LoadOrigin)-1))),"")</f>
        <v>0</v>
      </c>
      <c r="X42" s="72" t="n">
        <f aca="false">IFERROR(IF(INDEX(res_Name,(ROW()-ROW(rw_LoadOrigin)-1))="","",INDEX(rw_Cum,(ROW()-ROW(rw_LoadOrigin)-1),(COLUMN()-COLUMN(rw_LoadOrigin)-1)+1)-INDEX(rw_Cum,(ROW()-ROW(rw_LoadOrigin)-1),(COLUMN()-COLUMN(rw_LoadOrigin)-1))),"")</f>
        <v>0</v>
      </c>
      <c r="Y42" s="72" t="n">
        <f aca="false">IFERROR(IF(INDEX(res_Name,(ROW()-ROW(rw_LoadOrigin)-1))="","",INDEX(rw_Cum,(ROW()-ROW(rw_LoadOrigin)-1),(COLUMN()-COLUMN(rw_LoadOrigin)-1)+1)-INDEX(rw_Cum,(ROW()-ROW(rw_LoadOrigin)-1),(COLUMN()-COLUMN(rw_LoadOrigin)-1))),"")</f>
        <v>0</v>
      </c>
      <c r="Z42" s="72" t="n">
        <f aca="false">IFERROR(IF(INDEX(res_Name,(ROW()-ROW(rw_LoadOrigin)-1))="","",INDEX(rw_Cum,(ROW()-ROW(rw_LoadOrigin)-1),(COLUMN()-COLUMN(rw_LoadOrigin)-1)+1)-INDEX(rw_Cum,(ROW()-ROW(rw_LoadOrigin)-1),(COLUMN()-COLUMN(rw_LoadOrigin)-1))),"")</f>
        <v>0</v>
      </c>
      <c r="AA42" s="72" t="n">
        <f aca="false">IFERROR(IF(INDEX(res_Name,(ROW()-ROW(rw_LoadOrigin)-1))="","",INDEX(rw_Cum,(ROW()-ROW(rw_LoadOrigin)-1),(COLUMN()-COLUMN(rw_LoadOrigin)-1)+1)-INDEX(rw_Cum,(ROW()-ROW(rw_LoadOrigin)-1),(COLUMN()-COLUMN(rw_LoadOrigin)-1))),"")</f>
        <v>0</v>
      </c>
      <c r="AB42" s="72" t="n">
        <f aca="false">IFERROR(IF(INDEX(res_Name,(ROW()-ROW(rw_LoadOrigin)-1))="","",INDEX(rw_Cum,(ROW()-ROW(rw_LoadOrigin)-1),(COLUMN()-COLUMN(rw_LoadOrigin)-1)+1)-INDEX(rw_Cum,(ROW()-ROW(rw_LoadOrigin)-1),(COLUMN()-COLUMN(rw_LoadOrigin)-1))),"")</f>
        <v>0</v>
      </c>
      <c r="AC42" s="72" t="n">
        <f aca="false">IFERROR(IF(INDEX(res_Name,(ROW()-ROW(rw_LoadOrigin)-1))="","",INDEX(rw_Cum,(ROW()-ROW(rw_LoadOrigin)-1),(COLUMN()-COLUMN(rw_LoadOrigin)-1)+1)-INDEX(rw_Cum,(ROW()-ROW(rw_LoadOrigin)-1),(COLUMN()-COLUMN(rw_LoadOrigin)-1))),"")</f>
        <v>0</v>
      </c>
    </row>
    <row r="43" customFormat="false" ht="15" hidden="false" customHeight="false" outlineLevel="0" collapsed="false">
      <c r="B43" s="48" t="str">
        <f aca="false">IFERROR(INDEX(res_Name,(ROW()-ROW(rw_LoadOrigin)-1))&amp;"","")</f>
        <v/>
      </c>
      <c r="C43" s="71" t="str">
        <f aca="false">IFERROR(IF(INDEX(res_Name,(ROW()-ROW(rw_LoadOrigin)-1))="","",INDEX(res_MaxUnits,(ROW()-ROW(rw_LoadOrigin)-1))),"")</f>
        <v/>
      </c>
      <c r="D43" s="72" t="str">
        <f aca="false">IFERROR(IF(INDEX(res_Name,(ROW()-ROW(rw_LoadOrigin)-1))="","",INDEX(rw_Cum,(ROW()-ROW(rw_LoadOrigin)-1),(COLUMN()-COLUMN(rw_LoadOrigin)-1)+1)-INDEX(rw_Cum,(ROW()-ROW(rw_LoadOrigin)-1),(COLUMN()-COLUMN(rw_LoadOrigin)-1))),"")</f>
        <v/>
      </c>
      <c r="E43" s="72" t="str">
        <f aca="false">IFERROR(IF(INDEX(res_Name,(ROW()-ROW(rw_LoadOrigin)-1))="","",INDEX(rw_Cum,(ROW()-ROW(rw_LoadOrigin)-1),(COLUMN()-COLUMN(rw_LoadOrigin)-1)+1)-INDEX(rw_Cum,(ROW()-ROW(rw_LoadOrigin)-1),(COLUMN()-COLUMN(rw_LoadOrigin)-1))),"")</f>
        <v/>
      </c>
      <c r="F43" s="72" t="str">
        <f aca="false">IFERROR(IF(INDEX(res_Name,(ROW()-ROW(rw_LoadOrigin)-1))="","",INDEX(rw_Cum,(ROW()-ROW(rw_LoadOrigin)-1),(COLUMN()-COLUMN(rw_LoadOrigin)-1)+1)-INDEX(rw_Cum,(ROW()-ROW(rw_LoadOrigin)-1),(COLUMN()-COLUMN(rw_LoadOrigin)-1))),"")</f>
        <v/>
      </c>
      <c r="G43" s="72" t="str">
        <f aca="false">IFERROR(IF(INDEX(res_Name,(ROW()-ROW(rw_LoadOrigin)-1))="","",INDEX(rw_Cum,(ROW()-ROW(rw_LoadOrigin)-1),(COLUMN()-COLUMN(rw_LoadOrigin)-1)+1)-INDEX(rw_Cum,(ROW()-ROW(rw_LoadOrigin)-1),(COLUMN()-COLUMN(rw_LoadOrigin)-1))),"")</f>
        <v/>
      </c>
      <c r="H43" s="72" t="str">
        <f aca="false">IFERROR(IF(INDEX(res_Name,(ROW()-ROW(rw_LoadOrigin)-1))="","",INDEX(rw_Cum,(ROW()-ROW(rw_LoadOrigin)-1),(COLUMN()-COLUMN(rw_LoadOrigin)-1)+1)-INDEX(rw_Cum,(ROW()-ROW(rw_LoadOrigin)-1),(COLUMN()-COLUMN(rw_LoadOrigin)-1))),"")</f>
        <v/>
      </c>
      <c r="I43" s="72" t="str">
        <f aca="false">IFERROR(IF(INDEX(res_Name,(ROW()-ROW(rw_LoadOrigin)-1))="","",INDEX(rw_Cum,(ROW()-ROW(rw_LoadOrigin)-1),(COLUMN()-COLUMN(rw_LoadOrigin)-1)+1)-INDEX(rw_Cum,(ROW()-ROW(rw_LoadOrigin)-1),(COLUMN()-COLUMN(rw_LoadOrigin)-1))),"")</f>
        <v/>
      </c>
      <c r="J43" s="72" t="str">
        <f aca="false">IFERROR(IF(INDEX(res_Name,(ROW()-ROW(rw_LoadOrigin)-1))="","",INDEX(rw_Cum,(ROW()-ROW(rw_LoadOrigin)-1),(COLUMN()-COLUMN(rw_LoadOrigin)-1)+1)-INDEX(rw_Cum,(ROW()-ROW(rw_LoadOrigin)-1),(COLUMN()-COLUMN(rw_LoadOrigin)-1))),"")</f>
        <v/>
      </c>
      <c r="K43" s="72" t="str">
        <f aca="false">IFERROR(IF(INDEX(res_Name,(ROW()-ROW(rw_LoadOrigin)-1))="","",INDEX(rw_Cum,(ROW()-ROW(rw_LoadOrigin)-1),(COLUMN()-COLUMN(rw_LoadOrigin)-1)+1)-INDEX(rw_Cum,(ROW()-ROW(rw_LoadOrigin)-1),(COLUMN()-COLUMN(rw_LoadOrigin)-1))),"")</f>
        <v/>
      </c>
      <c r="L43" s="72" t="str">
        <f aca="false">IFERROR(IF(INDEX(res_Name,(ROW()-ROW(rw_LoadOrigin)-1))="","",INDEX(rw_Cum,(ROW()-ROW(rw_LoadOrigin)-1),(COLUMN()-COLUMN(rw_LoadOrigin)-1)+1)-INDEX(rw_Cum,(ROW()-ROW(rw_LoadOrigin)-1),(COLUMN()-COLUMN(rw_LoadOrigin)-1))),"")</f>
        <v/>
      </c>
      <c r="M43" s="72" t="str">
        <f aca="false">IFERROR(IF(INDEX(res_Name,(ROW()-ROW(rw_LoadOrigin)-1))="","",INDEX(rw_Cum,(ROW()-ROW(rw_LoadOrigin)-1),(COLUMN()-COLUMN(rw_LoadOrigin)-1)+1)-INDEX(rw_Cum,(ROW()-ROW(rw_LoadOrigin)-1),(COLUMN()-COLUMN(rw_LoadOrigin)-1))),"")</f>
        <v/>
      </c>
      <c r="N43" s="72" t="str">
        <f aca="false">IFERROR(IF(INDEX(res_Name,(ROW()-ROW(rw_LoadOrigin)-1))="","",INDEX(rw_Cum,(ROW()-ROW(rw_LoadOrigin)-1),(COLUMN()-COLUMN(rw_LoadOrigin)-1)+1)-INDEX(rw_Cum,(ROW()-ROW(rw_LoadOrigin)-1),(COLUMN()-COLUMN(rw_LoadOrigin)-1))),"")</f>
        <v/>
      </c>
      <c r="O43" s="72" t="str">
        <f aca="false">IFERROR(IF(INDEX(res_Name,(ROW()-ROW(rw_LoadOrigin)-1))="","",INDEX(rw_Cum,(ROW()-ROW(rw_LoadOrigin)-1),(COLUMN()-COLUMN(rw_LoadOrigin)-1)+1)-INDEX(rw_Cum,(ROW()-ROW(rw_LoadOrigin)-1),(COLUMN()-COLUMN(rw_LoadOrigin)-1))),"")</f>
        <v/>
      </c>
      <c r="P43" s="72" t="str">
        <f aca="false">IFERROR(IF(INDEX(res_Name,(ROW()-ROW(rw_LoadOrigin)-1))="","",INDEX(rw_Cum,(ROW()-ROW(rw_LoadOrigin)-1),(COLUMN()-COLUMN(rw_LoadOrigin)-1)+1)-INDEX(rw_Cum,(ROW()-ROW(rw_LoadOrigin)-1),(COLUMN()-COLUMN(rw_LoadOrigin)-1))),"")</f>
        <v/>
      </c>
      <c r="Q43" s="72" t="str">
        <f aca="false">IFERROR(IF(INDEX(res_Name,(ROW()-ROW(rw_LoadOrigin)-1))="","",INDEX(rw_Cum,(ROW()-ROW(rw_LoadOrigin)-1),(COLUMN()-COLUMN(rw_LoadOrigin)-1)+1)-INDEX(rw_Cum,(ROW()-ROW(rw_LoadOrigin)-1),(COLUMN()-COLUMN(rw_LoadOrigin)-1))),"")</f>
        <v/>
      </c>
      <c r="R43" s="72" t="str">
        <f aca="false">IFERROR(IF(INDEX(res_Name,(ROW()-ROW(rw_LoadOrigin)-1))="","",INDEX(rw_Cum,(ROW()-ROW(rw_LoadOrigin)-1),(COLUMN()-COLUMN(rw_LoadOrigin)-1)+1)-INDEX(rw_Cum,(ROW()-ROW(rw_LoadOrigin)-1),(COLUMN()-COLUMN(rw_LoadOrigin)-1))),"")</f>
        <v/>
      </c>
      <c r="S43" s="72" t="str">
        <f aca="false">IFERROR(IF(INDEX(res_Name,(ROW()-ROW(rw_LoadOrigin)-1))="","",INDEX(rw_Cum,(ROW()-ROW(rw_LoadOrigin)-1),(COLUMN()-COLUMN(rw_LoadOrigin)-1)+1)-INDEX(rw_Cum,(ROW()-ROW(rw_LoadOrigin)-1),(COLUMN()-COLUMN(rw_LoadOrigin)-1))),"")</f>
        <v/>
      </c>
      <c r="T43" s="72" t="str">
        <f aca="false">IFERROR(IF(INDEX(res_Name,(ROW()-ROW(rw_LoadOrigin)-1))="","",INDEX(rw_Cum,(ROW()-ROW(rw_LoadOrigin)-1),(COLUMN()-COLUMN(rw_LoadOrigin)-1)+1)-INDEX(rw_Cum,(ROW()-ROW(rw_LoadOrigin)-1),(COLUMN()-COLUMN(rw_LoadOrigin)-1))),"")</f>
        <v/>
      </c>
      <c r="U43" s="72" t="str">
        <f aca="false">IFERROR(IF(INDEX(res_Name,(ROW()-ROW(rw_LoadOrigin)-1))="","",INDEX(rw_Cum,(ROW()-ROW(rw_LoadOrigin)-1),(COLUMN()-COLUMN(rw_LoadOrigin)-1)+1)-INDEX(rw_Cum,(ROW()-ROW(rw_LoadOrigin)-1),(COLUMN()-COLUMN(rw_LoadOrigin)-1))),"")</f>
        <v/>
      </c>
      <c r="V43" s="72" t="str">
        <f aca="false">IFERROR(IF(INDEX(res_Name,(ROW()-ROW(rw_LoadOrigin)-1))="","",INDEX(rw_Cum,(ROW()-ROW(rw_LoadOrigin)-1),(COLUMN()-COLUMN(rw_LoadOrigin)-1)+1)-INDEX(rw_Cum,(ROW()-ROW(rw_LoadOrigin)-1),(COLUMN()-COLUMN(rw_LoadOrigin)-1))),"")</f>
        <v/>
      </c>
      <c r="W43" s="72" t="str">
        <f aca="false">IFERROR(IF(INDEX(res_Name,(ROW()-ROW(rw_LoadOrigin)-1))="","",INDEX(rw_Cum,(ROW()-ROW(rw_LoadOrigin)-1),(COLUMN()-COLUMN(rw_LoadOrigin)-1)+1)-INDEX(rw_Cum,(ROW()-ROW(rw_LoadOrigin)-1),(COLUMN()-COLUMN(rw_LoadOrigin)-1))),"")</f>
        <v/>
      </c>
      <c r="X43" s="72" t="str">
        <f aca="false">IFERROR(IF(INDEX(res_Name,(ROW()-ROW(rw_LoadOrigin)-1))="","",INDEX(rw_Cum,(ROW()-ROW(rw_LoadOrigin)-1),(COLUMN()-COLUMN(rw_LoadOrigin)-1)+1)-INDEX(rw_Cum,(ROW()-ROW(rw_LoadOrigin)-1),(COLUMN()-COLUMN(rw_LoadOrigin)-1))),"")</f>
        <v/>
      </c>
      <c r="Y43" s="72" t="str">
        <f aca="false">IFERROR(IF(INDEX(res_Name,(ROW()-ROW(rw_LoadOrigin)-1))="","",INDEX(rw_Cum,(ROW()-ROW(rw_LoadOrigin)-1),(COLUMN()-COLUMN(rw_LoadOrigin)-1)+1)-INDEX(rw_Cum,(ROW()-ROW(rw_LoadOrigin)-1),(COLUMN()-COLUMN(rw_LoadOrigin)-1))),"")</f>
        <v/>
      </c>
      <c r="Z43" s="72" t="str">
        <f aca="false">IFERROR(IF(INDEX(res_Name,(ROW()-ROW(rw_LoadOrigin)-1))="","",INDEX(rw_Cum,(ROW()-ROW(rw_LoadOrigin)-1),(COLUMN()-COLUMN(rw_LoadOrigin)-1)+1)-INDEX(rw_Cum,(ROW()-ROW(rw_LoadOrigin)-1),(COLUMN()-COLUMN(rw_LoadOrigin)-1))),"")</f>
        <v/>
      </c>
      <c r="AA43" s="72" t="str">
        <f aca="false">IFERROR(IF(INDEX(res_Name,(ROW()-ROW(rw_LoadOrigin)-1))="","",INDEX(rw_Cum,(ROW()-ROW(rw_LoadOrigin)-1),(COLUMN()-COLUMN(rw_LoadOrigin)-1)+1)-INDEX(rw_Cum,(ROW()-ROW(rw_LoadOrigin)-1),(COLUMN()-COLUMN(rw_LoadOrigin)-1))),"")</f>
        <v/>
      </c>
      <c r="AB43" s="72" t="str">
        <f aca="false">IFERROR(IF(INDEX(res_Name,(ROW()-ROW(rw_LoadOrigin)-1))="","",INDEX(rw_Cum,(ROW()-ROW(rw_LoadOrigin)-1),(COLUMN()-COLUMN(rw_LoadOrigin)-1)+1)-INDEX(rw_Cum,(ROW()-ROW(rw_LoadOrigin)-1),(COLUMN()-COLUMN(rw_LoadOrigin)-1))),"")</f>
        <v/>
      </c>
      <c r="AC43" s="72" t="str">
        <f aca="false">IFERROR(IF(INDEX(res_Name,(ROW()-ROW(rw_LoadOrigin)-1))="","",INDEX(rw_Cum,(ROW()-ROW(rw_LoadOrigin)-1),(COLUMN()-COLUMN(rw_LoadOrigin)-1)+1)-INDEX(rw_Cum,(ROW()-ROW(rw_LoadOrigin)-1),(COLUMN()-COLUMN(rw_LoadOrigin)-1))),"")</f>
        <v/>
      </c>
    </row>
    <row r="44" customFormat="false" ht="15" hidden="false" customHeight="false" outlineLevel="0" collapsed="false">
      <c r="B44" s="48" t="str">
        <f aca="false">IFERROR(INDEX(res_Name,(ROW()-ROW(rw_LoadOrigin)-1))&amp;"","")</f>
        <v/>
      </c>
      <c r="C44" s="71" t="str">
        <f aca="false">IFERROR(IF(INDEX(res_Name,(ROW()-ROW(rw_LoadOrigin)-1))="","",INDEX(res_MaxUnits,(ROW()-ROW(rw_LoadOrigin)-1))),"")</f>
        <v/>
      </c>
      <c r="D44" s="72" t="str">
        <f aca="false">IFERROR(IF(INDEX(res_Name,(ROW()-ROW(rw_LoadOrigin)-1))="","",INDEX(rw_Cum,(ROW()-ROW(rw_LoadOrigin)-1),(COLUMN()-COLUMN(rw_LoadOrigin)-1)+1)-INDEX(rw_Cum,(ROW()-ROW(rw_LoadOrigin)-1),(COLUMN()-COLUMN(rw_LoadOrigin)-1))),"")</f>
        <v/>
      </c>
      <c r="E44" s="72" t="str">
        <f aca="false">IFERROR(IF(INDEX(res_Name,(ROW()-ROW(rw_LoadOrigin)-1))="","",INDEX(rw_Cum,(ROW()-ROW(rw_LoadOrigin)-1),(COLUMN()-COLUMN(rw_LoadOrigin)-1)+1)-INDEX(rw_Cum,(ROW()-ROW(rw_LoadOrigin)-1),(COLUMN()-COLUMN(rw_LoadOrigin)-1))),"")</f>
        <v/>
      </c>
      <c r="F44" s="72" t="str">
        <f aca="false">IFERROR(IF(INDEX(res_Name,(ROW()-ROW(rw_LoadOrigin)-1))="","",INDEX(rw_Cum,(ROW()-ROW(rw_LoadOrigin)-1),(COLUMN()-COLUMN(rw_LoadOrigin)-1)+1)-INDEX(rw_Cum,(ROW()-ROW(rw_LoadOrigin)-1),(COLUMN()-COLUMN(rw_LoadOrigin)-1))),"")</f>
        <v/>
      </c>
      <c r="G44" s="72" t="str">
        <f aca="false">IFERROR(IF(INDEX(res_Name,(ROW()-ROW(rw_LoadOrigin)-1))="","",INDEX(rw_Cum,(ROW()-ROW(rw_LoadOrigin)-1),(COLUMN()-COLUMN(rw_LoadOrigin)-1)+1)-INDEX(rw_Cum,(ROW()-ROW(rw_LoadOrigin)-1),(COLUMN()-COLUMN(rw_LoadOrigin)-1))),"")</f>
        <v/>
      </c>
      <c r="H44" s="72" t="str">
        <f aca="false">IFERROR(IF(INDEX(res_Name,(ROW()-ROW(rw_LoadOrigin)-1))="","",INDEX(rw_Cum,(ROW()-ROW(rw_LoadOrigin)-1),(COLUMN()-COLUMN(rw_LoadOrigin)-1)+1)-INDEX(rw_Cum,(ROW()-ROW(rw_LoadOrigin)-1),(COLUMN()-COLUMN(rw_LoadOrigin)-1))),"")</f>
        <v/>
      </c>
      <c r="I44" s="72" t="str">
        <f aca="false">IFERROR(IF(INDEX(res_Name,(ROW()-ROW(rw_LoadOrigin)-1))="","",INDEX(rw_Cum,(ROW()-ROW(rw_LoadOrigin)-1),(COLUMN()-COLUMN(rw_LoadOrigin)-1)+1)-INDEX(rw_Cum,(ROW()-ROW(rw_LoadOrigin)-1),(COLUMN()-COLUMN(rw_LoadOrigin)-1))),"")</f>
        <v/>
      </c>
      <c r="J44" s="72" t="str">
        <f aca="false">IFERROR(IF(INDEX(res_Name,(ROW()-ROW(rw_LoadOrigin)-1))="","",INDEX(rw_Cum,(ROW()-ROW(rw_LoadOrigin)-1),(COLUMN()-COLUMN(rw_LoadOrigin)-1)+1)-INDEX(rw_Cum,(ROW()-ROW(rw_LoadOrigin)-1),(COLUMN()-COLUMN(rw_LoadOrigin)-1))),"")</f>
        <v/>
      </c>
      <c r="K44" s="72" t="str">
        <f aca="false">IFERROR(IF(INDEX(res_Name,(ROW()-ROW(rw_LoadOrigin)-1))="","",INDEX(rw_Cum,(ROW()-ROW(rw_LoadOrigin)-1),(COLUMN()-COLUMN(rw_LoadOrigin)-1)+1)-INDEX(rw_Cum,(ROW()-ROW(rw_LoadOrigin)-1),(COLUMN()-COLUMN(rw_LoadOrigin)-1))),"")</f>
        <v/>
      </c>
      <c r="L44" s="72" t="str">
        <f aca="false">IFERROR(IF(INDEX(res_Name,(ROW()-ROW(rw_LoadOrigin)-1))="","",INDEX(rw_Cum,(ROW()-ROW(rw_LoadOrigin)-1),(COLUMN()-COLUMN(rw_LoadOrigin)-1)+1)-INDEX(rw_Cum,(ROW()-ROW(rw_LoadOrigin)-1),(COLUMN()-COLUMN(rw_LoadOrigin)-1))),"")</f>
        <v/>
      </c>
      <c r="M44" s="72" t="str">
        <f aca="false">IFERROR(IF(INDEX(res_Name,(ROW()-ROW(rw_LoadOrigin)-1))="","",INDEX(rw_Cum,(ROW()-ROW(rw_LoadOrigin)-1),(COLUMN()-COLUMN(rw_LoadOrigin)-1)+1)-INDEX(rw_Cum,(ROW()-ROW(rw_LoadOrigin)-1),(COLUMN()-COLUMN(rw_LoadOrigin)-1))),"")</f>
        <v/>
      </c>
      <c r="N44" s="72" t="str">
        <f aca="false">IFERROR(IF(INDEX(res_Name,(ROW()-ROW(rw_LoadOrigin)-1))="","",INDEX(rw_Cum,(ROW()-ROW(rw_LoadOrigin)-1),(COLUMN()-COLUMN(rw_LoadOrigin)-1)+1)-INDEX(rw_Cum,(ROW()-ROW(rw_LoadOrigin)-1),(COLUMN()-COLUMN(rw_LoadOrigin)-1))),"")</f>
        <v/>
      </c>
      <c r="O44" s="72" t="str">
        <f aca="false">IFERROR(IF(INDEX(res_Name,(ROW()-ROW(rw_LoadOrigin)-1))="","",INDEX(rw_Cum,(ROW()-ROW(rw_LoadOrigin)-1),(COLUMN()-COLUMN(rw_LoadOrigin)-1)+1)-INDEX(rw_Cum,(ROW()-ROW(rw_LoadOrigin)-1),(COLUMN()-COLUMN(rw_LoadOrigin)-1))),"")</f>
        <v/>
      </c>
      <c r="P44" s="72" t="str">
        <f aca="false">IFERROR(IF(INDEX(res_Name,(ROW()-ROW(rw_LoadOrigin)-1))="","",INDEX(rw_Cum,(ROW()-ROW(rw_LoadOrigin)-1),(COLUMN()-COLUMN(rw_LoadOrigin)-1)+1)-INDEX(rw_Cum,(ROW()-ROW(rw_LoadOrigin)-1),(COLUMN()-COLUMN(rw_LoadOrigin)-1))),"")</f>
        <v/>
      </c>
      <c r="Q44" s="72" t="str">
        <f aca="false">IFERROR(IF(INDEX(res_Name,(ROW()-ROW(rw_LoadOrigin)-1))="","",INDEX(rw_Cum,(ROW()-ROW(rw_LoadOrigin)-1),(COLUMN()-COLUMN(rw_LoadOrigin)-1)+1)-INDEX(rw_Cum,(ROW()-ROW(rw_LoadOrigin)-1),(COLUMN()-COLUMN(rw_LoadOrigin)-1))),"")</f>
        <v/>
      </c>
      <c r="R44" s="72" t="str">
        <f aca="false">IFERROR(IF(INDEX(res_Name,(ROW()-ROW(rw_LoadOrigin)-1))="","",INDEX(rw_Cum,(ROW()-ROW(rw_LoadOrigin)-1),(COLUMN()-COLUMN(rw_LoadOrigin)-1)+1)-INDEX(rw_Cum,(ROW()-ROW(rw_LoadOrigin)-1),(COLUMN()-COLUMN(rw_LoadOrigin)-1))),"")</f>
        <v/>
      </c>
      <c r="S44" s="72" t="str">
        <f aca="false">IFERROR(IF(INDEX(res_Name,(ROW()-ROW(rw_LoadOrigin)-1))="","",INDEX(rw_Cum,(ROW()-ROW(rw_LoadOrigin)-1),(COLUMN()-COLUMN(rw_LoadOrigin)-1)+1)-INDEX(rw_Cum,(ROW()-ROW(rw_LoadOrigin)-1),(COLUMN()-COLUMN(rw_LoadOrigin)-1))),"")</f>
        <v/>
      </c>
      <c r="T44" s="72" t="str">
        <f aca="false">IFERROR(IF(INDEX(res_Name,(ROW()-ROW(rw_LoadOrigin)-1))="","",INDEX(rw_Cum,(ROW()-ROW(rw_LoadOrigin)-1),(COLUMN()-COLUMN(rw_LoadOrigin)-1)+1)-INDEX(rw_Cum,(ROW()-ROW(rw_LoadOrigin)-1),(COLUMN()-COLUMN(rw_LoadOrigin)-1))),"")</f>
        <v/>
      </c>
      <c r="U44" s="72" t="str">
        <f aca="false">IFERROR(IF(INDEX(res_Name,(ROW()-ROW(rw_LoadOrigin)-1))="","",INDEX(rw_Cum,(ROW()-ROW(rw_LoadOrigin)-1),(COLUMN()-COLUMN(rw_LoadOrigin)-1)+1)-INDEX(rw_Cum,(ROW()-ROW(rw_LoadOrigin)-1),(COLUMN()-COLUMN(rw_LoadOrigin)-1))),"")</f>
        <v/>
      </c>
      <c r="V44" s="72" t="str">
        <f aca="false">IFERROR(IF(INDEX(res_Name,(ROW()-ROW(rw_LoadOrigin)-1))="","",INDEX(rw_Cum,(ROW()-ROW(rw_LoadOrigin)-1),(COLUMN()-COLUMN(rw_LoadOrigin)-1)+1)-INDEX(rw_Cum,(ROW()-ROW(rw_LoadOrigin)-1),(COLUMN()-COLUMN(rw_LoadOrigin)-1))),"")</f>
        <v/>
      </c>
      <c r="W44" s="72" t="str">
        <f aca="false">IFERROR(IF(INDEX(res_Name,(ROW()-ROW(rw_LoadOrigin)-1))="","",INDEX(rw_Cum,(ROW()-ROW(rw_LoadOrigin)-1),(COLUMN()-COLUMN(rw_LoadOrigin)-1)+1)-INDEX(rw_Cum,(ROW()-ROW(rw_LoadOrigin)-1),(COLUMN()-COLUMN(rw_LoadOrigin)-1))),"")</f>
        <v/>
      </c>
      <c r="X44" s="72" t="str">
        <f aca="false">IFERROR(IF(INDEX(res_Name,(ROW()-ROW(rw_LoadOrigin)-1))="","",INDEX(rw_Cum,(ROW()-ROW(rw_LoadOrigin)-1),(COLUMN()-COLUMN(rw_LoadOrigin)-1)+1)-INDEX(rw_Cum,(ROW()-ROW(rw_LoadOrigin)-1),(COLUMN()-COLUMN(rw_LoadOrigin)-1))),"")</f>
        <v/>
      </c>
      <c r="Y44" s="72" t="str">
        <f aca="false">IFERROR(IF(INDEX(res_Name,(ROW()-ROW(rw_LoadOrigin)-1))="","",INDEX(rw_Cum,(ROW()-ROW(rw_LoadOrigin)-1),(COLUMN()-COLUMN(rw_LoadOrigin)-1)+1)-INDEX(rw_Cum,(ROW()-ROW(rw_LoadOrigin)-1),(COLUMN()-COLUMN(rw_LoadOrigin)-1))),"")</f>
        <v/>
      </c>
      <c r="Z44" s="72" t="str">
        <f aca="false">IFERROR(IF(INDEX(res_Name,(ROW()-ROW(rw_LoadOrigin)-1))="","",INDEX(rw_Cum,(ROW()-ROW(rw_LoadOrigin)-1),(COLUMN()-COLUMN(rw_LoadOrigin)-1)+1)-INDEX(rw_Cum,(ROW()-ROW(rw_LoadOrigin)-1),(COLUMN()-COLUMN(rw_LoadOrigin)-1))),"")</f>
        <v/>
      </c>
      <c r="AA44" s="72" t="str">
        <f aca="false">IFERROR(IF(INDEX(res_Name,(ROW()-ROW(rw_LoadOrigin)-1))="","",INDEX(rw_Cum,(ROW()-ROW(rw_LoadOrigin)-1),(COLUMN()-COLUMN(rw_LoadOrigin)-1)+1)-INDEX(rw_Cum,(ROW()-ROW(rw_LoadOrigin)-1),(COLUMN()-COLUMN(rw_LoadOrigin)-1))),"")</f>
        <v/>
      </c>
      <c r="AB44" s="72" t="str">
        <f aca="false">IFERROR(IF(INDEX(res_Name,(ROW()-ROW(rw_LoadOrigin)-1))="","",INDEX(rw_Cum,(ROW()-ROW(rw_LoadOrigin)-1),(COLUMN()-COLUMN(rw_LoadOrigin)-1)+1)-INDEX(rw_Cum,(ROW()-ROW(rw_LoadOrigin)-1),(COLUMN()-COLUMN(rw_LoadOrigin)-1))),"")</f>
        <v/>
      </c>
      <c r="AC44" s="72" t="str">
        <f aca="false">IFERROR(IF(INDEX(res_Name,(ROW()-ROW(rw_LoadOrigin)-1))="","",INDEX(rw_Cum,(ROW()-ROW(rw_LoadOrigin)-1),(COLUMN()-COLUMN(rw_LoadOrigin)-1)+1)-INDEX(rw_Cum,(ROW()-ROW(rw_LoadOrigin)-1),(COLUMN()-COLUMN(rw_LoadOrigin)-1))),"")</f>
        <v/>
      </c>
    </row>
    <row r="45" customFormat="false" ht="15" hidden="false" customHeight="false" outlineLevel="0" collapsed="false">
      <c r="B45" s="48" t="str">
        <f aca="false">IFERROR(INDEX(res_Name,(ROW()-ROW(rw_LoadOrigin)-1))&amp;"","")</f>
        <v/>
      </c>
      <c r="C45" s="71" t="str">
        <f aca="false">IFERROR(IF(INDEX(res_Name,(ROW()-ROW(rw_LoadOrigin)-1))="","",INDEX(res_MaxUnits,(ROW()-ROW(rw_LoadOrigin)-1))),"")</f>
        <v/>
      </c>
      <c r="D45" s="72" t="str">
        <f aca="false">IFERROR(IF(INDEX(res_Name,(ROW()-ROW(rw_LoadOrigin)-1))="","",INDEX(rw_Cum,(ROW()-ROW(rw_LoadOrigin)-1),(COLUMN()-COLUMN(rw_LoadOrigin)-1)+1)-INDEX(rw_Cum,(ROW()-ROW(rw_LoadOrigin)-1),(COLUMN()-COLUMN(rw_LoadOrigin)-1))),"")</f>
        <v/>
      </c>
      <c r="E45" s="72" t="str">
        <f aca="false">IFERROR(IF(INDEX(res_Name,(ROW()-ROW(rw_LoadOrigin)-1))="","",INDEX(rw_Cum,(ROW()-ROW(rw_LoadOrigin)-1),(COLUMN()-COLUMN(rw_LoadOrigin)-1)+1)-INDEX(rw_Cum,(ROW()-ROW(rw_LoadOrigin)-1),(COLUMN()-COLUMN(rw_LoadOrigin)-1))),"")</f>
        <v/>
      </c>
      <c r="F45" s="72" t="str">
        <f aca="false">IFERROR(IF(INDEX(res_Name,(ROW()-ROW(rw_LoadOrigin)-1))="","",INDEX(rw_Cum,(ROW()-ROW(rw_LoadOrigin)-1),(COLUMN()-COLUMN(rw_LoadOrigin)-1)+1)-INDEX(rw_Cum,(ROW()-ROW(rw_LoadOrigin)-1),(COLUMN()-COLUMN(rw_LoadOrigin)-1))),"")</f>
        <v/>
      </c>
      <c r="G45" s="72" t="str">
        <f aca="false">IFERROR(IF(INDEX(res_Name,(ROW()-ROW(rw_LoadOrigin)-1))="","",INDEX(rw_Cum,(ROW()-ROW(rw_LoadOrigin)-1),(COLUMN()-COLUMN(rw_LoadOrigin)-1)+1)-INDEX(rw_Cum,(ROW()-ROW(rw_LoadOrigin)-1),(COLUMN()-COLUMN(rw_LoadOrigin)-1))),"")</f>
        <v/>
      </c>
      <c r="H45" s="72" t="str">
        <f aca="false">IFERROR(IF(INDEX(res_Name,(ROW()-ROW(rw_LoadOrigin)-1))="","",INDEX(rw_Cum,(ROW()-ROW(rw_LoadOrigin)-1),(COLUMN()-COLUMN(rw_LoadOrigin)-1)+1)-INDEX(rw_Cum,(ROW()-ROW(rw_LoadOrigin)-1),(COLUMN()-COLUMN(rw_LoadOrigin)-1))),"")</f>
        <v/>
      </c>
      <c r="I45" s="72" t="str">
        <f aca="false">IFERROR(IF(INDEX(res_Name,(ROW()-ROW(rw_LoadOrigin)-1))="","",INDEX(rw_Cum,(ROW()-ROW(rw_LoadOrigin)-1),(COLUMN()-COLUMN(rw_LoadOrigin)-1)+1)-INDEX(rw_Cum,(ROW()-ROW(rw_LoadOrigin)-1),(COLUMN()-COLUMN(rw_LoadOrigin)-1))),"")</f>
        <v/>
      </c>
      <c r="J45" s="72" t="str">
        <f aca="false">IFERROR(IF(INDEX(res_Name,(ROW()-ROW(rw_LoadOrigin)-1))="","",INDEX(rw_Cum,(ROW()-ROW(rw_LoadOrigin)-1),(COLUMN()-COLUMN(rw_LoadOrigin)-1)+1)-INDEX(rw_Cum,(ROW()-ROW(rw_LoadOrigin)-1),(COLUMN()-COLUMN(rw_LoadOrigin)-1))),"")</f>
        <v/>
      </c>
      <c r="K45" s="72" t="str">
        <f aca="false">IFERROR(IF(INDEX(res_Name,(ROW()-ROW(rw_LoadOrigin)-1))="","",INDEX(rw_Cum,(ROW()-ROW(rw_LoadOrigin)-1),(COLUMN()-COLUMN(rw_LoadOrigin)-1)+1)-INDEX(rw_Cum,(ROW()-ROW(rw_LoadOrigin)-1),(COLUMN()-COLUMN(rw_LoadOrigin)-1))),"")</f>
        <v/>
      </c>
      <c r="L45" s="72" t="str">
        <f aca="false">IFERROR(IF(INDEX(res_Name,(ROW()-ROW(rw_LoadOrigin)-1))="","",INDEX(rw_Cum,(ROW()-ROW(rw_LoadOrigin)-1),(COLUMN()-COLUMN(rw_LoadOrigin)-1)+1)-INDEX(rw_Cum,(ROW()-ROW(rw_LoadOrigin)-1),(COLUMN()-COLUMN(rw_LoadOrigin)-1))),"")</f>
        <v/>
      </c>
      <c r="M45" s="72" t="str">
        <f aca="false">IFERROR(IF(INDEX(res_Name,(ROW()-ROW(rw_LoadOrigin)-1))="","",INDEX(rw_Cum,(ROW()-ROW(rw_LoadOrigin)-1),(COLUMN()-COLUMN(rw_LoadOrigin)-1)+1)-INDEX(rw_Cum,(ROW()-ROW(rw_LoadOrigin)-1),(COLUMN()-COLUMN(rw_LoadOrigin)-1))),"")</f>
        <v/>
      </c>
      <c r="N45" s="72" t="str">
        <f aca="false">IFERROR(IF(INDEX(res_Name,(ROW()-ROW(rw_LoadOrigin)-1))="","",INDEX(rw_Cum,(ROW()-ROW(rw_LoadOrigin)-1),(COLUMN()-COLUMN(rw_LoadOrigin)-1)+1)-INDEX(rw_Cum,(ROW()-ROW(rw_LoadOrigin)-1),(COLUMN()-COLUMN(rw_LoadOrigin)-1))),"")</f>
        <v/>
      </c>
      <c r="O45" s="72" t="str">
        <f aca="false">IFERROR(IF(INDEX(res_Name,(ROW()-ROW(rw_LoadOrigin)-1))="","",INDEX(rw_Cum,(ROW()-ROW(rw_LoadOrigin)-1),(COLUMN()-COLUMN(rw_LoadOrigin)-1)+1)-INDEX(rw_Cum,(ROW()-ROW(rw_LoadOrigin)-1),(COLUMN()-COLUMN(rw_LoadOrigin)-1))),"")</f>
        <v/>
      </c>
      <c r="P45" s="72" t="str">
        <f aca="false">IFERROR(IF(INDEX(res_Name,(ROW()-ROW(rw_LoadOrigin)-1))="","",INDEX(rw_Cum,(ROW()-ROW(rw_LoadOrigin)-1),(COLUMN()-COLUMN(rw_LoadOrigin)-1)+1)-INDEX(rw_Cum,(ROW()-ROW(rw_LoadOrigin)-1),(COLUMN()-COLUMN(rw_LoadOrigin)-1))),"")</f>
        <v/>
      </c>
      <c r="Q45" s="72" t="str">
        <f aca="false">IFERROR(IF(INDEX(res_Name,(ROW()-ROW(rw_LoadOrigin)-1))="","",INDEX(rw_Cum,(ROW()-ROW(rw_LoadOrigin)-1),(COLUMN()-COLUMN(rw_LoadOrigin)-1)+1)-INDEX(rw_Cum,(ROW()-ROW(rw_LoadOrigin)-1),(COLUMN()-COLUMN(rw_LoadOrigin)-1))),"")</f>
        <v/>
      </c>
      <c r="R45" s="72" t="str">
        <f aca="false">IFERROR(IF(INDEX(res_Name,(ROW()-ROW(rw_LoadOrigin)-1))="","",INDEX(rw_Cum,(ROW()-ROW(rw_LoadOrigin)-1),(COLUMN()-COLUMN(rw_LoadOrigin)-1)+1)-INDEX(rw_Cum,(ROW()-ROW(rw_LoadOrigin)-1),(COLUMN()-COLUMN(rw_LoadOrigin)-1))),"")</f>
        <v/>
      </c>
      <c r="S45" s="72" t="str">
        <f aca="false">IFERROR(IF(INDEX(res_Name,(ROW()-ROW(rw_LoadOrigin)-1))="","",INDEX(rw_Cum,(ROW()-ROW(rw_LoadOrigin)-1),(COLUMN()-COLUMN(rw_LoadOrigin)-1)+1)-INDEX(rw_Cum,(ROW()-ROW(rw_LoadOrigin)-1),(COLUMN()-COLUMN(rw_LoadOrigin)-1))),"")</f>
        <v/>
      </c>
      <c r="T45" s="72" t="str">
        <f aca="false">IFERROR(IF(INDEX(res_Name,(ROW()-ROW(rw_LoadOrigin)-1))="","",INDEX(rw_Cum,(ROW()-ROW(rw_LoadOrigin)-1),(COLUMN()-COLUMN(rw_LoadOrigin)-1)+1)-INDEX(rw_Cum,(ROW()-ROW(rw_LoadOrigin)-1),(COLUMN()-COLUMN(rw_LoadOrigin)-1))),"")</f>
        <v/>
      </c>
      <c r="U45" s="72" t="str">
        <f aca="false">IFERROR(IF(INDEX(res_Name,(ROW()-ROW(rw_LoadOrigin)-1))="","",INDEX(rw_Cum,(ROW()-ROW(rw_LoadOrigin)-1),(COLUMN()-COLUMN(rw_LoadOrigin)-1)+1)-INDEX(rw_Cum,(ROW()-ROW(rw_LoadOrigin)-1),(COLUMN()-COLUMN(rw_LoadOrigin)-1))),"")</f>
        <v/>
      </c>
      <c r="V45" s="72" t="str">
        <f aca="false">IFERROR(IF(INDEX(res_Name,(ROW()-ROW(rw_LoadOrigin)-1))="","",INDEX(rw_Cum,(ROW()-ROW(rw_LoadOrigin)-1),(COLUMN()-COLUMN(rw_LoadOrigin)-1)+1)-INDEX(rw_Cum,(ROW()-ROW(rw_LoadOrigin)-1),(COLUMN()-COLUMN(rw_LoadOrigin)-1))),"")</f>
        <v/>
      </c>
      <c r="W45" s="72" t="str">
        <f aca="false">IFERROR(IF(INDEX(res_Name,(ROW()-ROW(rw_LoadOrigin)-1))="","",INDEX(rw_Cum,(ROW()-ROW(rw_LoadOrigin)-1),(COLUMN()-COLUMN(rw_LoadOrigin)-1)+1)-INDEX(rw_Cum,(ROW()-ROW(rw_LoadOrigin)-1),(COLUMN()-COLUMN(rw_LoadOrigin)-1))),"")</f>
        <v/>
      </c>
      <c r="X45" s="72" t="str">
        <f aca="false">IFERROR(IF(INDEX(res_Name,(ROW()-ROW(rw_LoadOrigin)-1))="","",INDEX(rw_Cum,(ROW()-ROW(rw_LoadOrigin)-1),(COLUMN()-COLUMN(rw_LoadOrigin)-1)+1)-INDEX(rw_Cum,(ROW()-ROW(rw_LoadOrigin)-1),(COLUMN()-COLUMN(rw_LoadOrigin)-1))),"")</f>
        <v/>
      </c>
      <c r="Y45" s="72" t="str">
        <f aca="false">IFERROR(IF(INDEX(res_Name,(ROW()-ROW(rw_LoadOrigin)-1))="","",INDEX(rw_Cum,(ROW()-ROW(rw_LoadOrigin)-1),(COLUMN()-COLUMN(rw_LoadOrigin)-1)+1)-INDEX(rw_Cum,(ROW()-ROW(rw_LoadOrigin)-1),(COLUMN()-COLUMN(rw_LoadOrigin)-1))),"")</f>
        <v/>
      </c>
      <c r="Z45" s="72" t="str">
        <f aca="false">IFERROR(IF(INDEX(res_Name,(ROW()-ROW(rw_LoadOrigin)-1))="","",INDEX(rw_Cum,(ROW()-ROW(rw_LoadOrigin)-1),(COLUMN()-COLUMN(rw_LoadOrigin)-1)+1)-INDEX(rw_Cum,(ROW()-ROW(rw_LoadOrigin)-1),(COLUMN()-COLUMN(rw_LoadOrigin)-1))),"")</f>
        <v/>
      </c>
      <c r="AA45" s="72" t="str">
        <f aca="false">IFERROR(IF(INDEX(res_Name,(ROW()-ROW(rw_LoadOrigin)-1))="","",INDEX(rw_Cum,(ROW()-ROW(rw_LoadOrigin)-1),(COLUMN()-COLUMN(rw_LoadOrigin)-1)+1)-INDEX(rw_Cum,(ROW()-ROW(rw_LoadOrigin)-1),(COLUMN()-COLUMN(rw_LoadOrigin)-1))),"")</f>
        <v/>
      </c>
      <c r="AB45" s="72" t="str">
        <f aca="false">IFERROR(IF(INDEX(res_Name,(ROW()-ROW(rw_LoadOrigin)-1))="","",INDEX(rw_Cum,(ROW()-ROW(rw_LoadOrigin)-1),(COLUMN()-COLUMN(rw_LoadOrigin)-1)+1)-INDEX(rw_Cum,(ROW()-ROW(rw_LoadOrigin)-1),(COLUMN()-COLUMN(rw_LoadOrigin)-1))),"")</f>
        <v/>
      </c>
      <c r="AC45" s="72" t="str">
        <f aca="false">IFERROR(IF(INDEX(res_Name,(ROW()-ROW(rw_LoadOrigin)-1))="","",INDEX(rw_Cum,(ROW()-ROW(rw_LoadOrigin)-1),(COLUMN()-COLUMN(rw_LoadOrigin)-1)+1)-INDEX(rw_Cum,(ROW()-ROW(rw_LoadOrigin)-1),(COLUMN()-COLUMN(rw_LoadOrigin)-1))),"")</f>
        <v/>
      </c>
    </row>
    <row r="46" customFormat="false" ht="15" hidden="false" customHeight="false" outlineLevel="0" collapsed="false">
      <c r="B46" s="48" t="str">
        <f aca="false">IFERROR(INDEX(res_Name,(ROW()-ROW(rw_LoadOrigin)-1))&amp;"","")</f>
        <v/>
      </c>
      <c r="C46" s="71" t="str">
        <f aca="false">IFERROR(IF(INDEX(res_Name,(ROW()-ROW(rw_LoadOrigin)-1))="","",INDEX(res_MaxUnits,(ROW()-ROW(rw_LoadOrigin)-1))),"")</f>
        <v/>
      </c>
      <c r="D46" s="72" t="str">
        <f aca="false">IFERROR(IF(INDEX(res_Name,(ROW()-ROW(rw_LoadOrigin)-1))="","",INDEX(rw_Cum,(ROW()-ROW(rw_LoadOrigin)-1),(COLUMN()-COLUMN(rw_LoadOrigin)-1)+1)-INDEX(rw_Cum,(ROW()-ROW(rw_LoadOrigin)-1),(COLUMN()-COLUMN(rw_LoadOrigin)-1))),"")</f>
        <v/>
      </c>
      <c r="E46" s="72" t="str">
        <f aca="false">IFERROR(IF(INDEX(res_Name,(ROW()-ROW(rw_LoadOrigin)-1))="","",INDEX(rw_Cum,(ROW()-ROW(rw_LoadOrigin)-1),(COLUMN()-COLUMN(rw_LoadOrigin)-1)+1)-INDEX(rw_Cum,(ROW()-ROW(rw_LoadOrigin)-1),(COLUMN()-COLUMN(rw_LoadOrigin)-1))),"")</f>
        <v/>
      </c>
      <c r="F46" s="72" t="str">
        <f aca="false">IFERROR(IF(INDEX(res_Name,(ROW()-ROW(rw_LoadOrigin)-1))="","",INDEX(rw_Cum,(ROW()-ROW(rw_LoadOrigin)-1),(COLUMN()-COLUMN(rw_LoadOrigin)-1)+1)-INDEX(rw_Cum,(ROW()-ROW(rw_LoadOrigin)-1),(COLUMN()-COLUMN(rw_LoadOrigin)-1))),"")</f>
        <v/>
      </c>
      <c r="G46" s="72" t="str">
        <f aca="false">IFERROR(IF(INDEX(res_Name,(ROW()-ROW(rw_LoadOrigin)-1))="","",INDEX(rw_Cum,(ROW()-ROW(rw_LoadOrigin)-1),(COLUMN()-COLUMN(rw_LoadOrigin)-1)+1)-INDEX(rw_Cum,(ROW()-ROW(rw_LoadOrigin)-1),(COLUMN()-COLUMN(rw_LoadOrigin)-1))),"")</f>
        <v/>
      </c>
      <c r="H46" s="72" t="str">
        <f aca="false">IFERROR(IF(INDEX(res_Name,(ROW()-ROW(rw_LoadOrigin)-1))="","",INDEX(rw_Cum,(ROW()-ROW(rw_LoadOrigin)-1),(COLUMN()-COLUMN(rw_LoadOrigin)-1)+1)-INDEX(rw_Cum,(ROW()-ROW(rw_LoadOrigin)-1),(COLUMN()-COLUMN(rw_LoadOrigin)-1))),"")</f>
        <v/>
      </c>
      <c r="I46" s="72" t="str">
        <f aca="false">IFERROR(IF(INDEX(res_Name,(ROW()-ROW(rw_LoadOrigin)-1))="","",INDEX(rw_Cum,(ROW()-ROW(rw_LoadOrigin)-1),(COLUMN()-COLUMN(rw_LoadOrigin)-1)+1)-INDEX(rw_Cum,(ROW()-ROW(rw_LoadOrigin)-1),(COLUMN()-COLUMN(rw_LoadOrigin)-1))),"")</f>
        <v/>
      </c>
      <c r="J46" s="72" t="str">
        <f aca="false">IFERROR(IF(INDEX(res_Name,(ROW()-ROW(rw_LoadOrigin)-1))="","",INDEX(rw_Cum,(ROW()-ROW(rw_LoadOrigin)-1),(COLUMN()-COLUMN(rw_LoadOrigin)-1)+1)-INDEX(rw_Cum,(ROW()-ROW(rw_LoadOrigin)-1),(COLUMN()-COLUMN(rw_LoadOrigin)-1))),"")</f>
        <v/>
      </c>
      <c r="K46" s="72" t="str">
        <f aca="false">IFERROR(IF(INDEX(res_Name,(ROW()-ROW(rw_LoadOrigin)-1))="","",INDEX(rw_Cum,(ROW()-ROW(rw_LoadOrigin)-1),(COLUMN()-COLUMN(rw_LoadOrigin)-1)+1)-INDEX(rw_Cum,(ROW()-ROW(rw_LoadOrigin)-1),(COLUMN()-COLUMN(rw_LoadOrigin)-1))),"")</f>
        <v/>
      </c>
      <c r="L46" s="72" t="str">
        <f aca="false">IFERROR(IF(INDEX(res_Name,(ROW()-ROW(rw_LoadOrigin)-1))="","",INDEX(rw_Cum,(ROW()-ROW(rw_LoadOrigin)-1),(COLUMN()-COLUMN(rw_LoadOrigin)-1)+1)-INDEX(rw_Cum,(ROW()-ROW(rw_LoadOrigin)-1),(COLUMN()-COLUMN(rw_LoadOrigin)-1))),"")</f>
        <v/>
      </c>
      <c r="M46" s="72" t="str">
        <f aca="false">IFERROR(IF(INDEX(res_Name,(ROW()-ROW(rw_LoadOrigin)-1))="","",INDEX(rw_Cum,(ROW()-ROW(rw_LoadOrigin)-1),(COLUMN()-COLUMN(rw_LoadOrigin)-1)+1)-INDEX(rw_Cum,(ROW()-ROW(rw_LoadOrigin)-1),(COLUMN()-COLUMN(rw_LoadOrigin)-1))),"")</f>
        <v/>
      </c>
      <c r="N46" s="72" t="str">
        <f aca="false">IFERROR(IF(INDEX(res_Name,(ROW()-ROW(rw_LoadOrigin)-1))="","",INDEX(rw_Cum,(ROW()-ROW(rw_LoadOrigin)-1),(COLUMN()-COLUMN(rw_LoadOrigin)-1)+1)-INDEX(rw_Cum,(ROW()-ROW(rw_LoadOrigin)-1),(COLUMN()-COLUMN(rw_LoadOrigin)-1))),"")</f>
        <v/>
      </c>
      <c r="O46" s="72" t="str">
        <f aca="false">IFERROR(IF(INDEX(res_Name,(ROW()-ROW(rw_LoadOrigin)-1))="","",INDEX(rw_Cum,(ROW()-ROW(rw_LoadOrigin)-1),(COLUMN()-COLUMN(rw_LoadOrigin)-1)+1)-INDEX(rw_Cum,(ROW()-ROW(rw_LoadOrigin)-1),(COLUMN()-COLUMN(rw_LoadOrigin)-1))),"")</f>
        <v/>
      </c>
      <c r="P46" s="72" t="str">
        <f aca="false">IFERROR(IF(INDEX(res_Name,(ROW()-ROW(rw_LoadOrigin)-1))="","",INDEX(rw_Cum,(ROW()-ROW(rw_LoadOrigin)-1),(COLUMN()-COLUMN(rw_LoadOrigin)-1)+1)-INDEX(rw_Cum,(ROW()-ROW(rw_LoadOrigin)-1),(COLUMN()-COLUMN(rw_LoadOrigin)-1))),"")</f>
        <v/>
      </c>
      <c r="Q46" s="72" t="str">
        <f aca="false">IFERROR(IF(INDEX(res_Name,(ROW()-ROW(rw_LoadOrigin)-1))="","",INDEX(rw_Cum,(ROW()-ROW(rw_LoadOrigin)-1),(COLUMN()-COLUMN(rw_LoadOrigin)-1)+1)-INDEX(rw_Cum,(ROW()-ROW(rw_LoadOrigin)-1),(COLUMN()-COLUMN(rw_LoadOrigin)-1))),"")</f>
        <v/>
      </c>
      <c r="R46" s="72" t="str">
        <f aca="false">IFERROR(IF(INDEX(res_Name,(ROW()-ROW(rw_LoadOrigin)-1))="","",INDEX(rw_Cum,(ROW()-ROW(rw_LoadOrigin)-1),(COLUMN()-COLUMN(rw_LoadOrigin)-1)+1)-INDEX(rw_Cum,(ROW()-ROW(rw_LoadOrigin)-1),(COLUMN()-COLUMN(rw_LoadOrigin)-1))),"")</f>
        <v/>
      </c>
      <c r="S46" s="72" t="str">
        <f aca="false">IFERROR(IF(INDEX(res_Name,(ROW()-ROW(rw_LoadOrigin)-1))="","",INDEX(rw_Cum,(ROW()-ROW(rw_LoadOrigin)-1),(COLUMN()-COLUMN(rw_LoadOrigin)-1)+1)-INDEX(rw_Cum,(ROW()-ROW(rw_LoadOrigin)-1),(COLUMN()-COLUMN(rw_LoadOrigin)-1))),"")</f>
        <v/>
      </c>
      <c r="T46" s="72" t="str">
        <f aca="false">IFERROR(IF(INDEX(res_Name,(ROW()-ROW(rw_LoadOrigin)-1))="","",INDEX(rw_Cum,(ROW()-ROW(rw_LoadOrigin)-1),(COLUMN()-COLUMN(rw_LoadOrigin)-1)+1)-INDEX(rw_Cum,(ROW()-ROW(rw_LoadOrigin)-1),(COLUMN()-COLUMN(rw_LoadOrigin)-1))),"")</f>
        <v/>
      </c>
      <c r="U46" s="72" t="str">
        <f aca="false">IFERROR(IF(INDEX(res_Name,(ROW()-ROW(rw_LoadOrigin)-1))="","",INDEX(rw_Cum,(ROW()-ROW(rw_LoadOrigin)-1),(COLUMN()-COLUMN(rw_LoadOrigin)-1)+1)-INDEX(rw_Cum,(ROW()-ROW(rw_LoadOrigin)-1),(COLUMN()-COLUMN(rw_LoadOrigin)-1))),"")</f>
        <v/>
      </c>
      <c r="V46" s="72" t="str">
        <f aca="false">IFERROR(IF(INDEX(res_Name,(ROW()-ROW(rw_LoadOrigin)-1))="","",INDEX(rw_Cum,(ROW()-ROW(rw_LoadOrigin)-1),(COLUMN()-COLUMN(rw_LoadOrigin)-1)+1)-INDEX(rw_Cum,(ROW()-ROW(rw_LoadOrigin)-1),(COLUMN()-COLUMN(rw_LoadOrigin)-1))),"")</f>
        <v/>
      </c>
      <c r="W46" s="72" t="str">
        <f aca="false">IFERROR(IF(INDEX(res_Name,(ROW()-ROW(rw_LoadOrigin)-1))="","",INDEX(rw_Cum,(ROW()-ROW(rw_LoadOrigin)-1),(COLUMN()-COLUMN(rw_LoadOrigin)-1)+1)-INDEX(rw_Cum,(ROW()-ROW(rw_LoadOrigin)-1),(COLUMN()-COLUMN(rw_LoadOrigin)-1))),"")</f>
        <v/>
      </c>
      <c r="X46" s="72" t="str">
        <f aca="false">IFERROR(IF(INDEX(res_Name,(ROW()-ROW(rw_LoadOrigin)-1))="","",INDEX(rw_Cum,(ROW()-ROW(rw_LoadOrigin)-1),(COLUMN()-COLUMN(rw_LoadOrigin)-1)+1)-INDEX(rw_Cum,(ROW()-ROW(rw_LoadOrigin)-1),(COLUMN()-COLUMN(rw_LoadOrigin)-1))),"")</f>
        <v/>
      </c>
      <c r="Y46" s="72" t="str">
        <f aca="false">IFERROR(IF(INDEX(res_Name,(ROW()-ROW(rw_LoadOrigin)-1))="","",INDEX(rw_Cum,(ROW()-ROW(rw_LoadOrigin)-1),(COLUMN()-COLUMN(rw_LoadOrigin)-1)+1)-INDEX(rw_Cum,(ROW()-ROW(rw_LoadOrigin)-1),(COLUMN()-COLUMN(rw_LoadOrigin)-1))),"")</f>
        <v/>
      </c>
      <c r="Z46" s="72" t="str">
        <f aca="false">IFERROR(IF(INDEX(res_Name,(ROW()-ROW(rw_LoadOrigin)-1))="","",INDEX(rw_Cum,(ROW()-ROW(rw_LoadOrigin)-1),(COLUMN()-COLUMN(rw_LoadOrigin)-1)+1)-INDEX(rw_Cum,(ROW()-ROW(rw_LoadOrigin)-1),(COLUMN()-COLUMN(rw_LoadOrigin)-1))),"")</f>
        <v/>
      </c>
      <c r="AA46" s="72" t="str">
        <f aca="false">IFERROR(IF(INDEX(res_Name,(ROW()-ROW(rw_LoadOrigin)-1))="","",INDEX(rw_Cum,(ROW()-ROW(rw_LoadOrigin)-1),(COLUMN()-COLUMN(rw_LoadOrigin)-1)+1)-INDEX(rw_Cum,(ROW()-ROW(rw_LoadOrigin)-1),(COLUMN()-COLUMN(rw_LoadOrigin)-1))),"")</f>
        <v/>
      </c>
      <c r="AB46" s="72" t="str">
        <f aca="false">IFERROR(IF(INDEX(res_Name,(ROW()-ROW(rw_LoadOrigin)-1))="","",INDEX(rw_Cum,(ROW()-ROW(rw_LoadOrigin)-1),(COLUMN()-COLUMN(rw_LoadOrigin)-1)+1)-INDEX(rw_Cum,(ROW()-ROW(rw_LoadOrigin)-1),(COLUMN()-COLUMN(rw_LoadOrigin)-1))),"")</f>
        <v/>
      </c>
      <c r="AC46" s="72" t="str">
        <f aca="false">IFERROR(IF(INDEX(res_Name,(ROW()-ROW(rw_LoadOrigin)-1))="","",INDEX(rw_Cum,(ROW()-ROW(rw_LoadOrigin)-1),(COLUMN()-COLUMN(rw_LoadOrigin)-1)+1)-INDEX(rw_Cum,(ROW()-ROW(rw_LoadOrigin)-1),(COLUMN()-COLUMN(rw_LoadOrigin)-1))),"")</f>
        <v/>
      </c>
    </row>
    <row r="47" customFormat="false" ht="15" hidden="false" customHeight="false" outlineLevel="0" collapsed="false">
      <c r="B47" s="48" t="str">
        <f aca="false">IFERROR(INDEX(res_Name,(ROW()-ROW(rw_LoadOrigin)-1))&amp;"","")</f>
        <v/>
      </c>
      <c r="C47" s="71" t="str">
        <f aca="false">IFERROR(IF(INDEX(res_Name,(ROW()-ROW(rw_LoadOrigin)-1))="","",INDEX(res_MaxUnits,(ROW()-ROW(rw_LoadOrigin)-1))),"")</f>
        <v/>
      </c>
      <c r="D47" s="72" t="str">
        <f aca="false">IFERROR(IF(INDEX(res_Name,(ROW()-ROW(rw_LoadOrigin)-1))="","",INDEX(rw_Cum,(ROW()-ROW(rw_LoadOrigin)-1),(COLUMN()-COLUMN(rw_LoadOrigin)-1)+1)-INDEX(rw_Cum,(ROW()-ROW(rw_LoadOrigin)-1),(COLUMN()-COLUMN(rw_LoadOrigin)-1))),"")</f>
        <v/>
      </c>
      <c r="E47" s="72" t="str">
        <f aca="false">IFERROR(IF(INDEX(res_Name,(ROW()-ROW(rw_LoadOrigin)-1))="","",INDEX(rw_Cum,(ROW()-ROW(rw_LoadOrigin)-1),(COLUMN()-COLUMN(rw_LoadOrigin)-1)+1)-INDEX(rw_Cum,(ROW()-ROW(rw_LoadOrigin)-1),(COLUMN()-COLUMN(rw_LoadOrigin)-1))),"")</f>
        <v/>
      </c>
      <c r="F47" s="72" t="str">
        <f aca="false">IFERROR(IF(INDEX(res_Name,(ROW()-ROW(rw_LoadOrigin)-1))="","",INDEX(rw_Cum,(ROW()-ROW(rw_LoadOrigin)-1),(COLUMN()-COLUMN(rw_LoadOrigin)-1)+1)-INDEX(rw_Cum,(ROW()-ROW(rw_LoadOrigin)-1),(COLUMN()-COLUMN(rw_LoadOrigin)-1))),"")</f>
        <v/>
      </c>
      <c r="G47" s="72" t="str">
        <f aca="false">IFERROR(IF(INDEX(res_Name,(ROW()-ROW(rw_LoadOrigin)-1))="","",INDEX(rw_Cum,(ROW()-ROW(rw_LoadOrigin)-1),(COLUMN()-COLUMN(rw_LoadOrigin)-1)+1)-INDEX(rw_Cum,(ROW()-ROW(rw_LoadOrigin)-1),(COLUMN()-COLUMN(rw_LoadOrigin)-1))),"")</f>
        <v/>
      </c>
      <c r="H47" s="72" t="str">
        <f aca="false">IFERROR(IF(INDEX(res_Name,(ROW()-ROW(rw_LoadOrigin)-1))="","",INDEX(rw_Cum,(ROW()-ROW(rw_LoadOrigin)-1),(COLUMN()-COLUMN(rw_LoadOrigin)-1)+1)-INDEX(rw_Cum,(ROW()-ROW(rw_LoadOrigin)-1),(COLUMN()-COLUMN(rw_LoadOrigin)-1))),"")</f>
        <v/>
      </c>
      <c r="I47" s="72" t="str">
        <f aca="false">IFERROR(IF(INDEX(res_Name,(ROW()-ROW(rw_LoadOrigin)-1))="","",INDEX(rw_Cum,(ROW()-ROW(rw_LoadOrigin)-1),(COLUMN()-COLUMN(rw_LoadOrigin)-1)+1)-INDEX(rw_Cum,(ROW()-ROW(rw_LoadOrigin)-1),(COLUMN()-COLUMN(rw_LoadOrigin)-1))),"")</f>
        <v/>
      </c>
      <c r="J47" s="72" t="str">
        <f aca="false">IFERROR(IF(INDEX(res_Name,(ROW()-ROW(rw_LoadOrigin)-1))="","",INDEX(rw_Cum,(ROW()-ROW(rw_LoadOrigin)-1),(COLUMN()-COLUMN(rw_LoadOrigin)-1)+1)-INDEX(rw_Cum,(ROW()-ROW(rw_LoadOrigin)-1),(COLUMN()-COLUMN(rw_LoadOrigin)-1))),"")</f>
        <v/>
      </c>
      <c r="K47" s="72" t="str">
        <f aca="false">IFERROR(IF(INDEX(res_Name,(ROW()-ROW(rw_LoadOrigin)-1))="","",INDEX(rw_Cum,(ROW()-ROW(rw_LoadOrigin)-1),(COLUMN()-COLUMN(rw_LoadOrigin)-1)+1)-INDEX(rw_Cum,(ROW()-ROW(rw_LoadOrigin)-1),(COLUMN()-COLUMN(rw_LoadOrigin)-1))),"")</f>
        <v/>
      </c>
      <c r="L47" s="72" t="str">
        <f aca="false">IFERROR(IF(INDEX(res_Name,(ROW()-ROW(rw_LoadOrigin)-1))="","",INDEX(rw_Cum,(ROW()-ROW(rw_LoadOrigin)-1),(COLUMN()-COLUMN(rw_LoadOrigin)-1)+1)-INDEX(rw_Cum,(ROW()-ROW(rw_LoadOrigin)-1),(COLUMN()-COLUMN(rw_LoadOrigin)-1))),"")</f>
        <v/>
      </c>
      <c r="M47" s="72" t="str">
        <f aca="false">IFERROR(IF(INDEX(res_Name,(ROW()-ROW(rw_LoadOrigin)-1))="","",INDEX(rw_Cum,(ROW()-ROW(rw_LoadOrigin)-1),(COLUMN()-COLUMN(rw_LoadOrigin)-1)+1)-INDEX(rw_Cum,(ROW()-ROW(rw_LoadOrigin)-1),(COLUMN()-COLUMN(rw_LoadOrigin)-1))),"")</f>
        <v/>
      </c>
      <c r="N47" s="72" t="str">
        <f aca="false">IFERROR(IF(INDEX(res_Name,(ROW()-ROW(rw_LoadOrigin)-1))="","",INDEX(rw_Cum,(ROW()-ROW(rw_LoadOrigin)-1),(COLUMN()-COLUMN(rw_LoadOrigin)-1)+1)-INDEX(rw_Cum,(ROW()-ROW(rw_LoadOrigin)-1),(COLUMN()-COLUMN(rw_LoadOrigin)-1))),"")</f>
        <v/>
      </c>
      <c r="O47" s="72" t="str">
        <f aca="false">IFERROR(IF(INDEX(res_Name,(ROW()-ROW(rw_LoadOrigin)-1))="","",INDEX(rw_Cum,(ROW()-ROW(rw_LoadOrigin)-1),(COLUMN()-COLUMN(rw_LoadOrigin)-1)+1)-INDEX(rw_Cum,(ROW()-ROW(rw_LoadOrigin)-1),(COLUMN()-COLUMN(rw_LoadOrigin)-1))),"")</f>
        <v/>
      </c>
      <c r="P47" s="72" t="str">
        <f aca="false">IFERROR(IF(INDEX(res_Name,(ROW()-ROW(rw_LoadOrigin)-1))="","",INDEX(rw_Cum,(ROW()-ROW(rw_LoadOrigin)-1),(COLUMN()-COLUMN(rw_LoadOrigin)-1)+1)-INDEX(rw_Cum,(ROW()-ROW(rw_LoadOrigin)-1),(COLUMN()-COLUMN(rw_LoadOrigin)-1))),"")</f>
        <v/>
      </c>
      <c r="Q47" s="72" t="str">
        <f aca="false">IFERROR(IF(INDEX(res_Name,(ROW()-ROW(rw_LoadOrigin)-1))="","",INDEX(rw_Cum,(ROW()-ROW(rw_LoadOrigin)-1),(COLUMN()-COLUMN(rw_LoadOrigin)-1)+1)-INDEX(rw_Cum,(ROW()-ROW(rw_LoadOrigin)-1),(COLUMN()-COLUMN(rw_LoadOrigin)-1))),"")</f>
        <v/>
      </c>
      <c r="R47" s="72" t="str">
        <f aca="false">IFERROR(IF(INDEX(res_Name,(ROW()-ROW(rw_LoadOrigin)-1))="","",INDEX(rw_Cum,(ROW()-ROW(rw_LoadOrigin)-1),(COLUMN()-COLUMN(rw_LoadOrigin)-1)+1)-INDEX(rw_Cum,(ROW()-ROW(rw_LoadOrigin)-1),(COLUMN()-COLUMN(rw_LoadOrigin)-1))),"")</f>
        <v/>
      </c>
      <c r="S47" s="72" t="str">
        <f aca="false">IFERROR(IF(INDEX(res_Name,(ROW()-ROW(rw_LoadOrigin)-1))="","",INDEX(rw_Cum,(ROW()-ROW(rw_LoadOrigin)-1),(COLUMN()-COLUMN(rw_LoadOrigin)-1)+1)-INDEX(rw_Cum,(ROW()-ROW(rw_LoadOrigin)-1),(COLUMN()-COLUMN(rw_LoadOrigin)-1))),"")</f>
        <v/>
      </c>
      <c r="T47" s="72" t="str">
        <f aca="false">IFERROR(IF(INDEX(res_Name,(ROW()-ROW(rw_LoadOrigin)-1))="","",INDEX(rw_Cum,(ROW()-ROW(rw_LoadOrigin)-1),(COLUMN()-COLUMN(rw_LoadOrigin)-1)+1)-INDEX(rw_Cum,(ROW()-ROW(rw_LoadOrigin)-1),(COLUMN()-COLUMN(rw_LoadOrigin)-1))),"")</f>
        <v/>
      </c>
      <c r="U47" s="72" t="str">
        <f aca="false">IFERROR(IF(INDEX(res_Name,(ROW()-ROW(rw_LoadOrigin)-1))="","",INDEX(rw_Cum,(ROW()-ROW(rw_LoadOrigin)-1),(COLUMN()-COLUMN(rw_LoadOrigin)-1)+1)-INDEX(rw_Cum,(ROW()-ROW(rw_LoadOrigin)-1),(COLUMN()-COLUMN(rw_LoadOrigin)-1))),"")</f>
        <v/>
      </c>
      <c r="V47" s="72" t="str">
        <f aca="false">IFERROR(IF(INDEX(res_Name,(ROW()-ROW(rw_LoadOrigin)-1))="","",INDEX(rw_Cum,(ROW()-ROW(rw_LoadOrigin)-1),(COLUMN()-COLUMN(rw_LoadOrigin)-1)+1)-INDEX(rw_Cum,(ROW()-ROW(rw_LoadOrigin)-1),(COLUMN()-COLUMN(rw_LoadOrigin)-1))),"")</f>
        <v/>
      </c>
      <c r="W47" s="72" t="str">
        <f aca="false">IFERROR(IF(INDEX(res_Name,(ROW()-ROW(rw_LoadOrigin)-1))="","",INDEX(rw_Cum,(ROW()-ROW(rw_LoadOrigin)-1),(COLUMN()-COLUMN(rw_LoadOrigin)-1)+1)-INDEX(rw_Cum,(ROW()-ROW(rw_LoadOrigin)-1),(COLUMN()-COLUMN(rw_LoadOrigin)-1))),"")</f>
        <v/>
      </c>
      <c r="X47" s="72" t="str">
        <f aca="false">IFERROR(IF(INDEX(res_Name,(ROW()-ROW(rw_LoadOrigin)-1))="","",INDEX(rw_Cum,(ROW()-ROW(rw_LoadOrigin)-1),(COLUMN()-COLUMN(rw_LoadOrigin)-1)+1)-INDEX(rw_Cum,(ROW()-ROW(rw_LoadOrigin)-1),(COLUMN()-COLUMN(rw_LoadOrigin)-1))),"")</f>
        <v/>
      </c>
      <c r="Y47" s="72" t="str">
        <f aca="false">IFERROR(IF(INDEX(res_Name,(ROW()-ROW(rw_LoadOrigin)-1))="","",INDEX(rw_Cum,(ROW()-ROW(rw_LoadOrigin)-1),(COLUMN()-COLUMN(rw_LoadOrigin)-1)+1)-INDEX(rw_Cum,(ROW()-ROW(rw_LoadOrigin)-1),(COLUMN()-COLUMN(rw_LoadOrigin)-1))),"")</f>
        <v/>
      </c>
      <c r="Z47" s="72" t="str">
        <f aca="false">IFERROR(IF(INDEX(res_Name,(ROW()-ROW(rw_LoadOrigin)-1))="","",INDEX(rw_Cum,(ROW()-ROW(rw_LoadOrigin)-1),(COLUMN()-COLUMN(rw_LoadOrigin)-1)+1)-INDEX(rw_Cum,(ROW()-ROW(rw_LoadOrigin)-1),(COLUMN()-COLUMN(rw_LoadOrigin)-1))),"")</f>
        <v/>
      </c>
      <c r="AA47" s="72" t="str">
        <f aca="false">IFERROR(IF(INDEX(res_Name,(ROW()-ROW(rw_LoadOrigin)-1))="","",INDEX(rw_Cum,(ROW()-ROW(rw_LoadOrigin)-1),(COLUMN()-COLUMN(rw_LoadOrigin)-1)+1)-INDEX(rw_Cum,(ROW()-ROW(rw_LoadOrigin)-1),(COLUMN()-COLUMN(rw_LoadOrigin)-1))),"")</f>
        <v/>
      </c>
      <c r="AB47" s="72" t="str">
        <f aca="false">IFERROR(IF(INDEX(res_Name,(ROW()-ROW(rw_LoadOrigin)-1))="","",INDEX(rw_Cum,(ROW()-ROW(rw_LoadOrigin)-1),(COLUMN()-COLUMN(rw_LoadOrigin)-1)+1)-INDEX(rw_Cum,(ROW()-ROW(rw_LoadOrigin)-1),(COLUMN()-COLUMN(rw_LoadOrigin)-1))),"")</f>
        <v/>
      </c>
      <c r="AC47" s="72" t="str">
        <f aca="false">IFERROR(IF(INDEX(res_Name,(ROW()-ROW(rw_LoadOrigin)-1))="","",INDEX(rw_Cum,(ROW()-ROW(rw_LoadOrigin)-1),(COLUMN()-COLUMN(rw_LoadOrigin)-1)+1)-INDEX(rw_Cum,(ROW()-ROW(rw_LoadOrigin)-1),(COLUMN()-COLUMN(rw_LoadOrigin)-1))),"")</f>
        <v/>
      </c>
    </row>
    <row r="48" customFormat="false" ht="15" hidden="false" customHeight="false" outlineLevel="0" collapsed="false">
      <c r="B48" s="48" t="str">
        <f aca="false">IFERROR(INDEX(res_Name,(ROW()-ROW(rw_LoadOrigin)-1))&amp;"","")</f>
        <v/>
      </c>
      <c r="C48" s="71" t="str">
        <f aca="false">IFERROR(IF(INDEX(res_Name,(ROW()-ROW(rw_LoadOrigin)-1))="","",INDEX(res_MaxUnits,(ROW()-ROW(rw_LoadOrigin)-1))),"")</f>
        <v/>
      </c>
      <c r="D48" s="72" t="str">
        <f aca="false">IFERROR(IF(INDEX(res_Name,(ROW()-ROW(rw_LoadOrigin)-1))="","",INDEX(rw_Cum,(ROW()-ROW(rw_LoadOrigin)-1),(COLUMN()-COLUMN(rw_LoadOrigin)-1)+1)-INDEX(rw_Cum,(ROW()-ROW(rw_LoadOrigin)-1),(COLUMN()-COLUMN(rw_LoadOrigin)-1))),"")</f>
        <v/>
      </c>
      <c r="E48" s="72" t="str">
        <f aca="false">IFERROR(IF(INDEX(res_Name,(ROW()-ROW(rw_LoadOrigin)-1))="","",INDEX(rw_Cum,(ROW()-ROW(rw_LoadOrigin)-1),(COLUMN()-COLUMN(rw_LoadOrigin)-1)+1)-INDEX(rw_Cum,(ROW()-ROW(rw_LoadOrigin)-1),(COLUMN()-COLUMN(rw_LoadOrigin)-1))),"")</f>
        <v/>
      </c>
      <c r="F48" s="72" t="str">
        <f aca="false">IFERROR(IF(INDEX(res_Name,(ROW()-ROW(rw_LoadOrigin)-1))="","",INDEX(rw_Cum,(ROW()-ROW(rw_LoadOrigin)-1),(COLUMN()-COLUMN(rw_LoadOrigin)-1)+1)-INDEX(rw_Cum,(ROW()-ROW(rw_LoadOrigin)-1),(COLUMN()-COLUMN(rw_LoadOrigin)-1))),"")</f>
        <v/>
      </c>
      <c r="G48" s="72" t="str">
        <f aca="false">IFERROR(IF(INDEX(res_Name,(ROW()-ROW(rw_LoadOrigin)-1))="","",INDEX(rw_Cum,(ROW()-ROW(rw_LoadOrigin)-1),(COLUMN()-COLUMN(rw_LoadOrigin)-1)+1)-INDEX(rw_Cum,(ROW()-ROW(rw_LoadOrigin)-1),(COLUMN()-COLUMN(rw_LoadOrigin)-1))),"")</f>
        <v/>
      </c>
      <c r="H48" s="72" t="str">
        <f aca="false">IFERROR(IF(INDEX(res_Name,(ROW()-ROW(rw_LoadOrigin)-1))="","",INDEX(rw_Cum,(ROW()-ROW(rw_LoadOrigin)-1),(COLUMN()-COLUMN(rw_LoadOrigin)-1)+1)-INDEX(rw_Cum,(ROW()-ROW(rw_LoadOrigin)-1),(COLUMN()-COLUMN(rw_LoadOrigin)-1))),"")</f>
        <v/>
      </c>
      <c r="I48" s="72" t="str">
        <f aca="false">IFERROR(IF(INDEX(res_Name,(ROW()-ROW(rw_LoadOrigin)-1))="","",INDEX(rw_Cum,(ROW()-ROW(rw_LoadOrigin)-1),(COLUMN()-COLUMN(rw_LoadOrigin)-1)+1)-INDEX(rw_Cum,(ROW()-ROW(rw_LoadOrigin)-1),(COLUMN()-COLUMN(rw_LoadOrigin)-1))),"")</f>
        <v/>
      </c>
      <c r="J48" s="72" t="str">
        <f aca="false">IFERROR(IF(INDEX(res_Name,(ROW()-ROW(rw_LoadOrigin)-1))="","",INDEX(rw_Cum,(ROW()-ROW(rw_LoadOrigin)-1),(COLUMN()-COLUMN(rw_LoadOrigin)-1)+1)-INDEX(rw_Cum,(ROW()-ROW(rw_LoadOrigin)-1),(COLUMN()-COLUMN(rw_LoadOrigin)-1))),"")</f>
        <v/>
      </c>
      <c r="K48" s="72" t="str">
        <f aca="false">IFERROR(IF(INDEX(res_Name,(ROW()-ROW(rw_LoadOrigin)-1))="","",INDEX(rw_Cum,(ROW()-ROW(rw_LoadOrigin)-1),(COLUMN()-COLUMN(rw_LoadOrigin)-1)+1)-INDEX(rw_Cum,(ROW()-ROW(rw_LoadOrigin)-1),(COLUMN()-COLUMN(rw_LoadOrigin)-1))),"")</f>
        <v/>
      </c>
      <c r="L48" s="72" t="str">
        <f aca="false">IFERROR(IF(INDEX(res_Name,(ROW()-ROW(rw_LoadOrigin)-1))="","",INDEX(rw_Cum,(ROW()-ROW(rw_LoadOrigin)-1),(COLUMN()-COLUMN(rw_LoadOrigin)-1)+1)-INDEX(rw_Cum,(ROW()-ROW(rw_LoadOrigin)-1),(COLUMN()-COLUMN(rw_LoadOrigin)-1))),"")</f>
        <v/>
      </c>
      <c r="M48" s="72" t="str">
        <f aca="false">IFERROR(IF(INDEX(res_Name,(ROW()-ROW(rw_LoadOrigin)-1))="","",INDEX(rw_Cum,(ROW()-ROW(rw_LoadOrigin)-1),(COLUMN()-COLUMN(rw_LoadOrigin)-1)+1)-INDEX(rw_Cum,(ROW()-ROW(rw_LoadOrigin)-1),(COLUMN()-COLUMN(rw_LoadOrigin)-1))),"")</f>
        <v/>
      </c>
      <c r="N48" s="72" t="str">
        <f aca="false">IFERROR(IF(INDEX(res_Name,(ROW()-ROW(rw_LoadOrigin)-1))="","",INDEX(rw_Cum,(ROW()-ROW(rw_LoadOrigin)-1),(COLUMN()-COLUMN(rw_LoadOrigin)-1)+1)-INDEX(rw_Cum,(ROW()-ROW(rw_LoadOrigin)-1),(COLUMN()-COLUMN(rw_LoadOrigin)-1))),"")</f>
        <v/>
      </c>
      <c r="O48" s="72" t="str">
        <f aca="false">IFERROR(IF(INDEX(res_Name,(ROW()-ROW(rw_LoadOrigin)-1))="","",INDEX(rw_Cum,(ROW()-ROW(rw_LoadOrigin)-1),(COLUMN()-COLUMN(rw_LoadOrigin)-1)+1)-INDEX(rw_Cum,(ROW()-ROW(rw_LoadOrigin)-1),(COLUMN()-COLUMN(rw_LoadOrigin)-1))),"")</f>
        <v/>
      </c>
      <c r="P48" s="72" t="str">
        <f aca="false">IFERROR(IF(INDEX(res_Name,(ROW()-ROW(rw_LoadOrigin)-1))="","",INDEX(rw_Cum,(ROW()-ROW(rw_LoadOrigin)-1),(COLUMN()-COLUMN(rw_LoadOrigin)-1)+1)-INDEX(rw_Cum,(ROW()-ROW(rw_LoadOrigin)-1),(COLUMN()-COLUMN(rw_LoadOrigin)-1))),"")</f>
        <v/>
      </c>
      <c r="Q48" s="72" t="str">
        <f aca="false">IFERROR(IF(INDEX(res_Name,(ROW()-ROW(rw_LoadOrigin)-1))="","",INDEX(rw_Cum,(ROW()-ROW(rw_LoadOrigin)-1),(COLUMN()-COLUMN(rw_LoadOrigin)-1)+1)-INDEX(rw_Cum,(ROW()-ROW(rw_LoadOrigin)-1),(COLUMN()-COLUMN(rw_LoadOrigin)-1))),"")</f>
        <v/>
      </c>
      <c r="R48" s="72" t="str">
        <f aca="false">IFERROR(IF(INDEX(res_Name,(ROW()-ROW(rw_LoadOrigin)-1))="","",INDEX(rw_Cum,(ROW()-ROW(rw_LoadOrigin)-1),(COLUMN()-COLUMN(rw_LoadOrigin)-1)+1)-INDEX(rw_Cum,(ROW()-ROW(rw_LoadOrigin)-1),(COLUMN()-COLUMN(rw_LoadOrigin)-1))),"")</f>
        <v/>
      </c>
      <c r="S48" s="72" t="str">
        <f aca="false">IFERROR(IF(INDEX(res_Name,(ROW()-ROW(rw_LoadOrigin)-1))="","",INDEX(rw_Cum,(ROW()-ROW(rw_LoadOrigin)-1),(COLUMN()-COLUMN(rw_LoadOrigin)-1)+1)-INDEX(rw_Cum,(ROW()-ROW(rw_LoadOrigin)-1),(COLUMN()-COLUMN(rw_LoadOrigin)-1))),"")</f>
        <v/>
      </c>
      <c r="T48" s="72" t="str">
        <f aca="false">IFERROR(IF(INDEX(res_Name,(ROW()-ROW(rw_LoadOrigin)-1))="","",INDEX(rw_Cum,(ROW()-ROW(rw_LoadOrigin)-1),(COLUMN()-COLUMN(rw_LoadOrigin)-1)+1)-INDEX(rw_Cum,(ROW()-ROW(rw_LoadOrigin)-1),(COLUMN()-COLUMN(rw_LoadOrigin)-1))),"")</f>
        <v/>
      </c>
      <c r="U48" s="72" t="str">
        <f aca="false">IFERROR(IF(INDEX(res_Name,(ROW()-ROW(rw_LoadOrigin)-1))="","",INDEX(rw_Cum,(ROW()-ROW(rw_LoadOrigin)-1),(COLUMN()-COLUMN(rw_LoadOrigin)-1)+1)-INDEX(rw_Cum,(ROW()-ROW(rw_LoadOrigin)-1),(COLUMN()-COLUMN(rw_LoadOrigin)-1))),"")</f>
        <v/>
      </c>
      <c r="V48" s="72" t="str">
        <f aca="false">IFERROR(IF(INDEX(res_Name,(ROW()-ROW(rw_LoadOrigin)-1))="","",INDEX(rw_Cum,(ROW()-ROW(rw_LoadOrigin)-1),(COLUMN()-COLUMN(rw_LoadOrigin)-1)+1)-INDEX(rw_Cum,(ROW()-ROW(rw_LoadOrigin)-1),(COLUMN()-COLUMN(rw_LoadOrigin)-1))),"")</f>
        <v/>
      </c>
      <c r="W48" s="72" t="str">
        <f aca="false">IFERROR(IF(INDEX(res_Name,(ROW()-ROW(rw_LoadOrigin)-1))="","",INDEX(rw_Cum,(ROW()-ROW(rw_LoadOrigin)-1),(COLUMN()-COLUMN(rw_LoadOrigin)-1)+1)-INDEX(rw_Cum,(ROW()-ROW(rw_LoadOrigin)-1),(COLUMN()-COLUMN(rw_LoadOrigin)-1))),"")</f>
        <v/>
      </c>
      <c r="X48" s="72" t="str">
        <f aca="false">IFERROR(IF(INDEX(res_Name,(ROW()-ROW(rw_LoadOrigin)-1))="","",INDEX(rw_Cum,(ROW()-ROW(rw_LoadOrigin)-1),(COLUMN()-COLUMN(rw_LoadOrigin)-1)+1)-INDEX(rw_Cum,(ROW()-ROW(rw_LoadOrigin)-1),(COLUMN()-COLUMN(rw_LoadOrigin)-1))),"")</f>
        <v/>
      </c>
      <c r="Y48" s="72" t="str">
        <f aca="false">IFERROR(IF(INDEX(res_Name,(ROW()-ROW(rw_LoadOrigin)-1))="","",INDEX(rw_Cum,(ROW()-ROW(rw_LoadOrigin)-1),(COLUMN()-COLUMN(rw_LoadOrigin)-1)+1)-INDEX(rw_Cum,(ROW()-ROW(rw_LoadOrigin)-1),(COLUMN()-COLUMN(rw_LoadOrigin)-1))),"")</f>
        <v/>
      </c>
      <c r="Z48" s="72" t="str">
        <f aca="false">IFERROR(IF(INDEX(res_Name,(ROW()-ROW(rw_LoadOrigin)-1))="","",INDEX(rw_Cum,(ROW()-ROW(rw_LoadOrigin)-1),(COLUMN()-COLUMN(rw_LoadOrigin)-1)+1)-INDEX(rw_Cum,(ROW()-ROW(rw_LoadOrigin)-1),(COLUMN()-COLUMN(rw_LoadOrigin)-1))),"")</f>
        <v/>
      </c>
      <c r="AA48" s="72" t="str">
        <f aca="false">IFERROR(IF(INDEX(res_Name,(ROW()-ROW(rw_LoadOrigin)-1))="","",INDEX(rw_Cum,(ROW()-ROW(rw_LoadOrigin)-1),(COLUMN()-COLUMN(rw_LoadOrigin)-1)+1)-INDEX(rw_Cum,(ROW()-ROW(rw_LoadOrigin)-1),(COLUMN()-COLUMN(rw_LoadOrigin)-1))),"")</f>
        <v/>
      </c>
      <c r="AB48" s="72" t="str">
        <f aca="false">IFERROR(IF(INDEX(res_Name,(ROW()-ROW(rw_LoadOrigin)-1))="","",INDEX(rw_Cum,(ROW()-ROW(rw_LoadOrigin)-1),(COLUMN()-COLUMN(rw_LoadOrigin)-1)+1)-INDEX(rw_Cum,(ROW()-ROW(rw_LoadOrigin)-1),(COLUMN()-COLUMN(rw_LoadOrigin)-1))),"")</f>
        <v/>
      </c>
      <c r="AC48" s="72" t="str">
        <f aca="false">IFERROR(IF(INDEX(res_Name,(ROW()-ROW(rw_LoadOrigin)-1))="","",INDEX(rw_Cum,(ROW()-ROW(rw_LoadOrigin)-1),(COLUMN()-COLUMN(rw_LoadOrigin)-1)+1)-INDEX(rw_Cum,(ROW()-ROW(rw_LoadOrigin)-1),(COLUMN()-COLUMN(rw_LoadOrigin)-1))),"")</f>
        <v/>
      </c>
    </row>
    <row r="49" customFormat="false" ht="15" hidden="false" customHeight="false" outlineLevel="0" collapsed="false">
      <c r="B49" s="48" t="str">
        <f aca="false">IFERROR(INDEX(res_Name,(ROW()-ROW(rw_LoadOrigin)-1))&amp;"","")</f>
        <v/>
      </c>
      <c r="C49" s="71" t="str">
        <f aca="false">IFERROR(IF(INDEX(res_Name,(ROW()-ROW(rw_LoadOrigin)-1))="","",INDEX(res_MaxUnits,(ROW()-ROW(rw_LoadOrigin)-1))),"")</f>
        <v/>
      </c>
      <c r="D49" s="72" t="str">
        <f aca="false">IFERROR(IF(INDEX(res_Name,(ROW()-ROW(rw_LoadOrigin)-1))="","",INDEX(rw_Cum,(ROW()-ROW(rw_LoadOrigin)-1),(COLUMN()-COLUMN(rw_LoadOrigin)-1)+1)-INDEX(rw_Cum,(ROW()-ROW(rw_LoadOrigin)-1),(COLUMN()-COLUMN(rw_LoadOrigin)-1))),"")</f>
        <v/>
      </c>
      <c r="E49" s="72" t="str">
        <f aca="false">IFERROR(IF(INDEX(res_Name,(ROW()-ROW(rw_LoadOrigin)-1))="","",INDEX(rw_Cum,(ROW()-ROW(rw_LoadOrigin)-1),(COLUMN()-COLUMN(rw_LoadOrigin)-1)+1)-INDEX(rw_Cum,(ROW()-ROW(rw_LoadOrigin)-1),(COLUMN()-COLUMN(rw_LoadOrigin)-1))),"")</f>
        <v/>
      </c>
      <c r="F49" s="72" t="str">
        <f aca="false">IFERROR(IF(INDEX(res_Name,(ROW()-ROW(rw_LoadOrigin)-1))="","",INDEX(rw_Cum,(ROW()-ROW(rw_LoadOrigin)-1),(COLUMN()-COLUMN(rw_LoadOrigin)-1)+1)-INDEX(rw_Cum,(ROW()-ROW(rw_LoadOrigin)-1),(COLUMN()-COLUMN(rw_LoadOrigin)-1))),"")</f>
        <v/>
      </c>
      <c r="G49" s="72" t="str">
        <f aca="false">IFERROR(IF(INDEX(res_Name,(ROW()-ROW(rw_LoadOrigin)-1))="","",INDEX(rw_Cum,(ROW()-ROW(rw_LoadOrigin)-1),(COLUMN()-COLUMN(rw_LoadOrigin)-1)+1)-INDEX(rw_Cum,(ROW()-ROW(rw_LoadOrigin)-1),(COLUMN()-COLUMN(rw_LoadOrigin)-1))),"")</f>
        <v/>
      </c>
      <c r="H49" s="72" t="str">
        <f aca="false">IFERROR(IF(INDEX(res_Name,(ROW()-ROW(rw_LoadOrigin)-1))="","",INDEX(rw_Cum,(ROW()-ROW(rw_LoadOrigin)-1),(COLUMN()-COLUMN(rw_LoadOrigin)-1)+1)-INDEX(rw_Cum,(ROW()-ROW(rw_LoadOrigin)-1),(COLUMN()-COLUMN(rw_LoadOrigin)-1))),"")</f>
        <v/>
      </c>
      <c r="I49" s="72" t="str">
        <f aca="false">IFERROR(IF(INDEX(res_Name,(ROW()-ROW(rw_LoadOrigin)-1))="","",INDEX(rw_Cum,(ROW()-ROW(rw_LoadOrigin)-1),(COLUMN()-COLUMN(rw_LoadOrigin)-1)+1)-INDEX(rw_Cum,(ROW()-ROW(rw_LoadOrigin)-1),(COLUMN()-COLUMN(rw_LoadOrigin)-1))),"")</f>
        <v/>
      </c>
      <c r="J49" s="72" t="str">
        <f aca="false">IFERROR(IF(INDEX(res_Name,(ROW()-ROW(rw_LoadOrigin)-1))="","",INDEX(rw_Cum,(ROW()-ROW(rw_LoadOrigin)-1),(COLUMN()-COLUMN(rw_LoadOrigin)-1)+1)-INDEX(rw_Cum,(ROW()-ROW(rw_LoadOrigin)-1),(COLUMN()-COLUMN(rw_LoadOrigin)-1))),"")</f>
        <v/>
      </c>
      <c r="K49" s="72" t="str">
        <f aca="false">IFERROR(IF(INDEX(res_Name,(ROW()-ROW(rw_LoadOrigin)-1))="","",INDEX(rw_Cum,(ROW()-ROW(rw_LoadOrigin)-1),(COLUMN()-COLUMN(rw_LoadOrigin)-1)+1)-INDEX(rw_Cum,(ROW()-ROW(rw_LoadOrigin)-1),(COLUMN()-COLUMN(rw_LoadOrigin)-1))),"")</f>
        <v/>
      </c>
      <c r="L49" s="72" t="str">
        <f aca="false">IFERROR(IF(INDEX(res_Name,(ROW()-ROW(rw_LoadOrigin)-1))="","",INDEX(rw_Cum,(ROW()-ROW(rw_LoadOrigin)-1),(COLUMN()-COLUMN(rw_LoadOrigin)-1)+1)-INDEX(rw_Cum,(ROW()-ROW(rw_LoadOrigin)-1),(COLUMN()-COLUMN(rw_LoadOrigin)-1))),"")</f>
        <v/>
      </c>
      <c r="M49" s="72" t="str">
        <f aca="false">IFERROR(IF(INDEX(res_Name,(ROW()-ROW(rw_LoadOrigin)-1))="","",INDEX(rw_Cum,(ROW()-ROW(rw_LoadOrigin)-1),(COLUMN()-COLUMN(rw_LoadOrigin)-1)+1)-INDEX(rw_Cum,(ROW()-ROW(rw_LoadOrigin)-1),(COLUMN()-COLUMN(rw_LoadOrigin)-1))),"")</f>
        <v/>
      </c>
      <c r="N49" s="72" t="str">
        <f aca="false">IFERROR(IF(INDEX(res_Name,(ROW()-ROW(rw_LoadOrigin)-1))="","",INDEX(rw_Cum,(ROW()-ROW(rw_LoadOrigin)-1),(COLUMN()-COLUMN(rw_LoadOrigin)-1)+1)-INDEX(rw_Cum,(ROW()-ROW(rw_LoadOrigin)-1),(COLUMN()-COLUMN(rw_LoadOrigin)-1))),"")</f>
        <v/>
      </c>
      <c r="O49" s="72" t="str">
        <f aca="false">IFERROR(IF(INDEX(res_Name,(ROW()-ROW(rw_LoadOrigin)-1))="","",INDEX(rw_Cum,(ROW()-ROW(rw_LoadOrigin)-1),(COLUMN()-COLUMN(rw_LoadOrigin)-1)+1)-INDEX(rw_Cum,(ROW()-ROW(rw_LoadOrigin)-1),(COLUMN()-COLUMN(rw_LoadOrigin)-1))),"")</f>
        <v/>
      </c>
      <c r="P49" s="72" t="str">
        <f aca="false">IFERROR(IF(INDEX(res_Name,(ROW()-ROW(rw_LoadOrigin)-1))="","",INDEX(rw_Cum,(ROW()-ROW(rw_LoadOrigin)-1),(COLUMN()-COLUMN(rw_LoadOrigin)-1)+1)-INDEX(rw_Cum,(ROW()-ROW(rw_LoadOrigin)-1),(COLUMN()-COLUMN(rw_LoadOrigin)-1))),"")</f>
        <v/>
      </c>
      <c r="Q49" s="72" t="str">
        <f aca="false">IFERROR(IF(INDEX(res_Name,(ROW()-ROW(rw_LoadOrigin)-1))="","",INDEX(rw_Cum,(ROW()-ROW(rw_LoadOrigin)-1),(COLUMN()-COLUMN(rw_LoadOrigin)-1)+1)-INDEX(rw_Cum,(ROW()-ROW(rw_LoadOrigin)-1),(COLUMN()-COLUMN(rw_LoadOrigin)-1))),"")</f>
        <v/>
      </c>
      <c r="R49" s="72" t="str">
        <f aca="false">IFERROR(IF(INDEX(res_Name,(ROW()-ROW(rw_LoadOrigin)-1))="","",INDEX(rw_Cum,(ROW()-ROW(rw_LoadOrigin)-1),(COLUMN()-COLUMN(rw_LoadOrigin)-1)+1)-INDEX(rw_Cum,(ROW()-ROW(rw_LoadOrigin)-1),(COLUMN()-COLUMN(rw_LoadOrigin)-1))),"")</f>
        <v/>
      </c>
      <c r="S49" s="72" t="str">
        <f aca="false">IFERROR(IF(INDEX(res_Name,(ROW()-ROW(rw_LoadOrigin)-1))="","",INDEX(rw_Cum,(ROW()-ROW(rw_LoadOrigin)-1),(COLUMN()-COLUMN(rw_LoadOrigin)-1)+1)-INDEX(rw_Cum,(ROW()-ROW(rw_LoadOrigin)-1),(COLUMN()-COLUMN(rw_LoadOrigin)-1))),"")</f>
        <v/>
      </c>
      <c r="T49" s="72" t="str">
        <f aca="false">IFERROR(IF(INDEX(res_Name,(ROW()-ROW(rw_LoadOrigin)-1))="","",INDEX(rw_Cum,(ROW()-ROW(rw_LoadOrigin)-1),(COLUMN()-COLUMN(rw_LoadOrigin)-1)+1)-INDEX(rw_Cum,(ROW()-ROW(rw_LoadOrigin)-1),(COLUMN()-COLUMN(rw_LoadOrigin)-1))),"")</f>
        <v/>
      </c>
      <c r="U49" s="72" t="str">
        <f aca="false">IFERROR(IF(INDEX(res_Name,(ROW()-ROW(rw_LoadOrigin)-1))="","",INDEX(rw_Cum,(ROW()-ROW(rw_LoadOrigin)-1),(COLUMN()-COLUMN(rw_LoadOrigin)-1)+1)-INDEX(rw_Cum,(ROW()-ROW(rw_LoadOrigin)-1),(COLUMN()-COLUMN(rw_LoadOrigin)-1))),"")</f>
        <v/>
      </c>
      <c r="V49" s="72" t="str">
        <f aca="false">IFERROR(IF(INDEX(res_Name,(ROW()-ROW(rw_LoadOrigin)-1))="","",INDEX(rw_Cum,(ROW()-ROW(rw_LoadOrigin)-1),(COLUMN()-COLUMN(rw_LoadOrigin)-1)+1)-INDEX(rw_Cum,(ROW()-ROW(rw_LoadOrigin)-1),(COLUMN()-COLUMN(rw_LoadOrigin)-1))),"")</f>
        <v/>
      </c>
      <c r="W49" s="72" t="str">
        <f aca="false">IFERROR(IF(INDEX(res_Name,(ROW()-ROW(rw_LoadOrigin)-1))="","",INDEX(rw_Cum,(ROW()-ROW(rw_LoadOrigin)-1),(COLUMN()-COLUMN(rw_LoadOrigin)-1)+1)-INDEX(rw_Cum,(ROW()-ROW(rw_LoadOrigin)-1),(COLUMN()-COLUMN(rw_LoadOrigin)-1))),"")</f>
        <v/>
      </c>
      <c r="X49" s="72" t="str">
        <f aca="false">IFERROR(IF(INDEX(res_Name,(ROW()-ROW(rw_LoadOrigin)-1))="","",INDEX(rw_Cum,(ROW()-ROW(rw_LoadOrigin)-1),(COLUMN()-COLUMN(rw_LoadOrigin)-1)+1)-INDEX(rw_Cum,(ROW()-ROW(rw_LoadOrigin)-1),(COLUMN()-COLUMN(rw_LoadOrigin)-1))),"")</f>
        <v/>
      </c>
      <c r="Y49" s="72" t="str">
        <f aca="false">IFERROR(IF(INDEX(res_Name,(ROW()-ROW(rw_LoadOrigin)-1))="","",INDEX(rw_Cum,(ROW()-ROW(rw_LoadOrigin)-1),(COLUMN()-COLUMN(rw_LoadOrigin)-1)+1)-INDEX(rw_Cum,(ROW()-ROW(rw_LoadOrigin)-1),(COLUMN()-COLUMN(rw_LoadOrigin)-1))),"")</f>
        <v/>
      </c>
      <c r="Z49" s="72" t="str">
        <f aca="false">IFERROR(IF(INDEX(res_Name,(ROW()-ROW(rw_LoadOrigin)-1))="","",INDEX(rw_Cum,(ROW()-ROW(rw_LoadOrigin)-1),(COLUMN()-COLUMN(rw_LoadOrigin)-1)+1)-INDEX(rw_Cum,(ROW()-ROW(rw_LoadOrigin)-1),(COLUMN()-COLUMN(rw_LoadOrigin)-1))),"")</f>
        <v/>
      </c>
      <c r="AA49" s="72" t="str">
        <f aca="false">IFERROR(IF(INDEX(res_Name,(ROW()-ROW(rw_LoadOrigin)-1))="","",INDEX(rw_Cum,(ROW()-ROW(rw_LoadOrigin)-1),(COLUMN()-COLUMN(rw_LoadOrigin)-1)+1)-INDEX(rw_Cum,(ROW()-ROW(rw_LoadOrigin)-1),(COLUMN()-COLUMN(rw_LoadOrigin)-1))),"")</f>
        <v/>
      </c>
      <c r="AB49" s="72" t="str">
        <f aca="false">IFERROR(IF(INDEX(res_Name,(ROW()-ROW(rw_LoadOrigin)-1))="","",INDEX(rw_Cum,(ROW()-ROW(rw_LoadOrigin)-1),(COLUMN()-COLUMN(rw_LoadOrigin)-1)+1)-INDEX(rw_Cum,(ROW()-ROW(rw_LoadOrigin)-1),(COLUMN()-COLUMN(rw_LoadOrigin)-1))),"")</f>
        <v/>
      </c>
      <c r="AC49" s="72" t="str">
        <f aca="false">IFERROR(IF(INDEX(res_Name,(ROW()-ROW(rw_LoadOrigin)-1))="","",INDEX(rw_Cum,(ROW()-ROW(rw_LoadOrigin)-1),(COLUMN()-COLUMN(rw_LoadOrigin)-1)+1)-INDEX(rw_Cum,(ROW()-ROW(rw_LoadOrigin)-1),(COLUMN()-COLUMN(rw_LoadOrigin)-1))),"")</f>
        <v/>
      </c>
    </row>
    <row r="50" customFormat="false" ht="15" hidden="false" customHeight="false" outlineLevel="0" collapsed="false">
      <c r="B50" s="48" t="str">
        <f aca="false">IFERROR(INDEX(res_Name,(ROW()-ROW(rw_LoadOrigin)-1))&amp;"","")</f>
        <v/>
      </c>
      <c r="C50" s="71" t="str">
        <f aca="false">IFERROR(IF(INDEX(res_Name,(ROW()-ROW(rw_LoadOrigin)-1))="","",INDEX(res_MaxUnits,(ROW()-ROW(rw_LoadOrigin)-1))),"")</f>
        <v/>
      </c>
      <c r="D50" s="72" t="str">
        <f aca="false">IFERROR(IF(INDEX(res_Name,(ROW()-ROW(rw_LoadOrigin)-1))="","",INDEX(rw_Cum,(ROW()-ROW(rw_LoadOrigin)-1),(COLUMN()-COLUMN(rw_LoadOrigin)-1)+1)-INDEX(rw_Cum,(ROW()-ROW(rw_LoadOrigin)-1),(COLUMN()-COLUMN(rw_LoadOrigin)-1))),"")</f>
        <v/>
      </c>
      <c r="E50" s="72" t="str">
        <f aca="false">IFERROR(IF(INDEX(res_Name,(ROW()-ROW(rw_LoadOrigin)-1))="","",INDEX(rw_Cum,(ROW()-ROW(rw_LoadOrigin)-1),(COLUMN()-COLUMN(rw_LoadOrigin)-1)+1)-INDEX(rw_Cum,(ROW()-ROW(rw_LoadOrigin)-1),(COLUMN()-COLUMN(rw_LoadOrigin)-1))),"")</f>
        <v/>
      </c>
      <c r="F50" s="72" t="str">
        <f aca="false">IFERROR(IF(INDEX(res_Name,(ROW()-ROW(rw_LoadOrigin)-1))="","",INDEX(rw_Cum,(ROW()-ROW(rw_LoadOrigin)-1),(COLUMN()-COLUMN(rw_LoadOrigin)-1)+1)-INDEX(rw_Cum,(ROW()-ROW(rw_LoadOrigin)-1),(COLUMN()-COLUMN(rw_LoadOrigin)-1))),"")</f>
        <v/>
      </c>
      <c r="G50" s="72" t="str">
        <f aca="false">IFERROR(IF(INDEX(res_Name,(ROW()-ROW(rw_LoadOrigin)-1))="","",INDEX(rw_Cum,(ROW()-ROW(rw_LoadOrigin)-1),(COLUMN()-COLUMN(rw_LoadOrigin)-1)+1)-INDEX(rw_Cum,(ROW()-ROW(rw_LoadOrigin)-1),(COLUMN()-COLUMN(rw_LoadOrigin)-1))),"")</f>
        <v/>
      </c>
      <c r="H50" s="72" t="str">
        <f aca="false">IFERROR(IF(INDEX(res_Name,(ROW()-ROW(rw_LoadOrigin)-1))="","",INDEX(rw_Cum,(ROW()-ROW(rw_LoadOrigin)-1),(COLUMN()-COLUMN(rw_LoadOrigin)-1)+1)-INDEX(rw_Cum,(ROW()-ROW(rw_LoadOrigin)-1),(COLUMN()-COLUMN(rw_LoadOrigin)-1))),"")</f>
        <v/>
      </c>
      <c r="I50" s="72" t="str">
        <f aca="false">IFERROR(IF(INDEX(res_Name,(ROW()-ROW(rw_LoadOrigin)-1))="","",INDEX(rw_Cum,(ROW()-ROW(rw_LoadOrigin)-1),(COLUMN()-COLUMN(rw_LoadOrigin)-1)+1)-INDEX(rw_Cum,(ROW()-ROW(rw_LoadOrigin)-1),(COLUMN()-COLUMN(rw_LoadOrigin)-1))),"")</f>
        <v/>
      </c>
      <c r="J50" s="72" t="str">
        <f aca="false">IFERROR(IF(INDEX(res_Name,(ROW()-ROW(rw_LoadOrigin)-1))="","",INDEX(rw_Cum,(ROW()-ROW(rw_LoadOrigin)-1),(COLUMN()-COLUMN(rw_LoadOrigin)-1)+1)-INDEX(rw_Cum,(ROW()-ROW(rw_LoadOrigin)-1),(COLUMN()-COLUMN(rw_LoadOrigin)-1))),"")</f>
        <v/>
      </c>
      <c r="K50" s="72" t="str">
        <f aca="false">IFERROR(IF(INDEX(res_Name,(ROW()-ROW(rw_LoadOrigin)-1))="","",INDEX(rw_Cum,(ROW()-ROW(rw_LoadOrigin)-1),(COLUMN()-COLUMN(rw_LoadOrigin)-1)+1)-INDEX(rw_Cum,(ROW()-ROW(rw_LoadOrigin)-1),(COLUMN()-COLUMN(rw_LoadOrigin)-1))),"")</f>
        <v/>
      </c>
      <c r="L50" s="72" t="str">
        <f aca="false">IFERROR(IF(INDEX(res_Name,(ROW()-ROW(rw_LoadOrigin)-1))="","",INDEX(rw_Cum,(ROW()-ROW(rw_LoadOrigin)-1),(COLUMN()-COLUMN(rw_LoadOrigin)-1)+1)-INDEX(rw_Cum,(ROW()-ROW(rw_LoadOrigin)-1),(COLUMN()-COLUMN(rw_LoadOrigin)-1))),"")</f>
        <v/>
      </c>
      <c r="M50" s="72" t="str">
        <f aca="false">IFERROR(IF(INDEX(res_Name,(ROW()-ROW(rw_LoadOrigin)-1))="","",INDEX(rw_Cum,(ROW()-ROW(rw_LoadOrigin)-1),(COLUMN()-COLUMN(rw_LoadOrigin)-1)+1)-INDEX(rw_Cum,(ROW()-ROW(rw_LoadOrigin)-1),(COLUMN()-COLUMN(rw_LoadOrigin)-1))),"")</f>
        <v/>
      </c>
      <c r="N50" s="72" t="str">
        <f aca="false">IFERROR(IF(INDEX(res_Name,(ROW()-ROW(rw_LoadOrigin)-1))="","",INDEX(rw_Cum,(ROW()-ROW(rw_LoadOrigin)-1),(COLUMN()-COLUMN(rw_LoadOrigin)-1)+1)-INDEX(rw_Cum,(ROW()-ROW(rw_LoadOrigin)-1),(COLUMN()-COLUMN(rw_LoadOrigin)-1))),"")</f>
        <v/>
      </c>
      <c r="O50" s="72" t="str">
        <f aca="false">IFERROR(IF(INDEX(res_Name,(ROW()-ROW(rw_LoadOrigin)-1))="","",INDEX(rw_Cum,(ROW()-ROW(rw_LoadOrigin)-1),(COLUMN()-COLUMN(rw_LoadOrigin)-1)+1)-INDEX(rw_Cum,(ROW()-ROW(rw_LoadOrigin)-1),(COLUMN()-COLUMN(rw_LoadOrigin)-1))),"")</f>
        <v/>
      </c>
      <c r="P50" s="72" t="str">
        <f aca="false">IFERROR(IF(INDEX(res_Name,(ROW()-ROW(rw_LoadOrigin)-1))="","",INDEX(rw_Cum,(ROW()-ROW(rw_LoadOrigin)-1),(COLUMN()-COLUMN(rw_LoadOrigin)-1)+1)-INDEX(rw_Cum,(ROW()-ROW(rw_LoadOrigin)-1),(COLUMN()-COLUMN(rw_LoadOrigin)-1))),"")</f>
        <v/>
      </c>
      <c r="Q50" s="72" t="str">
        <f aca="false">IFERROR(IF(INDEX(res_Name,(ROW()-ROW(rw_LoadOrigin)-1))="","",INDEX(rw_Cum,(ROW()-ROW(rw_LoadOrigin)-1),(COLUMN()-COLUMN(rw_LoadOrigin)-1)+1)-INDEX(rw_Cum,(ROW()-ROW(rw_LoadOrigin)-1),(COLUMN()-COLUMN(rw_LoadOrigin)-1))),"")</f>
        <v/>
      </c>
      <c r="R50" s="72" t="str">
        <f aca="false">IFERROR(IF(INDEX(res_Name,(ROW()-ROW(rw_LoadOrigin)-1))="","",INDEX(rw_Cum,(ROW()-ROW(rw_LoadOrigin)-1),(COLUMN()-COLUMN(rw_LoadOrigin)-1)+1)-INDEX(rw_Cum,(ROW()-ROW(rw_LoadOrigin)-1),(COLUMN()-COLUMN(rw_LoadOrigin)-1))),"")</f>
        <v/>
      </c>
      <c r="S50" s="72" t="str">
        <f aca="false">IFERROR(IF(INDEX(res_Name,(ROW()-ROW(rw_LoadOrigin)-1))="","",INDEX(rw_Cum,(ROW()-ROW(rw_LoadOrigin)-1),(COLUMN()-COLUMN(rw_LoadOrigin)-1)+1)-INDEX(rw_Cum,(ROW()-ROW(rw_LoadOrigin)-1),(COLUMN()-COLUMN(rw_LoadOrigin)-1))),"")</f>
        <v/>
      </c>
      <c r="T50" s="72" t="str">
        <f aca="false">IFERROR(IF(INDEX(res_Name,(ROW()-ROW(rw_LoadOrigin)-1))="","",INDEX(rw_Cum,(ROW()-ROW(rw_LoadOrigin)-1),(COLUMN()-COLUMN(rw_LoadOrigin)-1)+1)-INDEX(rw_Cum,(ROW()-ROW(rw_LoadOrigin)-1),(COLUMN()-COLUMN(rw_LoadOrigin)-1))),"")</f>
        <v/>
      </c>
      <c r="U50" s="72" t="str">
        <f aca="false">IFERROR(IF(INDEX(res_Name,(ROW()-ROW(rw_LoadOrigin)-1))="","",INDEX(rw_Cum,(ROW()-ROW(rw_LoadOrigin)-1),(COLUMN()-COLUMN(rw_LoadOrigin)-1)+1)-INDEX(rw_Cum,(ROW()-ROW(rw_LoadOrigin)-1),(COLUMN()-COLUMN(rw_LoadOrigin)-1))),"")</f>
        <v/>
      </c>
      <c r="V50" s="72" t="str">
        <f aca="false">IFERROR(IF(INDEX(res_Name,(ROW()-ROW(rw_LoadOrigin)-1))="","",INDEX(rw_Cum,(ROW()-ROW(rw_LoadOrigin)-1),(COLUMN()-COLUMN(rw_LoadOrigin)-1)+1)-INDEX(rw_Cum,(ROW()-ROW(rw_LoadOrigin)-1),(COLUMN()-COLUMN(rw_LoadOrigin)-1))),"")</f>
        <v/>
      </c>
      <c r="W50" s="72" t="str">
        <f aca="false">IFERROR(IF(INDEX(res_Name,(ROW()-ROW(rw_LoadOrigin)-1))="","",INDEX(rw_Cum,(ROW()-ROW(rw_LoadOrigin)-1),(COLUMN()-COLUMN(rw_LoadOrigin)-1)+1)-INDEX(rw_Cum,(ROW()-ROW(rw_LoadOrigin)-1),(COLUMN()-COLUMN(rw_LoadOrigin)-1))),"")</f>
        <v/>
      </c>
      <c r="X50" s="72" t="str">
        <f aca="false">IFERROR(IF(INDEX(res_Name,(ROW()-ROW(rw_LoadOrigin)-1))="","",INDEX(rw_Cum,(ROW()-ROW(rw_LoadOrigin)-1),(COLUMN()-COLUMN(rw_LoadOrigin)-1)+1)-INDEX(rw_Cum,(ROW()-ROW(rw_LoadOrigin)-1),(COLUMN()-COLUMN(rw_LoadOrigin)-1))),"")</f>
        <v/>
      </c>
      <c r="Y50" s="72" t="str">
        <f aca="false">IFERROR(IF(INDEX(res_Name,(ROW()-ROW(rw_LoadOrigin)-1))="","",INDEX(rw_Cum,(ROW()-ROW(rw_LoadOrigin)-1),(COLUMN()-COLUMN(rw_LoadOrigin)-1)+1)-INDEX(rw_Cum,(ROW()-ROW(rw_LoadOrigin)-1),(COLUMN()-COLUMN(rw_LoadOrigin)-1))),"")</f>
        <v/>
      </c>
      <c r="Z50" s="72" t="str">
        <f aca="false">IFERROR(IF(INDEX(res_Name,(ROW()-ROW(rw_LoadOrigin)-1))="","",INDEX(rw_Cum,(ROW()-ROW(rw_LoadOrigin)-1),(COLUMN()-COLUMN(rw_LoadOrigin)-1)+1)-INDEX(rw_Cum,(ROW()-ROW(rw_LoadOrigin)-1),(COLUMN()-COLUMN(rw_LoadOrigin)-1))),"")</f>
        <v/>
      </c>
      <c r="AA50" s="72" t="str">
        <f aca="false">IFERROR(IF(INDEX(res_Name,(ROW()-ROW(rw_LoadOrigin)-1))="","",INDEX(rw_Cum,(ROW()-ROW(rw_LoadOrigin)-1),(COLUMN()-COLUMN(rw_LoadOrigin)-1)+1)-INDEX(rw_Cum,(ROW()-ROW(rw_LoadOrigin)-1),(COLUMN()-COLUMN(rw_LoadOrigin)-1))),"")</f>
        <v/>
      </c>
      <c r="AB50" s="72" t="str">
        <f aca="false">IFERROR(IF(INDEX(res_Name,(ROW()-ROW(rw_LoadOrigin)-1))="","",INDEX(rw_Cum,(ROW()-ROW(rw_LoadOrigin)-1),(COLUMN()-COLUMN(rw_LoadOrigin)-1)+1)-INDEX(rw_Cum,(ROW()-ROW(rw_LoadOrigin)-1),(COLUMN()-COLUMN(rw_LoadOrigin)-1))),"")</f>
        <v/>
      </c>
      <c r="AC50" s="72" t="str">
        <f aca="false">IFERROR(IF(INDEX(res_Name,(ROW()-ROW(rw_LoadOrigin)-1))="","",INDEX(rw_Cum,(ROW()-ROW(rw_LoadOrigin)-1),(COLUMN()-COLUMN(rw_LoadOrigin)-1)+1)-INDEX(rw_Cum,(ROW()-ROW(rw_LoadOrigin)-1),(COLUMN()-COLUMN(rw_LoadOrigin)-1))),"")</f>
        <v/>
      </c>
    </row>
    <row r="51" customFormat="false" ht="15" hidden="false" customHeight="false" outlineLevel="0" collapsed="false">
      <c r="B51" s="48" t="str">
        <f aca="false">IFERROR(INDEX(res_Name,(ROW()-ROW(rw_LoadOrigin)-1))&amp;"","")</f>
        <v/>
      </c>
      <c r="C51" s="71" t="str">
        <f aca="false">IFERROR(IF(INDEX(res_Name,(ROW()-ROW(rw_LoadOrigin)-1))="","",INDEX(res_MaxUnits,(ROW()-ROW(rw_LoadOrigin)-1))),"")</f>
        <v/>
      </c>
      <c r="D51" s="72" t="str">
        <f aca="false">IFERROR(IF(INDEX(res_Name,(ROW()-ROW(rw_LoadOrigin)-1))="","",INDEX(rw_Cum,(ROW()-ROW(rw_LoadOrigin)-1),(COLUMN()-COLUMN(rw_LoadOrigin)-1)+1)-INDEX(rw_Cum,(ROW()-ROW(rw_LoadOrigin)-1),(COLUMN()-COLUMN(rw_LoadOrigin)-1))),"")</f>
        <v/>
      </c>
      <c r="E51" s="72" t="str">
        <f aca="false">IFERROR(IF(INDEX(res_Name,(ROW()-ROW(rw_LoadOrigin)-1))="","",INDEX(rw_Cum,(ROW()-ROW(rw_LoadOrigin)-1),(COLUMN()-COLUMN(rw_LoadOrigin)-1)+1)-INDEX(rw_Cum,(ROW()-ROW(rw_LoadOrigin)-1),(COLUMN()-COLUMN(rw_LoadOrigin)-1))),"")</f>
        <v/>
      </c>
      <c r="F51" s="72" t="str">
        <f aca="false">IFERROR(IF(INDEX(res_Name,(ROW()-ROW(rw_LoadOrigin)-1))="","",INDEX(rw_Cum,(ROW()-ROW(rw_LoadOrigin)-1),(COLUMN()-COLUMN(rw_LoadOrigin)-1)+1)-INDEX(rw_Cum,(ROW()-ROW(rw_LoadOrigin)-1),(COLUMN()-COLUMN(rw_LoadOrigin)-1))),"")</f>
        <v/>
      </c>
      <c r="G51" s="72" t="str">
        <f aca="false">IFERROR(IF(INDEX(res_Name,(ROW()-ROW(rw_LoadOrigin)-1))="","",INDEX(rw_Cum,(ROW()-ROW(rw_LoadOrigin)-1),(COLUMN()-COLUMN(rw_LoadOrigin)-1)+1)-INDEX(rw_Cum,(ROW()-ROW(rw_LoadOrigin)-1),(COLUMN()-COLUMN(rw_LoadOrigin)-1))),"")</f>
        <v/>
      </c>
      <c r="H51" s="72" t="str">
        <f aca="false">IFERROR(IF(INDEX(res_Name,(ROW()-ROW(rw_LoadOrigin)-1))="","",INDEX(rw_Cum,(ROW()-ROW(rw_LoadOrigin)-1),(COLUMN()-COLUMN(rw_LoadOrigin)-1)+1)-INDEX(rw_Cum,(ROW()-ROW(rw_LoadOrigin)-1),(COLUMN()-COLUMN(rw_LoadOrigin)-1))),"")</f>
        <v/>
      </c>
      <c r="I51" s="72" t="str">
        <f aca="false">IFERROR(IF(INDEX(res_Name,(ROW()-ROW(rw_LoadOrigin)-1))="","",INDEX(rw_Cum,(ROW()-ROW(rw_LoadOrigin)-1),(COLUMN()-COLUMN(rw_LoadOrigin)-1)+1)-INDEX(rw_Cum,(ROW()-ROW(rw_LoadOrigin)-1),(COLUMN()-COLUMN(rw_LoadOrigin)-1))),"")</f>
        <v/>
      </c>
      <c r="J51" s="72" t="str">
        <f aca="false">IFERROR(IF(INDEX(res_Name,(ROW()-ROW(rw_LoadOrigin)-1))="","",INDEX(rw_Cum,(ROW()-ROW(rw_LoadOrigin)-1),(COLUMN()-COLUMN(rw_LoadOrigin)-1)+1)-INDEX(rw_Cum,(ROW()-ROW(rw_LoadOrigin)-1),(COLUMN()-COLUMN(rw_LoadOrigin)-1))),"")</f>
        <v/>
      </c>
      <c r="K51" s="72" t="str">
        <f aca="false">IFERROR(IF(INDEX(res_Name,(ROW()-ROW(rw_LoadOrigin)-1))="","",INDEX(rw_Cum,(ROW()-ROW(rw_LoadOrigin)-1),(COLUMN()-COLUMN(rw_LoadOrigin)-1)+1)-INDEX(rw_Cum,(ROW()-ROW(rw_LoadOrigin)-1),(COLUMN()-COLUMN(rw_LoadOrigin)-1))),"")</f>
        <v/>
      </c>
      <c r="L51" s="72" t="str">
        <f aca="false">IFERROR(IF(INDEX(res_Name,(ROW()-ROW(rw_LoadOrigin)-1))="","",INDEX(rw_Cum,(ROW()-ROW(rw_LoadOrigin)-1),(COLUMN()-COLUMN(rw_LoadOrigin)-1)+1)-INDEX(rw_Cum,(ROW()-ROW(rw_LoadOrigin)-1),(COLUMN()-COLUMN(rw_LoadOrigin)-1))),"")</f>
        <v/>
      </c>
      <c r="M51" s="72" t="str">
        <f aca="false">IFERROR(IF(INDEX(res_Name,(ROW()-ROW(rw_LoadOrigin)-1))="","",INDEX(rw_Cum,(ROW()-ROW(rw_LoadOrigin)-1),(COLUMN()-COLUMN(rw_LoadOrigin)-1)+1)-INDEX(rw_Cum,(ROW()-ROW(rw_LoadOrigin)-1),(COLUMN()-COLUMN(rw_LoadOrigin)-1))),"")</f>
        <v/>
      </c>
      <c r="N51" s="72" t="str">
        <f aca="false">IFERROR(IF(INDEX(res_Name,(ROW()-ROW(rw_LoadOrigin)-1))="","",INDEX(rw_Cum,(ROW()-ROW(rw_LoadOrigin)-1),(COLUMN()-COLUMN(rw_LoadOrigin)-1)+1)-INDEX(rw_Cum,(ROW()-ROW(rw_LoadOrigin)-1),(COLUMN()-COLUMN(rw_LoadOrigin)-1))),"")</f>
        <v/>
      </c>
      <c r="O51" s="72" t="str">
        <f aca="false">IFERROR(IF(INDEX(res_Name,(ROW()-ROW(rw_LoadOrigin)-1))="","",INDEX(rw_Cum,(ROW()-ROW(rw_LoadOrigin)-1),(COLUMN()-COLUMN(rw_LoadOrigin)-1)+1)-INDEX(rw_Cum,(ROW()-ROW(rw_LoadOrigin)-1),(COLUMN()-COLUMN(rw_LoadOrigin)-1))),"")</f>
        <v/>
      </c>
      <c r="P51" s="72" t="str">
        <f aca="false">IFERROR(IF(INDEX(res_Name,(ROW()-ROW(rw_LoadOrigin)-1))="","",INDEX(rw_Cum,(ROW()-ROW(rw_LoadOrigin)-1),(COLUMN()-COLUMN(rw_LoadOrigin)-1)+1)-INDEX(rw_Cum,(ROW()-ROW(rw_LoadOrigin)-1),(COLUMN()-COLUMN(rw_LoadOrigin)-1))),"")</f>
        <v/>
      </c>
      <c r="Q51" s="72" t="str">
        <f aca="false">IFERROR(IF(INDEX(res_Name,(ROW()-ROW(rw_LoadOrigin)-1))="","",INDEX(rw_Cum,(ROW()-ROW(rw_LoadOrigin)-1),(COLUMN()-COLUMN(rw_LoadOrigin)-1)+1)-INDEX(rw_Cum,(ROW()-ROW(rw_LoadOrigin)-1),(COLUMN()-COLUMN(rw_LoadOrigin)-1))),"")</f>
        <v/>
      </c>
      <c r="R51" s="72" t="str">
        <f aca="false">IFERROR(IF(INDEX(res_Name,(ROW()-ROW(rw_LoadOrigin)-1))="","",INDEX(rw_Cum,(ROW()-ROW(rw_LoadOrigin)-1),(COLUMN()-COLUMN(rw_LoadOrigin)-1)+1)-INDEX(rw_Cum,(ROW()-ROW(rw_LoadOrigin)-1),(COLUMN()-COLUMN(rw_LoadOrigin)-1))),"")</f>
        <v/>
      </c>
      <c r="S51" s="72" t="str">
        <f aca="false">IFERROR(IF(INDEX(res_Name,(ROW()-ROW(rw_LoadOrigin)-1))="","",INDEX(rw_Cum,(ROW()-ROW(rw_LoadOrigin)-1),(COLUMN()-COLUMN(rw_LoadOrigin)-1)+1)-INDEX(rw_Cum,(ROW()-ROW(rw_LoadOrigin)-1),(COLUMN()-COLUMN(rw_LoadOrigin)-1))),"")</f>
        <v/>
      </c>
      <c r="T51" s="72" t="str">
        <f aca="false">IFERROR(IF(INDEX(res_Name,(ROW()-ROW(rw_LoadOrigin)-1))="","",INDEX(rw_Cum,(ROW()-ROW(rw_LoadOrigin)-1),(COLUMN()-COLUMN(rw_LoadOrigin)-1)+1)-INDEX(rw_Cum,(ROW()-ROW(rw_LoadOrigin)-1),(COLUMN()-COLUMN(rw_LoadOrigin)-1))),"")</f>
        <v/>
      </c>
      <c r="U51" s="72" t="str">
        <f aca="false">IFERROR(IF(INDEX(res_Name,(ROW()-ROW(rw_LoadOrigin)-1))="","",INDEX(rw_Cum,(ROW()-ROW(rw_LoadOrigin)-1),(COLUMN()-COLUMN(rw_LoadOrigin)-1)+1)-INDEX(rw_Cum,(ROW()-ROW(rw_LoadOrigin)-1),(COLUMN()-COLUMN(rw_LoadOrigin)-1))),"")</f>
        <v/>
      </c>
      <c r="V51" s="72" t="str">
        <f aca="false">IFERROR(IF(INDEX(res_Name,(ROW()-ROW(rw_LoadOrigin)-1))="","",INDEX(rw_Cum,(ROW()-ROW(rw_LoadOrigin)-1),(COLUMN()-COLUMN(rw_LoadOrigin)-1)+1)-INDEX(rw_Cum,(ROW()-ROW(rw_LoadOrigin)-1),(COLUMN()-COLUMN(rw_LoadOrigin)-1))),"")</f>
        <v/>
      </c>
      <c r="W51" s="72" t="str">
        <f aca="false">IFERROR(IF(INDEX(res_Name,(ROW()-ROW(rw_LoadOrigin)-1))="","",INDEX(rw_Cum,(ROW()-ROW(rw_LoadOrigin)-1),(COLUMN()-COLUMN(rw_LoadOrigin)-1)+1)-INDEX(rw_Cum,(ROW()-ROW(rw_LoadOrigin)-1),(COLUMN()-COLUMN(rw_LoadOrigin)-1))),"")</f>
        <v/>
      </c>
      <c r="X51" s="72" t="str">
        <f aca="false">IFERROR(IF(INDEX(res_Name,(ROW()-ROW(rw_LoadOrigin)-1))="","",INDEX(rw_Cum,(ROW()-ROW(rw_LoadOrigin)-1),(COLUMN()-COLUMN(rw_LoadOrigin)-1)+1)-INDEX(rw_Cum,(ROW()-ROW(rw_LoadOrigin)-1),(COLUMN()-COLUMN(rw_LoadOrigin)-1))),"")</f>
        <v/>
      </c>
      <c r="Y51" s="72" t="str">
        <f aca="false">IFERROR(IF(INDEX(res_Name,(ROW()-ROW(rw_LoadOrigin)-1))="","",INDEX(rw_Cum,(ROW()-ROW(rw_LoadOrigin)-1),(COLUMN()-COLUMN(rw_LoadOrigin)-1)+1)-INDEX(rw_Cum,(ROW()-ROW(rw_LoadOrigin)-1),(COLUMN()-COLUMN(rw_LoadOrigin)-1))),"")</f>
        <v/>
      </c>
      <c r="Z51" s="72" t="str">
        <f aca="false">IFERROR(IF(INDEX(res_Name,(ROW()-ROW(rw_LoadOrigin)-1))="","",INDEX(rw_Cum,(ROW()-ROW(rw_LoadOrigin)-1),(COLUMN()-COLUMN(rw_LoadOrigin)-1)+1)-INDEX(rw_Cum,(ROW()-ROW(rw_LoadOrigin)-1),(COLUMN()-COLUMN(rw_LoadOrigin)-1))),"")</f>
        <v/>
      </c>
      <c r="AA51" s="72" t="str">
        <f aca="false">IFERROR(IF(INDEX(res_Name,(ROW()-ROW(rw_LoadOrigin)-1))="","",INDEX(rw_Cum,(ROW()-ROW(rw_LoadOrigin)-1),(COLUMN()-COLUMN(rw_LoadOrigin)-1)+1)-INDEX(rw_Cum,(ROW()-ROW(rw_LoadOrigin)-1),(COLUMN()-COLUMN(rw_LoadOrigin)-1))),"")</f>
        <v/>
      </c>
      <c r="AB51" s="72" t="str">
        <f aca="false">IFERROR(IF(INDEX(res_Name,(ROW()-ROW(rw_LoadOrigin)-1))="","",INDEX(rw_Cum,(ROW()-ROW(rw_LoadOrigin)-1),(COLUMN()-COLUMN(rw_LoadOrigin)-1)+1)-INDEX(rw_Cum,(ROW()-ROW(rw_LoadOrigin)-1),(COLUMN()-COLUMN(rw_LoadOrigin)-1))),"")</f>
        <v/>
      </c>
      <c r="AC51" s="72" t="str">
        <f aca="false">IFERROR(IF(INDEX(res_Name,(ROW()-ROW(rw_LoadOrigin)-1))="","",INDEX(rw_Cum,(ROW()-ROW(rw_LoadOrigin)-1),(COLUMN()-COLUMN(rw_LoadOrigin)-1)+1)-INDEX(rw_Cum,(ROW()-ROW(rw_LoadOrigin)-1),(COLUMN()-COLUMN(rw_LoadOrigin)-1))),"")</f>
        <v/>
      </c>
    </row>
    <row r="52" customFormat="false" ht="15" hidden="false" customHeight="false" outlineLevel="0" collapsed="false">
      <c r="B52" s="48" t="str">
        <f aca="false">IFERROR(INDEX(res_Name,(ROW()-ROW(rw_LoadOrigin)-1))&amp;"","")</f>
        <v/>
      </c>
      <c r="C52" s="71" t="str">
        <f aca="false">IFERROR(IF(INDEX(res_Name,(ROW()-ROW(rw_LoadOrigin)-1))="","",INDEX(res_MaxUnits,(ROW()-ROW(rw_LoadOrigin)-1))),"")</f>
        <v/>
      </c>
      <c r="D52" s="72" t="str">
        <f aca="false">IFERROR(IF(INDEX(res_Name,(ROW()-ROW(rw_LoadOrigin)-1))="","",INDEX(rw_Cum,(ROW()-ROW(rw_LoadOrigin)-1),(COLUMN()-COLUMN(rw_LoadOrigin)-1)+1)-INDEX(rw_Cum,(ROW()-ROW(rw_LoadOrigin)-1),(COLUMN()-COLUMN(rw_LoadOrigin)-1))),"")</f>
        <v/>
      </c>
      <c r="E52" s="72" t="str">
        <f aca="false">IFERROR(IF(INDEX(res_Name,(ROW()-ROW(rw_LoadOrigin)-1))="","",INDEX(rw_Cum,(ROW()-ROW(rw_LoadOrigin)-1),(COLUMN()-COLUMN(rw_LoadOrigin)-1)+1)-INDEX(rw_Cum,(ROW()-ROW(rw_LoadOrigin)-1),(COLUMN()-COLUMN(rw_LoadOrigin)-1))),"")</f>
        <v/>
      </c>
      <c r="F52" s="72" t="str">
        <f aca="false">IFERROR(IF(INDEX(res_Name,(ROW()-ROW(rw_LoadOrigin)-1))="","",INDEX(rw_Cum,(ROW()-ROW(rw_LoadOrigin)-1),(COLUMN()-COLUMN(rw_LoadOrigin)-1)+1)-INDEX(rw_Cum,(ROW()-ROW(rw_LoadOrigin)-1),(COLUMN()-COLUMN(rw_LoadOrigin)-1))),"")</f>
        <v/>
      </c>
      <c r="G52" s="72" t="str">
        <f aca="false">IFERROR(IF(INDEX(res_Name,(ROW()-ROW(rw_LoadOrigin)-1))="","",INDEX(rw_Cum,(ROW()-ROW(rw_LoadOrigin)-1),(COLUMN()-COLUMN(rw_LoadOrigin)-1)+1)-INDEX(rw_Cum,(ROW()-ROW(rw_LoadOrigin)-1),(COLUMN()-COLUMN(rw_LoadOrigin)-1))),"")</f>
        <v/>
      </c>
      <c r="H52" s="72" t="str">
        <f aca="false">IFERROR(IF(INDEX(res_Name,(ROW()-ROW(rw_LoadOrigin)-1))="","",INDEX(rw_Cum,(ROW()-ROW(rw_LoadOrigin)-1),(COLUMN()-COLUMN(rw_LoadOrigin)-1)+1)-INDEX(rw_Cum,(ROW()-ROW(rw_LoadOrigin)-1),(COLUMN()-COLUMN(rw_LoadOrigin)-1))),"")</f>
        <v/>
      </c>
      <c r="I52" s="72" t="str">
        <f aca="false">IFERROR(IF(INDEX(res_Name,(ROW()-ROW(rw_LoadOrigin)-1))="","",INDEX(rw_Cum,(ROW()-ROW(rw_LoadOrigin)-1),(COLUMN()-COLUMN(rw_LoadOrigin)-1)+1)-INDEX(rw_Cum,(ROW()-ROW(rw_LoadOrigin)-1),(COLUMN()-COLUMN(rw_LoadOrigin)-1))),"")</f>
        <v/>
      </c>
      <c r="J52" s="72" t="str">
        <f aca="false">IFERROR(IF(INDEX(res_Name,(ROW()-ROW(rw_LoadOrigin)-1))="","",INDEX(rw_Cum,(ROW()-ROW(rw_LoadOrigin)-1),(COLUMN()-COLUMN(rw_LoadOrigin)-1)+1)-INDEX(rw_Cum,(ROW()-ROW(rw_LoadOrigin)-1),(COLUMN()-COLUMN(rw_LoadOrigin)-1))),"")</f>
        <v/>
      </c>
      <c r="K52" s="72" t="str">
        <f aca="false">IFERROR(IF(INDEX(res_Name,(ROW()-ROW(rw_LoadOrigin)-1))="","",INDEX(rw_Cum,(ROW()-ROW(rw_LoadOrigin)-1),(COLUMN()-COLUMN(rw_LoadOrigin)-1)+1)-INDEX(rw_Cum,(ROW()-ROW(rw_LoadOrigin)-1),(COLUMN()-COLUMN(rw_LoadOrigin)-1))),"")</f>
        <v/>
      </c>
      <c r="L52" s="72" t="str">
        <f aca="false">IFERROR(IF(INDEX(res_Name,(ROW()-ROW(rw_LoadOrigin)-1))="","",INDEX(rw_Cum,(ROW()-ROW(rw_LoadOrigin)-1),(COLUMN()-COLUMN(rw_LoadOrigin)-1)+1)-INDEX(rw_Cum,(ROW()-ROW(rw_LoadOrigin)-1),(COLUMN()-COLUMN(rw_LoadOrigin)-1))),"")</f>
        <v/>
      </c>
      <c r="M52" s="72" t="str">
        <f aca="false">IFERROR(IF(INDEX(res_Name,(ROW()-ROW(rw_LoadOrigin)-1))="","",INDEX(rw_Cum,(ROW()-ROW(rw_LoadOrigin)-1),(COLUMN()-COLUMN(rw_LoadOrigin)-1)+1)-INDEX(rw_Cum,(ROW()-ROW(rw_LoadOrigin)-1),(COLUMN()-COLUMN(rw_LoadOrigin)-1))),"")</f>
        <v/>
      </c>
      <c r="N52" s="72" t="str">
        <f aca="false">IFERROR(IF(INDEX(res_Name,(ROW()-ROW(rw_LoadOrigin)-1))="","",INDEX(rw_Cum,(ROW()-ROW(rw_LoadOrigin)-1),(COLUMN()-COLUMN(rw_LoadOrigin)-1)+1)-INDEX(rw_Cum,(ROW()-ROW(rw_LoadOrigin)-1),(COLUMN()-COLUMN(rw_LoadOrigin)-1))),"")</f>
        <v/>
      </c>
      <c r="O52" s="72" t="str">
        <f aca="false">IFERROR(IF(INDEX(res_Name,(ROW()-ROW(rw_LoadOrigin)-1))="","",INDEX(rw_Cum,(ROW()-ROW(rw_LoadOrigin)-1),(COLUMN()-COLUMN(rw_LoadOrigin)-1)+1)-INDEX(rw_Cum,(ROW()-ROW(rw_LoadOrigin)-1),(COLUMN()-COLUMN(rw_LoadOrigin)-1))),"")</f>
        <v/>
      </c>
      <c r="P52" s="72" t="str">
        <f aca="false">IFERROR(IF(INDEX(res_Name,(ROW()-ROW(rw_LoadOrigin)-1))="","",INDEX(rw_Cum,(ROW()-ROW(rw_LoadOrigin)-1),(COLUMN()-COLUMN(rw_LoadOrigin)-1)+1)-INDEX(rw_Cum,(ROW()-ROW(rw_LoadOrigin)-1),(COLUMN()-COLUMN(rw_LoadOrigin)-1))),"")</f>
        <v/>
      </c>
      <c r="Q52" s="72" t="str">
        <f aca="false">IFERROR(IF(INDEX(res_Name,(ROW()-ROW(rw_LoadOrigin)-1))="","",INDEX(rw_Cum,(ROW()-ROW(rw_LoadOrigin)-1),(COLUMN()-COLUMN(rw_LoadOrigin)-1)+1)-INDEX(rw_Cum,(ROW()-ROW(rw_LoadOrigin)-1),(COLUMN()-COLUMN(rw_LoadOrigin)-1))),"")</f>
        <v/>
      </c>
      <c r="R52" s="72" t="str">
        <f aca="false">IFERROR(IF(INDEX(res_Name,(ROW()-ROW(rw_LoadOrigin)-1))="","",INDEX(rw_Cum,(ROW()-ROW(rw_LoadOrigin)-1),(COLUMN()-COLUMN(rw_LoadOrigin)-1)+1)-INDEX(rw_Cum,(ROW()-ROW(rw_LoadOrigin)-1),(COLUMN()-COLUMN(rw_LoadOrigin)-1))),"")</f>
        <v/>
      </c>
      <c r="S52" s="72" t="str">
        <f aca="false">IFERROR(IF(INDEX(res_Name,(ROW()-ROW(rw_LoadOrigin)-1))="","",INDEX(rw_Cum,(ROW()-ROW(rw_LoadOrigin)-1),(COLUMN()-COLUMN(rw_LoadOrigin)-1)+1)-INDEX(rw_Cum,(ROW()-ROW(rw_LoadOrigin)-1),(COLUMN()-COLUMN(rw_LoadOrigin)-1))),"")</f>
        <v/>
      </c>
      <c r="T52" s="72" t="str">
        <f aca="false">IFERROR(IF(INDEX(res_Name,(ROW()-ROW(rw_LoadOrigin)-1))="","",INDEX(rw_Cum,(ROW()-ROW(rw_LoadOrigin)-1),(COLUMN()-COLUMN(rw_LoadOrigin)-1)+1)-INDEX(rw_Cum,(ROW()-ROW(rw_LoadOrigin)-1),(COLUMN()-COLUMN(rw_LoadOrigin)-1))),"")</f>
        <v/>
      </c>
      <c r="U52" s="72" t="str">
        <f aca="false">IFERROR(IF(INDEX(res_Name,(ROW()-ROW(rw_LoadOrigin)-1))="","",INDEX(rw_Cum,(ROW()-ROW(rw_LoadOrigin)-1),(COLUMN()-COLUMN(rw_LoadOrigin)-1)+1)-INDEX(rw_Cum,(ROW()-ROW(rw_LoadOrigin)-1),(COLUMN()-COLUMN(rw_LoadOrigin)-1))),"")</f>
        <v/>
      </c>
      <c r="V52" s="72" t="str">
        <f aca="false">IFERROR(IF(INDEX(res_Name,(ROW()-ROW(rw_LoadOrigin)-1))="","",INDEX(rw_Cum,(ROW()-ROW(rw_LoadOrigin)-1),(COLUMN()-COLUMN(rw_LoadOrigin)-1)+1)-INDEX(rw_Cum,(ROW()-ROW(rw_LoadOrigin)-1),(COLUMN()-COLUMN(rw_LoadOrigin)-1))),"")</f>
        <v/>
      </c>
      <c r="W52" s="72" t="str">
        <f aca="false">IFERROR(IF(INDEX(res_Name,(ROW()-ROW(rw_LoadOrigin)-1))="","",INDEX(rw_Cum,(ROW()-ROW(rw_LoadOrigin)-1),(COLUMN()-COLUMN(rw_LoadOrigin)-1)+1)-INDEX(rw_Cum,(ROW()-ROW(rw_LoadOrigin)-1),(COLUMN()-COLUMN(rw_LoadOrigin)-1))),"")</f>
        <v/>
      </c>
      <c r="X52" s="72" t="str">
        <f aca="false">IFERROR(IF(INDEX(res_Name,(ROW()-ROW(rw_LoadOrigin)-1))="","",INDEX(rw_Cum,(ROW()-ROW(rw_LoadOrigin)-1),(COLUMN()-COLUMN(rw_LoadOrigin)-1)+1)-INDEX(rw_Cum,(ROW()-ROW(rw_LoadOrigin)-1),(COLUMN()-COLUMN(rw_LoadOrigin)-1))),"")</f>
        <v/>
      </c>
      <c r="Y52" s="72" t="str">
        <f aca="false">IFERROR(IF(INDEX(res_Name,(ROW()-ROW(rw_LoadOrigin)-1))="","",INDEX(rw_Cum,(ROW()-ROW(rw_LoadOrigin)-1),(COLUMN()-COLUMN(rw_LoadOrigin)-1)+1)-INDEX(rw_Cum,(ROW()-ROW(rw_LoadOrigin)-1),(COLUMN()-COLUMN(rw_LoadOrigin)-1))),"")</f>
        <v/>
      </c>
      <c r="Z52" s="72" t="str">
        <f aca="false">IFERROR(IF(INDEX(res_Name,(ROW()-ROW(rw_LoadOrigin)-1))="","",INDEX(rw_Cum,(ROW()-ROW(rw_LoadOrigin)-1),(COLUMN()-COLUMN(rw_LoadOrigin)-1)+1)-INDEX(rw_Cum,(ROW()-ROW(rw_LoadOrigin)-1),(COLUMN()-COLUMN(rw_LoadOrigin)-1))),"")</f>
        <v/>
      </c>
      <c r="AA52" s="72" t="str">
        <f aca="false">IFERROR(IF(INDEX(res_Name,(ROW()-ROW(rw_LoadOrigin)-1))="","",INDEX(rw_Cum,(ROW()-ROW(rw_LoadOrigin)-1),(COLUMN()-COLUMN(rw_LoadOrigin)-1)+1)-INDEX(rw_Cum,(ROW()-ROW(rw_LoadOrigin)-1),(COLUMN()-COLUMN(rw_LoadOrigin)-1))),"")</f>
        <v/>
      </c>
      <c r="AB52" s="72" t="str">
        <f aca="false">IFERROR(IF(INDEX(res_Name,(ROW()-ROW(rw_LoadOrigin)-1))="","",INDEX(rw_Cum,(ROW()-ROW(rw_LoadOrigin)-1),(COLUMN()-COLUMN(rw_LoadOrigin)-1)+1)-INDEX(rw_Cum,(ROW()-ROW(rw_LoadOrigin)-1),(COLUMN()-COLUMN(rw_LoadOrigin)-1))),"")</f>
        <v/>
      </c>
      <c r="AC52" s="72" t="str">
        <f aca="false">IFERROR(IF(INDEX(res_Name,(ROW()-ROW(rw_LoadOrigin)-1))="","",INDEX(rw_Cum,(ROW()-ROW(rw_LoadOrigin)-1),(COLUMN()-COLUMN(rw_LoadOrigin)-1)+1)-INDEX(rw_Cum,(ROW()-ROW(rw_LoadOrigin)-1),(COLUMN()-COLUMN(rw_LoadOrigin)-1))),"")</f>
        <v/>
      </c>
    </row>
    <row r="53" customFormat="false" ht="15" hidden="false" customHeight="false" outlineLevel="0" collapsed="false">
      <c r="B53" s="48" t="str">
        <f aca="false">IFERROR(INDEX(res_Name,(ROW()-ROW(rw_LoadOrigin)-1))&amp;"","")</f>
        <v/>
      </c>
      <c r="C53" s="71" t="str">
        <f aca="false">IFERROR(IF(INDEX(res_Name,(ROW()-ROW(rw_LoadOrigin)-1))="","",INDEX(res_MaxUnits,(ROW()-ROW(rw_LoadOrigin)-1))),"")</f>
        <v/>
      </c>
      <c r="D53" s="72" t="str">
        <f aca="false">IFERROR(IF(INDEX(res_Name,(ROW()-ROW(rw_LoadOrigin)-1))="","",INDEX(rw_Cum,(ROW()-ROW(rw_LoadOrigin)-1),(COLUMN()-COLUMN(rw_LoadOrigin)-1)+1)-INDEX(rw_Cum,(ROW()-ROW(rw_LoadOrigin)-1),(COLUMN()-COLUMN(rw_LoadOrigin)-1))),"")</f>
        <v/>
      </c>
      <c r="E53" s="72" t="str">
        <f aca="false">IFERROR(IF(INDEX(res_Name,(ROW()-ROW(rw_LoadOrigin)-1))="","",INDEX(rw_Cum,(ROW()-ROW(rw_LoadOrigin)-1),(COLUMN()-COLUMN(rw_LoadOrigin)-1)+1)-INDEX(rw_Cum,(ROW()-ROW(rw_LoadOrigin)-1),(COLUMN()-COLUMN(rw_LoadOrigin)-1))),"")</f>
        <v/>
      </c>
      <c r="F53" s="72" t="str">
        <f aca="false">IFERROR(IF(INDEX(res_Name,(ROW()-ROW(rw_LoadOrigin)-1))="","",INDEX(rw_Cum,(ROW()-ROW(rw_LoadOrigin)-1),(COLUMN()-COLUMN(rw_LoadOrigin)-1)+1)-INDEX(rw_Cum,(ROW()-ROW(rw_LoadOrigin)-1),(COLUMN()-COLUMN(rw_LoadOrigin)-1))),"")</f>
        <v/>
      </c>
      <c r="G53" s="72" t="str">
        <f aca="false">IFERROR(IF(INDEX(res_Name,(ROW()-ROW(rw_LoadOrigin)-1))="","",INDEX(rw_Cum,(ROW()-ROW(rw_LoadOrigin)-1),(COLUMN()-COLUMN(rw_LoadOrigin)-1)+1)-INDEX(rw_Cum,(ROW()-ROW(rw_LoadOrigin)-1),(COLUMN()-COLUMN(rw_LoadOrigin)-1))),"")</f>
        <v/>
      </c>
      <c r="H53" s="72" t="str">
        <f aca="false">IFERROR(IF(INDEX(res_Name,(ROW()-ROW(rw_LoadOrigin)-1))="","",INDEX(rw_Cum,(ROW()-ROW(rw_LoadOrigin)-1),(COLUMN()-COLUMN(rw_LoadOrigin)-1)+1)-INDEX(rw_Cum,(ROW()-ROW(rw_LoadOrigin)-1),(COLUMN()-COLUMN(rw_LoadOrigin)-1))),"")</f>
        <v/>
      </c>
      <c r="I53" s="72" t="str">
        <f aca="false">IFERROR(IF(INDEX(res_Name,(ROW()-ROW(rw_LoadOrigin)-1))="","",INDEX(rw_Cum,(ROW()-ROW(rw_LoadOrigin)-1),(COLUMN()-COLUMN(rw_LoadOrigin)-1)+1)-INDEX(rw_Cum,(ROW()-ROW(rw_LoadOrigin)-1),(COLUMN()-COLUMN(rw_LoadOrigin)-1))),"")</f>
        <v/>
      </c>
      <c r="J53" s="72" t="str">
        <f aca="false">IFERROR(IF(INDEX(res_Name,(ROW()-ROW(rw_LoadOrigin)-1))="","",INDEX(rw_Cum,(ROW()-ROW(rw_LoadOrigin)-1),(COLUMN()-COLUMN(rw_LoadOrigin)-1)+1)-INDEX(rw_Cum,(ROW()-ROW(rw_LoadOrigin)-1),(COLUMN()-COLUMN(rw_LoadOrigin)-1))),"")</f>
        <v/>
      </c>
      <c r="K53" s="72" t="str">
        <f aca="false">IFERROR(IF(INDEX(res_Name,(ROW()-ROW(rw_LoadOrigin)-1))="","",INDEX(rw_Cum,(ROW()-ROW(rw_LoadOrigin)-1),(COLUMN()-COLUMN(rw_LoadOrigin)-1)+1)-INDEX(rw_Cum,(ROW()-ROW(rw_LoadOrigin)-1),(COLUMN()-COLUMN(rw_LoadOrigin)-1))),"")</f>
        <v/>
      </c>
      <c r="L53" s="72" t="str">
        <f aca="false">IFERROR(IF(INDEX(res_Name,(ROW()-ROW(rw_LoadOrigin)-1))="","",INDEX(rw_Cum,(ROW()-ROW(rw_LoadOrigin)-1),(COLUMN()-COLUMN(rw_LoadOrigin)-1)+1)-INDEX(rw_Cum,(ROW()-ROW(rw_LoadOrigin)-1),(COLUMN()-COLUMN(rw_LoadOrigin)-1))),"")</f>
        <v/>
      </c>
      <c r="M53" s="72" t="str">
        <f aca="false">IFERROR(IF(INDEX(res_Name,(ROW()-ROW(rw_LoadOrigin)-1))="","",INDEX(rw_Cum,(ROW()-ROW(rw_LoadOrigin)-1),(COLUMN()-COLUMN(rw_LoadOrigin)-1)+1)-INDEX(rw_Cum,(ROW()-ROW(rw_LoadOrigin)-1),(COLUMN()-COLUMN(rw_LoadOrigin)-1))),"")</f>
        <v/>
      </c>
      <c r="N53" s="72" t="str">
        <f aca="false">IFERROR(IF(INDEX(res_Name,(ROW()-ROW(rw_LoadOrigin)-1))="","",INDEX(rw_Cum,(ROW()-ROW(rw_LoadOrigin)-1),(COLUMN()-COLUMN(rw_LoadOrigin)-1)+1)-INDEX(rw_Cum,(ROW()-ROW(rw_LoadOrigin)-1),(COLUMN()-COLUMN(rw_LoadOrigin)-1))),"")</f>
        <v/>
      </c>
      <c r="O53" s="72" t="str">
        <f aca="false">IFERROR(IF(INDEX(res_Name,(ROW()-ROW(rw_LoadOrigin)-1))="","",INDEX(rw_Cum,(ROW()-ROW(rw_LoadOrigin)-1),(COLUMN()-COLUMN(rw_LoadOrigin)-1)+1)-INDEX(rw_Cum,(ROW()-ROW(rw_LoadOrigin)-1),(COLUMN()-COLUMN(rw_LoadOrigin)-1))),"")</f>
        <v/>
      </c>
      <c r="P53" s="72" t="str">
        <f aca="false">IFERROR(IF(INDEX(res_Name,(ROW()-ROW(rw_LoadOrigin)-1))="","",INDEX(rw_Cum,(ROW()-ROW(rw_LoadOrigin)-1),(COLUMN()-COLUMN(rw_LoadOrigin)-1)+1)-INDEX(rw_Cum,(ROW()-ROW(rw_LoadOrigin)-1),(COLUMN()-COLUMN(rw_LoadOrigin)-1))),"")</f>
        <v/>
      </c>
      <c r="Q53" s="72" t="str">
        <f aca="false">IFERROR(IF(INDEX(res_Name,(ROW()-ROW(rw_LoadOrigin)-1))="","",INDEX(rw_Cum,(ROW()-ROW(rw_LoadOrigin)-1),(COLUMN()-COLUMN(rw_LoadOrigin)-1)+1)-INDEX(rw_Cum,(ROW()-ROW(rw_LoadOrigin)-1),(COLUMN()-COLUMN(rw_LoadOrigin)-1))),"")</f>
        <v/>
      </c>
      <c r="R53" s="72" t="str">
        <f aca="false">IFERROR(IF(INDEX(res_Name,(ROW()-ROW(rw_LoadOrigin)-1))="","",INDEX(rw_Cum,(ROW()-ROW(rw_LoadOrigin)-1),(COLUMN()-COLUMN(rw_LoadOrigin)-1)+1)-INDEX(rw_Cum,(ROW()-ROW(rw_LoadOrigin)-1),(COLUMN()-COLUMN(rw_LoadOrigin)-1))),"")</f>
        <v/>
      </c>
      <c r="S53" s="72" t="str">
        <f aca="false">IFERROR(IF(INDEX(res_Name,(ROW()-ROW(rw_LoadOrigin)-1))="","",INDEX(rw_Cum,(ROW()-ROW(rw_LoadOrigin)-1),(COLUMN()-COLUMN(rw_LoadOrigin)-1)+1)-INDEX(rw_Cum,(ROW()-ROW(rw_LoadOrigin)-1),(COLUMN()-COLUMN(rw_LoadOrigin)-1))),"")</f>
        <v/>
      </c>
      <c r="T53" s="72" t="str">
        <f aca="false">IFERROR(IF(INDEX(res_Name,(ROW()-ROW(rw_LoadOrigin)-1))="","",INDEX(rw_Cum,(ROW()-ROW(rw_LoadOrigin)-1),(COLUMN()-COLUMN(rw_LoadOrigin)-1)+1)-INDEX(rw_Cum,(ROW()-ROW(rw_LoadOrigin)-1),(COLUMN()-COLUMN(rw_LoadOrigin)-1))),"")</f>
        <v/>
      </c>
      <c r="U53" s="72" t="str">
        <f aca="false">IFERROR(IF(INDEX(res_Name,(ROW()-ROW(rw_LoadOrigin)-1))="","",INDEX(rw_Cum,(ROW()-ROW(rw_LoadOrigin)-1),(COLUMN()-COLUMN(rw_LoadOrigin)-1)+1)-INDEX(rw_Cum,(ROW()-ROW(rw_LoadOrigin)-1),(COLUMN()-COLUMN(rw_LoadOrigin)-1))),"")</f>
        <v/>
      </c>
      <c r="V53" s="72" t="str">
        <f aca="false">IFERROR(IF(INDEX(res_Name,(ROW()-ROW(rw_LoadOrigin)-1))="","",INDEX(rw_Cum,(ROW()-ROW(rw_LoadOrigin)-1),(COLUMN()-COLUMN(rw_LoadOrigin)-1)+1)-INDEX(rw_Cum,(ROW()-ROW(rw_LoadOrigin)-1),(COLUMN()-COLUMN(rw_LoadOrigin)-1))),"")</f>
        <v/>
      </c>
      <c r="W53" s="72" t="str">
        <f aca="false">IFERROR(IF(INDEX(res_Name,(ROW()-ROW(rw_LoadOrigin)-1))="","",INDEX(rw_Cum,(ROW()-ROW(rw_LoadOrigin)-1),(COLUMN()-COLUMN(rw_LoadOrigin)-1)+1)-INDEX(rw_Cum,(ROW()-ROW(rw_LoadOrigin)-1),(COLUMN()-COLUMN(rw_LoadOrigin)-1))),"")</f>
        <v/>
      </c>
      <c r="X53" s="72" t="str">
        <f aca="false">IFERROR(IF(INDEX(res_Name,(ROW()-ROW(rw_LoadOrigin)-1))="","",INDEX(rw_Cum,(ROW()-ROW(rw_LoadOrigin)-1),(COLUMN()-COLUMN(rw_LoadOrigin)-1)+1)-INDEX(rw_Cum,(ROW()-ROW(rw_LoadOrigin)-1),(COLUMN()-COLUMN(rw_LoadOrigin)-1))),"")</f>
        <v/>
      </c>
      <c r="Y53" s="72" t="str">
        <f aca="false">IFERROR(IF(INDEX(res_Name,(ROW()-ROW(rw_LoadOrigin)-1))="","",INDEX(rw_Cum,(ROW()-ROW(rw_LoadOrigin)-1),(COLUMN()-COLUMN(rw_LoadOrigin)-1)+1)-INDEX(rw_Cum,(ROW()-ROW(rw_LoadOrigin)-1),(COLUMN()-COLUMN(rw_LoadOrigin)-1))),"")</f>
        <v/>
      </c>
      <c r="Z53" s="72" t="str">
        <f aca="false">IFERROR(IF(INDEX(res_Name,(ROW()-ROW(rw_LoadOrigin)-1))="","",INDEX(rw_Cum,(ROW()-ROW(rw_LoadOrigin)-1),(COLUMN()-COLUMN(rw_LoadOrigin)-1)+1)-INDEX(rw_Cum,(ROW()-ROW(rw_LoadOrigin)-1),(COLUMN()-COLUMN(rw_LoadOrigin)-1))),"")</f>
        <v/>
      </c>
      <c r="AA53" s="72" t="str">
        <f aca="false">IFERROR(IF(INDEX(res_Name,(ROW()-ROW(rw_LoadOrigin)-1))="","",INDEX(rw_Cum,(ROW()-ROW(rw_LoadOrigin)-1),(COLUMN()-COLUMN(rw_LoadOrigin)-1)+1)-INDEX(rw_Cum,(ROW()-ROW(rw_LoadOrigin)-1),(COLUMN()-COLUMN(rw_LoadOrigin)-1))),"")</f>
        <v/>
      </c>
      <c r="AB53" s="72" t="str">
        <f aca="false">IFERROR(IF(INDEX(res_Name,(ROW()-ROW(rw_LoadOrigin)-1))="","",INDEX(rw_Cum,(ROW()-ROW(rw_LoadOrigin)-1),(COLUMN()-COLUMN(rw_LoadOrigin)-1)+1)-INDEX(rw_Cum,(ROW()-ROW(rw_LoadOrigin)-1),(COLUMN()-COLUMN(rw_LoadOrigin)-1))),"")</f>
        <v/>
      </c>
      <c r="AC53" s="72" t="str">
        <f aca="false">IFERROR(IF(INDEX(res_Name,(ROW()-ROW(rw_LoadOrigin)-1))="","",INDEX(rw_Cum,(ROW()-ROW(rw_LoadOrigin)-1),(COLUMN()-COLUMN(rw_LoadOrigin)-1)+1)-INDEX(rw_Cum,(ROW()-ROW(rw_LoadOrigin)-1),(COLUMN()-COLUMN(rw_LoadOrigin)-1))),"")</f>
        <v/>
      </c>
    </row>
    <row r="54" customFormat="false" ht="15" hidden="false" customHeight="false" outlineLevel="0" collapsed="false">
      <c r="B54" s="48" t="str">
        <f aca="false">IFERROR(INDEX(res_Name,(ROW()-ROW(rw_LoadOrigin)-1))&amp;"","")</f>
        <v/>
      </c>
      <c r="C54" s="71" t="str">
        <f aca="false">IFERROR(IF(INDEX(res_Name,(ROW()-ROW(rw_LoadOrigin)-1))="","",INDEX(res_MaxUnits,(ROW()-ROW(rw_LoadOrigin)-1))),"")</f>
        <v/>
      </c>
      <c r="D54" s="72" t="str">
        <f aca="false">IFERROR(IF(INDEX(res_Name,(ROW()-ROW(rw_LoadOrigin)-1))="","",INDEX(rw_Cum,(ROW()-ROW(rw_LoadOrigin)-1),(COLUMN()-COLUMN(rw_LoadOrigin)-1)+1)-INDEX(rw_Cum,(ROW()-ROW(rw_LoadOrigin)-1),(COLUMN()-COLUMN(rw_LoadOrigin)-1))),"")</f>
        <v/>
      </c>
      <c r="E54" s="72" t="str">
        <f aca="false">IFERROR(IF(INDEX(res_Name,(ROW()-ROW(rw_LoadOrigin)-1))="","",INDEX(rw_Cum,(ROW()-ROW(rw_LoadOrigin)-1),(COLUMN()-COLUMN(rw_LoadOrigin)-1)+1)-INDEX(rw_Cum,(ROW()-ROW(rw_LoadOrigin)-1),(COLUMN()-COLUMN(rw_LoadOrigin)-1))),"")</f>
        <v/>
      </c>
      <c r="F54" s="72" t="str">
        <f aca="false">IFERROR(IF(INDEX(res_Name,(ROW()-ROW(rw_LoadOrigin)-1))="","",INDEX(rw_Cum,(ROW()-ROW(rw_LoadOrigin)-1),(COLUMN()-COLUMN(rw_LoadOrigin)-1)+1)-INDEX(rw_Cum,(ROW()-ROW(rw_LoadOrigin)-1),(COLUMN()-COLUMN(rw_LoadOrigin)-1))),"")</f>
        <v/>
      </c>
      <c r="G54" s="72" t="str">
        <f aca="false">IFERROR(IF(INDEX(res_Name,(ROW()-ROW(rw_LoadOrigin)-1))="","",INDEX(rw_Cum,(ROW()-ROW(rw_LoadOrigin)-1),(COLUMN()-COLUMN(rw_LoadOrigin)-1)+1)-INDEX(rw_Cum,(ROW()-ROW(rw_LoadOrigin)-1),(COLUMN()-COLUMN(rw_LoadOrigin)-1))),"")</f>
        <v/>
      </c>
      <c r="H54" s="72" t="str">
        <f aca="false">IFERROR(IF(INDEX(res_Name,(ROW()-ROW(rw_LoadOrigin)-1))="","",INDEX(rw_Cum,(ROW()-ROW(rw_LoadOrigin)-1),(COLUMN()-COLUMN(rw_LoadOrigin)-1)+1)-INDEX(rw_Cum,(ROW()-ROW(rw_LoadOrigin)-1),(COLUMN()-COLUMN(rw_LoadOrigin)-1))),"")</f>
        <v/>
      </c>
      <c r="I54" s="72" t="str">
        <f aca="false">IFERROR(IF(INDEX(res_Name,(ROW()-ROW(rw_LoadOrigin)-1))="","",INDEX(rw_Cum,(ROW()-ROW(rw_LoadOrigin)-1),(COLUMN()-COLUMN(rw_LoadOrigin)-1)+1)-INDEX(rw_Cum,(ROW()-ROW(rw_LoadOrigin)-1),(COLUMN()-COLUMN(rw_LoadOrigin)-1))),"")</f>
        <v/>
      </c>
      <c r="J54" s="72" t="str">
        <f aca="false">IFERROR(IF(INDEX(res_Name,(ROW()-ROW(rw_LoadOrigin)-1))="","",INDEX(rw_Cum,(ROW()-ROW(rw_LoadOrigin)-1),(COLUMN()-COLUMN(rw_LoadOrigin)-1)+1)-INDEX(rw_Cum,(ROW()-ROW(rw_LoadOrigin)-1),(COLUMN()-COLUMN(rw_LoadOrigin)-1))),"")</f>
        <v/>
      </c>
      <c r="K54" s="72" t="str">
        <f aca="false">IFERROR(IF(INDEX(res_Name,(ROW()-ROW(rw_LoadOrigin)-1))="","",INDEX(rw_Cum,(ROW()-ROW(rw_LoadOrigin)-1),(COLUMN()-COLUMN(rw_LoadOrigin)-1)+1)-INDEX(rw_Cum,(ROW()-ROW(rw_LoadOrigin)-1),(COLUMN()-COLUMN(rw_LoadOrigin)-1))),"")</f>
        <v/>
      </c>
      <c r="L54" s="72" t="str">
        <f aca="false">IFERROR(IF(INDEX(res_Name,(ROW()-ROW(rw_LoadOrigin)-1))="","",INDEX(rw_Cum,(ROW()-ROW(rw_LoadOrigin)-1),(COLUMN()-COLUMN(rw_LoadOrigin)-1)+1)-INDEX(rw_Cum,(ROW()-ROW(rw_LoadOrigin)-1),(COLUMN()-COLUMN(rw_LoadOrigin)-1))),"")</f>
        <v/>
      </c>
      <c r="M54" s="72" t="str">
        <f aca="false">IFERROR(IF(INDEX(res_Name,(ROW()-ROW(rw_LoadOrigin)-1))="","",INDEX(rw_Cum,(ROW()-ROW(rw_LoadOrigin)-1),(COLUMN()-COLUMN(rw_LoadOrigin)-1)+1)-INDEX(rw_Cum,(ROW()-ROW(rw_LoadOrigin)-1),(COLUMN()-COLUMN(rw_LoadOrigin)-1))),"")</f>
        <v/>
      </c>
      <c r="N54" s="72" t="str">
        <f aca="false">IFERROR(IF(INDEX(res_Name,(ROW()-ROW(rw_LoadOrigin)-1))="","",INDEX(rw_Cum,(ROW()-ROW(rw_LoadOrigin)-1),(COLUMN()-COLUMN(rw_LoadOrigin)-1)+1)-INDEX(rw_Cum,(ROW()-ROW(rw_LoadOrigin)-1),(COLUMN()-COLUMN(rw_LoadOrigin)-1))),"")</f>
        <v/>
      </c>
      <c r="O54" s="72" t="str">
        <f aca="false">IFERROR(IF(INDEX(res_Name,(ROW()-ROW(rw_LoadOrigin)-1))="","",INDEX(rw_Cum,(ROW()-ROW(rw_LoadOrigin)-1),(COLUMN()-COLUMN(rw_LoadOrigin)-1)+1)-INDEX(rw_Cum,(ROW()-ROW(rw_LoadOrigin)-1),(COLUMN()-COLUMN(rw_LoadOrigin)-1))),"")</f>
        <v/>
      </c>
      <c r="P54" s="72" t="str">
        <f aca="false">IFERROR(IF(INDEX(res_Name,(ROW()-ROW(rw_LoadOrigin)-1))="","",INDEX(rw_Cum,(ROW()-ROW(rw_LoadOrigin)-1),(COLUMN()-COLUMN(rw_LoadOrigin)-1)+1)-INDEX(rw_Cum,(ROW()-ROW(rw_LoadOrigin)-1),(COLUMN()-COLUMN(rw_LoadOrigin)-1))),"")</f>
        <v/>
      </c>
      <c r="Q54" s="72" t="str">
        <f aca="false">IFERROR(IF(INDEX(res_Name,(ROW()-ROW(rw_LoadOrigin)-1))="","",INDEX(rw_Cum,(ROW()-ROW(rw_LoadOrigin)-1),(COLUMN()-COLUMN(rw_LoadOrigin)-1)+1)-INDEX(rw_Cum,(ROW()-ROW(rw_LoadOrigin)-1),(COLUMN()-COLUMN(rw_LoadOrigin)-1))),"")</f>
        <v/>
      </c>
      <c r="R54" s="72" t="str">
        <f aca="false">IFERROR(IF(INDEX(res_Name,(ROW()-ROW(rw_LoadOrigin)-1))="","",INDEX(rw_Cum,(ROW()-ROW(rw_LoadOrigin)-1),(COLUMN()-COLUMN(rw_LoadOrigin)-1)+1)-INDEX(rw_Cum,(ROW()-ROW(rw_LoadOrigin)-1),(COLUMN()-COLUMN(rw_LoadOrigin)-1))),"")</f>
        <v/>
      </c>
      <c r="S54" s="72" t="str">
        <f aca="false">IFERROR(IF(INDEX(res_Name,(ROW()-ROW(rw_LoadOrigin)-1))="","",INDEX(rw_Cum,(ROW()-ROW(rw_LoadOrigin)-1),(COLUMN()-COLUMN(rw_LoadOrigin)-1)+1)-INDEX(rw_Cum,(ROW()-ROW(rw_LoadOrigin)-1),(COLUMN()-COLUMN(rw_LoadOrigin)-1))),"")</f>
        <v/>
      </c>
      <c r="T54" s="72" t="str">
        <f aca="false">IFERROR(IF(INDEX(res_Name,(ROW()-ROW(rw_LoadOrigin)-1))="","",INDEX(rw_Cum,(ROW()-ROW(rw_LoadOrigin)-1),(COLUMN()-COLUMN(rw_LoadOrigin)-1)+1)-INDEX(rw_Cum,(ROW()-ROW(rw_LoadOrigin)-1),(COLUMN()-COLUMN(rw_LoadOrigin)-1))),"")</f>
        <v/>
      </c>
      <c r="U54" s="72" t="str">
        <f aca="false">IFERROR(IF(INDEX(res_Name,(ROW()-ROW(rw_LoadOrigin)-1))="","",INDEX(rw_Cum,(ROW()-ROW(rw_LoadOrigin)-1),(COLUMN()-COLUMN(rw_LoadOrigin)-1)+1)-INDEX(rw_Cum,(ROW()-ROW(rw_LoadOrigin)-1),(COLUMN()-COLUMN(rw_LoadOrigin)-1))),"")</f>
        <v/>
      </c>
      <c r="V54" s="72" t="str">
        <f aca="false">IFERROR(IF(INDEX(res_Name,(ROW()-ROW(rw_LoadOrigin)-1))="","",INDEX(rw_Cum,(ROW()-ROW(rw_LoadOrigin)-1),(COLUMN()-COLUMN(rw_LoadOrigin)-1)+1)-INDEX(rw_Cum,(ROW()-ROW(rw_LoadOrigin)-1),(COLUMN()-COLUMN(rw_LoadOrigin)-1))),"")</f>
        <v/>
      </c>
      <c r="W54" s="72" t="str">
        <f aca="false">IFERROR(IF(INDEX(res_Name,(ROW()-ROW(rw_LoadOrigin)-1))="","",INDEX(rw_Cum,(ROW()-ROW(rw_LoadOrigin)-1),(COLUMN()-COLUMN(rw_LoadOrigin)-1)+1)-INDEX(rw_Cum,(ROW()-ROW(rw_LoadOrigin)-1),(COLUMN()-COLUMN(rw_LoadOrigin)-1))),"")</f>
        <v/>
      </c>
      <c r="X54" s="72" t="str">
        <f aca="false">IFERROR(IF(INDEX(res_Name,(ROW()-ROW(rw_LoadOrigin)-1))="","",INDEX(rw_Cum,(ROW()-ROW(rw_LoadOrigin)-1),(COLUMN()-COLUMN(rw_LoadOrigin)-1)+1)-INDEX(rw_Cum,(ROW()-ROW(rw_LoadOrigin)-1),(COLUMN()-COLUMN(rw_LoadOrigin)-1))),"")</f>
        <v/>
      </c>
      <c r="Y54" s="72" t="str">
        <f aca="false">IFERROR(IF(INDEX(res_Name,(ROW()-ROW(rw_LoadOrigin)-1))="","",INDEX(rw_Cum,(ROW()-ROW(rw_LoadOrigin)-1),(COLUMN()-COLUMN(rw_LoadOrigin)-1)+1)-INDEX(rw_Cum,(ROW()-ROW(rw_LoadOrigin)-1),(COLUMN()-COLUMN(rw_LoadOrigin)-1))),"")</f>
        <v/>
      </c>
      <c r="Z54" s="72" t="str">
        <f aca="false">IFERROR(IF(INDEX(res_Name,(ROW()-ROW(rw_LoadOrigin)-1))="","",INDEX(rw_Cum,(ROW()-ROW(rw_LoadOrigin)-1),(COLUMN()-COLUMN(rw_LoadOrigin)-1)+1)-INDEX(rw_Cum,(ROW()-ROW(rw_LoadOrigin)-1),(COLUMN()-COLUMN(rw_LoadOrigin)-1))),"")</f>
        <v/>
      </c>
      <c r="AA54" s="72" t="str">
        <f aca="false">IFERROR(IF(INDEX(res_Name,(ROW()-ROW(rw_LoadOrigin)-1))="","",INDEX(rw_Cum,(ROW()-ROW(rw_LoadOrigin)-1),(COLUMN()-COLUMN(rw_LoadOrigin)-1)+1)-INDEX(rw_Cum,(ROW()-ROW(rw_LoadOrigin)-1),(COLUMN()-COLUMN(rw_LoadOrigin)-1))),"")</f>
        <v/>
      </c>
      <c r="AB54" s="72" t="str">
        <f aca="false">IFERROR(IF(INDEX(res_Name,(ROW()-ROW(rw_LoadOrigin)-1))="","",INDEX(rw_Cum,(ROW()-ROW(rw_LoadOrigin)-1),(COLUMN()-COLUMN(rw_LoadOrigin)-1)+1)-INDEX(rw_Cum,(ROW()-ROW(rw_LoadOrigin)-1),(COLUMN()-COLUMN(rw_LoadOrigin)-1))),"")</f>
        <v/>
      </c>
      <c r="AC54" s="72" t="str">
        <f aca="false">IFERROR(IF(INDEX(res_Name,(ROW()-ROW(rw_LoadOrigin)-1))="","",INDEX(rw_Cum,(ROW()-ROW(rw_LoadOrigin)-1),(COLUMN()-COLUMN(rw_LoadOrigin)-1)+1)-INDEX(rw_Cum,(ROW()-ROW(rw_LoadOrigin)-1),(COLUMN()-COLUMN(rw_LoadOrigin)-1))),"")</f>
        <v/>
      </c>
    </row>
    <row r="55" customFormat="false" ht="15" hidden="false" customHeight="false" outlineLevel="0" collapsed="false">
      <c r="B55" s="48" t="str">
        <f aca="false">IFERROR(INDEX(res_Name,(ROW()-ROW(rw_LoadOrigin)-1))&amp;"","")</f>
        <v/>
      </c>
      <c r="C55" s="71" t="str">
        <f aca="false">IFERROR(IF(INDEX(res_Name,(ROW()-ROW(rw_LoadOrigin)-1))="","",INDEX(res_MaxUnits,(ROW()-ROW(rw_LoadOrigin)-1))),"")</f>
        <v/>
      </c>
      <c r="D55" s="72" t="str">
        <f aca="false">IFERROR(IF(INDEX(res_Name,(ROW()-ROW(rw_LoadOrigin)-1))="","",INDEX(rw_Cum,(ROW()-ROW(rw_LoadOrigin)-1),(COLUMN()-COLUMN(rw_LoadOrigin)-1)+1)-INDEX(rw_Cum,(ROW()-ROW(rw_LoadOrigin)-1),(COLUMN()-COLUMN(rw_LoadOrigin)-1))),"")</f>
        <v/>
      </c>
      <c r="E55" s="72" t="str">
        <f aca="false">IFERROR(IF(INDEX(res_Name,(ROW()-ROW(rw_LoadOrigin)-1))="","",INDEX(rw_Cum,(ROW()-ROW(rw_LoadOrigin)-1),(COLUMN()-COLUMN(rw_LoadOrigin)-1)+1)-INDEX(rw_Cum,(ROW()-ROW(rw_LoadOrigin)-1),(COLUMN()-COLUMN(rw_LoadOrigin)-1))),"")</f>
        <v/>
      </c>
      <c r="F55" s="72" t="str">
        <f aca="false">IFERROR(IF(INDEX(res_Name,(ROW()-ROW(rw_LoadOrigin)-1))="","",INDEX(rw_Cum,(ROW()-ROW(rw_LoadOrigin)-1),(COLUMN()-COLUMN(rw_LoadOrigin)-1)+1)-INDEX(rw_Cum,(ROW()-ROW(rw_LoadOrigin)-1),(COLUMN()-COLUMN(rw_LoadOrigin)-1))),"")</f>
        <v/>
      </c>
      <c r="G55" s="72" t="str">
        <f aca="false">IFERROR(IF(INDEX(res_Name,(ROW()-ROW(rw_LoadOrigin)-1))="","",INDEX(rw_Cum,(ROW()-ROW(rw_LoadOrigin)-1),(COLUMN()-COLUMN(rw_LoadOrigin)-1)+1)-INDEX(rw_Cum,(ROW()-ROW(rw_LoadOrigin)-1),(COLUMN()-COLUMN(rw_LoadOrigin)-1))),"")</f>
        <v/>
      </c>
      <c r="H55" s="72" t="str">
        <f aca="false">IFERROR(IF(INDEX(res_Name,(ROW()-ROW(rw_LoadOrigin)-1))="","",INDEX(rw_Cum,(ROW()-ROW(rw_LoadOrigin)-1),(COLUMN()-COLUMN(rw_LoadOrigin)-1)+1)-INDEX(rw_Cum,(ROW()-ROW(rw_LoadOrigin)-1),(COLUMN()-COLUMN(rw_LoadOrigin)-1))),"")</f>
        <v/>
      </c>
      <c r="I55" s="72" t="str">
        <f aca="false">IFERROR(IF(INDEX(res_Name,(ROW()-ROW(rw_LoadOrigin)-1))="","",INDEX(rw_Cum,(ROW()-ROW(rw_LoadOrigin)-1),(COLUMN()-COLUMN(rw_LoadOrigin)-1)+1)-INDEX(rw_Cum,(ROW()-ROW(rw_LoadOrigin)-1),(COLUMN()-COLUMN(rw_LoadOrigin)-1))),"")</f>
        <v/>
      </c>
      <c r="J55" s="72" t="str">
        <f aca="false">IFERROR(IF(INDEX(res_Name,(ROW()-ROW(rw_LoadOrigin)-1))="","",INDEX(rw_Cum,(ROW()-ROW(rw_LoadOrigin)-1),(COLUMN()-COLUMN(rw_LoadOrigin)-1)+1)-INDEX(rw_Cum,(ROW()-ROW(rw_LoadOrigin)-1),(COLUMN()-COLUMN(rw_LoadOrigin)-1))),"")</f>
        <v/>
      </c>
      <c r="K55" s="72" t="str">
        <f aca="false">IFERROR(IF(INDEX(res_Name,(ROW()-ROW(rw_LoadOrigin)-1))="","",INDEX(rw_Cum,(ROW()-ROW(rw_LoadOrigin)-1),(COLUMN()-COLUMN(rw_LoadOrigin)-1)+1)-INDEX(rw_Cum,(ROW()-ROW(rw_LoadOrigin)-1),(COLUMN()-COLUMN(rw_LoadOrigin)-1))),"")</f>
        <v/>
      </c>
      <c r="L55" s="72" t="str">
        <f aca="false">IFERROR(IF(INDEX(res_Name,(ROW()-ROW(rw_LoadOrigin)-1))="","",INDEX(rw_Cum,(ROW()-ROW(rw_LoadOrigin)-1),(COLUMN()-COLUMN(rw_LoadOrigin)-1)+1)-INDEX(rw_Cum,(ROW()-ROW(rw_LoadOrigin)-1),(COLUMN()-COLUMN(rw_LoadOrigin)-1))),"")</f>
        <v/>
      </c>
      <c r="M55" s="72" t="str">
        <f aca="false">IFERROR(IF(INDEX(res_Name,(ROW()-ROW(rw_LoadOrigin)-1))="","",INDEX(rw_Cum,(ROW()-ROW(rw_LoadOrigin)-1),(COLUMN()-COLUMN(rw_LoadOrigin)-1)+1)-INDEX(rw_Cum,(ROW()-ROW(rw_LoadOrigin)-1),(COLUMN()-COLUMN(rw_LoadOrigin)-1))),"")</f>
        <v/>
      </c>
      <c r="N55" s="72" t="str">
        <f aca="false">IFERROR(IF(INDEX(res_Name,(ROW()-ROW(rw_LoadOrigin)-1))="","",INDEX(rw_Cum,(ROW()-ROW(rw_LoadOrigin)-1),(COLUMN()-COLUMN(rw_LoadOrigin)-1)+1)-INDEX(rw_Cum,(ROW()-ROW(rw_LoadOrigin)-1),(COLUMN()-COLUMN(rw_LoadOrigin)-1))),"")</f>
        <v/>
      </c>
      <c r="O55" s="72" t="str">
        <f aca="false">IFERROR(IF(INDEX(res_Name,(ROW()-ROW(rw_LoadOrigin)-1))="","",INDEX(rw_Cum,(ROW()-ROW(rw_LoadOrigin)-1),(COLUMN()-COLUMN(rw_LoadOrigin)-1)+1)-INDEX(rw_Cum,(ROW()-ROW(rw_LoadOrigin)-1),(COLUMN()-COLUMN(rw_LoadOrigin)-1))),"")</f>
        <v/>
      </c>
      <c r="P55" s="72" t="str">
        <f aca="false">IFERROR(IF(INDEX(res_Name,(ROW()-ROW(rw_LoadOrigin)-1))="","",INDEX(rw_Cum,(ROW()-ROW(rw_LoadOrigin)-1),(COLUMN()-COLUMN(rw_LoadOrigin)-1)+1)-INDEX(rw_Cum,(ROW()-ROW(rw_LoadOrigin)-1),(COLUMN()-COLUMN(rw_LoadOrigin)-1))),"")</f>
        <v/>
      </c>
      <c r="Q55" s="72" t="str">
        <f aca="false">IFERROR(IF(INDEX(res_Name,(ROW()-ROW(rw_LoadOrigin)-1))="","",INDEX(rw_Cum,(ROW()-ROW(rw_LoadOrigin)-1),(COLUMN()-COLUMN(rw_LoadOrigin)-1)+1)-INDEX(rw_Cum,(ROW()-ROW(rw_LoadOrigin)-1),(COLUMN()-COLUMN(rw_LoadOrigin)-1))),"")</f>
        <v/>
      </c>
      <c r="R55" s="72" t="str">
        <f aca="false">IFERROR(IF(INDEX(res_Name,(ROW()-ROW(rw_LoadOrigin)-1))="","",INDEX(rw_Cum,(ROW()-ROW(rw_LoadOrigin)-1),(COLUMN()-COLUMN(rw_LoadOrigin)-1)+1)-INDEX(rw_Cum,(ROW()-ROW(rw_LoadOrigin)-1),(COLUMN()-COLUMN(rw_LoadOrigin)-1))),"")</f>
        <v/>
      </c>
      <c r="S55" s="72" t="str">
        <f aca="false">IFERROR(IF(INDEX(res_Name,(ROW()-ROW(rw_LoadOrigin)-1))="","",INDEX(rw_Cum,(ROW()-ROW(rw_LoadOrigin)-1),(COLUMN()-COLUMN(rw_LoadOrigin)-1)+1)-INDEX(rw_Cum,(ROW()-ROW(rw_LoadOrigin)-1),(COLUMN()-COLUMN(rw_LoadOrigin)-1))),"")</f>
        <v/>
      </c>
      <c r="T55" s="72" t="str">
        <f aca="false">IFERROR(IF(INDEX(res_Name,(ROW()-ROW(rw_LoadOrigin)-1))="","",INDEX(rw_Cum,(ROW()-ROW(rw_LoadOrigin)-1),(COLUMN()-COLUMN(rw_LoadOrigin)-1)+1)-INDEX(rw_Cum,(ROW()-ROW(rw_LoadOrigin)-1),(COLUMN()-COLUMN(rw_LoadOrigin)-1))),"")</f>
        <v/>
      </c>
      <c r="U55" s="72" t="str">
        <f aca="false">IFERROR(IF(INDEX(res_Name,(ROW()-ROW(rw_LoadOrigin)-1))="","",INDEX(rw_Cum,(ROW()-ROW(rw_LoadOrigin)-1),(COLUMN()-COLUMN(rw_LoadOrigin)-1)+1)-INDEX(rw_Cum,(ROW()-ROW(rw_LoadOrigin)-1),(COLUMN()-COLUMN(rw_LoadOrigin)-1))),"")</f>
        <v/>
      </c>
      <c r="V55" s="72" t="str">
        <f aca="false">IFERROR(IF(INDEX(res_Name,(ROW()-ROW(rw_LoadOrigin)-1))="","",INDEX(rw_Cum,(ROW()-ROW(rw_LoadOrigin)-1),(COLUMN()-COLUMN(rw_LoadOrigin)-1)+1)-INDEX(rw_Cum,(ROW()-ROW(rw_LoadOrigin)-1),(COLUMN()-COLUMN(rw_LoadOrigin)-1))),"")</f>
        <v/>
      </c>
      <c r="W55" s="72" t="str">
        <f aca="false">IFERROR(IF(INDEX(res_Name,(ROW()-ROW(rw_LoadOrigin)-1))="","",INDEX(rw_Cum,(ROW()-ROW(rw_LoadOrigin)-1),(COLUMN()-COLUMN(rw_LoadOrigin)-1)+1)-INDEX(rw_Cum,(ROW()-ROW(rw_LoadOrigin)-1),(COLUMN()-COLUMN(rw_LoadOrigin)-1))),"")</f>
        <v/>
      </c>
      <c r="X55" s="72" t="str">
        <f aca="false">IFERROR(IF(INDEX(res_Name,(ROW()-ROW(rw_LoadOrigin)-1))="","",INDEX(rw_Cum,(ROW()-ROW(rw_LoadOrigin)-1),(COLUMN()-COLUMN(rw_LoadOrigin)-1)+1)-INDEX(rw_Cum,(ROW()-ROW(rw_LoadOrigin)-1),(COLUMN()-COLUMN(rw_LoadOrigin)-1))),"")</f>
        <v/>
      </c>
      <c r="Y55" s="72" t="str">
        <f aca="false">IFERROR(IF(INDEX(res_Name,(ROW()-ROW(rw_LoadOrigin)-1))="","",INDEX(rw_Cum,(ROW()-ROW(rw_LoadOrigin)-1),(COLUMN()-COLUMN(rw_LoadOrigin)-1)+1)-INDEX(rw_Cum,(ROW()-ROW(rw_LoadOrigin)-1),(COLUMN()-COLUMN(rw_LoadOrigin)-1))),"")</f>
        <v/>
      </c>
      <c r="Z55" s="72" t="str">
        <f aca="false">IFERROR(IF(INDEX(res_Name,(ROW()-ROW(rw_LoadOrigin)-1))="","",INDEX(rw_Cum,(ROW()-ROW(rw_LoadOrigin)-1),(COLUMN()-COLUMN(rw_LoadOrigin)-1)+1)-INDEX(rw_Cum,(ROW()-ROW(rw_LoadOrigin)-1),(COLUMN()-COLUMN(rw_LoadOrigin)-1))),"")</f>
        <v/>
      </c>
      <c r="AA55" s="72" t="str">
        <f aca="false">IFERROR(IF(INDEX(res_Name,(ROW()-ROW(rw_LoadOrigin)-1))="","",INDEX(rw_Cum,(ROW()-ROW(rw_LoadOrigin)-1),(COLUMN()-COLUMN(rw_LoadOrigin)-1)+1)-INDEX(rw_Cum,(ROW()-ROW(rw_LoadOrigin)-1),(COLUMN()-COLUMN(rw_LoadOrigin)-1))),"")</f>
        <v/>
      </c>
      <c r="AB55" s="72" t="str">
        <f aca="false">IFERROR(IF(INDEX(res_Name,(ROW()-ROW(rw_LoadOrigin)-1))="","",INDEX(rw_Cum,(ROW()-ROW(rw_LoadOrigin)-1),(COLUMN()-COLUMN(rw_LoadOrigin)-1)+1)-INDEX(rw_Cum,(ROW()-ROW(rw_LoadOrigin)-1),(COLUMN()-COLUMN(rw_LoadOrigin)-1))),"")</f>
        <v/>
      </c>
      <c r="AC55" s="72" t="str">
        <f aca="false">IFERROR(IF(INDEX(res_Name,(ROW()-ROW(rw_LoadOrigin)-1))="","",INDEX(rw_Cum,(ROW()-ROW(rw_LoadOrigin)-1),(COLUMN()-COLUMN(rw_LoadOrigin)-1)+1)-INDEX(rw_Cum,(ROW()-ROW(rw_LoadOrigin)-1),(COLUMN()-COLUMN(rw_LoadOrigin)-1))),"")</f>
        <v/>
      </c>
    </row>
    <row r="56" customFormat="false" ht="15" hidden="false" customHeight="false" outlineLevel="0" collapsed="false">
      <c r="B56" s="48" t="str">
        <f aca="false">IFERROR(INDEX(res_Name,(ROW()-ROW(rw_LoadOrigin)-1))&amp;"","")</f>
        <v/>
      </c>
      <c r="C56" s="71" t="str">
        <f aca="false">IFERROR(IF(INDEX(res_Name,(ROW()-ROW(rw_LoadOrigin)-1))="","",INDEX(res_MaxUnits,(ROW()-ROW(rw_LoadOrigin)-1))),"")</f>
        <v/>
      </c>
      <c r="D56" s="72" t="str">
        <f aca="false">IFERROR(IF(INDEX(res_Name,(ROW()-ROW(rw_LoadOrigin)-1))="","",INDEX(rw_Cum,(ROW()-ROW(rw_LoadOrigin)-1),(COLUMN()-COLUMN(rw_LoadOrigin)-1)+1)-INDEX(rw_Cum,(ROW()-ROW(rw_LoadOrigin)-1),(COLUMN()-COLUMN(rw_LoadOrigin)-1))),"")</f>
        <v/>
      </c>
      <c r="E56" s="72" t="str">
        <f aca="false">IFERROR(IF(INDEX(res_Name,(ROW()-ROW(rw_LoadOrigin)-1))="","",INDEX(rw_Cum,(ROW()-ROW(rw_LoadOrigin)-1),(COLUMN()-COLUMN(rw_LoadOrigin)-1)+1)-INDEX(rw_Cum,(ROW()-ROW(rw_LoadOrigin)-1),(COLUMN()-COLUMN(rw_LoadOrigin)-1))),"")</f>
        <v/>
      </c>
      <c r="F56" s="72" t="str">
        <f aca="false">IFERROR(IF(INDEX(res_Name,(ROW()-ROW(rw_LoadOrigin)-1))="","",INDEX(rw_Cum,(ROW()-ROW(rw_LoadOrigin)-1),(COLUMN()-COLUMN(rw_LoadOrigin)-1)+1)-INDEX(rw_Cum,(ROW()-ROW(rw_LoadOrigin)-1),(COLUMN()-COLUMN(rw_LoadOrigin)-1))),"")</f>
        <v/>
      </c>
      <c r="G56" s="72" t="str">
        <f aca="false">IFERROR(IF(INDEX(res_Name,(ROW()-ROW(rw_LoadOrigin)-1))="","",INDEX(rw_Cum,(ROW()-ROW(rw_LoadOrigin)-1),(COLUMN()-COLUMN(rw_LoadOrigin)-1)+1)-INDEX(rw_Cum,(ROW()-ROW(rw_LoadOrigin)-1),(COLUMN()-COLUMN(rw_LoadOrigin)-1))),"")</f>
        <v/>
      </c>
      <c r="H56" s="72" t="str">
        <f aca="false">IFERROR(IF(INDEX(res_Name,(ROW()-ROW(rw_LoadOrigin)-1))="","",INDEX(rw_Cum,(ROW()-ROW(rw_LoadOrigin)-1),(COLUMN()-COLUMN(rw_LoadOrigin)-1)+1)-INDEX(rw_Cum,(ROW()-ROW(rw_LoadOrigin)-1),(COLUMN()-COLUMN(rw_LoadOrigin)-1))),"")</f>
        <v/>
      </c>
      <c r="I56" s="72" t="str">
        <f aca="false">IFERROR(IF(INDEX(res_Name,(ROW()-ROW(rw_LoadOrigin)-1))="","",INDEX(rw_Cum,(ROW()-ROW(rw_LoadOrigin)-1),(COLUMN()-COLUMN(rw_LoadOrigin)-1)+1)-INDEX(rw_Cum,(ROW()-ROW(rw_LoadOrigin)-1),(COLUMN()-COLUMN(rw_LoadOrigin)-1))),"")</f>
        <v/>
      </c>
      <c r="J56" s="72" t="str">
        <f aca="false">IFERROR(IF(INDEX(res_Name,(ROW()-ROW(rw_LoadOrigin)-1))="","",INDEX(rw_Cum,(ROW()-ROW(rw_LoadOrigin)-1),(COLUMN()-COLUMN(rw_LoadOrigin)-1)+1)-INDEX(rw_Cum,(ROW()-ROW(rw_LoadOrigin)-1),(COLUMN()-COLUMN(rw_LoadOrigin)-1))),"")</f>
        <v/>
      </c>
      <c r="K56" s="72" t="str">
        <f aca="false">IFERROR(IF(INDEX(res_Name,(ROW()-ROW(rw_LoadOrigin)-1))="","",INDEX(rw_Cum,(ROW()-ROW(rw_LoadOrigin)-1),(COLUMN()-COLUMN(rw_LoadOrigin)-1)+1)-INDEX(rw_Cum,(ROW()-ROW(rw_LoadOrigin)-1),(COLUMN()-COLUMN(rw_LoadOrigin)-1))),"")</f>
        <v/>
      </c>
      <c r="L56" s="72" t="str">
        <f aca="false">IFERROR(IF(INDEX(res_Name,(ROW()-ROW(rw_LoadOrigin)-1))="","",INDEX(rw_Cum,(ROW()-ROW(rw_LoadOrigin)-1),(COLUMN()-COLUMN(rw_LoadOrigin)-1)+1)-INDEX(rw_Cum,(ROW()-ROW(rw_LoadOrigin)-1),(COLUMN()-COLUMN(rw_LoadOrigin)-1))),"")</f>
        <v/>
      </c>
      <c r="M56" s="72" t="str">
        <f aca="false">IFERROR(IF(INDEX(res_Name,(ROW()-ROW(rw_LoadOrigin)-1))="","",INDEX(rw_Cum,(ROW()-ROW(rw_LoadOrigin)-1),(COLUMN()-COLUMN(rw_LoadOrigin)-1)+1)-INDEX(rw_Cum,(ROW()-ROW(rw_LoadOrigin)-1),(COLUMN()-COLUMN(rw_LoadOrigin)-1))),"")</f>
        <v/>
      </c>
      <c r="N56" s="72" t="str">
        <f aca="false">IFERROR(IF(INDEX(res_Name,(ROW()-ROW(rw_LoadOrigin)-1))="","",INDEX(rw_Cum,(ROW()-ROW(rw_LoadOrigin)-1),(COLUMN()-COLUMN(rw_LoadOrigin)-1)+1)-INDEX(rw_Cum,(ROW()-ROW(rw_LoadOrigin)-1),(COLUMN()-COLUMN(rw_LoadOrigin)-1))),"")</f>
        <v/>
      </c>
      <c r="O56" s="72" t="str">
        <f aca="false">IFERROR(IF(INDEX(res_Name,(ROW()-ROW(rw_LoadOrigin)-1))="","",INDEX(rw_Cum,(ROW()-ROW(rw_LoadOrigin)-1),(COLUMN()-COLUMN(rw_LoadOrigin)-1)+1)-INDEX(rw_Cum,(ROW()-ROW(rw_LoadOrigin)-1),(COLUMN()-COLUMN(rw_LoadOrigin)-1))),"")</f>
        <v/>
      </c>
      <c r="P56" s="72" t="str">
        <f aca="false">IFERROR(IF(INDEX(res_Name,(ROW()-ROW(rw_LoadOrigin)-1))="","",INDEX(rw_Cum,(ROW()-ROW(rw_LoadOrigin)-1),(COLUMN()-COLUMN(rw_LoadOrigin)-1)+1)-INDEX(rw_Cum,(ROW()-ROW(rw_LoadOrigin)-1),(COLUMN()-COLUMN(rw_LoadOrigin)-1))),"")</f>
        <v/>
      </c>
      <c r="Q56" s="72" t="str">
        <f aca="false">IFERROR(IF(INDEX(res_Name,(ROW()-ROW(rw_LoadOrigin)-1))="","",INDEX(rw_Cum,(ROW()-ROW(rw_LoadOrigin)-1),(COLUMN()-COLUMN(rw_LoadOrigin)-1)+1)-INDEX(rw_Cum,(ROW()-ROW(rw_LoadOrigin)-1),(COLUMN()-COLUMN(rw_LoadOrigin)-1))),"")</f>
        <v/>
      </c>
      <c r="R56" s="72" t="str">
        <f aca="false">IFERROR(IF(INDEX(res_Name,(ROW()-ROW(rw_LoadOrigin)-1))="","",INDEX(rw_Cum,(ROW()-ROW(rw_LoadOrigin)-1),(COLUMN()-COLUMN(rw_LoadOrigin)-1)+1)-INDEX(rw_Cum,(ROW()-ROW(rw_LoadOrigin)-1),(COLUMN()-COLUMN(rw_LoadOrigin)-1))),"")</f>
        <v/>
      </c>
      <c r="S56" s="72" t="str">
        <f aca="false">IFERROR(IF(INDEX(res_Name,(ROW()-ROW(rw_LoadOrigin)-1))="","",INDEX(rw_Cum,(ROW()-ROW(rw_LoadOrigin)-1),(COLUMN()-COLUMN(rw_LoadOrigin)-1)+1)-INDEX(rw_Cum,(ROW()-ROW(rw_LoadOrigin)-1),(COLUMN()-COLUMN(rw_LoadOrigin)-1))),"")</f>
        <v/>
      </c>
      <c r="T56" s="72" t="str">
        <f aca="false">IFERROR(IF(INDEX(res_Name,(ROW()-ROW(rw_LoadOrigin)-1))="","",INDEX(rw_Cum,(ROW()-ROW(rw_LoadOrigin)-1),(COLUMN()-COLUMN(rw_LoadOrigin)-1)+1)-INDEX(rw_Cum,(ROW()-ROW(rw_LoadOrigin)-1),(COLUMN()-COLUMN(rw_LoadOrigin)-1))),"")</f>
        <v/>
      </c>
      <c r="U56" s="72" t="str">
        <f aca="false">IFERROR(IF(INDEX(res_Name,(ROW()-ROW(rw_LoadOrigin)-1))="","",INDEX(rw_Cum,(ROW()-ROW(rw_LoadOrigin)-1),(COLUMN()-COLUMN(rw_LoadOrigin)-1)+1)-INDEX(rw_Cum,(ROW()-ROW(rw_LoadOrigin)-1),(COLUMN()-COLUMN(rw_LoadOrigin)-1))),"")</f>
        <v/>
      </c>
      <c r="V56" s="72" t="str">
        <f aca="false">IFERROR(IF(INDEX(res_Name,(ROW()-ROW(rw_LoadOrigin)-1))="","",INDEX(rw_Cum,(ROW()-ROW(rw_LoadOrigin)-1),(COLUMN()-COLUMN(rw_LoadOrigin)-1)+1)-INDEX(rw_Cum,(ROW()-ROW(rw_LoadOrigin)-1),(COLUMN()-COLUMN(rw_LoadOrigin)-1))),"")</f>
        <v/>
      </c>
      <c r="W56" s="72" t="str">
        <f aca="false">IFERROR(IF(INDEX(res_Name,(ROW()-ROW(rw_LoadOrigin)-1))="","",INDEX(rw_Cum,(ROW()-ROW(rw_LoadOrigin)-1),(COLUMN()-COLUMN(rw_LoadOrigin)-1)+1)-INDEX(rw_Cum,(ROW()-ROW(rw_LoadOrigin)-1),(COLUMN()-COLUMN(rw_LoadOrigin)-1))),"")</f>
        <v/>
      </c>
      <c r="X56" s="72" t="str">
        <f aca="false">IFERROR(IF(INDEX(res_Name,(ROW()-ROW(rw_LoadOrigin)-1))="","",INDEX(rw_Cum,(ROW()-ROW(rw_LoadOrigin)-1),(COLUMN()-COLUMN(rw_LoadOrigin)-1)+1)-INDEX(rw_Cum,(ROW()-ROW(rw_LoadOrigin)-1),(COLUMN()-COLUMN(rw_LoadOrigin)-1))),"")</f>
        <v/>
      </c>
      <c r="Y56" s="72" t="str">
        <f aca="false">IFERROR(IF(INDEX(res_Name,(ROW()-ROW(rw_LoadOrigin)-1))="","",INDEX(rw_Cum,(ROW()-ROW(rw_LoadOrigin)-1),(COLUMN()-COLUMN(rw_LoadOrigin)-1)+1)-INDEX(rw_Cum,(ROW()-ROW(rw_LoadOrigin)-1),(COLUMN()-COLUMN(rw_LoadOrigin)-1))),"")</f>
        <v/>
      </c>
      <c r="Z56" s="72" t="str">
        <f aca="false">IFERROR(IF(INDEX(res_Name,(ROW()-ROW(rw_LoadOrigin)-1))="","",INDEX(rw_Cum,(ROW()-ROW(rw_LoadOrigin)-1),(COLUMN()-COLUMN(rw_LoadOrigin)-1)+1)-INDEX(rw_Cum,(ROW()-ROW(rw_LoadOrigin)-1),(COLUMN()-COLUMN(rw_LoadOrigin)-1))),"")</f>
        <v/>
      </c>
      <c r="AA56" s="72" t="str">
        <f aca="false">IFERROR(IF(INDEX(res_Name,(ROW()-ROW(rw_LoadOrigin)-1))="","",INDEX(rw_Cum,(ROW()-ROW(rw_LoadOrigin)-1),(COLUMN()-COLUMN(rw_LoadOrigin)-1)+1)-INDEX(rw_Cum,(ROW()-ROW(rw_LoadOrigin)-1),(COLUMN()-COLUMN(rw_LoadOrigin)-1))),"")</f>
        <v/>
      </c>
      <c r="AB56" s="72" t="str">
        <f aca="false">IFERROR(IF(INDEX(res_Name,(ROW()-ROW(rw_LoadOrigin)-1))="","",INDEX(rw_Cum,(ROW()-ROW(rw_LoadOrigin)-1),(COLUMN()-COLUMN(rw_LoadOrigin)-1)+1)-INDEX(rw_Cum,(ROW()-ROW(rw_LoadOrigin)-1),(COLUMN()-COLUMN(rw_LoadOrigin)-1))),"")</f>
        <v/>
      </c>
      <c r="AC56" s="72" t="str">
        <f aca="false">IFERROR(IF(INDEX(res_Name,(ROW()-ROW(rw_LoadOrigin)-1))="","",INDEX(rw_Cum,(ROW()-ROW(rw_LoadOrigin)-1),(COLUMN()-COLUMN(rw_LoadOrigin)-1)+1)-INDEX(rw_Cum,(ROW()-ROW(rw_LoadOrigin)-1),(COLUMN()-COLUMN(rw_LoadOrigin)-1))),"")</f>
        <v/>
      </c>
    </row>
    <row r="57" customFormat="false" ht="15" hidden="false" customHeight="false" outlineLevel="0" collapsed="false">
      <c r="B57" s="48" t="str">
        <f aca="false">IFERROR(INDEX(res_Name,(ROW()-ROW(rw_LoadOrigin)-1))&amp;"","")</f>
        <v/>
      </c>
      <c r="C57" s="71" t="str">
        <f aca="false">IFERROR(IF(INDEX(res_Name,(ROW()-ROW(rw_LoadOrigin)-1))="","",INDEX(res_MaxUnits,(ROW()-ROW(rw_LoadOrigin)-1))),"")</f>
        <v/>
      </c>
      <c r="D57" s="72" t="str">
        <f aca="false">IFERROR(IF(INDEX(res_Name,(ROW()-ROW(rw_LoadOrigin)-1))="","",INDEX(rw_Cum,(ROW()-ROW(rw_LoadOrigin)-1),(COLUMN()-COLUMN(rw_LoadOrigin)-1)+1)-INDEX(rw_Cum,(ROW()-ROW(rw_LoadOrigin)-1),(COLUMN()-COLUMN(rw_LoadOrigin)-1))),"")</f>
        <v/>
      </c>
      <c r="E57" s="72" t="str">
        <f aca="false">IFERROR(IF(INDEX(res_Name,(ROW()-ROW(rw_LoadOrigin)-1))="","",INDEX(rw_Cum,(ROW()-ROW(rw_LoadOrigin)-1),(COLUMN()-COLUMN(rw_LoadOrigin)-1)+1)-INDEX(rw_Cum,(ROW()-ROW(rw_LoadOrigin)-1),(COLUMN()-COLUMN(rw_LoadOrigin)-1))),"")</f>
        <v/>
      </c>
      <c r="F57" s="72" t="str">
        <f aca="false">IFERROR(IF(INDEX(res_Name,(ROW()-ROW(rw_LoadOrigin)-1))="","",INDEX(rw_Cum,(ROW()-ROW(rw_LoadOrigin)-1),(COLUMN()-COLUMN(rw_LoadOrigin)-1)+1)-INDEX(rw_Cum,(ROW()-ROW(rw_LoadOrigin)-1),(COLUMN()-COLUMN(rw_LoadOrigin)-1))),"")</f>
        <v/>
      </c>
      <c r="G57" s="72" t="str">
        <f aca="false">IFERROR(IF(INDEX(res_Name,(ROW()-ROW(rw_LoadOrigin)-1))="","",INDEX(rw_Cum,(ROW()-ROW(rw_LoadOrigin)-1),(COLUMN()-COLUMN(rw_LoadOrigin)-1)+1)-INDEX(rw_Cum,(ROW()-ROW(rw_LoadOrigin)-1),(COLUMN()-COLUMN(rw_LoadOrigin)-1))),"")</f>
        <v/>
      </c>
      <c r="H57" s="72" t="str">
        <f aca="false">IFERROR(IF(INDEX(res_Name,(ROW()-ROW(rw_LoadOrigin)-1))="","",INDEX(rw_Cum,(ROW()-ROW(rw_LoadOrigin)-1),(COLUMN()-COLUMN(rw_LoadOrigin)-1)+1)-INDEX(rw_Cum,(ROW()-ROW(rw_LoadOrigin)-1),(COLUMN()-COLUMN(rw_LoadOrigin)-1))),"")</f>
        <v/>
      </c>
      <c r="I57" s="72" t="str">
        <f aca="false">IFERROR(IF(INDEX(res_Name,(ROW()-ROW(rw_LoadOrigin)-1))="","",INDEX(rw_Cum,(ROW()-ROW(rw_LoadOrigin)-1),(COLUMN()-COLUMN(rw_LoadOrigin)-1)+1)-INDEX(rw_Cum,(ROW()-ROW(rw_LoadOrigin)-1),(COLUMN()-COLUMN(rw_LoadOrigin)-1))),"")</f>
        <v/>
      </c>
      <c r="J57" s="72" t="str">
        <f aca="false">IFERROR(IF(INDEX(res_Name,(ROW()-ROW(rw_LoadOrigin)-1))="","",INDEX(rw_Cum,(ROW()-ROW(rw_LoadOrigin)-1),(COLUMN()-COLUMN(rw_LoadOrigin)-1)+1)-INDEX(rw_Cum,(ROW()-ROW(rw_LoadOrigin)-1),(COLUMN()-COLUMN(rw_LoadOrigin)-1))),"")</f>
        <v/>
      </c>
      <c r="K57" s="72" t="str">
        <f aca="false">IFERROR(IF(INDEX(res_Name,(ROW()-ROW(rw_LoadOrigin)-1))="","",INDEX(rw_Cum,(ROW()-ROW(rw_LoadOrigin)-1),(COLUMN()-COLUMN(rw_LoadOrigin)-1)+1)-INDEX(rw_Cum,(ROW()-ROW(rw_LoadOrigin)-1),(COLUMN()-COLUMN(rw_LoadOrigin)-1))),"")</f>
        <v/>
      </c>
      <c r="L57" s="72" t="str">
        <f aca="false">IFERROR(IF(INDEX(res_Name,(ROW()-ROW(rw_LoadOrigin)-1))="","",INDEX(rw_Cum,(ROW()-ROW(rw_LoadOrigin)-1),(COLUMN()-COLUMN(rw_LoadOrigin)-1)+1)-INDEX(rw_Cum,(ROW()-ROW(rw_LoadOrigin)-1),(COLUMN()-COLUMN(rw_LoadOrigin)-1))),"")</f>
        <v/>
      </c>
      <c r="M57" s="72" t="str">
        <f aca="false">IFERROR(IF(INDEX(res_Name,(ROW()-ROW(rw_LoadOrigin)-1))="","",INDEX(rw_Cum,(ROW()-ROW(rw_LoadOrigin)-1),(COLUMN()-COLUMN(rw_LoadOrigin)-1)+1)-INDEX(rw_Cum,(ROW()-ROW(rw_LoadOrigin)-1),(COLUMN()-COLUMN(rw_LoadOrigin)-1))),"")</f>
        <v/>
      </c>
      <c r="N57" s="72" t="str">
        <f aca="false">IFERROR(IF(INDEX(res_Name,(ROW()-ROW(rw_LoadOrigin)-1))="","",INDEX(rw_Cum,(ROW()-ROW(rw_LoadOrigin)-1),(COLUMN()-COLUMN(rw_LoadOrigin)-1)+1)-INDEX(rw_Cum,(ROW()-ROW(rw_LoadOrigin)-1),(COLUMN()-COLUMN(rw_LoadOrigin)-1))),"")</f>
        <v/>
      </c>
      <c r="O57" s="72" t="str">
        <f aca="false">IFERROR(IF(INDEX(res_Name,(ROW()-ROW(rw_LoadOrigin)-1))="","",INDEX(rw_Cum,(ROW()-ROW(rw_LoadOrigin)-1),(COLUMN()-COLUMN(rw_LoadOrigin)-1)+1)-INDEX(rw_Cum,(ROW()-ROW(rw_LoadOrigin)-1),(COLUMN()-COLUMN(rw_LoadOrigin)-1))),"")</f>
        <v/>
      </c>
      <c r="P57" s="72" t="str">
        <f aca="false">IFERROR(IF(INDEX(res_Name,(ROW()-ROW(rw_LoadOrigin)-1))="","",INDEX(rw_Cum,(ROW()-ROW(rw_LoadOrigin)-1),(COLUMN()-COLUMN(rw_LoadOrigin)-1)+1)-INDEX(rw_Cum,(ROW()-ROW(rw_LoadOrigin)-1),(COLUMN()-COLUMN(rw_LoadOrigin)-1))),"")</f>
        <v/>
      </c>
      <c r="Q57" s="72" t="str">
        <f aca="false">IFERROR(IF(INDEX(res_Name,(ROW()-ROW(rw_LoadOrigin)-1))="","",INDEX(rw_Cum,(ROW()-ROW(rw_LoadOrigin)-1),(COLUMN()-COLUMN(rw_LoadOrigin)-1)+1)-INDEX(rw_Cum,(ROW()-ROW(rw_LoadOrigin)-1),(COLUMN()-COLUMN(rw_LoadOrigin)-1))),"")</f>
        <v/>
      </c>
      <c r="R57" s="72" t="str">
        <f aca="false">IFERROR(IF(INDEX(res_Name,(ROW()-ROW(rw_LoadOrigin)-1))="","",INDEX(rw_Cum,(ROW()-ROW(rw_LoadOrigin)-1),(COLUMN()-COLUMN(rw_LoadOrigin)-1)+1)-INDEX(rw_Cum,(ROW()-ROW(rw_LoadOrigin)-1),(COLUMN()-COLUMN(rw_LoadOrigin)-1))),"")</f>
        <v/>
      </c>
      <c r="S57" s="72" t="str">
        <f aca="false">IFERROR(IF(INDEX(res_Name,(ROW()-ROW(rw_LoadOrigin)-1))="","",INDEX(rw_Cum,(ROW()-ROW(rw_LoadOrigin)-1),(COLUMN()-COLUMN(rw_LoadOrigin)-1)+1)-INDEX(rw_Cum,(ROW()-ROW(rw_LoadOrigin)-1),(COLUMN()-COLUMN(rw_LoadOrigin)-1))),"")</f>
        <v/>
      </c>
      <c r="T57" s="72" t="str">
        <f aca="false">IFERROR(IF(INDEX(res_Name,(ROW()-ROW(rw_LoadOrigin)-1))="","",INDEX(rw_Cum,(ROW()-ROW(rw_LoadOrigin)-1),(COLUMN()-COLUMN(rw_LoadOrigin)-1)+1)-INDEX(rw_Cum,(ROW()-ROW(rw_LoadOrigin)-1),(COLUMN()-COLUMN(rw_LoadOrigin)-1))),"")</f>
        <v/>
      </c>
      <c r="U57" s="72" t="str">
        <f aca="false">IFERROR(IF(INDEX(res_Name,(ROW()-ROW(rw_LoadOrigin)-1))="","",INDEX(rw_Cum,(ROW()-ROW(rw_LoadOrigin)-1),(COLUMN()-COLUMN(rw_LoadOrigin)-1)+1)-INDEX(rw_Cum,(ROW()-ROW(rw_LoadOrigin)-1),(COLUMN()-COLUMN(rw_LoadOrigin)-1))),"")</f>
        <v/>
      </c>
      <c r="V57" s="72" t="str">
        <f aca="false">IFERROR(IF(INDEX(res_Name,(ROW()-ROW(rw_LoadOrigin)-1))="","",INDEX(rw_Cum,(ROW()-ROW(rw_LoadOrigin)-1),(COLUMN()-COLUMN(rw_LoadOrigin)-1)+1)-INDEX(rw_Cum,(ROW()-ROW(rw_LoadOrigin)-1),(COLUMN()-COLUMN(rw_LoadOrigin)-1))),"")</f>
        <v/>
      </c>
      <c r="W57" s="72" t="str">
        <f aca="false">IFERROR(IF(INDEX(res_Name,(ROW()-ROW(rw_LoadOrigin)-1))="","",INDEX(rw_Cum,(ROW()-ROW(rw_LoadOrigin)-1),(COLUMN()-COLUMN(rw_LoadOrigin)-1)+1)-INDEX(rw_Cum,(ROW()-ROW(rw_LoadOrigin)-1),(COLUMN()-COLUMN(rw_LoadOrigin)-1))),"")</f>
        <v/>
      </c>
      <c r="X57" s="72" t="str">
        <f aca="false">IFERROR(IF(INDEX(res_Name,(ROW()-ROW(rw_LoadOrigin)-1))="","",INDEX(rw_Cum,(ROW()-ROW(rw_LoadOrigin)-1),(COLUMN()-COLUMN(rw_LoadOrigin)-1)+1)-INDEX(rw_Cum,(ROW()-ROW(rw_LoadOrigin)-1),(COLUMN()-COLUMN(rw_LoadOrigin)-1))),"")</f>
        <v/>
      </c>
      <c r="Y57" s="72" t="str">
        <f aca="false">IFERROR(IF(INDEX(res_Name,(ROW()-ROW(rw_LoadOrigin)-1))="","",INDEX(rw_Cum,(ROW()-ROW(rw_LoadOrigin)-1),(COLUMN()-COLUMN(rw_LoadOrigin)-1)+1)-INDEX(rw_Cum,(ROW()-ROW(rw_LoadOrigin)-1),(COLUMN()-COLUMN(rw_LoadOrigin)-1))),"")</f>
        <v/>
      </c>
      <c r="Z57" s="72" t="str">
        <f aca="false">IFERROR(IF(INDEX(res_Name,(ROW()-ROW(rw_LoadOrigin)-1))="","",INDEX(rw_Cum,(ROW()-ROW(rw_LoadOrigin)-1),(COLUMN()-COLUMN(rw_LoadOrigin)-1)+1)-INDEX(rw_Cum,(ROW()-ROW(rw_LoadOrigin)-1),(COLUMN()-COLUMN(rw_LoadOrigin)-1))),"")</f>
        <v/>
      </c>
      <c r="AA57" s="72" t="str">
        <f aca="false">IFERROR(IF(INDEX(res_Name,(ROW()-ROW(rw_LoadOrigin)-1))="","",INDEX(rw_Cum,(ROW()-ROW(rw_LoadOrigin)-1),(COLUMN()-COLUMN(rw_LoadOrigin)-1)+1)-INDEX(rw_Cum,(ROW()-ROW(rw_LoadOrigin)-1),(COLUMN()-COLUMN(rw_LoadOrigin)-1))),"")</f>
        <v/>
      </c>
      <c r="AB57" s="72" t="str">
        <f aca="false">IFERROR(IF(INDEX(res_Name,(ROW()-ROW(rw_LoadOrigin)-1))="","",INDEX(rw_Cum,(ROW()-ROW(rw_LoadOrigin)-1),(COLUMN()-COLUMN(rw_LoadOrigin)-1)+1)-INDEX(rw_Cum,(ROW()-ROW(rw_LoadOrigin)-1),(COLUMN()-COLUMN(rw_LoadOrigin)-1))),"")</f>
        <v/>
      </c>
      <c r="AC57" s="72" t="str">
        <f aca="false">IFERROR(IF(INDEX(res_Name,(ROW()-ROW(rw_LoadOrigin)-1))="","",INDEX(rw_Cum,(ROW()-ROW(rw_LoadOrigin)-1),(COLUMN()-COLUMN(rw_LoadOrigin)-1)+1)-INDEX(rw_Cum,(ROW()-ROW(rw_LoadOrigin)-1),(COLUMN()-COLUMN(rw_LoadOrigin)-1))),"")</f>
        <v/>
      </c>
    </row>
    <row r="58" customFormat="false" ht="15" hidden="false" customHeight="false" outlineLevel="0" collapsed="false">
      <c r="B58" s="48" t="str">
        <f aca="false">IFERROR(INDEX(res_Name,(ROW()-ROW(rw_LoadOrigin)-1))&amp;"","")</f>
        <v/>
      </c>
      <c r="C58" s="71" t="str">
        <f aca="false">IFERROR(IF(INDEX(res_Name,(ROW()-ROW(rw_LoadOrigin)-1))="","",INDEX(res_MaxUnits,(ROW()-ROW(rw_LoadOrigin)-1))),"")</f>
        <v/>
      </c>
      <c r="D58" s="72" t="str">
        <f aca="false">IFERROR(IF(INDEX(res_Name,(ROW()-ROW(rw_LoadOrigin)-1))="","",INDEX(rw_Cum,(ROW()-ROW(rw_LoadOrigin)-1),(COLUMN()-COLUMN(rw_LoadOrigin)-1)+1)-INDEX(rw_Cum,(ROW()-ROW(rw_LoadOrigin)-1),(COLUMN()-COLUMN(rw_LoadOrigin)-1))),"")</f>
        <v/>
      </c>
      <c r="E58" s="72" t="str">
        <f aca="false">IFERROR(IF(INDEX(res_Name,(ROW()-ROW(rw_LoadOrigin)-1))="","",INDEX(rw_Cum,(ROW()-ROW(rw_LoadOrigin)-1),(COLUMN()-COLUMN(rw_LoadOrigin)-1)+1)-INDEX(rw_Cum,(ROW()-ROW(rw_LoadOrigin)-1),(COLUMN()-COLUMN(rw_LoadOrigin)-1))),"")</f>
        <v/>
      </c>
      <c r="F58" s="72" t="str">
        <f aca="false">IFERROR(IF(INDEX(res_Name,(ROW()-ROW(rw_LoadOrigin)-1))="","",INDEX(rw_Cum,(ROW()-ROW(rw_LoadOrigin)-1),(COLUMN()-COLUMN(rw_LoadOrigin)-1)+1)-INDEX(rw_Cum,(ROW()-ROW(rw_LoadOrigin)-1),(COLUMN()-COLUMN(rw_LoadOrigin)-1))),"")</f>
        <v/>
      </c>
      <c r="G58" s="72" t="str">
        <f aca="false">IFERROR(IF(INDEX(res_Name,(ROW()-ROW(rw_LoadOrigin)-1))="","",INDEX(rw_Cum,(ROW()-ROW(rw_LoadOrigin)-1),(COLUMN()-COLUMN(rw_LoadOrigin)-1)+1)-INDEX(rw_Cum,(ROW()-ROW(rw_LoadOrigin)-1),(COLUMN()-COLUMN(rw_LoadOrigin)-1))),"")</f>
        <v/>
      </c>
      <c r="H58" s="72" t="str">
        <f aca="false">IFERROR(IF(INDEX(res_Name,(ROW()-ROW(rw_LoadOrigin)-1))="","",INDEX(rw_Cum,(ROW()-ROW(rw_LoadOrigin)-1),(COLUMN()-COLUMN(rw_LoadOrigin)-1)+1)-INDEX(rw_Cum,(ROW()-ROW(rw_LoadOrigin)-1),(COLUMN()-COLUMN(rw_LoadOrigin)-1))),"")</f>
        <v/>
      </c>
      <c r="I58" s="72" t="str">
        <f aca="false">IFERROR(IF(INDEX(res_Name,(ROW()-ROW(rw_LoadOrigin)-1))="","",INDEX(rw_Cum,(ROW()-ROW(rw_LoadOrigin)-1),(COLUMN()-COLUMN(rw_LoadOrigin)-1)+1)-INDEX(rw_Cum,(ROW()-ROW(rw_LoadOrigin)-1),(COLUMN()-COLUMN(rw_LoadOrigin)-1))),"")</f>
        <v/>
      </c>
      <c r="J58" s="72" t="str">
        <f aca="false">IFERROR(IF(INDEX(res_Name,(ROW()-ROW(rw_LoadOrigin)-1))="","",INDEX(rw_Cum,(ROW()-ROW(rw_LoadOrigin)-1),(COLUMN()-COLUMN(rw_LoadOrigin)-1)+1)-INDEX(rw_Cum,(ROW()-ROW(rw_LoadOrigin)-1),(COLUMN()-COLUMN(rw_LoadOrigin)-1))),"")</f>
        <v/>
      </c>
      <c r="K58" s="72" t="str">
        <f aca="false">IFERROR(IF(INDEX(res_Name,(ROW()-ROW(rw_LoadOrigin)-1))="","",INDEX(rw_Cum,(ROW()-ROW(rw_LoadOrigin)-1),(COLUMN()-COLUMN(rw_LoadOrigin)-1)+1)-INDEX(rw_Cum,(ROW()-ROW(rw_LoadOrigin)-1),(COLUMN()-COLUMN(rw_LoadOrigin)-1))),"")</f>
        <v/>
      </c>
      <c r="L58" s="72" t="str">
        <f aca="false">IFERROR(IF(INDEX(res_Name,(ROW()-ROW(rw_LoadOrigin)-1))="","",INDEX(rw_Cum,(ROW()-ROW(rw_LoadOrigin)-1),(COLUMN()-COLUMN(rw_LoadOrigin)-1)+1)-INDEX(rw_Cum,(ROW()-ROW(rw_LoadOrigin)-1),(COLUMN()-COLUMN(rw_LoadOrigin)-1))),"")</f>
        <v/>
      </c>
      <c r="M58" s="72" t="str">
        <f aca="false">IFERROR(IF(INDEX(res_Name,(ROW()-ROW(rw_LoadOrigin)-1))="","",INDEX(rw_Cum,(ROW()-ROW(rw_LoadOrigin)-1),(COLUMN()-COLUMN(rw_LoadOrigin)-1)+1)-INDEX(rw_Cum,(ROW()-ROW(rw_LoadOrigin)-1),(COLUMN()-COLUMN(rw_LoadOrigin)-1))),"")</f>
        <v/>
      </c>
      <c r="N58" s="72" t="str">
        <f aca="false">IFERROR(IF(INDEX(res_Name,(ROW()-ROW(rw_LoadOrigin)-1))="","",INDEX(rw_Cum,(ROW()-ROW(rw_LoadOrigin)-1),(COLUMN()-COLUMN(rw_LoadOrigin)-1)+1)-INDEX(rw_Cum,(ROW()-ROW(rw_LoadOrigin)-1),(COLUMN()-COLUMN(rw_LoadOrigin)-1))),"")</f>
        <v/>
      </c>
      <c r="O58" s="72" t="str">
        <f aca="false">IFERROR(IF(INDEX(res_Name,(ROW()-ROW(rw_LoadOrigin)-1))="","",INDEX(rw_Cum,(ROW()-ROW(rw_LoadOrigin)-1),(COLUMN()-COLUMN(rw_LoadOrigin)-1)+1)-INDEX(rw_Cum,(ROW()-ROW(rw_LoadOrigin)-1),(COLUMN()-COLUMN(rw_LoadOrigin)-1))),"")</f>
        <v/>
      </c>
      <c r="P58" s="72" t="str">
        <f aca="false">IFERROR(IF(INDEX(res_Name,(ROW()-ROW(rw_LoadOrigin)-1))="","",INDEX(rw_Cum,(ROW()-ROW(rw_LoadOrigin)-1),(COLUMN()-COLUMN(rw_LoadOrigin)-1)+1)-INDEX(rw_Cum,(ROW()-ROW(rw_LoadOrigin)-1),(COLUMN()-COLUMN(rw_LoadOrigin)-1))),"")</f>
        <v/>
      </c>
      <c r="Q58" s="72" t="str">
        <f aca="false">IFERROR(IF(INDEX(res_Name,(ROW()-ROW(rw_LoadOrigin)-1))="","",INDEX(rw_Cum,(ROW()-ROW(rw_LoadOrigin)-1),(COLUMN()-COLUMN(rw_LoadOrigin)-1)+1)-INDEX(rw_Cum,(ROW()-ROW(rw_LoadOrigin)-1),(COLUMN()-COLUMN(rw_LoadOrigin)-1))),"")</f>
        <v/>
      </c>
      <c r="R58" s="72" t="str">
        <f aca="false">IFERROR(IF(INDEX(res_Name,(ROW()-ROW(rw_LoadOrigin)-1))="","",INDEX(rw_Cum,(ROW()-ROW(rw_LoadOrigin)-1),(COLUMN()-COLUMN(rw_LoadOrigin)-1)+1)-INDEX(rw_Cum,(ROW()-ROW(rw_LoadOrigin)-1),(COLUMN()-COLUMN(rw_LoadOrigin)-1))),"")</f>
        <v/>
      </c>
      <c r="S58" s="72" t="str">
        <f aca="false">IFERROR(IF(INDEX(res_Name,(ROW()-ROW(rw_LoadOrigin)-1))="","",INDEX(rw_Cum,(ROW()-ROW(rw_LoadOrigin)-1),(COLUMN()-COLUMN(rw_LoadOrigin)-1)+1)-INDEX(rw_Cum,(ROW()-ROW(rw_LoadOrigin)-1),(COLUMN()-COLUMN(rw_LoadOrigin)-1))),"")</f>
        <v/>
      </c>
      <c r="T58" s="72" t="str">
        <f aca="false">IFERROR(IF(INDEX(res_Name,(ROW()-ROW(rw_LoadOrigin)-1))="","",INDEX(rw_Cum,(ROW()-ROW(rw_LoadOrigin)-1),(COLUMN()-COLUMN(rw_LoadOrigin)-1)+1)-INDEX(rw_Cum,(ROW()-ROW(rw_LoadOrigin)-1),(COLUMN()-COLUMN(rw_LoadOrigin)-1))),"")</f>
        <v/>
      </c>
      <c r="U58" s="72" t="str">
        <f aca="false">IFERROR(IF(INDEX(res_Name,(ROW()-ROW(rw_LoadOrigin)-1))="","",INDEX(rw_Cum,(ROW()-ROW(rw_LoadOrigin)-1),(COLUMN()-COLUMN(rw_LoadOrigin)-1)+1)-INDEX(rw_Cum,(ROW()-ROW(rw_LoadOrigin)-1),(COLUMN()-COLUMN(rw_LoadOrigin)-1))),"")</f>
        <v/>
      </c>
      <c r="V58" s="72" t="str">
        <f aca="false">IFERROR(IF(INDEX(res_Name,(ROW()-ROW(rw_LoadOrigin)-1))="","",INDEX(rw_Cum,(ROW()-ROW(rw_LoadOrigin)-1),(COLUMN()-COLUMN(rw_LoadOrigin)-1)+1)-INDEX(rw_Cum,(ROW()-ROW(rw_LoadOrigin)-1),(COLUMN()-COLUMN(rw_LoadOrigin)-1))),"")</f>
        <v/>
      </c>
      <c r="W58" s="72" t="str">
        <f aca="false">IFERROR(IF(INDEX(res_Name,(ROW()-ROW(rw_LoadOrigin)-1))="","",INDEX(rw_Cum,(ROW()-ROW(rw_LoadOrigin)-1),(COLUMN()-COLUMN(rw_LoadOrigin)-1)+1)-INDEX(rw_Cum,(ROW()-ROW(rw_LoadOrigin)-1),(COLUMN()-COLUMN(rw_LoadOrigin)-1))),"")</f>
        <v/>
      </c>
      <c r="X58" s="72" t="str">
        <f aca="false">IFERROR(IF(INDEX(res_Name,(ROW()-ROW(rw_LoadOrigin)-1))="","",INDEX(rw_Cum,(ROW()-ROW(rw_LoadOrigin)-1),(COLUMN()-COLUMN(rw_LoadOrigin)-1)+1)-INDEX(rw_Cum,(ROW()-ROW(rw_LoadOrigin)-1),(COLUMN()-COLUMN(rw_LoadOrigin)-1))),"")</f>
        <v/>
      </c>
      <c r="Y58" s="72" t="str">
        <f aca="false">IFERROR(IF(INDEX(res_Name,(ROW()-ROW(rw_LoadOrigin)-1))="","",INDEX(rw_Cum,(ROW()-ROW(rw_LoadOrigin)-1),(COLUMN()-COLUMN(rw_LoadOrigin)-1)+1)-INDEX(rw_Cum,(ROW()-ROW(rw_LoadOrigin)-1),(COLUMN()-COLUMN(rw_LoadOrigin)-1))),"")</f>
        <v/>
      </c>
      <c r="Z58" s="72" t="str">
        <f aca="false">IFERROR(IF(INDEX(res_Name,(ROW()-ROW(rw_LoadOrigin)-1))="","",INDEX(rw_Cum,(ROW()-ROW(rw_LoadOrigin)-1),(COLUMN()-COLUMN(rw_LoadOrigin)-1)+1)-INDEX(rw_Cum,(ROW()-ROW(rw_LoadOrigin)-1),(COLUMN()-COLUMN(rw_LoadOrigin)-1))),"")</f>
        <v/>
      </c>
      <c r="AA58" s="72" t="str">
        <f aca="false">IFERROR(IF(INDEX(res_Name,(ROW()-ROW(rw_LoadOrigin)-1))="","",INDEX(rw_Cum,(ROW()-ROW(rw_LoadOrigin)-1),(COLUMN()-COLUMN(rw_LoadOrigin)-1)+1)-INDEX(rw_Cum,(ROW()-ROW(rw_LoadOrigin)-1),(COLUMN()-COLUMN(rw_LoadOrigin)-1))),"")</f>
        <v/>
      </c>
      <c r="AB58" s="72" t="str">
        <f aca="false">IFERROR(IF(INDEX(res_Name,(ROW()-ROW(rw_LoadOrigin)-1))="","",INDEX(rw_Cum,(ROW()-ROW(rw_LoadOrigin)-1),(COLUMN()-COLUMN(rw_LoadOrigin)-1)+1)-INDEX(rw_Cum,(ROW()-ROW(rw_LoadOrigin)-1),(COLUMN()-COLUMN(rw_LoadOrigin)-1))),"")</f>
        <v/>
      </c>
      <c r="AC58" s="72" t="str">
        <f aca="false">IFERROR(IF(INDEX(res_Name,(ROW()-ROW(rw_LoadOrigin)-1))="","",INDEX(rw_Cum,(ROW()-ROW(rw_LoadOrigin)-1),(COLUMN()-COLUMN(rw_LoadOrigin)-1)+1)-INDEX(rw_Cum,(ROW()-ROW(rw_LoadOrigin)-1),(COLUMN()-COLUMN(rw_LoadOrigin)-1))),"")</f>
        <v/>
      </c>
    </row>
    <row r="59" customFormat="false" ht="15" hidden="false" customHeight="false" outlineLevel="0" collapsed="false">
      <c r="B59" s="48" t="str">
        <f aca="false">IFERROR(INDEX(res_Name,(ROW()-ROW(rw_LoadOrigin)-1))&amp;"","")</f>
        <v/>
      </c>
      <c r="C59" s="71" t="str">
        <f aca="false">IFERROR(IF(INDEX(res_Name,(ROW()-ROW(rw_LoadOrigin)-1))="","",INDEX(res_MaxUnits,(ROW()-ROW(rw_LoadOrigin)-1))),"")</f>
        <v/>
      </c>
      <c r="D59" s="72" t="str">
        <f aca="false">IFERROR(IF(INDEX(res_Name,(ROW()-ROW(rw_LoadOrigin)-1))="","",INDEX(rw_Cum,(ROW()-ROW(rw_LoadOrigin)-1),(COLUMN()-COLUMN(rw_LoadOrigin)-1)+1)-INDEX(rw_Cum,(ROW()-ROW(rw_LoadOrigin)-1),(COLUMN()-COLUMN(rw_LoadOrigin)-1))),"")</f>
        <v/>
      </c>
      <c r="E59" s="72" t="str">
        <f aca="false">IFERROR(IF(INDEX(res_Name,(ROW()-ROW(rw_LoadOrigin)-1))="","",INDEX(rw_Cum,(ROW()-ROW(rw_LoadOrigin)-1),(COLUMN()-COLUMN(rw_LoadOrigin)-1)+1)-INDEX(rw_Cum,(ROW()-ROW(rw_LoadOrigin)-1),(COLUMN()-COLUMN(rw_LoadOrigin)-1))),"")</f>
        <v/>
      </c>
      <c r="F59" s="72" t="str">
        <f aca="false">IFERROR(IF(INDEX(res_Name,(ROW()-ROW(rw_LoadOrigin)-1))="","",INDEX(rw_Cum,(ROW()-ROW(rw_LoadOrigin)-1),(COLUMN()-COLUMN(rw_LoadOrigin)-1)+1)-INDEX(rw_Cum,(ROW()-ROW(rw_LoadOrigin)-1),(COLUMN()-COLUMN(rw_LoadOrigin)-1))),"")</f>
        <v/>
      </c>
      <c r="G59" s="72" t="str">
        <f aca="false">IFERROR(IF(INDEX(res_Name,(ROW()-ROW(rw_LoadOrigin)-1))="","",INDEX(rw_Cum,(ROW()-ROW(rw_LoadOrigin)-1),(COLUMN()-COLUMN(rw_LoadOrigin)-1)+1)-INDEX(rw_Cum,(ROW()-ROW(rw_LoadOrigin)-1),(COLUMN()-COLUMN(rw_LoadOrigin)-1))),"")</f>
        <v/>
      </c>
      <c r="H59" s="72" t="str">
        <f aca="false">IFERROR(IF(INDEX(res_Name,(ROW()-ROW(rw_LoadOrigin)-1))="","",INDEX(rw_Cum,(ROW()-ROW(rw_LoadOrigin)-1),(COLUMN()-COLUMN(rw_LoadOrigin)-1)+1)-INDEX(rw_Cum,(ROW()-ROW(rw_LoadOrigin)-1),(COLUMN()-COLUMN(rw_LoadOrigin)-1))),"")</f>
        <v/>
      </c>
      <c r="I59" s="72" t="str">
        <f aca="false">IFERROR(IF(INDEX(res_Name,(ROW()-ROW(rw_LoadOrigin)-1))="","",INDEX(rw_Cum,(ROW()-ROW(rw_LoadOrigin)-1),(COLUMN()-COLUMN(rw_LoadOrigin)-1)+1)-INDEX(rw_Cum,(ROW()-ROW(rw_LoadOrigin)-1),(COLUMN()-COLUMN(rw_LoadOrigin)-1))),"")</f>
        <v/>
      </c>
      <c r="J59" s="72" t="str">
        <f aca="false">IFERROR(IF(INDEX(res_Name,(ROW()-ROW(rw_LoadOrigin)-1))="","",INDEX(rw_Cum,(ROW()-ROW(rw_LoadOrigin)-1),(COLUMN()-COLUMN(rw_LoadOrigin)-1)+1)-INDEX(rw_Cum,(ROW()-ROW(rw_LoadOrigin)-1),(COLUMN()-COLUMN(rw_LoadOrigin)-1))),"")</f>
        <v/>
      </c>
      <c r="K59" s="72" t="str">
        <f aca="false">IFERROR(IF(INDEX(res_Name,(ROW()-ROW(rw_LoadOrigin)-1))="","",INDEX(rw_Cum,(ROW()-ROW(rw_LoadOrigin)-1),(COLUMN()-COLUMN(rw_LoadOrigin)-1)+1)-INDEX(rw_Cum,(ROW()-ROW(rw_LoadOrigin)-1),(COLUMN()-COLUMN(rw_LoadOrigin)-1))),"")</f>
        <v/>
      </c>
      <c r="L59" s="72" t="str">
        <f aca="false">IFERROR(IF(INDEX(res_Name,(ROW()-ROW(rw_LoadOrigin)-1))="","",INDEX(rw_Cum,(ROW()-ROW(rw_LoadOrigin)-1),(COLUMN()-COLUMN(rw_LoadOrigin)-1)+1)-INDEX(rw_Cum,(ROW()-ROW(rw_LoadOrigin)-1),(COLUMN()-COLUMN(rw_LoadOrigin)-1))),"")</f>
        <v/>
      </c>
      <c r="M59" s="72" t="str">
        <f aca="false">IFERROR(IF(INDEX(res_Name,(ROW()-ROW(rw_LoadOrigin)-1))="","",INDEX(rw_Cum,(ROW()-ROW(rw_LoadOrigin)-1),(COLUMN()-COLUMN(rw_LoadOrigin)-1)+1)-INDEX(rw_Cum,(ROW()-ROW(rw_LoadOrigin)-1),(COLUMN()-COLUMN(rw_LoadOrigin)-1))),"")</f>
        <v/>
      </c>
      <c r="N59" s="72" t="str">
        <f aca="false">IFERROR(IF(INDEX(res_Name,(ROW()-ROW(rw_LoadOrigin)-1))="","",INDEX(rw_Cum,(ROW()-ROW(rw_LoadOrigin)-1),(COLUMN()-COLUMN(rw_LoadOrigin)-1)+1)-INDEX(rw_Cum,(ROW()-ROW(rw_LoadOrigin)-1),(COLUMN()-COLUMN(rw_LoadOrigin)-1))),"")</f>
        <v/>
      </c>
      <c r="O59" s="72" t="str">
        <f aca="false">IFERROR(IF(INDEX(res_Name,(ROW()-ROW(rw_LoadOrigin)-1))="","",INDEX(rw_Cum,(ROW()-ROW(rw_LoadOrigin)-1),(COLUMN()-COLUMN(rw_LoadOrigin)-1)+1)-INDEX(rw_Cum,(ROW()-ROW(rw_LoadOrigin)-1),(COLUMN()-COLUMN(rw_LoadOrigin)-1))),"")</f>
        <v/>
      </c>
      <c r="P59" s="72" t="str">
        <f aca="false">IFERROR(IF(INDEX(res_Name,(ROW()-ROW(rw_LoadOrigin)-1))="","",INDEX(rw_Cum,(ROW()-ROW(rw_LoadOrigin)-1),(COLUMN()-COLUMN(rw_LoadOrigin)-1)+1)-INDEX(rw_Cum,(ROW()-ROW(rw_LoadOrigin)-1),(COLUMN()-COLUMN(rw_LoadOrigin)-1))),"")</f>
        <v/>
      </c>
      <c r="Q59" s="72" t="str">
        <f aca="false">IFERROR(IF(INDEX(res_Name,(ROW()-ROW(rw_LoadOrigin)-1))="","",INDEX(rw_Cum,(ROW()-ROW(rw_LoadOrigin)-1),(COLUMN()-COLUMN(rw_LoadOrigin)-1)+1)-INDEX(rw_Cum,(ROW()-ROW(rw_LoadOrigin)-1),(COLUMN()-COLUMN(rw_LoadOrigin)-1))),"")</f>
        <v/>
      </c>
      <c r="R59" s="72" t="str">
        <f aca="false">IFERROR(IF(INDEX(res_Name,(ROW()-ROW(rw_LoadOrigin)-1))="","",INDEX(rw_Cum,(ROW()-ROW(rw_LoadOrigin)-1),(COLUMN()-COLUMN(rw_LoadOrigin)-1)+1)-INDEX(rw_Cum,(ROW()-ROW(rw_LoadOrigin)-1),(COLUMN()-COLUMN(rw_LoadOrigin)-1))),"")</f>
        <v/>
      </c>
      <c r="S59" s="72" t="str">
        <f aca="false">IFERROR(IF(INDEX(res_Name,(ROW()-ROW(rw_LoadOrigin)-1))="","",INDEX(rw_Cum,(ROW()-ROW(rw_LoadOrigin)-1),(COLUMN()-COLUMN(rw_LoadOrigin)-1)+1)-INDEX(rw_Cum,(ROW()-ROW(rw_LoadOrigin)-1),(COLUMN()-COLUMN(rw_LoadOrigin)-1))),"")</f>
        <v/>
      </c>
      <c r="T59" s="72" t="str">
        <f aca="false">IFERROR(IF(INDEX(res_Name,(ROW()-ROW(rw_LoadOrigin)-1))="","",INDEX(rw_Cum,(ROW()-ROW(rw_LoadOrigin)-1),(COLUMN()-COLUMN(rw_LoadOrigin)-1)+1)-INDEX(rw_Cum,(ROW()-ROW(rw_LoadOrigin)-1),(COLUMN()-COLUMN(rw_LoadOrigin)-1))),"")</f>
        <v/>
      </c>
      <c r="U59" s="72" t="str">
        <f aca="false">IFERROR(IF(INDEX(res_Name,(ROW()-ROW(rw_LoadOrigin)-1))="","",INDEX(rw_Cum,(ROW()-ROW(rw_LoadOrigin)-1),(COLUMN()-COLUMN(rw_LoadOrigin)-1)+1)-INDEX(rw_Cum,(ROW()-ROW(rw_LoadOrigin)-1),(COLUMN()-COLUMN(rw_LoadOrigin)-1))),"")</f>
        <v/>
      </c>
      <c r="V59" s="72" t="str">
        <f aca="false">IFERROR(IF(INDEX(res_Name,(ROW()-ROW(rw_LoadOrigin)-1))="","",INDEX(rw_Cum,(ROW()-ROW(rw_LoadOrigin)-1),(COLUMN()-COLUMN(rw_LoadOrigin)-1)+1)-INDEX(rw_Cum,(ROW()-ROW(rw_LoadOrigin)-1),(COLUMN()-COLUMN(rw_LoadOrigin)-1))),"")</f>
        <v/>
      </c>
      <c r="W59" s="72" t="str">
        <f aca="false">IFERROR(IF(INDEX(res_Name,(ROW()-ROW(rw_LoadOrigin)-1))="","",INDEX(rw_Cum,(ROW()-ROW(rw_LoadOrigin)-1),(COLUMN()-COLUMN(rw_LoadOrigin)-1)+1)-INDEX(rw_Cum,(ROW()-ROW(rw_LoadOrigin)-1),(COLUMN()-COLUMN(rw_LoadOrigin)-1))),"")</f>
        <v/>
      </c>
      <c r="X59" s="72" t="str">
        <f aca="false">IFERROR(IF(INDEX(res_Name,(ROW()-ROW(rw_LoadOrigin)-1))="","",INDEX(rw_Cum,(ROW()-ROW(rw_LoadOrigin)-1),(COLUMN()-COLUMN(rw_LoadOrigin)-1)+1)-INDEX(rw_Cum,(ROW()-ROW(rw_LoadOrigin)-1),(COLUMN()-COLUMN(rw_LoadOrigin)-1))),"")</f>
        <v/>
      </c>
      <c r="Y59" s="72" t="str">
        <f aca="false">IFERROR(IF(INDEX(res_Name,(ROW()-ROW(rw_LoadOrigin)-1))="","",INDEX(rw_Cum,(ROW()-ROW(rw_LoadOrigin)-1),(COLUMN()-COLUMN(rw_LoadOrigin)-1)+1)-INDEX(rw_Cum,(ROW()-ROW(rw_LoadOrigin)-1),(COLUMN()-COLUMN(rw_LoadOrigin)-1))),"")</f>
        <v/>
      </c>
      <c r="Z59" s="72" t="str">
        <f aca="false">IFERROR(IF(INDEX(res_Name,(ROW()-ROW(rw_LoadOrigin)-1))="","",INDEX(rw_Cum,(ROW()-ROW(rw_LoadOrigin)-1),(COLUMN()-COLUMN(rw_LoadOrigin)-1)+1)-INDEX(rw_Cum,(ROW()-ROW(rw_LoadOrigin)-1),(COLUMN()-COLUMN(rw_LoadOrigin)-1))),"")</f>
        <v/>
      </c>
      <c r="AA59" s="72" t="str">
        <f aca="false">IFERROR(IF(INDEX(res_Name,(ROW()-ROW(rw_LoadOrigin)-1))="","",INDEX(rw_Cum,(ROW()-ROW(rw_LoadOrigin)-1),(COLUMN()-COLUMN(rw_LoadOrigin)-1)+1)-INDEX(rw_Cum,(ROW()-ROW(rw_LoadOrigin)-1),(COLUMN()-COLUMN(rw_LoadOrigin)-1))),"")</f>
        <v/>
      </c>
      <c r="AB59" s="72" t="str">
        <f aca="false">IFERROR(IF(INDEX(res_Name,(ROW()-ROW(rw_LoadOrigin)-1))="","",INDEX(rw_Cum,(ROW()-ROW(rw_LoadOrigin)-1),(COLUMN()-COLUMN(rw_LoadOrigin)-1)+1)-INDEX(rw_Cum,(ROW()-ROW(rw_LoadOrigin)-1),(COLUMN()-COLUMN(rw_LoadOrigin)-1))),"")</f>
        <v/>
      </c>
      <c r="AC59" s="72" t="str">
        <f aca="false">IFERROR(IF(INDEX(res_Name,(ROW()-ROW(rw_LoadOrigin)-1))="","",INDEX(rw_Cum,(ROW()-ROW(rw_LoadOrigin)-1),(COLUMN()-COLUMN(rw_LoadOrigin)-1)+1)-INDEX(rw_Cum,(ROW()-ROW(rw_LoadOrigin)-1),(COLUMN()-COLUMN(rw_LoadOrigin)-1))),"")</f>
        <v/>
      </c>
    </row>
    <row r="60" customFormat="false" ht="15" hidden="false" customHeight="false" outlineLevel="0" collapsed="false">
      <c r="B60" s="48" t="str">
        <f aca="false">IFERROR(INDEX(res_Name,(ROW()-ROW(rw_LoadOrigin)-1))&amp;"","")</f>
        <v/>
      </c>
      <c r="C60" s="71" t="str">
        <f aca="false">IFERROR(IF(INDEX(res_Name,(ROW()-ROW(rw_LoadOrigin)-1))="","",INDEX(res_MaxUnits,(ROW()-ROW(rw_LoadOrigin)-1))),"")</f>
        <v/>
      </c>
      <c r="D60" s="72" t="str">
        <f aca="false">IFERROR(IF(INDEX(res_Name,(ROW()-ROW(rw_LoadOrigin)-1))="","",INDEX(rw_Cum,(ROW()-ROW(rw_LoadOrigin)-1),(COLUMN()-COLUMN(rw_LoadOrigin)-1)+1)-INDEX(rw_Cum,(ROW()-ROW(rw_LoadOrigin)-1),(COLUMN()-COLUMN(rw_LoadOrigin)-1))),"")</f>
        <v/>
      </c>
      <c r="E60" s="72" t="str">
        <f aca="false">IFERROR(IF(INDEX(res_Name,(ROW()-ROW(rw_LoadOrigin)-1))="","",INDEX(rw_Cum,(ROW()-ROW(rw_LoadOrigin)-1),(COLUMN()-COLUMN(rw_LoadOrigin)-1)+1)-INDEX(rw_Cum,(ROW()-ROW(rw_LoadOrigin)-1),(COLUMN()-COLUMN(rw_LoadOrigin)-1))),"")</f>
        <v/>
      </c>
      <c r="F60" s="72" t="str">
        <f aca="false">IFERROR(IF(INDEX(res_Name,(ROW()-ROW(rw_LoadOrigin)-1))="","",INDEX(rw_Cum,(ROW()-ROW(rw_LoadOrigin)-1),(COLUMN()-COLUMN(rw_LoadOrigin)-1)+1)-INDEX(rw_Cum,(ROW()-ROW(rw_LoadOrigin)-1),(COLUMN()-COLUMN(rw_LoadOrigin)-1))),"")</f>
        <v/>
      </c>
      <c r="G60" s="72" t="str">
        <f aca="false">IFERROR(IF(INDEX(res_Name,(ROW()-ROW(rw_LoadOrigin)-1))="","",INDEX(rw_Cum,(ROW()-ROW(rw_LoadOrigin)-1),(COLUMN()-COLUMN(rw_LoadOrigin)-1)+1)-INDEX(rw_Cum,(ROW()-ROW(rw_LoadOrigin)-1),(COLUMN()-COLUMN(rw_LoadOrigin)-1))),"")</f>
        <v/>
      </c>
      <c r="H60" s="72" t="str">
        <f aca="false">IFERROR(IF(INDEX(res_Name,(ROW()-ROW(rw_LoadOrigin)-1))="","",INDEX(rw_Cum,(ROW()-ROW(rw_LoadOrigin)-1),(COLUMN()-COLUMN(rw_LoadOrigin)-1)+1)-INDEX(rw_Cum,(ROW()-ROW(rw_LoadOrigin)-1),(COLUMN()-COLUMN(rw_LoadOrigin)-1))),"")</f>
        <v/>
      </c>
      <c r="I60" s="72" t="str">
        <f aca="false">IFERROR(IF(INDEX(res_Name,(ROW()-ROW(rw_LoadOrigin)-1))="","",INDEX(rw_Cum,(ROW()-ROW(rw_LoadOrigin)-1),(COLUMN()-COLUMN(rw_LoadOrigin)-1)+1)-INDEX(rw_Cum,(ROW()-ROW(rw_LoadOrigin)-1),(COLUMN()-COLUMN(rw_LoadOrigin)-1))),"")</f>
        <v/>
      </c>
      <c r="J60" s="72" t="str">
        <f aca="false">IFERROR(IF(INDEX(res_Name,(ROW()-ROW(rw_LoadOrigin)-1))="","",INDEX(rw_Cum,(ROW()-ROW(rw_LoadOrigin)-1),(COLUMN()-COLUMN(rw_LoadOrigin)-1)+1)-INDEX(rw_Cum,(ROW()-ROW(rw_LoadOrigin)-1),(COLUMN()-COLUMN(rw_LoadOrigin)-1))),"")</f>
        <v/>
      </c>
      <c r="K60" s="72" t="str">
        <f aca="false">IFERROR(IF(INDEX(res_Name,(ROW()-ROW(rw_LoadOrigin)-1))="","",INDEX(rw_Cum,(ROW()-ROW(rw_LoadOrigin)-1),(COLUMN()-COLUMN(rw_LoadOrigin)-1)+1)-INDEX(rw_Cum,(ROW()-ROW(rw_LoadOrigin)-1),(COLUMN()-COLUMN(rw_LoadOrigin)-1))),"")</f>
        <v/>
      </c>
      <c r="L60" s="72" t="str">
        <f aca="false">IFERROR(IF(INDEX(res_Name,(ROW()-ROW(rw_LoadOrigin)-1))="","",INDEX(rw_Cum,(ROW()-ROW(rw_LoadOrigin)-1),(COLUMN()-COLUMN(rw_LoadOrigin)-1)+1)-INDEX(rw_Cum,(ROW()-ROW(rw_LoadOrigin)-1),(COLUMN()-COLUMN(rw_LoadOrigin)-1))),"")</f>
        <v/>
      </c>
      <c r="M60" s="72" t="str">
        <f aca="false">IFERROR(IF(INDEX(res_Name,(ROW()-ROW(rw_LoadOrigin)-1))="","",INDEX(rw_Cum,(ROW()-ROW(rw_LoadOrigin)-1),(COLUMN()-COLUMN(rw_LoadOrigin)-1)+1)-INDEX(rw_Cum,(ROW()-ROW(rw_LoadOrigin)-1),(COLUMN()-COLUMN(rw_LoadOrigin)-1))),"")</f>
        <v/>
      </c>
      <c r="N60" s="72" t="str">
        <f aca="false">IFERROR(IF(INDEX(res_Name,(ROW()-ROW(rw_LoadOrigin)-1))="","",INDEX(rw_Cum,(ROW()-ROW(rw_LoadOrigin)-1),(COLUMN()-COLUMN(rw_LoadOrigin)-1)+1)-INDEX(rw_Cum,(ROW()-ROW(rw_LoadOrigin)-1),(COLUMN()-COLUMN(rw_LoadOrigin)-1))),"")</f>
        <v/>
      </c>
      <c r="O60" s="72" t="str">
        <f aca="false">IFERROR(IF(INDEX(res_Name,(ROW()-ROW(rw_LoadOrigin)-1))="","",INDEX(rw_Cum,(ROW()-ROW(rw_LoadOrigin)-1),(COLUMN()-COLUMN(rw_LoadOrigin)-1)+1)-INDEX(rw_Cum,(ROW()-ROW(rw_LoadOrigin)-1),(COLUMN()-COLUMN(rw_LoadOrigin)-1))),"")</f>
        <v/>
      </c>
      <c r="P60" s="72" t="str">
        <f aca="false">IFERROR(IF(INDEX(res_Name,(ROW()-ROW(rw_LoadOrigin)-1))="","",INDEX(rw_Cum,(ROW()-ROW(rw_LoadOrigin)-1),(COLUMN()-COLUMN(rw_LoadOrigin)-1)+1)-INDEX(rw_Cum,(ROW()-ROW(rw_LoadOrigin)-1),(COLUMN()-COLUMN(rw_LoadOrigin)-1))),"")</f>
        <v/>
      </c>
      <c r="Q60" s="72" t="str">
        <f aca="false">IFERROR(IF(INDEX(res_Name,(ROW()-ROW(rw_LoadOrigin)-1))="","",INDEX(rw_Cum,(ROW()-ROW(rw_LoadOrigin)-1),(COLUMN()-COLUMN(rw_LoadOrigin)-1)+1)-INDEX(rw_Cum,(ROW()-ROW(rw_LoadOrigin)-1),(COLUMN()-COLUMN(rw_LoadOrigin)-1))),"")</f>
        <v/>
      </c>
      <c r="R60" s="72" t="str">
        <f aca="false">IFERROR(IF(INDEX(res_Name,(ROW()-ROW(rw_LoadOrigin)-1))="","",INDEX(rw_Cum,(ROW()-ROW(rw_LoadOrigin)-1),(COLUMN()-COLUMN(rw_LoadOrigin)-1)+1)-INDEX(rw_Cum,(ROW()-ROW(rw_LoadOrigin)-1),(COLUMN()-COLUMN(rw_LoadOrigin)-1))),"")</f>
        <v/>
      </c>
      <c r="S60" s="72" t="str">
        <f aca="false">IFERROR(IF(INDEX(res_Name,(ROW()-ROW(rw_LoadOrigin)-1))="","",INDEX(rw_Cum,(ROW()-ROW(rw_LoadOrigin)-1),(COLUMN()-COLUMN(rw_LoadOrigin)-1)+1)-INDEX(rw_Cum,(ROW()-ROW(rw_LoadOrigin)-1),(COLUMN()-COLUMN(rw_LoadOrigin)-1))),"")</f>
        <v/>
      </c>
      <c r="T60" s="72" t="str">
        <f aca="false">IFERROR(IF(INDEX(res_Name,(ROW()-ROW(rw_LoadOrigin)-1))="","",INDEX(rw_Cum,(ROW()-ROW(rw_LoadOrigin)-1),(COLUMN()-COLUMN(rw_LoadOrigin)-1)+1)-INDEX(rw_Cum,(ROW()-ROW(rw_LoadOrigin)-1),(COLUMN()-COLUMN(rw_LoadOrigin)-1))),"")</f>
        <v/>
      </c>
      <c r="U60" s="72" t="str">
        <f aca="false">IFERROR(IF(INDEX(res_Name,(ROW()-ROW(rw_LoadOrigin)-1))="","",INDEX(rw_Cum,(ROW()-ROW(rw_LoadOrigin)-1),(COLUMN()-COLUMN(rw_LoadOrigin)-1)+1)-INDEX(rw_Cum,(ROW()-ROW(rw_LoadOrigin)-1),(COLUMN()-COLUMN(rw_LoadOrigin)-1))),"")</f>
        <v/>
      </c>
      <c r="V60" s="72" t="str">
        <f aca="false">IFERROR(IF(INDEX(res_Name,(ROW()-ROW(rw_LoadOrigin)-1))="","",INDEX(rw_Cum,(ROW()-ROW(rw_LoadOrigin)-1),(COLUMN()-COLUMN(rw_LoadOrigin)-1)+1)-INDEX(rw_Cum,(ROW()-ROW(rw_LoadOrigin)-1),(COLUMN()-COLUMN(rw_LoadOrigin)-1))),"")</f>
        <v/>
      </c>
      <c r="W60" s="72" t="str">
        <f aca="false">IFERROR(IF(INDEX(res_Name,(ROW()-ROW(rw_LoadOrigin)-1))="","",INDEX(rw_Cum,(ROW()-ROW(rw_LoadOrigin)-1),(COLUMN()-COLUMN(rw_LoadOrigin)-1)+1)-INDEX(rw_Cum,(ROW()-ROW(rw_LoadOrigin)-1),(COLUMN()-COLUMN(rw_LoadOrigin)-1))),"")</f>
        <v/>
      </c>
      <c r="X60" s="72" t="str">
        <f aca="false">IFERROR(IF(INDEX(res_Name,(ROW()-ROW(rw_LoadOrigin)-1))="","",INDEX(rw_Cum,(ROW()-ROW(rw_LoadOrigin)-1),(COLUMN()-COLUMN(rw_LoadOrigin)-1)+1)-INDEX(rw_Cum,(ROW()-ROW(rw_LoadOrigin)-1),(COLUMN()-COLUMN(rw_LoadOrigin)-1))),"")</f>
        <v/>
      </c>
      <c r="Y60" s="72" t="str">
        <f aca="false">IFERROR(IF(INDEX(res_Name,(ROW()-ROW(rw_LoadOrigin)-1))="","",INDEX(rw_Cum,(ROW()-ROW(rw_LoadOrigin)-1),(COLUMN()-COLUMN(rw_LoadOrigin)-1)+1)-INDEX(rw_Cum,(ROW()-ROW(rw_LoadOrigin)-1),(COLUMN()-COLUMN(rw_LoadOrigin)-1))),"")</f>
        <v/>
      </c>
      <c r="Z60" s="72" t="str">
        <f aca="false">IFERROR(IF(INDEX(res_Name,(ROW()-ROW(rw_LoadOrigin)-1))="","",INDEX(rw_Cum,(ROW()-ROW(rw_LoadOrigin)-1),(COLUMN()-COLUMN(rw_LoadOrigin)-1)+1)-INDEX(rw_Cum,(ROW()-ROW(rw_LoadOrigin)-1),(COLUMN()-COLUMN(rw_LoadOrigin)-1))),"")</f>
        <v/>
      </c>
      <c r="AA60" s="72" t="str">
        <f aca="false">IFERROR(IF(INDEX(res_Name,(ROW()-ROW(rw_LoadOrigin)-1))="","",INDEX(rw_Cum,(ROW()-ROW(rw_LoadOrigin)-1),(COLUMN()-COLUMN(rw_LoadOrigin)-1)+1)-INDEX(rw_Cum,(ROW()-ROW(rw_LoadOrigin)-1),(COLUMN()-COLUMN(rw_LoadOrigin)-1))),"")</f>
        <v/>
      </c>
      <c r="AB60" s="72" t="str">
        <f aca="false">IFERROR(IF(INDEX(res_Name,(ROW()-ROW(rw_LoadOrigin)-1))="","",INDEX(rw_Cum,(ROW()-ROW(rw_LoadOrigin)-1),(COLUMN()-COLUMN(rw_LoadOrigin)-1)+1)-INDEX(rw_Cum,(ROW()-ROW(rw_LoadOrigin)-1),(COLUMN()-COLUMN(rw_LoadOrigin)-1))),"")</f>
        <v/>
      </c>
      <c r="AC60" s="72" t="str">
        <f aca="false">IFERROR(IF(INDEX(res_Name,(ROW()-ROW(rw_LoadOrigin)-1))="","",INDEX(rw_Cum,(ROW()-ROW(rw_LoadOrigin)-1),(COLUMN()-COLUMN(rw_LoadOrigin)-1)+1)-INDEX(rw_Cum,(ROW()-ROW(rw_LoadOrigin)-1),(COLUMN()-COLUMN(rw_LoadOrigin)-1))),"")</f>
        <v/>
      </c>
    </row>
    <row r="61" customFormat="false" ht="15" hidden="false" customHeight="false" outlineLevel="0" collapsed="false">
      <c r="B61" s="48" t="s">
        <v>256</v>
      </c>
      <c r="D61" s="73" t="n">
        <f aca="false">SUM(INDEX(rw_Load,0,(COLUMN()-COLUMN(rw_LoadOrigin)-1)))</f>
        <v>51.7142857142857</v>
      </c>
      <c r="E61" s="73" t="n">
        <f aca="false">SUM(INDEX(rw_Load,0,(COLUMN()-COLUMN(rw_LoadOrigin)-1)))</f>
        <v>63.3333333333333</v>
      </c>
      <c r="F61" s="73" t="n">
        <f aca="false">SUM(INDEX(rw_Load,0,(COLUMN()-COLUMN(rw_LoadOrigin)-1)))</f>
        <v>84.7619047619048</v>
      </c>
      <c r="G61" s="73" t="n">
        <f aca="false">SUM(INDEX(rw_Load,0,(COLUMN()-COLUMN(rw_LoadOrigin)-1)))</f>
        <v>84.7619047619047</v>
      </c>
      <c r="H61" s="73" t="n">
        <f aca="false">SUM(INDEX(rw_Load,0,(COLUMN()-COLUMN(rw_LoadOrigin)-1)))</f>
        <v>93.1428571428571</v>
      </c>
      <c r="I61" s="73" t="n">
        <f aca="false">SUM(INDEX(rw_Load,0,(COLUMN()-COLUMN(rw_LoadOrigin)-1)))</f>
        <v>64</v>
      </c>
      <c r="J61" s="73" t="n">
        <f aca="false">SUM(INDEX(rw_Load,0,(COLUMN()-COLUMN(rw_LoadOrigin)-1)))</f>
        <v>68</v>
      </c>
      <c r="K61" s="73" t="n">
        <f aca="false">SUM(INDEX(rw_Load,0,(COLUMN()-COLUMN(rw_LoadOrigin)-1)))</f>
        <v>0</v>
      </c>
      <c r="L61" s="73" t="n">
        <f aca="false">SUM(INDEX(rw_Load,0,(COLUMN()-COLUMN(rw_LoadOrigin)-1)))</f>
        <v>0</v>
      </c>
      <c r="M61" s="73" t="n">
        <f aca="false">SUM(INDEX(rw_Load,0,(COLUMN()-COLUMN(rw_LoadOrigin)-1)))</f>
        <v>80</v>
      </c>
      <c r="N61" s="73" t="n">
        <f aca="false">SUM(INDEX(rw_Load,0,(COLUMN()-COLUMN(rw_LoadOrigin)-1)))</f>
        <v>36</v>
      </c>
      <c r="O61" s="73" t="n">
        <f aca="false">SUM(INDEX(rw_Load,0,(COLUMN()-COLUMN(rw_LoadOrigin)-1)))</f>
        <v>12</v>
      </c>
      <c r="P61" s="73" t="n">
        <f aca="false">SUM(INDEX(rw_Load,0,(COLUMN()-COLUMN(rw_LoadOrigin)-1)))</f>
        <v>12</v>
      </c>
      <c r="Q61" s="73" t="n">
        <f aca="false">SUM(INDEX(rw_Load,0,(COLUMN()-COLUMN(rw_LoadOrigin)-1)))</f>
        <v>20</v>
      </c>
      <c r="R61" s="73" t="n">
        <f aca="false">SUM(INDEX(rw_Load,0,(COLUMN()-COLUMN(rw_LoadOrigin)-1)))</f>
        <v>0</v>
      </c>
      <c r="S61" s="73" t="n">
        <f aca="false">SUM(INDEX(rw_Load,0,(COLUMN()-COLUMN(rw_LoadOrigin)-1)))</f>
        <v>0</v>
      </c>
      <c r="T61" s="73" t="n">
        <f aca="false">SUM(INDEX(rw_Load,0,(COLUMN()-COLUMN(rw_LoadOrigin)-1)))</f>
        <v>0</v>
      </c>
      <c r="U61" s="73" t="n">
        <f aca="false">SUM(INDEX(rw_Load,0,(COLUMN()-COLUMN(rw_LoadOrigin)-1)))</f>
        <v>0</v>
      </c>
      <c r="V61" s="73" t="n">
        <f aca="false">SUM(INDEX(rw_Load,0,(COLUMN()-COLUMN(rw_LoadOrigin)-1)))</f>
        <v>0</v>
      </c>
      <c r="W61" s="73" t="n">
        <f aca="false">SUM(INDEX(rw_Load,0,(COLUMN()-COLUMN(rw_LoadOrigin)-1)))</f>
        <v>0</v>
      </c>
      <c r="X61" s="73" t="n">
        <f aca="false">SUM(INDEX(rw_Load,0,(COLUMN()-COLUMN(rw_LoadOrigin)-1)))</f>
        <v>0</v>
      </c>
      <c r="Y61" s="73" t="n">
        <f aca="false">SUM(INDEX(rw_Load,0,(COLUMN()-COLUMN(rw_LoadOrigin)-1)))</f>
        <v>0</v>
      </c>
      <c r="Z61" s="73" t="n">
        <f aca="false">SUM(INDEX(rw_Load,0,(COLUMN()-COLUMN(rw_LoadOrigin)-1)))</f>
        <v>0</v>
      </c>
      <c r="AA61" s="73" t="n">
        <f aca="false">SUM(INDEX(rw_Load,0,(COLUMN()-COLUMN(rw_LoadOrigin)-1)))</f>
        <v>0</v>
      </c>
      <c r="AB61" s="73" t="n">
        <f aca="false">SUM(INDEX(rw_Load,0,(COLUMN()-COLUMN(rw_LoadOrigin)-1)))</f>
        <v>0</v>
      </c>
      <c r="AC61" s="73" t="n">
        <f aca="false">SUM(INDEX(rw_Load,0,(COLUMN()-COLUMN(rw_LoadOrigin)-1)))</f>
        <v>0</v>
      </c>
    </row>
    <row r="62" customFormat="false" ht="15" hidden="false" customHeight="false" outlineLevel="0" collapsed="false">
      <c r="B62" s="48" t="s">
        <v>257</v>
      </c>
      <c r="D62" s="73" t="n">
        <f aca="false">SUMIFS(res_MaxUnits,res_Type,"Work")*HoursPerDay*INDEX(rw_WeekDays,(COLUMN()-COLUMN(rw_LoadOrigin)-1))-(HoursPerDay*SUMPRODUCT((INDEX(res_Type,1):INDEX(res_Type,ROWS(rw_Leave))="Work")*INDEX(res_MaxUnits,1):INDEX(res_MaxUnits,ROWS(rw_Leave))*INDEX(rw_Leave,0,(COLUMN()-COLUMN(rw_LoadOrigin)-1))))</f>
        <v>240</v>
      </c>
      <c r="E62" s="73" t="n">
        <f aca="false">SUMIFS(res_MaxUnits,res_Type,"Work")*HoursPerDay*INDEX(rw_WeekDays,(COLUMN()-COLUMN(rw_LoadOrigin)-1))-(HoursPerDay*SUMPRODUCT((INDEX(res_Type,1):INDEX(res_Type,ROWS(rw_Leave))="Work")*INDEX(res_MaxUnits,1):INDEX(res_MaxUnits,ROWS(rw_Leave))*INDEX(rw_Leave,0,(COLUMN()-COLUMN(rw_LoadOrigin)-1))))</f>
        <v>240</v>
      </c>
      <c r="F62" s="73" t="n">
        <f aca="false">SUMIFS(res_MaxUnits,res_Type,"Work")*HoursPerDay*INDEX(rw_WeekDays,(COLUMN()-COLUMN(rw_LoadOrigin)-1))-(HoursPerDay*SUMPRODUCT((INDEX(res_Type,1):INDEX(res_Type,ROWS(rw_Leave))="Work")*INDEX(res_MaxUnits,1):INDEX(res_MaxUnits,ROWS(rw_Leave))*INDEX(rw_Leave,0,(COLUMN()-COLUMN(rw_LoadOrigin)-1))))</f>
        <v>240</v>
      </c>
      <c r="G62" s="73" t="n">
        <f aca="false">SUMIFS(res_MaxUnits,res_Type,"Work")*HoursPerDay*INDEX(rw_WeekDays,(COLUMN()-COLUMN(rw_LoadOrigin)-1))-(HoursPerDay*SUMPRODUCT((INDEX(res_Type,1):INDEX(res_Type,ROWS(rw_Leave))="Work")*INDEX(res_MaxUnits,1):INDEX(res_MaxUnits,ROWS(rw_Leave))*INDEX(rw_Leave,0,(COLUMN()-COLUMN(rw_LoadOrigin)-1))))</f>
        <v>232</v>
      </c>
      <c r="H62" s="73" t="n">
        <f aca="false">SUMIFS(res_MaxUnits,res_Type,"Work")*HoursPerDay*INDEX(rw_WeekDays,(COLUMN()-COLUMN(rw_LoadOrigin)-1))-(HoursPerDay*SUMPRODUCT((INDEX(res_Type,1):INDEX(res_Type,ROWS(rw_Leave))="Work")*INDEX(res_MaxUnits,1):INDEX(res_MaxUnits,ROWS(rw_Leave))*INDEX(rw_Leave,0,(COLUMN()-COLUMN(rw_LoadOrigin)-1))))</f>
        <v>236</v>
      </c>
      <c r="I62" s="73" t="n">
        <f aca="false">SUMIFS(res_MaxUnits,res_Type,"Work")*HoursPerDay*INDEX(rw_WeekDays,(COLUMN()-COLUMN(rw_LoadOrigin)-1))-(HoursPerDay*SUMPRODUCT((INDEX(res_Type,1):INDEX(res_Type,ROWS(rw_Leave))="Work")*INDEX(res_MaxUnits,1):INDEX(res_MaxUnits,ROWS(rw_Leave))*INDEX(rw_Leave,0,(COLUMN()-COLUMN(rw_LoadOrigin)-1))))</f>
        <v>240</v>
      </c>
      <c r="J62" s="73" t="n">
        <f aca="false">SUMIFS(res_MaxUnits,res_Type,"Work")*HoursPerDay*INDEX(rw_WeekDays,(COLUMN()-COLUMN(rw_LoadOrigin)-1))-(HoursPerDay*SUMPRODUCT((INDEX(res_Type,1):INDEX(res_Type,ROWS(rw_Leave))="Work")*INDEX(res_MaxUnits,1):INDEX(res_MaxUnits,ROWS(rw_Leave))*INDEX(rw_Leave,0,(COLUMN()-COLUMN(rw_LoadOrigin)-1))))</f>
        <v>204</v>
      </c>
      <c r="K62" s="73" t="n">
        <f aca="false">SUMIFS(res_MaxUnits,res_Type,"Work")*HoursPerDay*INDEX(rw_WeekDays,(COLUMN()-COLUMN(rw_LoadOrigin)-1))-(HoursPerDay*SUMPRODUCT((INDEX(res_Type,1):INDEX(res_Type,ROWS(rw_Leave))="Work")*INDEX(res_MaxUnits,1):INDEX(res_MaxUnits,ROWS(rw_Leave))*INDEX(rw_Leave,0,(COLUMN()-COLUMN(rw_LoadOrigin)-1))))</f>
        <v>200</v>
      </c>
      <c r="L62" s="73" t="n">
        <f aca="false">SUMIFS(res_MaxUnits,res_Type,"Work")*HoursPerDay*INDEX(rw_WeekDays,(COLUMN()-COLUMN(rw_LoadOrigin)-1))-(HoursPerDay*SUMPRODUCT((INDEX(res_Type,1):INDEX(res_Type,ROWS(rw_Leave))="Work")*INDEX(res_MaxUnits,1):INDEX(res_MaxUnits,ROWS(rw_Leave))*INDEX(rw_Leave,0,(COLUMN()-COLUMN(rw_LoadOrigin)-1))))</f>
        <v>240</v>
      </c>
      <c r="M62" s="73" t="n">
        <f aca="false">SUMIFS(res_MaxUnits,res_Type,"Work")*HoursPerDay*INDEX(rw_WeekDays,(COLUMN()-COLUMN(rw_LoadOrigin)-1))-(HoursPerDay*SUMPRODUCT((INDEX(res_Type,1):INDEX(res_Type,ROWS(rw_Leave))="Work")*INDEX(res_MaxUnits,1):INDEX(res_MaxUnits,ROWS(rw_Leave))*INDEX(rw_Leave,0,(COLUMN()-COLUMN(rw_LoadOrigin)-1))))</f>
        <v>240</v>
      </c>
      <c r="N62" s="73" t="n">
        <f aca="false">SUMIFS(res_MaxUnits,res_Type,"Work")*HoursPerDay*INDEX(rw_WeekDays,(COLUMN()-COLUMN(rw_LoadOrigin)-1))-(HoursPerDay*SUMPRODUCT((INDEX(res_Type,1):INDEX(res_Type,ROWS(rw_Leave))="Work")*INDEX(res_MaxUnits,1):INDEX(res_MaxUnits,ROWS(rw_Leave))*INDEX(rw_Leave,0,(COLUMN()-COLUMN(rw_LoadOrigin)-1))))</f>
        <v>240</v>
      </c>
      <c r="O62" s="73" t="n">
        <f aca="false">SUMIFS(res_MaxUnits,res_Type,"Work")*HoursPerDay*INDEX(rw_WeekDays,(COLUMN()-COLUMN(rw_LoadOrigin)-1))-(HoursPerDay*SUMPRODUCT((INDEX(res_Type,1):INDEX(res_Type,ROWS(rw_Leave))="Work")*INDEX(res_MaxUnits,1):INDEX(res_MaxUnits,ROWS(rw_Leave))*INDEX(rw_Leave,0,(COLUMN()-COLUMN(rw_LoadOrigin)-1))))</f>
        <v>124</v>
      </c>
      <c r="P62" s="73" t="n">
        <f aca="false">SUMIFS(res_MaxUnits,res_Type,"Work")*HoursPerDay*INDEX(rw_WeekDays,(COLUMN()-COLUMN(rw_LoadOrigin)-1))-(HoursPerDay*SUMPRODUCT((INDEX(res_Type,1):INDEX(res_Type,ROWS(rw_Leave))="Work")*INDEX(res_MaxUnits,1):INDEX(res_MaxUnits,ROWS(rw_Leave))*INDEX(rw_Leave,0,(COLUMN()-COLUMN(rw_LoadOrigin)-1))))</f>
        <v>120</v>
      </c>
      <c r="Q62" s="73" t="n">
        <f aca="false">SUMIFS(res_MaxUnits,res_Type,"Work")*HoursPerDay*INDEX(rw_WeekDays,(COLUMN()-COLUMN(rw_LoadOrigin)-1))-(HoursPerDay*SUMPRODUCT((INDEX(res_Type,1):INDEX(res_Type,ROWS(rw_Leave))="Work")*INDEX(res_MaxUnits,1):INDEX(res_MaxUnits,ROWS(rw_Leave))*INDEX(rw_Leave,0,(COLUMN()-COLUMN(rw_LoadOrigin)-1))))</f>
        <v>240</v>
      </c>
      <c r="R62" s="73" t="n">
        <f aca="false">SUMIFS(res_MaxUnits,res_Type,"Work")*HoursPerDay*INDEX(rw_WeekDays,(COLUMN()-COLUMN(rw_LoadOrigin)-1))-(HoursPerDay*SUMPRODUCT((INDEX(res_Type,1):INDEX(res_Type,ROWS(rw_Leave))="Work")*INDEX(res_MaxUnits,1):INDEX(res_MaxUnits,ROWS(rw_Leave))*INDEX(rw_Leave,0,(COLUMN()-COLUMN(rw_LoadOrigin)-1))))</f>
        <v>240</v>
      </c>
      <c r="S62" s="73" t="n">
        <f aca="false">SUMIFS(res_MaxUnits,res_Type,"Work")*HoursPerDay*INDEX(rw_WeekDays,(COLUMN()-COLUMN(rw_LoadOrigin)-1))-(HoursPerDay*SUMPRODUCT((INDEX(res_Type,1):INDEX(res_Type,ROWS(rw_Leave))="Work")*INDEX(res_MaxUnits,1):INDEX(res_MaxUnits,ROWS(rw_Leave))*INDEX(rw_Leave,0,(COLUMN()-COLUMN(rw_LoadOrigin)-1))))</f>
        <v>240</v>
      </c>
      <c r="T62" s="73" t="n">
        <f aca="false">SUMIFS(res_MaxUnits,res_Type,"Work")*HoursPerDay*INDEX(rw_WeekDays,(COLUMN()-COLUMN(rw_LoadOrigin)-1))-(HoursPerDay*SUMPRODUCT((INDEX(res_Type,1):INDEX(res_Type,ROWS(rw_Leave))="Work")*INDEX(res_MaxUnits,1):INDEX(res_MaxUnits,ROWS(rw_Leave))*INDEX(rw_Leave,0,(COLUMN()-COLUMN(rw_LoadOrigin)-1))))</f>
        <v>240</v>
      </c>
      <c r="U62" s="73" t="n">
        <f aca="false">SUMIFS(res_MaxUnits,res_Type,"Work")*HoursPerDay*INDEX(rw_WeekDays,(COLUMN()-COLUMN(rw_LoadOrigin)-1))-(HoursPerDay*SUMPRODUCT((INDEX(res_Type,1):INDEX(res_Type,ROWS(rw_Leave))="Work")*INDEX(res_MaxUnits,1):INDEX(res_MaxUnits,ROWS(rw_Leave))*INDEX(rw_Leave,0,(COLUMN()-COLUMN(rw_LoadOrigin)-1))))</f>
        <v>240</v>
      </c>
      <c r="V62" s="73" t="n">
        <f aca="false">SUMIFS(res_MaxUnits,res_Type,"Work")*HoursPerDay*INDEX(rw_WeekDays,(COLUMN()-COLUMN(rw_LoadOrigin)-1))-(HoursPerDay*SUMPRODUCT((INDEX(res_Type,1):INDEX(res_Type,ROWS(rw_Leave))="Work")*INDEX(res_MaxUnits,1):INDEX(res_MaxUnits,ROWS(rw_Leave))*INDEX(rw_Leave,0,(COLUMN()-COLUMN(rw_LoadOrigin)-1))))</f>
        <v>240</v>
      </c>
      <c r="W62" s="73" t="n">
        <f aca="false">SUMIFS(res_MaxUnits,res_Type,"Work")*HoursPerDay*INDEX(rw_WeekDays,(COLUMN()-COLUMN(rw_LoadOrigin)-1))-(HoursPerDay*SUMPRODUCT((INDEX(res_Type,1):INDEX(res_Type,ROWS(rw_Leave))="Work")*INDEX(res_MaxUnits,1):INDEX(res_MaxUnits,ROWS(rw_Leave))*INDEX(rw_Leave,0,(COLUMN()-COLUMN(rw_LoadOrigin)-1))))</f>
        <v>240</v>
      </c>
      <c r="X62" s="73" t="n">
        <f aca="false">SUMIFS(res_MaxUnits,res_Type,"Work")*HoursPerDay*INDEX(rw_WeekDays,(COLUMN()-COLUMN(rw_LoadOrigin)-1))-(HoursPerDay*SUMPRODUCT((INDEX(res_Type,1):INDEX(res_Type,ROWS(rw_Leave))="Work")*INDEX(res_MaxUnits,1):INDEX(res_MaxUnits,ROWS(rw_Leave))*INDEX(rw_Leave,0,(COLUMN()-COLUMN(rw_LoadOrigin)-1))))</f>
        <v>240</v>
      </c>
      <c r="Y62" s="73" t="n">
        <f aca="false">SUMIFS(res_MaxUnits,res_Type,"Work")*HoursPerDay*INDEX(rw_WeekDays,(COLUMN()-COLUMN(rw_LoadOrigin)-1))-(HoursPerDay*SUMPRODUCT((INDEX(res_Type,1):INDEX(res_Type,ROWS(rw_Leave))="Work")*INDEX(res_MaxUnits,1):INDEX(res_MaxUnits,ROWS(rw_Leave))*INDEX(rw_Leave,0,(COLUMN()-COLUMN(rw_LoadOrigin)-1))))</f>
        <v>240</v>
      </c>
      <c r="Z62" s="73" t="n">
        <f aca="false">SUMIFS(res_MaxUnits,res_Type,"Work")*HoursPerDay*INDEX(rw_WeekDays,(COLUMN()-COLUMN(rw_LoadOrigin)-1))-(HoursPerDay*SUMPRODUCT((INDEX(res_Type,1):INDEX(res_Type,ROWS(rw_Leave))="Work")*INDEX(res_MaxUnits,1):INDEX(res_MaxUnits,ROWS(rw_Leave))*INDEX(rw_Leave,0,(COLUMN()-COLUMN(rw_LoadOrigin)-1))))</f>
        <v>240</v>
      </c>
      <c r="AA62" s="73" t="n">
        <f aca="false">SUMIFS(res_MaxUnits,res_Type,"Work")*HoursPerDay*INDEX(rw_WeekDays,(COLUMN()-COLUMN(rw_LoadOrigin)-1))-(HoursPerDay*SUMPRODUCT((INDEX(res_Type,1):INDEX(res_Type,ROWS(rw_Leave))="Work")*INDEX(res_MaxUnits,1):INDEX(res_MaxUnits,ROWS(rw_Leave))*INDEX(rw_Leave,0,(COLUMN()-COLUMN(rw_LoadOrigin)-1))))</f>
        <v>240</v>
      </c>
      <c r="AB62" s="73" t="n">
        <f aca="false">SUMIFS(res_MaxUnits,res_Type,"Work")*HoursPerDay*INDEX(rw_WeekDays,(COLUMN()-COLUMN(rw_LoadOrigin)-1))-(HoursPerDay*SUMPRODUCT((INDEX(res_Type,1):INDEX(res_Type,ROWS(rw_Leave))="Work")*INDEX(res_MaxUnits,1):INDEX(res_MaxUnits,ROWS(rw_Leave))*INDEX(rw_Leave,0,(COLUMN()-COLUMN(rw_LoadOrigin)-1))))</f>
        <v>240</v>
      </c>
      <c r="AC62" s="73" t="n">
        <f aca="false">SUMIFS(res_MaxUnits,res_Type,"Work")*HoursPerDay*INDEX(rw_WeekDays,(COLUMN()-COLUMN(rw_LoadOrigin)-1))-(HoursPerDay*SUMPRODUCT((INDEX(res_Type,1):INDEX(res_Type,ROWS(rw_Leave))="Work")*INDEX(res_MaxUnits,1):INDEX(res_MaxUnits,ROWS(rw_Leave))*INDEX(rw_Leave,0,(COLUMN()-COLUMN(rw_LoadOrigin)-1))))</f>
        <v>240</v>
      </c>
    </row>
    <row r="64" customFormat="false" ht="15" hidden="false" customHeight="false" outlineLevel="0" collapsed="false">
      <c r="B64" s="67" t="s">
        <v>258</v>
      </c>
    </row>
    <row r="66" customFormat="false" ht="15" hidden="false" customHeight="false" outlineLevel="0" collapsed="false">
      <c r="B66" s="9" t="s">
        <v>236</v>
      </c>
      <c r="C66" s="9" t="s">
        <v>242</v>
      </c>
      <c r="D66" s="68" t="n">
        <f aca="false">(ResourceWeekStart+7*((COLUMN()-COLUMN(rw_UtilOrigin)-1)-1))</f>
        <v>46300</v>
      </c>
      <c r="E66" s="68" t="n">
        <f aca="false">(ResourceWeekStart+7*((COLUMN()-COLUMN(rw_UtilOrigin)-1)-1))</f>
        <v>46307</v>
      </c>
      <c r="F66" s="68" t="n">
        <f aca="false">(ResourceWeekStart+7*((COLUMN()-COLUMN(rw_UtilOrigin)-1)-1))</f>
        <v>46314</v>
      </c>
      <c r="G66" s="68" t="n">
        <f aca="false">(ResourceWeekStart+7*((COLUMN()-COLUMN(rw_UtilOrigin)-1)-1))</f>
        <v>46321</v>
      </c>
      <c r="H66" s="68" t="n">
        <f aca="false">(ResourceWeekStart+7*((COLUMN()-COLUMN(rw_UtilOrigin)-1)-1))</f>
        <v>46328</v>
      </c>
      <c r="I66" s="68" t="n">
        <f aca="false">(ResourceWeekStart+7*((COLUMN()-COLUMN(rw_UtilOrigin)-1)-1))</f>
        <v>46335</v>
      </c>
      <c r="J66" s="68" t="n">
        <f aca="false">(ResourceWeekStart+7*((COLUMN()-COLUMN(rw_UtilOrigin)-1)-1))</f>
        <v>46342</v>
      </c>
      <c r="K66" s="68" t="n">
        <f aca="false">(ResourceWeekStart+7*((COLUMN()-COLUMN(rw_UtilOrigin)-1)-1))</f>
        <v>46349</v>
      </c>
      <c r="L66" s="68" t="n">
        <f aca="false">(ResourceWeekStart+7*((COLUMN()-COLUMN(rw_UtilOrigin)-1)-1))</f>
        <v>46356</v>
      </c>
      <c r="M66" s="68" t="n">
        <f aca="false">(ResourceWeekStart+7*((COLUMN()-COLUMN(rw_UtilOrigin)-1)-1))</f>
        <v>46363</v>
      </c>
      <c r="N66" s="68" t="n">
        <f aca="false">(ResourceWeekStart+7*((COLUMN()-COLUMN(rw_UtilOrigin)-1)-1))</f>
        <v>46370</v>
      </c>
      <c r="O66" s="68" t="n">
        <f aca="false">(ResourceWeekStart+7*((COLUMN()-COLUMN(rw_UtilOrigin)-1)-1))</f>
        <v>46377</v>
      </c>
      <c r="P66" s="68" t="n">
        <f aca="false">(ResourceWeekStart+7*((COLUMN()-COLUMN(rw_UtilOrigin)-1)-1))</f>
        <v>46384</v>
      </c>
      <c r="Q66" s="68" t="n">
        <f aca="false">(ResourceWeekStart+7*((COLUMN()-COLUMN(rw_UtilOrigin)-1)-1))</f>
        <v>46391</v>
      </c>
      <c r="R66" s="68" t="n">
        <f aca="false">(ResourceWeekStart+7*((COLUMN()-COLUMN(rw_UtilOrigin)-1)-1))</f>
        <v>46398</v>
      </c>
      <c r="S66" s="68" t="n">
        <f aca="false">(ResourceWeekStart+7*((COLUMN()-COLUMN(rw_UtilOrigin)-1)-1))</f>
        <v>46405</v>
      </c>
      <c r="T66" s="68" t="n">
        <f aca="false">(ResourceWeekStart+7*((COLUMN()-COLUMN(rw_UtilOrigin)-1)-1))</f>
        <v>46412</v>
      </c>
      <c r="U66" s="68" t="n">
        <f aca="false">(ResourceWeekStart+7*((COLUMN()-COLUMN(rw_UtilOrigin)-1)-1))</f>
        <v>46419</v>
      </c>
      <c r="V66" s="68" t="n">
        <f aca="false">(ResourceWeekStart+7*((COLUMN()-COLUMN(rw_UtilOrigin)-1)-1))</f>
        <v>46426</v>
      </c>
      <c r="W66" s="68" t="n">
        <f aca="false">(ResourceWeekStart+7*((COLUMN()-COLUMN(rw_UtilOrigin)-1)-1))</f>
        <v>46433</v>
      </c>
      <c r="X66" s="68" t="n">
        <f aca="false">(ResourceWeekStart+7*((COLUMN()-COLUMN(rw_UtilOrigin)-1)-1))</f>
        <v>46440</v>
      </c>
      <c r="Y66" s="68" t="n">
        <f aca="false">(ResourceWeekStart+7*((COLUMN()-COLUMN(rw_UtilOrigin)-1)-1))</f>
        <v>46447</v>
      </c>
      <c r="Z66" s="68" t="n">
        <f aca="false">(ResourceWeekStart+7*((COLUMN()-COLUMN(rw_UtilOrigin)-1)-1))</f>
        <v>46454</v>
      </c>
      <c r="AA66" s="68" t="n">
        <f aca="false">(ResourceWeekStart+7*((COLUMN()-COLUMN(rw_UtilOrigin)-1)-1))</f>
        <v>46461</v>
      </c>
      <c r="AB66" s="68" t="n">
        <f aca="false">(ResourceWeekStart+7*((COLUMN()-COLUMN(rw_UtilOrigin)-1)-1))</f>
        <v>46468</v>
      </c>
      <c r="AC66" s="68" t="n">
        <f aca="false">(ResourceWeekStart+7*((COLUMN()-COLUMN(rw_UtilOrigin)-1)-1))</f>
        <v>46475</v>
      </c>
    </row>
    <row r="67" customFormat="false" ht="15" hidden="false" customHeight="false" outlineLevel="0" collapsed="false">
      <c r="B67" s="69" t="s">
        <v>255</v>
      </c>
      <c r="D67" s="70" t="n">
        <f aca="false">NETWORKDAYS.INTL((ResourceWeekStart+7*((COLUMN()-COLUMN(rw_UtilOrigin)-1)-1)),(ResourceWeekStart+7*((COLUMN()-COLUMN(rw_UtilOrigin)-1)-1))+6,WorkWeek,Holidays)</f>
        <v>5</v>
      </c>
      <c r="E67" s="70" t="n">
        <f aca="false">NETWORKDAYS.INTL((ResourceWeekStart+7*((COLUMN()-COLUMN(rw_UtilOrigin)-1)-1)),(ResourceWeekStart+7*((COLUMN()-COLUMN(rw_UtilOrigin)-1)-1))+6,WorkWeek,Holidays)</f>
        <v>5</v>
      </c>
      <c r="F67" s="70" t="n">
        <f aca="false">NETWORKDAYS.INTL((ResourceWeekStart+7*((COLUMN()-COLUMN(rw_UtilOrigin)-1)-1)),(ResourceWeekStart+7*((COLUMN()-COLUMN(rw_UtilOrigin)-1)-1))+6,WorkWeek,Holidays)</f>
        <v>5</v>
      </c>
      <c r="G67" s="70" t="n">
        <f aca="false">NETWORKDAYS.INTL((ResourceWeekStart+7*((COLUMN()-COLUMN(rw_UtilOrigin)-1)-1)),(ResourceWeekStart+7*((COLUMN()-COLUMN(rw_UtilOrigin)-1)-1))+6,WorkWeek,Holidays)</f>
        <v>5</v>
      </c>
      <c r="H67" s="70" t="n">
        <f aca="false">NETWORKDAYS.INTL((ResourceWeekStart+7*((COLUMN()-COLUMN(rw_UtilOrigin)-1)-1)),(ResourceWeekStart+7*((COLUMN()-COLUMN(rw_UtilOrigin)-1)-1))+6,WorkWeek,Holidays)</f>
        <v>5</v>
      </c>
      <c r="I67" s="70" t="n">
        <f aca="false">NETWORKDAYS.INTL((ResourceWeekStart+7*((COLUMN()-COLUMN(rw_UtilOrigin)-1)-1)),(ResourceWeekStart+7*((COLUMN()-COLUMN(rw_UtilOrigin)-1)-1))+6,WorkWeek,Holidays)</f>
        <v>5</v>
      </c>
      <c r="J67" s="70" t="n">
        <f aca="false">NETWORKDAYS.INTL((ResourceWeekStart+7*((COLUMN()-COLUMN(rw_UtilOrigin)-1)-1)),(ResourceWeekStart+7*((COLUMN()-COLUMN(rw_UtilOrigin)-1)-1))+6,WorkWeek,Holidays)</f>
        <v>5</v>
      </c>
      <c r="K67" s="70" t="n">
        <f aca="false">NETWORKDAYS.INTL((ResourceWeekStart+7*((COLUMN()-COLUMN(rw_UtilOrigin)-1)-1)),(ResourceWeekStart+7*((COLUMN()-COLUMN(rw_UtilOrigin)-1)-1))+6,WorkWeek,Holidays)</f>
        <v>5</v>
      </c>
      <c r="L67" s="70" t="n">
        <f aca="false">NETWORKDAYS.INTL((ResourceWeekStart+7*((COLUMN()-COLUMN(rw_UtilOrigin)-1)-1)),(ResourceWeekStart+7*((COLUMN()-COLUMN(rw_UtilOrigin)-1)-1))+6,WorkWeek,Holidays)</f>
        <v>5</v>
      </c>
      <c r="M67" s="70" t="n">
        <f aca="false">NETWORKDAYS.INTL((ResourceWeekStart+7*((COLUMN()-COLUMN(rw_UtilOrigin)-1)-1)),(ResourceWeekStart+7*((COLUMN()-COLUMN(rw_UtilOrigin)-1)-1))+6,WorkWeek,Holidays)</f>
        <v>5</v>
      </c>
      <c r="N67" s="70" t="n">
        <f aca="false">NETWORKDAYS.INTL((ResourceWeekStart+7*((COLUMN()-COLUMN(rw_UtilOrigin)-1)-1)),(ResourceWeekStart+7*((COLUMN()-COLUMN(rw_UtilOrigin)-1)-1))+6,WorkWeek,Holidays)</f>
        <v>5</v>
      </c>
      <c r="O67" s="70" t="n">
        <f aca="false">NETWORKDAYS.INTL((ResourceWeekStart+7*((COLUMN()-COLUMN(rw_UtilOrigin)-1)-1)),(ResourceWeekStart+7*((COLUMN()-COLUMN(rw_UtilOrigin)-1)-1))+6,WorkWeek,Holidays)</f>
        <v>3</v>
      </c>
      <c r="P67" s="70" t="n">
        <f aca="false">NETWORKDAYS.INTL((ResourceWeekStart+7*((COLUMN()-COLUMN(rw_UtilOrigin)-1)-1)),(ResourceWeekStart+7*((COLUMN()-COLUMN(rw_UtilOrigin)-1)-1))+6,WorkWeek,Holidays)</f>
        <v>3</v>
      </c>
      <c r="Q67" s="70" t="n">
        <f aca="false">NETWORKDAYS.INTL((ResourceWeekStart+7*((COLUMN()-COLUMN(rw_UtilOrigin)-1)-1)),(ResourceWeekStart+7*((COLUMN()-COLUMN(rw_UtilOrigin)-1)-1))+6,WorkWeek,Holidays)</f>
        <v>5</v>
      </c>
      <c r="R67" s="70" t="n">
        <f aca="false">NETWORKDAYS.INTL((ResourceWeekStart+7*((COLUMN()-COLUMN(rw_UtilOrigin)-1)-1)),(ResourceWeekStart+7*((COLUMN()-COLUMN(rw_UtilOrigin)-1)-1))+6,WorkWeek,Holidays)</f>
        <v>5</v>
      </c>
      <c r="S67" s="70" t="n">
        <f aca="false">NETWORKDAYS.INTL((ResourceWeekStart+7*((COLUMN()-COLUMN(rw_UtilOrigin)-1)-1)),(ResourceWeekStart+7*((COLUMN()-COLUMN(rw_UtilOrigin)-1)-1))+6,WorkWeek,Holidays)</f>
        <v>5</v>
      </c>
      <c r="T67" s="70" t="n">
        <f aca="false">NETWORKDAYS.INTL((ResourceWeekStart+7*((COLUMN()-COLUMN(rw_UtilOrigin)-1)-1)),(ResourceWeekStart+7*((COLUMN()-COLUMN(rw_UtilOrigin)-1)-1))+6,WorkWeek,Holidays)</f>
        <v>5</v>
      </c>
      <c r="U67" s="70" t="n">
        <f aca="false">NETWORKDAYS.INTL((ResourceWeekStart+7*((COLUMN()-COLUMN(rw_UtilOrigin)-1)-1)),(ResourceWeekStart+7*((COLUMN()-COLUMN(rw_UtilOrigin)-1)-1))+6,WorkWeek,Holidays)</f>
        <v>5</v>
      </c>
      <c r="V67" s="70" t="n">
        <f aca="false">NETWORKDAYS.INTL((ResourceWeekStart+7*((COLUMN()-COLUMN(rw_UtilOrigin)-1)-1)),(ResourceWeekStart+7*((COLUMN()-COLUMN(rw_UtilOrigin)-1)-1))+6,WorkWeek,Holidays)</f>
        <v>5</v>
      </c>
      <c r="W67" s="70" t="n">
        <f aca="false">NETWORKDAYS.INTL((ResourceWeekStart+7*((COLUMN()-COLUMN(rw_UtilOrigin)-1)-1)),(ResourceWeekStart+7*((COLUMN()-COLUMN(rw_UtilOrigin)-1)-1))+6,WorkWeek,Holidays)</f>
        <v>5</v>
      </c>
      <c r="X67" s="70" t="n">
        <f aca="false">NETWORKDAYS.INTL((ResourceWeekStart+7*((COLUMN()-COLUMN(rw_UtilOrigin)-1)-1)),(ResourceWeekStart+7*((COLUMN()-COLUMN(rw_UtilOrigin)-1)-1))+6,WorkWeek,Holidays)</f>
        <v>5</v>
      </c>
      <c r="Y67" s="70" t="n">
        <f aca="false">NETWORKDAYS.INTL((ResourceWeekStart+7*((COLUMN()-COLUMN(rw_UtilOrigin)-1)-1)),(ResourceWeekStart+7*((COLUMN()-COLUMN(rw_UtilOrigin)-1)-1))+6,WorkWeek,Holidays)</f>
        <v>5</v>
      </c>
      <c r="Z67" s="70" t="n">
        <f aca="false">NETWORKDAYS.INTL((ResourceWeekStart+7*((COLUMN()-COLUMN(rw_UtilOrigin)-1)-1)),(ResourceWeekStart+7*((COLUMN()-COLUMN(rw_UtilOrigin)-1)-1))+6,WorkWeek,Holidays)</f>
        <v>5</v>
      </c>
      <c r="AA67" s="70" t="n">
        <f aca="false">NETWORKDAYS.INTL((ResourceWeekStart+7*((COLUMN()-COLUMN(rw_UtilOrigin)-1)-1)),(ResourceWeekStart+7*((COLUMN()-COLUMN(rw_UtilOrigin)-1)-1))+6,WorkWeek,Holidays)</f>
        <v>5</v>
      </c>
      <c r="AB67" s="70" t="n">
        <f aca="false">NETWORKDAYS.INTL((ResourceWeekStart+7*((COLUMN()-COLUMN(rw_UtilOrigin)-1)-1)),(ResourceWeekStart+7*((COLUMN()-COLUMN(rw_UtilOrigin)-1)-1))+6,WorkWeek,Holidays)</f>
        <v>5</v>
      </c>
      <c r="AC67" s="70" t="n">
        <f aca="false">NETWORKDAYS.INTL((ResourceWeekStart+7*((COLUMN()-COLUMN(rw_UtilOrigin)-1)-1)),(ResourceWeekStart+7*((COLUMN()-COLUMN(rw_UtilOrigin)-1)-1))+6,WorkWeek,Holidays)</f>
        <v>5</v>
      </c>
    </row>
    <row r="68" customFormat="false" ht="15" hidden="false" customHeight="false" outlineLevel="0" collapsed="false">
      <c r="B68" s="48" t="str">
        <f aca="false">IFERROR(INDEX(res_Name,(ROW()-ROW(rw_UtilOrigin)-1))&amp;"","")</f>
        <v>Priya Sharma</v>
      </c>
      <c r="C68" s="71" t="n">
        <f aca="false">IFERROR(IF(INDEX(res_Name,(ROW()-ROW(rw_UtilOrigin)-1))="","",INDEX(res_MaxUnits,(ROW()-ROW(rw_UtilOrigin)-1))),"")</f>
        <v>0.5</v>
      </c>
      <c r="D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E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F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G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H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I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J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v>
      </c>
      <c r="K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N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v>
      </c>
      <c r="O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Q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v>
      </c>
      <c r="R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68"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69" customFormat="false" ht="15" hidden="false" customHeight="false" outlineLevel="0" collapsed="false">
      <c r="B69" s="48" t="str">
        <f aca="false">IFERROR(INDEX(res_Name,(ROW()-ROW(rw_UtilOrigin)-1))&amp;"","")</f>
        <v>Morgan Patel</v>
      </c>
      <c r="C69" s="71" t="n">
        <f aca="false">IFERROR(IF(INDEX(res_Name,(ROW()-ROW(rw_UtilOrigin)-1))="","",INDEX(res_MaxUnits,(ROW()-ROW(rw_UtilOrigin)-1))),"")</f>
        <v>1</v>
      </c>
      <c r="D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E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F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G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H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I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J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K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1</v>
      </c>
      <c r="N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0.2</v>
      </c>
      <c r="O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6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R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69"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0" customFormat="false" ht="15" hidden="false" customHeight="false" outlineLevel="0" collapsed="false">
      <c r="B70" s="48" t="str">
        <f aca="false">IFERROR(INDEX(res_Name,(ROW()-ROW(rw_UtilOrigin)-1))&amp;"","")</f>
        <v>Alex Chen</v>
      </c>
      <c r="C70" s="71" t="n">
        <f aca="false">IFERROR(IF(INDEX(res_Name,(ROW()-ROW(rw_UtilOrigin)-1))="","",INDEX(res_MaxUnits,(ROW()-ROW(rw_UtilOrigin)-1))),"")</f>
        <v>0.5</v>
      </c>
      <c r="D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E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F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G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H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I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J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K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N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O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Q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R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70"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1" customFormat="false" ht="15" hidden="false" customHeight="false" outlineLevel="0" collapsed="false">
      <c r="B71" s="48" t="str">
        <f aca="false">IFERROR(INDEX(res_Name,(ROW()-ROW(rw_UtilOrigin)-1))&amp;"","")</f>
        <v>Casey Kim</v>
      </c>
      <c r="C71" s="71" t="n">
        <f aca="false">IFERROR(IF(INDEX(res_Name,(ROW()-ROW(rw_UtilOrigin)-1))="","",INDEX(res_MaxUnits,(ROW()-ROW(rw_UtilOrigin)-1))),"")</f>
        <v>1</v>
      </c>
      <c r="D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0.342857142857143</v>
      </c>
      <c r="E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F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0.428571428571429</v>
      </c>
      <c r="G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0.428571428571429</v>
      </c>
      <c r="H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0.642857142857143</v>
      </c>
      <c r="I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0.2</v>
      </c>
      <c r="J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3</v>
      </c>
      <c r="K7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N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O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Q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R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71"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2" customFormat="false" ht="15" hidden="false" customHeight="false" outlineLevel="0" collapsed="false">
      <c r="B72" s="48" t="str">
        <f aca="false">IFERROR(INDEX(res_Name,(ROW()-ROW(rw_UtilOrigin)-1))&amp;"","")</f>
        <v>Jordan Lee</v>
      </c>
      <c r="C72" s="71" t="n">
        <f aca="false">IFERROR(IF(INDEX(res_Name,(ROW()-ROW(rw_UtilOrigin)-1))="","",INDEX(res_MaxUnits,(ROW()-ROW(rw_UtilOrigin)-1))),"")</f>
        <v>1</v>
      </c>
      <c r="D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0.5</v>
      </c>
      <c r="E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0.833333333333333</v>
      </c>
      <c r="F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0.833333333333334</v>
      </c>
      <c r="G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1.04166666666667</v>
      </c>
      <c r="H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1</v>
      </c>
      <c r="I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0.2</v>
      </c>
      <c r="J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K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N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0.3</v>
      </c>
      <c r="O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3</v>
      </c>
      <c r="P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0.5</v>
      </c>
      <c r="Q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0.1</v>
      </c>
      <c r="R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72"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3" customFormat="false" ht="15" hidden="false" customHeight="false" outlineLevel="0" collapsed="false">
      <c r="B73" s="48" t="str">
        <f aca="false">IFERROR(INDEX(res_Name,(ROW()-ROW(rw_UtilOrigin)-1))&amp;"","")</f>
        <v>Sam Rivera</v>
      </c>
      <c r="C73" s="71" t="n">
        <f aca="false">IFERROR(IF(INDEX(res_Name,(ROW()-ROW(rw_UtilOrigin)-1))="","",INDEX(res_MaxUnits,(ROW()-ROW(rw_UtilOrigin)-1))),"")</f>
        <v>1</v>
      </c>
      <c r="D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0.45</v>
      </c>
      <c r="E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0.75</v>
      </c>
      <c r="F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0.857142857142858</v>
      </c>
      <c r="G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0.857142857142857</v>
      </c>
      <c r="H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0.761904761904762</v>
      </c>
      <c r="I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v>
      </c>
      <c r="J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0.4</v>
      </c>
      <c r="K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N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O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Q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R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73"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4" customFormat="false" ht="15" hidden="false" customHeight="false" outlineLevel="0" collapsed="false">
      <c r="B74" s="48" t="str">
        <f aca="false">IFERROR(INDEX(res_Name,(ROW()-ROW(rw_UtilOrigin)-1))&amp;"","")</f>
        <v>Taylor Morgan</v>
      </c>
      <c r="C74" s="71" t="n">
        <f aca="false">IFERROR(IF(INDEX(res_Name,(ROW()-ROW(rw_UtilOrigin)-1))="","",INDEX(res_MaxUnits,(ROW()-ROW(rw_UtilOrigin)-1))),"")</f>
        <v>1</v>
      </c>
      <c r="D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E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F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G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H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I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v>
      </c>
      <c r="J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0.8</v>
      </c>
      <c r="K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L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M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1</v>
      </c>
      <c r="N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0.2</v>
      </c>
      <c r="O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P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Q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R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S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T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U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V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W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X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Y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Z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A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B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c r="AC74" s="74" t="n">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0</v>
      </c>
    </row>
    <row r="75" customFormat="false" ht="15" hidden="false" customHeight="false" outlineLevel="0" collapsed="false">
      <c r="B75" s="48" t="str">
        <f aca="false">IFERROR(INDEX(res_Name,(ROW()-ROW(rw_UtilOrigin)-1))&amp;"","")</f>
        <v/>
      </c>
      <c r="C75" s="71" t="str">
        <f aca="false">IFERROR(IF(INDEX(res_Name,(ROW()-ROW(rw_UtilOrigin)-1))="","",INDEX(res_MaxUnits,(ROW()-ROW(rw_UtilOrigin)-1))),"")</f>
        <v/>
      </c>
      <c r="D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7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76" customFormat="false" ht="15" hidden="false" customHeight="false" outlineLevel="0" collapsed="false">
      <c r="B76" s="48" t="str">
        <f aca="false">IFERROR(INDEX(res_Name,(ROW()-ROW(rw_UtilOrigin)-1))&amp;"","")</f>
        <v/>
      </c>
      <c r="C76" s="71" t="str">
        <f aca="false">IFERROR(IF(INDEX(res_Name,(ROW()-ROW(rw_UtilOrigin)-1))="","",INDEX(res_MaxUnits,(ROW()-ROW(rw_UtilOrigin)-1))),"")</f>
        <v/>
      </c>
      <c r="D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7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77" customFormat="false" ht="15" hidden="false" customHeight="false" outlineLevel="0" collapsed="false">
      <c r="B77" s="48" t="str">
        <f aca="false">IFERROR(INDEX(res_Name,(ROW()-ROW(rw_UtilOrigin)-1))&amp;"","")</f>
        <v/>
      </c>
      <c r="C77" s="71" t="str">
        <f aca="false">IFERROR(IF(INDEX(res_Name,(ROW()-ROW(rw_UtilOrigin)-1))="","",INDEX(res_MaxUnits,(ROW()-ROW(rw_UtilOrigin)-1))),"")</f>
        <v/>
      </c>
      <c r="D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7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78" customFormat="false" ht="15" hidden="false" customHeight="false" outlineLevel="0" collapsed="false">
      <c r="B78" s="48" t="str">
        <f aca="false">IFERROR(INDEX(res_Name,(ROW()-ROW(rw_UtilOrigin)-1))&amp;"","")</f>
        <v/>
      </c>
      <c r="C78" s="71" t="str">
        <f aca="false">IFERROR(IF(INDEX(res_Name,(ROW()-ROW(rw_UtilOrigin)-1))="","",INDEX(res_MaxUnits,(ROW()-ROW(rw_UtilOrigin)-1))),"")</f>
        <v/>
      </c>
      <c r="D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7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79" customFormat="false" ht="15" hidden="false" customHeight="false" outlineLevel="0" collapsed="false">
      <c r="B79" s="48" t="str">
        <f aca="false">IFERROR(INDEX(res_Name,(ROW()-ROW(rw_UtilOrigin)-1))&amp;"","")</f>
        <v/>
      </c>
      <c r="C79" s="71" t="str">
        <f aca="false">IFERROR(IF(INDEX(res_Name,(ROW()-ROW(rw_UtilOrigin)-1))="","",INDEX(res_MaxUnits,(ROW()-ROW(rw_UtilOrigin)-1))),"")</f>
        <v/>
      </c>
      <c r="D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7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0" customFormat="false" ht="15" hidden="false" customHeight="false" outlineLevel="0" collapsed="false">
      <c r="B80" s="48" t="str">
        <f aca="false">IFERROR(INDEX(res_Name,(ROW()-ROW(rw_UtilOrigin)-1))&amp;"","")</f>
        <v/>
      </c>
      <c r="C80" s="71" t="str">
        <f aca="false">IFERROR(IF(INDEX(res_Name,(ROW()-ROW(rw_UtilOrigin)-1))="","",INDEX(res_MaxUnits,(ROW()-ROW(rw_UtilOrigin)-1))),"")</f>
        <v/>
      </c>
      <c r="D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1" customFormat="false" ht="15" hidden="false" customHeight="false" outlineLevel="0" collapsed="false">
      <c r="B81" s="48" t="str">
        <f aca="false">IFERROR(INDEX(res_Name,(ROW()-ROW(rw_UtilOrigin)-1))&amp;"","")</f>
        <v/>
      </c>
      <c r="C81" s="71" t="str">
        <f aca="false">IFERROR(IF(INDEX(res_Name,(ROW()-ROW(rw_UtilOrigin)-1))="","",INDEX(res_MaxUnits,(ROW()-ROW(rw_UtilOrigin)-1))),"")</f>
        <v/>
      </c>
      <c r="D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2" customFormat="false" ht="15" hidden="false" customHeight="false" outlineLevel="0" collapsed="false">
      <c r="B82" s="48" t="str">
        <f aca="false">IFERROR(INDEX(res_Name,(ROW()-ROW(rw_UtilOrigin)-1))&amp;"","")</f>
        <v/>
      </c>
      <c r="C82" s="71" t="str">
        <f aca="false">IFERROR(IF(INDEX(res_Name,(ROW()-ROW(rw_UtilOrigin)-1))="","",INDEX(res_MaxUnits,(ROW()-ROW(rw_UtilOrigin)-1))),"")</f>
        <v/>
      </c>
      <c r="D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3" customFormat="false" ht="15" hidden="false" customHeight="false" outlineLevel="0" collapsed="false">
      <c r="B83" s="48" t="str">
        <f aca="false">IFERROR(INDEX(res_Name,(ROW()-ROW(rw_UtilOrigin)-1))&amp;"","")</f>
        <v/>
      </c>
      <c r="C83" s="71" t="str">
        <f aca="false">IFERROR(IF(INDEX(res_Name,(ROW()-ROW(rw_UtilOrigin)-1))="","",INDEX(res_MaxUnits,(ROW()-ROW(rw_UtilOrigin)-1))),"")</f>
        <v/>
      </c>
      <c r="D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3"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4" customFormat="false" ht="15" hidden="false" customHeight="false" outlineLevel="0" collapsed="false">
      <c r="B84" s="48" t="str">
        <f aca="false">IFERROR(INDEX(res_Name,(ROW()-ROW(rw_UtilOrigin)-1))&amp;"","")</f>
        <v/>
      </c>
      <c r="C84" s="71" t="str">
        <f aca="false">IFERROR(IF(INDEX(res_Name,(ROW()-ROW(rw_UtilOrigin)-1))="","",INDEX(res_MaxUnits,(ROW()-ROW(rw_UtilOrigin)-1))),"")</f>
        <v/>
      </c>
      <c r="D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4"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5" customFormat="false" ht="15" hidden="false" customHeight="false" outlineLevel="0" collapsed="false">
      <c r="B85" s="48" t="str">
        <f aca="false">IFERROR(INDEX(res_Name,(ROW()-ROW(rw_UtilOrigin)-1))&amp;"","")</f>
        <v/>
      </c>
      <c r="C85" s="71" t="str">
        <f aca="false">IFERROR(IF(INDEX(res_Name,(ROW()-ROW(rw_UtilOrigin)-1))="","",INDEX(res_MaxUnits,(ROW()-ROW(rw_UtilOrigin)-1))),"")</f>
        <v/>
      </c>
      <c r="D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5"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6" customFormat="false" ht="15" hidden="false" customHeight="false" outlineLevel="0" collapsed="false">
      <c r="B86" s="48" t="str">
        <f aca="false">IFERROR(INDEX(res_Name,(ROW()-ROW(rw_UtilOrigin)-1))&amp;"","")</f>
        <v/>
      </c>
      <c r="C86" s="71" t="str">
        <f aca="false">IFERROR(IF(INDEX(res_Name,(ROW()-ROW(rw_UtilOrigin)-1))="","",INDEX(res_MaxUnits,(ROW()-ROW(rw_UtilOrigin)-1))),"")</f>
        <v/>
      </c>
      <c r="D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6"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7" customFormat="false" ht="15" hidden="false" customHeight="false" outlineLevel="0" collapsed="false">
      <c r="B87" s="48" t="str">
        <f aca="false">IFERROR(INDEX(res_Name,(ROW()-ROW(rw_UtilOrigin)-1))&amp;"","")</f>
        <v/>
      </c>
      <c r="C87" s="71" t="str">
        <f aca="false">IFERROR(IF(INDEX(res_Name,(ROW()-ROW(rw_UtilOrigin)-1))="","",INDEX(res_MaxUnits,(ROW()-ROW(rw_UtilOrigin)-1))),"")</f>
        <v/>
      </c>
      <c r="D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7"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8" customFormat="false" ht="15" hidden="false" customHeight="false" outlineLevel="0" collapsed="false">
      <c r="B88" s="48" t="str">
        <f aca="false">IFERROR(INDEX(res_Name,(ROW()-ROW(rw_UtilOrigin)-1))&amp;"","")</f>
        <v/>
      </c>
      <c r="C88" s="71" t="str">
        <f aca="false">IFERROR(IF(INDEX(res_Name,(ROW()-ROW(rw_UtilOrigin)-1))="","",INDEX(res_MaxUnits,(ROW()-ROW(rw_UtilOrigin)-1))),"")</f>
        <v/>
      </c>
      <c r="D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8"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89" customFormat="false" ht="15" hidden="false" customHeight="false" outlineLevel="0" collapsed="false">
      <c r="B89" s="48" t="str">
        <f aca="false">IFERROR(INDEX(res_Name,(ROW()-ROW(rw_UtilOrigin)-1))&amp;"","")</f>
        <v/>
      </c>
      <c r="C89" s="71" t="str">
        <f aca="false">IFERROR(IF(INDEX(res_Name,(ROW()-ROW(rw_UtilOrigin)-1))="","",INDEX(res_MaxUnits,(ROW()-ROW(rw_UtilOrigin)-1))),"")</f>
        <v/>
      </c>
      <c r="D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89"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90" customFormat="false" ht="15" hidden="false" customHeight="false" outlineLevel="0" collapsed="false">
      <c r="B90" s="48" t="str">
        <f aca="false">IFERROR(INDEX(res_Name,(ROW()-ROW(rw_UtilOrigin)-1))&amp;"","")</f>
        <v/>
      </c>
      <c r="C90" s="71" t="str">
        <f aca="false">IFERROR(IF(INDEX(res_Name,(ROW()-ROW(rw_UtilOrigin)-1))="","",INDEX(res_MaxUnits,(ROW()-ROW(rw_UtilOrigin)-1))),"")</f>
        <v/>
      </c>
      <c r="D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90"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91" customFormat="false" ht="15" hidden="false" customHeight="false" outlineLevel="0" collapsed="false">
      <c r="B91" s="48" t="str">
        <f aca="false">IFERROR(INDEX(res_Name,(ROW()-ROW(rw_UtilOrigin)-1))&amp;"","")</f>
        <v/>
      </c>
      <c r="C91" s="71" t="str">
        <f aca="false">IFERROR(IF(INDEX(res_Name,(ROW()-ROW(rw_UtilOrigin)-1))="","",INDEX(res_MaxUnits,(ROW()-ROW(rw_UtilOrigin)-1))),"")</f>
        <v/>
      </c>
      <c r="D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91"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92" customFormat="false" ht="15" hidden="false" customHeight="false" outlineLevel="0" collapsed="false">
      <c r="B92" s="48" t="str">
        <f aca="false">IFERROR(INDEX(res_Name,(ROW()-ROW(rw_UtilOrigin)-1))&amp;"","")</f>
        <v/>
      </c>
      <c r="C92" s="71" t="str">
        <f aca="false">IFERROR(IF(INDEX(res_Name,(ROW()-ROW(rw_UtilOrigin)-1))="","",INDEX(res_MaxUnits,(ROW()-ROW(rw_UtilOrigin)-1))),"")</f>
        <v/>
      </c>
      <c r="D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E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F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G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H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I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J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K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L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M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N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O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P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Q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R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S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T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U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V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W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X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Y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Z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A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B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c r="AC92" s="74" t="str">
        <f aca="false">IFERROR(IF(OR(INDEX(res_Name,(ROW()-ROW(rw_UtilOrigin)-1))="",N(INDEX(res_MaxUnits,(ROW()-ROW(rw_UtilOrigin)-1)))=0,INDEX(rw_WeekDays,(COLUMN()-COLUMN(rw_UtilOrigin)-1))=0),"",IF((INDEX(res_MaxUnits,(ROW()-ROW(rw_UtilOrigin)-1))*HoursPerDay*(INDEX(rw_WeekDays,(COLUMN()-COLUMN(rw_UtilOrigin)-1))-INDEX(rw_Leave,(ROW()-ROW(rw_UtilOrigin)-1),(COLUMN()-COLUMN(rw_UtilOrigin)-1))))&lt;=0,IF(N(INDEX(rw_Load,(ROW()-ROW(rw_UtilOrigin)-1),(COLUMN()-COLUMN(rw_UtilOrigin)-1)))&gt;0,9.99,""),INDEX(rw_Load,(ROW()-ROW(rw_UtilOrigin)-1),(COLUMN()-COLUMN(rw_UtilOrigin)-1))/(INDEX(res_MaxUnits,(ROW()-ROW(rw_UtilOrigin)-1))*HoursPerDay*(INDEX(rw_WeekDays,(COLUMN()-COLUMN(rw_UtilOrigin)-1))-INDEX(rw_Leave,(ROW()-ROW(rw_UtilOrigin)-1),(COLUMN()-COLUMN(rw_UtilOrigin)-1)))))),"")</f>
        <v/>
      </c>
    </row>
    <row r="94" customFormat="false" ht="15" hidden="false" customHeight="false" outlineLevel="0" collapsed="false">
      <c r="B94" s="67" t="s">
        <v>259</v>
      </c>
    </row>
    <row r="96" customFormat="false" ht="23.85" hidden="false" customHeight="false" outlineLevel="0" collapsed="false">
      <c r="B96" s="9" t="s">
        <v>236</v>
      </c>
      <c r="C96" s="31" t="s">
        <v>260</v>
      </c>
      <c r="D96" s="68" t="n">
        <f aca="false">(ResourceWeekStart+7*((COLUMN()-COLUMN(rw_LeaveOrigin)-1)-1))</f>
        <v>46300</v>
      </c>
      <c r="E96" s="68" t="n">
        <f aca="false">(ResourceWeekStart+7*((COLUMN()-COLUMN(rw_LeaveOrigin)-1)-1))</f>
        <v>46307</v>
      </c>
      <c r="F96" s="68" t="n">
        <f aca="false">(ResourceWeekStart+7*((COLUMN()-COLUMN(rw_LeaveOrigin)-1)-1))</f>
        <v>46314</v>
      </c>
      <c r="G96" s="68" t="n">
        <f aca="false">(ResourceWeekStart+7*((COLUMN()-COLUMN(rw_LeaveOrigin)-1)-1))</f>
        <v>46321</v>
      </c>
      <c r="H96" s="68" t="n">
        <f aca="false">(ResourceWeekStart+7*((COLUMN()-COLUMN(rw_LeaveOrigin)-1)-1))</f>
        <v>46328</v>
      </c>
      <c r="I96" s="68" t="n">
        <f aca="false">(ResourceWeekStart+7*((COLUMN()-COLUMN(rw_LeaveOrigin)-1)-1))</f>
        <v>46335</v>
      </c>
      <c r="J96" s="68" t="n">
        <f aca="false">(ResourceWeekStart+7*((COLUMN()-COLUMN(rw_LeaveOrigin)-1)-1))</f>
        <v>46342</v>
      </c>
      <c r="K96" s="68" t="n">
        <f aca="false">(ResourceWeekStart+7*((COLUMN()-COLUMN(rw_LeaveOrigin)-1)-1))</f>
        <v>46349</v>
      </c>
      <c r="L96" s="68" t="n">
        <f aca="false">(ResourceWeekStart+7*((COLUMN()-COLUMN(rw_LeaveOrigin)-1)-1))</f>
        <v>46356</v>
      </c>
      <c r="M96" s="68" t="n">
        <f aca="false">(ResourceWeekStart+7*((COLUMN()-COLUMN(rw_LeaveOrigin)-1)-1))</f>
        <v>46363</v>
      </c>
      <c r="N96" s="68" t="n">
        <f aca="false">(ResourceWeekStart+7*((COLUMN()-COLUMN(rw_LeaveOrigin)-1)-1))</f>
        <v>46370</v>
      </c>
      <c r="O96" s="68" t="n">
        <f aca="false">(ResourceWeekStart+7*((COLUMN()-COLUMN(rw_LeaveOrigin)-1)-1))</f>
        <v>46377</v>
      </c>
      <c r="P96" s="68" t="n">
        <f aca="false">(ResourceWeekStart+7*((COLUMN()-COLUMN(rw_LeaveOrigin)-1)-1))</f>
        <v>46384</v>
      </c>
      <c r="Q96" s="68" t="n">
        <f aca="false">(ResourceWeekStart+7*((COLUMN()-COLUMN(rw_LeaveOrigin)-1)-1))</f>
        <v>46391</v>
      </c>
      <c r="R96" s="68" t="n">
        <f aca="false">(ResourceWeekStart+7*((COLUMN()-COLUMN(rw_LeaveOrigin)-1)-1))</f>
        <v>46398</v>
      </c>
      <c r="S96" s="68" t="n">
        <f aca="false">(ResourceWeekStart+7*((COLUMN()-COLUMN(rw_LeaveOrigin)-1)-1))</f>
        <v>46405</v>
      </c>
      <c r="T96" s="68" t="n">
        <f aca="false">(ResourceWeekStart+7*((COLUMN()-COLUMN(rw_LeaveOrigin)-1)-1))</f>
        <v>46412</v>
      </c>
      <c r="U96" s="68" t="n">
        <f aca="false">(ResourceWeekStart+7*((COLUMN()-COLUMN(rw_LeaveOrigin)-1)-1))</f>
        <v>46419</v>
      </c>
      <c r="V96" s="68" t="n">
        <f aca="false">(ResourceWeekStart+7*((COLUMN()-COLUMN(rw_LeaveOrigin)-1)-1))</f>
        <v>46426</v>
      </c>
      <c r="W96" s="68" t="n">
        <f aca="false">(ResourceWeekStart+7*((COLUMN()-COLUMN(rw_LeaveOrigin)-1)-1))</f>
        <v>46433</v>
      </c>
      <c r="X96" s="68" t="n">
        <f aca="false">(ResourceWeekStart+7*((COLUMN()-COLUMN(rw_LeaveOrigin)-1)-1))</f>
        <v>46440</v>
      </c>
      <c r="Y96" s="68" t="n">
        <f aca="false">(ResourceWeekStart+7*((COLUMN()-COLUMN(rw_LeaveOrigin)-1)-1))</f>
        <v>46447</v>
      </c>
      <c r="Z96" s="68" t="n">
        <f aca="false">(ResourceWeekStart+7*((COLUMN()-COLUMN(rw_LeaveOrigin)-1)-1))</f>
        <v>46454</v>
      </c>
      <c r="AA96" s="68" t="n">
        <f aca="false">(ResourceWeekStart+7*((COLUMN()-COLUMN(rw_LeaveOrigin)-1)-1))</f>
        <v>46461</v>
      </c>
      <c r="AB96" s="68" t="n">
        <f aca="false">(ResourceWeekStart+7*((COLUMN()-COLUMN(rw_LeaveOrigin)-1)-1))</f>
        <v>46468</v>
      </c>
      <c r="AC96" s="68" t="n">
        <f aca="false">(ResourceWeekStart+7*((COLUMN()-COLUMN(rw_LeaveOrigin)-1)-1))</f>
        <v>46475</v>
      </c>
    </row>
    <row r="97" customFormat="false" ht="15" hidden="false" customHeight="false" outlineLevel="0" collapsed="false">
      <c r="B97" s="75" t="s">
        <v>261</v>
      </c>
      <c r="D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11</v>
      </c>
      <c r="E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11</v>
      </c>
      <c r="F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11</v>
      </c>
      <c r="G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11</v>
      </c>
      <c r="H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12</v>
      </c>
      <c r="I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12</v>
      </c>
      <c r="J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12</v>
      </c>
      <c r="K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12</v>
      </c>
      <c r="L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12</v>
      </c>
      <c r="M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13</v>
      </c>
      <c r="N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13</v>
      </c>
      <c r="O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13</v>
      </c>
      <c r="P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13</v>
      </c>
      <c r="Q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14</v>
      </c>
      <c r="R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14</v>
      </c>
      <c r="S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14</v>
      </c>
      <c r="T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14</v>
      </c>
      <c r="U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15</v>
      </c>
      <c r="V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15</v>
      </c>
      <c r="W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15</v>
      </c>
      <c r="X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15</v>
      </c>
      <c r="Y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16</v>
      </c>
      <c r="Z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16</v>
      </c>
      <c r="AA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16</v>
      </c>
      <c r="AB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16</v>
      </c>
      <c r="AC97" s="76" t="n">
        <f aca="false">IFERROR(MATCH(MID("JanFebMarAprMayJunJulAugSepOctNovDec",MONTH(DATE(YEAR((ResourceWeekStart+7*((COLUMN()-COLUMN(rw_LeaveOrigin)-1)-1))),MONTH((ResourceWeekStart+7*((COLUMN()-COLUMN(rw_LeaveOrigin)-1)-1)))+0,1))*3-2,3)&amp;"-"&amp;RIGHT(YEAR(DATE(YEAR((ResourceWeekStart+7*((COLUMN()-COLUMN(rw_LeaveOrigin)-1)-1))),MONTH((ResourceWeekStart+7*((COLUMN()-COLUMN(rw_LeaveOrigin)-1)-1)))+0,1)),2),LeaveTable[#Headers],0),0)</f>
        <v>16</v>
      </c>
    </row>
    <row r="98" customFormat="false" ht="15" hidden="false" customHeight="false" outlineLevel="0" collapsed="false">
      <c r="B98" s="75" t="s">
        <v>262</v>
      </c>
      <c r="D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12</v>
      </c>
      <c r="E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12</v>
      </c>
      <c r="F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12</v>
      </c>
      <c r="G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12</v>
      </c>
      <c r="H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13</v>
      </c>
      <c r="I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13</v>
      </c>
      <c r="J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13</v>
      </c>
      <c r="K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13</v>
      </c>
      <c r="L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13</v>
      </c>
      <c r="M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14</v>
      </c>
      <c r="N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14</v>
      </c>
      <c r="O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14</v>
      </c>
      <c r="P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14</v>
      </c>
      <c r="Q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15</v>
      </c>
      <c r="R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15</v>
      </c>
      <c r="S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15</v>
      </c>
      <c r="T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15</v>
      </c>
      <c r="U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16</v>
      </c>
      <c r="V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16</v>
      </c>
      <c r="W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16</v>
      </c>
      <c r="X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16</v>
      </c>
      <c r="Y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17</v>
      </c>
      <c r="Z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17</v>
      </c>
      <c r="AA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17</v>
      </c>
      <c r="AB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17</v>
      </c>
      <c r="AC98" s="76" t="n">
        <f aca="false">IFERROR(MATCH(MID("JanFebMarAprMayJunJulAugSepOctNovDec",MONTH(DATE(YEAR((ResourceWeekStart+7*((COLUMN()-COLUMN(rw_LeaveOrigin)-1)-1))),MONTH((ResourceWeekStart+7*((COLUMN()-COLUMN(rw_LeaveOrigin)-1)-1)))+1,1))*3-2,3)&amp;"-"&amp;RIGHT(YEAR(DATE(YEAR((ResourceWeekStart+7*((COLUMN()-COLUMN(rw_LeaveOrigin)-1)-1))),MONTH((ResourceWeekStart+7*((COLUMN()-COLUMN(rw_LeaveOrigin)-1)-1)))+1,1)),2),LeaveTable[#Headers],0),0)</f>
        <v>17</v>
      </c>
    </row>
    <row r="99" customFormat="false" ht="15" hidden="false" customHeight="false" outlineLevel="0" collapsed="false">
      <c r="B99" s="48" t="str">
        <f aca="false">IFERROR(INDEX(res_Name,(ROW()-ROW(rw_LeaveOrigin)-2))&amp;"","")</f>
        <v>Priya Sharma</v>
      </c>
      <c r="C99" s="76" t="n">
        <f aca="false">IFERROR(IF(INDEX(res_Name,(ROW()-ROW(rw_LeaveOrigin)-2))="",0,IFERROR(MATCH(INDEX(res_Name,(ROW()-ROW(rw_LeaveOrigin)-2)),LeaveTable[Resource],0),0)),0)</f>
        <v>0</v>
      </c>
      <c r="D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9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0" customFormat="false" ht="15" hidden="false" customHeight="false" outlineLevel="0" collapsed="false">
      <c r="B100" s="48" t="str">
        <f aca="false">IFERROR(INDEX(res_Name,(ROW()-ROW(rw_LeaveOrigin)-2))&amp;"","")</f>
        <v>Morgan Patel</v>
      </c>
      <c r="C100" s="76" t="n">
        <f aca="false">IFERROR(IF(INDEX(res_Name,(ROW()-ROW(rw_LeaveOrigin)-2))="",0,IFERROR(MATCH(INDEX(res_Name,(ROW()-ROW(rw_LeaveOrigin)-2)),LeaveTable[Resource],0),0)),0)</f>
        <v>4</v>
      </c>
      <c r="D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3</v>
      </c>
      <c r="Q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1" customFormat="false" ht="15" hidden="false" customHeight="false" outlineLevel="0" collapsed="false">
      <c r="B101" s="48" t="str">
        <f aca="false">IFERROR(INDEX(res_Name,(ROW()-ROW(rw_LeaveOrigin)-2))&amp;"","")</f>
        <v>Alex Chen</v>
      </c>
      <c r="C101" s="76" t="n">
        <f aca="false">IFERROR(IF(INDEX(res_Name,(ROW()-ROW(rw_LeaveOrigin)-2))="",0,IFERROR(MATCH(INDEX(res_Name,(ROW()-ROW(rw_LeaveOrigin)-2)),LeaveTable[Resource],0),0)),0)</f>
        <v>0</v>
      </c>
      <c r="D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2" customFormat="false" ht="15" hidden="false" customHeight="false" outlineLevel="0" collapsed="false">
      <c r="B102" s="48" t="str">
        <f aca="false">IFERROR(INDEX(res_Name,(ROW()-ROW(rw_LeaveOrigin)-2))&amp;"","")</f>
        <v>Casey Kim</v>
      </c>
      <c r="C102" s="76" t="n">
        <f aca="false">IFERROR(IF(INDEX(res_Name,(ROW()-ROW(rw_LeaveOrigin)-2))="",0,IFERROR(MATCH(INDEX(res_Name,(ROW()-ROW(rw_LeaveOrigin)-2)),LeaveTable[Resource],0),0)),0)</f>
        <v>1</v>
      </c>
      <c r="D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4.5</v>
      </c>
      <c r="K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5</v>
      </c>
      <c r="L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3" customFormat="false" ht="15" hidden="false" customHeight="false" outlineLevel="0" collapsed="false">
      <c r="B103" s="48" t="str">
        <f aca="false">IFERROR(INDEX(res_Name,(ROW()-ROW(rw_LeaveOrigin)-2))&amp;"","")</f>
        <v>Jordan Lee</v>
      </c>
      <c r="C103" s="76" t="n">
        <f aca="false">IFERROR(IF(INDEX(res_Name,(ROW()-ROW(rw_LeaveOrigin)-2))="",0,IFERROR(MATCH(INDEX(res_Name,(ROW()-ROW(rw_LeaveOrigin)-2)),LeaveTable[Resource],0),0)),0)</f>
        <v>2</v>
      </c>
      <c r="D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1</v>
      </c>
      <c r="H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2.5</v>
      </c>
      <c r="P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4" customFormat="false" ht="15" hidden="false" customHeight="false" outlineLevel="0" collapsed="false">
      <c r="B104" s="48" t="str">
        <f aca="false">IFERROR(INDEX(res_Name,(ROW()-ROW(rw_LeaveOrigin)-2))&amp;"","")</f>
        <v>Sam Rivera</v>
      </c>
      <c r="C104" s="76" t="n">
        <f aca="false">IFERROR(IF(INDEX(res_Name,(ROW()-ROW(rw_LeaveOrigin)-2))="",0,IFERROR(MATCH(INDEX(res_Name,(ROW()-ROW(rw_LeaveOrigin)-2)),LeaveTable[Resource],0),0)),0)</f>
        <v>3</v>
      </c>
      <c r="D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0.5</v>
      </c>
      <c r="I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5" customFormat="false" ht="15" hidden="false" customHeight="false" outlineLevel="0" collapsed="false">
      <c r="B105" s="48" t="str">
        <f aca="false">IFERROR(INDEX(res_Name,(ROW()-ROW(rw_LeaveOrigin)-2))&amp;"","")</f>
        <v>Taylor Morgan</v>
      </c>
      <c r="C105" s="76" t="n">
        <f aca="false">IFERROR(IF(INDEX(res_Name,(ROW()-ROW(rw_LeaveOrigin)-2))="",0,IFERROR(MATCH(INDEX(res_Name,(ROW()-ROW(rw_LeaveOrigin)-2)),LeaveTable[Resource],0),0)),0)</f>
        <v>0</v>
      </c>
      <c r="D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6" customFormat="false" ht="15" hidden="false" customHeight="false" outlineLevel="0" collapsed="false">
      <c r="B106" s="48" t="str">
        <f aca="false">IFERROR(INDEX(res_Name,(ROW()-ROW(rw_LeaveOrigin)-2))&amp;"","")</f>
        <v/>
      </c>
      <c r="C106" s="76" t="n">
        <f aca="false">IFERROR(IF(INDEX(res_Name,(ROW()-ROW(rw_LeaveOrigin)-2))="",0,IFERROR(MATCH(INDEX(res_Name,(ROW()-ROW(rw_LeaveOrigin)-2)),LeaveTable[Resource],0),0)),0)</f>
        <v>0</v>
      </c>
      <c r="D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7" customFormat="false" ht="15" hidden="false" customHeight="false" outlineLevel="0" collapsed="false">
      <c r="B107" s="48" t="str">
        <f aca="false">IFERROR(INDEX(res_Name,(ROW()-ROW(rw_LeaveOrigin)-2))&amp;"","")</f>
        <v/>
      </c>
      <c r="C107" s="76" t="n">
        <f aca="false">IFERROR(IF(INDEX(res_Name,(ROW()-ROW(rw_LeaveOrigin)-2))="",0,IFERROR(MATCH(INDEX(res_Name,(ROW()-ROW(rw_LeaveOrigin)-2)),LeaveTable[Resource],0),0)),0)</f>
        <v>0</v>
      </c>
      <c r="D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8" customFormat="false" ht="15" hidden="false" customHeight="false" outlineLevel="0" collapsed="false">
      <c r="B108" s="48" t="str">
        <f aca="false">IFERROR(INDEX(res_Name,(ROW()-ROW(rw_LeaveOrigin)-2))&amp;"","")</f>
        <v/>
      </c>
      <c r="C108" s="76" t="n">
        <f aca="false">IFERROR(IF(INDEX(res_Name,(ROW()-ROW(rw_LeaveOrigin)-2))="",0,IFERROR(MATCH(INDEX(res_Name,(ROW()-ROW(rw_LeaveOrigin)-2)),LeaveTable[Resource],0),0)),0)</f>
        <v>0</v>
      </c>
      <c r="D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09" customFormat="false" ht="15" hidden="false" customHeight="false" outlineLevel="0" collapsed="false">
      <c r="B109" s="48" t="str">
        <f aca="false">IFERROR(INDEX(res_Name,(ROW()-ROW(rw_LeaveOrigin)-2))&amp;"","")</f>
        <v/>
      </c>
      <c r="C109" s="76" t="n">
        <f aca="false">IFERROR(IF(INDEX(res_Name,(ROW()-ROW(rw_LeaveOrigin)-2))="",0,IFERROR(MATCH(INDEX(res_Name,(ROW()-ROW(rw_LeaveOrigin)-2)),LeaveTable[Resource],0),0)),0)</f>
        <v>0</v>
      </c>
      <c r="D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0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0" customFormat="false" ht="15" hidden="false" customHeight="false" outlineLevel="0" collapsed="false">
      <c r="B110" s="48" t="str">
        <f aca="false">IFERROR(INDEX(res_Name,(ROW()-ROW(rw_LeaveOrigin)-2))&amp;"","")</f>
        <v/>
      </c>
      <c r="C110" s="76" t="n">
        <f aca="false">IFERROR(IF(INDEX(res_Name,(ROW()-ROW(rw_LeaveOrigin)-2))="",0,IFERROR(MATCH(INDEX(res_Name,(ROW()-ROW(rw_LeaveOrigin)-2)),LeaveTable[Resource],0),0)),0)</f>
        <v>0</v>
      </c>
      <c r="D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1" customFormat="false" ht="15" hidden="false" customHeight="false" outlineLevel="0" collapsed="false">
      <c r="B111" s="48" t="str">
        <f aca="false">IFERROR(INDEX(res_Name,(ROW()-ROW(rw_LeaveOrigin)-2))&amp;"","")</f>
        <v/>
      </c>
      <c r="C111" s="76" t="n">
        <f aca="false">IFERROR(IF(INDEX(res_Name,(ROW()-ROW(rw_LeaveOrigin)-2))="",0,IFERROR(MATCH(INDEX(res_Name,(ROW()-ROW(rw_LeaveOrigin)-2)),LeaveTable[Resource],0),0)),0)</f>
        <v>0</v>
      </c>
      <c r="D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2" customFormat="false" ht="15" hidden="false" customHeight="false" outlineLevel="0" collapsed="false">
      <c r="B112" s="48" t="str">
        <f aca="false">IFERROR(INDEX(res_Name,(ROW()-ROW(rw_LeaveOrigin)-2))&amp;"","")</f>
        <v/>
      </c>
      <c r="C112" s="76" t="n">
        <f aca="false">IFERROR(IF(INDEX(res_Name,(ROW()-ROW(rw_LeaveOrigin)-2))="",0,IFERROR(MATCH(INDEX(res_Name,(ROW()-ROW(rw_LeaveOrigin)-2)),LeaveTable[Resource],0),0)),0)</f>
        <v>0</v>
      </c>
      <c r="D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3" customFormat="false" ht="15" hidden="false" customHeight="false" outlineLevel="0" collapsed="false">
      <c r="B113" s="48" t="str">
        <f aca="false">IFERROR(INDEX(res_Name,(ROW()-ROW(rw_LeaveOrigin)-2))&amp;"","")</f>
        <v/>
      </c>
      <c r="C113" s="76" t="n">
        <f aca="false">IFERROR(IF(INDEX(res_Name,(ROW()-ROW(rw_LeaveOrigin)-2))="",0,IFERROR(MATCH(INDEX(res_Name,(ROW()-ROW(rw_LeaveOrigin)-2)),LeaveTable[Resource],0),0)),0)</f>
        <v>0</v>
      </c>
      <c r="D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4" customFormat="false" ht="15" hidden="false" customHeight="false" outlineLevel="0" collapsed="false">
      <c r="B114" s="48" t="str">
        <f aca="false">IFERROR(INDEX(res_Name,(ROW()-ROW(rw_LeaveOrigin)-2))&amp;"","")</f>
        <v/>
      </c>
      <c r="C114" s="76" t="n">
        <f aca="false">IFERROR(IF(INDEX(res_Name,(ROW()-ROW(rw_LeaveOrigin)-2))="",0,IFERROR(MATCH(INDEX(res_Name,(ROW()-ROW(rw_LeaveOrigin)-2)),LeaveTable[Resource],0),0)),0)</f>
        <v>0</v>
      </c>
      <c r="D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4"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5" customFormat="false" ht="15" hidden="false" customHeight="false" outlineLevel="0" collapsed="false">
      <c r="B115" s="48" t="str">
        <f aca="false">IFERROR(INDEX(res_Name,(ROW()-ROW(rw_LeaveOrigin)-2))&amp;"","")</f>
        <v/>
      </c>
      <c r="C115" s="76" t="n">
        <f aca="false">IFERROR(IF(INDEX(res_Name,(ROW()-ROW(rw_LeaveOrigin)-2))="",0,IFERROR(MATCH(INDEX(res_Name,(ROW()-ROW(rw_LeaveOrigin)-2)),LeaveTable[Resource],0),0)),0)</f>
        <v>0</v>
      </c>
      <c r="D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5"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6" customFormat="false" ht="15" hidden="false" customHeight="false" outlineLevel="0" collapsed="false">
      <c r="B116" s="48" t="str">
        <f aca="false">IFERROR(INDEX(res_Name,(ROW()-ROW(rw_LeaveOrigin)-2))&amp;"","")</f>
        <v/>
      </c>
      <c r="C116" s="76" t="n">
        <f aca="false">IFERROR(IF(INDEX(res_Name,(ROW()-ROW(rw_LeaveOrigin)-2))="",0,IFERROR(MATCH(INDEX(res_Name,(ROW()-ROW(rw_LeaveOrigin)-2)),LeaveTable[Resource],0),0)),0)</f>
        <v>0</v>
      </c>
      <c r="D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6"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7" customFormat="false" ht="15" hidden="false" customHeight="false" outlineLevel="0" collapsed="false">
      <c r="B117" s="48" t="str">
        <f aca="false">IFERROR(INDEX(res_Name,(ROW()-ROW(rw_LeaveOrigin)-2))&amp;"","")</f>
        <v/>
      </c>
      <c r="C117" s="76" t="n">
        <f aca="false">IFERROR(IF(INDEX(res_Name,(ROW()-ROW(rw_LeaveOrigin)-2))="",0,IFERROR(MATCH(INDEX(res_Name,(ROW()-ROW(rw_LeaveOrigin)-2)),LeaveTable[Resource],0),0)),0)</f>
        <v>0</v>
      </c>
      <c r="D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7"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8" customFormat="false" ht="15" hidden="false" customHeight="false" outlineLevel="0" collapsed="false">
      <c r="B118" s="48" t="str">
        <f aca="false">IFERROR(INDEX(res_Name,(ROW()-ROW(rw_LeaveOrigin)-2))&amp;"","")</f>
        <v/>
      </c>
      <c r="C118" s="76" t="n">
        <f aca="false">IFERROR(IF(INDEX(res_Name,(ROW()-ROW(rw_LeaveOrigin)-2))="",0,IFERROR(MATCH(INDEX(res_Name,(ROW()-ROW(rw_LeaveOrigin)-2)),LeaveTable[Resource],0),0)),0)</f>
        <v>0</v>
      </c>
      <c r="D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8"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19" customFormat="false" ht="15" hidden="false" customHeight="false" outlineLevel="0" collapsed="false">
      <c r="B119" s="48" t="str">
        <f aca="false">IFERROR(INDEX(res_Name,(ROW()-ROW(rw_LeaveOrigin)-2))&amp;"","")</f>
        <v/>
      </c>
      <c r="C119" s="76" t="n">
        <f aca="false">IFERROR(IF(INDEX(res_Name,(ROW()-ROW(rw_LeaveOrigin)-2))="",0,IFERROR(MATCH(INDEX(res_Name,(ROW()-ROW(rw_LeaveOrigin)-2)),LeaveTable[Resource],0),0)),0)</f>
        <v>0</v>
      </c>
      <c r="D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19"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20" customFormat="false" ht="15" hidden="false" customHeight="false" outlineLevel="0" collapsed="false">
      <c r="B120" s="48" t="str">
        <f aca="false">IFERROR(INDEX(res_Name,(ROW()-ROW(rw_LeaveOrigin)-2))&amp;"","")</f>
        <v/>
      </c>
      <c r="C120" s="76" t="n">
        <f aca="false">IFERROR(IF(INDEX(res_Name,(ROW()-ROW(rw_LeaveOrigin)-2))="",0,IFERROR(MATCH(INDEX(res_Name,(ROW()-ROW(rw_LeaveOrigin)-2)),LeaveTable[Resource],0),0)),0)</f>
        <v>0</v>
      </c>
      <c r="D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20"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21" customFormat="false" ht="15" hidden="false" customHeight="false" outlineLevel="0" collapsed="false">
      <c r="B121" s="48" t="str">
        <f aca="false">IFERROR(INDEX(res_Name,(ROW()-ROW(rw_LeaveOrigin)-2))&amp;"","")</f>
        <v/>
      </c>
      <c r="C121" s="76" t="n">
        <f aca="false">IFERROR(IF(INDEX(res_Name,(ROW()-ROW(rw_LeaveOrigin)-2))="",0,IFERROR(MATCH(INDEX(res_Name,(ROW()-ROW(rw_LeaveOrigin)-2)),LeaveTable[Resource],0),0)),0)</f>
        <v>0</v>
      </c>
      <c r="D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21"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22" customFormat="false" ht="15" hidden="false" customHeight="false" outlineLevel="0" collapsed="false">
      <c r="B122" s="48" t="str">
        <f aca="false">IFERROR(INDEX(res_Name,(ROW()-ROW(rw_LeaveOrigin)-2))&amp;"","")</f>
        <v/>
      </c>
      <c r="C122" s="76" t="n">
        <f aca="false">IFERROR(IF(INDEX(res_Name,(ROW()-ROW(rw_LeaveOrigin)-2))="",0,IFERROR(MATCH(INDEX(res_Name,(ROW()-ROW(rw_LeaveOrigin)-2)),LeaveTable[Resource],0),0)),0)</f>
        <v>0</v>
      </c>
      <c r="D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22"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23" customFormat="false" ht="15" hidden="false" customHeight="false" outlineLevel="0" collapsed="false">
      <c r="B123" s="48" t="str">
        <f aca="false">IFERROR(INDEX(res_Name,(ROW()-ROW(rw_LeaveOrigin)-2))&amp;"","")</f>
        <v/>
      </c>
      <c r="C123" s="76" t="n">
        <f aca="false">IFERROR(IF(INDEX(res_Name,(ROW()-ROW(rw_LeaveOrigin)-2))="",0,IFERROR(MATCH(INDEX(res_Name,(ROW()-ROW(rw_LeaveOrigin)-2)),LeaveTable[Resource],0),0)),0)</f>
        <v>0</v>
      </c>
      <c r="D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E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F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G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H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I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J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K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L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M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N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O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P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Q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R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S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T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U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V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W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X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Y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Z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A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B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c r="AC123" s="77" t="n">
        <f aca="false">IFERROR(IF(INDEX(res_Name,(ROW()-ROW(rw_LeaveOrigin)-2))="",0,(IF(OR(INDEX(rw_LeaveRow,(ROW()-ROW(rw_LeaveOrigin)-2))=0,INDEX(rw_LeaveCol0,(COLUMN()-COLUMN(rw_LeaveOrigin)-1))=0),0,IFERROR(SUMPRODUCT((leave_Days&lt;=DAY(EOMONTH(DATE(YEAR((ResourceWeekStart+7*((COLUMN()-COLUMN(rw_LeaveOrigin)-1)-1))),MONTH((ResourceWeekStart+7*((COLUMN()-COLUMN(rw_LeaveOrigin)-1)-1)))+0,1),0)))*((DATE(YEAR((ResourceWeekStart+7*((COLUMN()-COLUMN(rw_LeaveOrigin)-1)-1))),MONTH((ResourceWeekStart+7*((COLUMN()-COLUMN(rw_LeaveOrigin)-1)-1)))+0,1)+leave_Days-1)&gt;=(ResourceWeekStart+7*((COLUMN()-COLUMN(rw_LeaveOrigin)-1)-1)))*((DATE(YEAR((ResourceWeekStart+7*((COLUMN()-COLUMN(rw_LeaveOrigin)-1)-1))),MONTH((ResourceWeekStart+7*((COLUMN()-COLUMN(rw_LeaveOrigin)-1)-1)))+0,1)+leave_Days-1)&lt;=(ResourceWeekStart+7*((COLUMN()-COLUMN(rw_LeaveOrigin)-1)-1))+6)*(MID(WorkWeek,WEEKDAY((DATE(YEAR((ResourceWeekStart+7*((COLUMN()-COLUMN(rw_LeaveOrigin)-1)-1))),MONTH((ResourceWeekStart+7*((COLUMN()-COLUMN(rw_LeaveOrigin)-1)-1)))+0,1)+leave_Days-1),2),1)="0")*(COUNTIF(Holidays,(DATE(YEAR((ResourceWeekStart+7*((COLUMN()-COLUMN(rw_LeaveOrigin)-1)-1))),MONTH((ResourceWeekStart+7*((COLUMN()-COLUMN(rw_LeaveOrigin)-1)-1)))+0,1)+leave_Days-1))=0)*--LEFT(SUBSTITUTE(MID(SUBSTITUTE(","&amp;SUBSTITUTE(SUBSTITUTE(INDEX(LeaveTable[#Data],INDEX(rw_LeaveRow,(ROW()-ROW(rw_LeaveOrigin)-2)),INDEX(rw_LeaveCol0,(COLUMN()-COLUMN(rw_LeaveOrigin)-1)))&amp;""," ",""),";",",")&amp;",",",","(1),")&amp;","&amp;leave_Days&amp;"(0)",SEARCH(","&amp;leave_Days&amp;"(",SUBSTITUTE(","&amp;SUBSTITUTE(SUBSTITUTE(INDEX(LeaveTable[#Data],INDEX(rw_LeaveRow,(ROW()-ROW(rw_LeaveOrigin)-2)),INDEX(rw_LeaveCol0,(COLUMN()-COLUMN(rw_LeaveOrigin)-1)))&amp;""," ",""),";",",")&amp;",",",","(1),")&amp;","&amp;leave_Days&amp;"(0)")+LEN(leave_Days)+2,5),")",REPT(" ",5)),5)),0))+IF(OR(INDEX(rw_LeaveRow,(ROW()-ROW(rw_LeaveOrigin)-2))=0,INDEX(rw_LeaveCol1,(COLUMN()-COLUMN(rw_LeaveOrigin)-1))=0),0,IFERROR(SUMPRODUCT((leave_Days&lt;=DAY(EOMONTH(DATE(YEAR((ResourceWeekStart+7*((COLUMN()-COLUMN(rw_LeaveOrigin)-1)-1))),MONTH((ResourceWeekStart+7*((COLUMN()-COLUMN(rw_LeaveOrigin)-1)-1)))+1,1),0)))*((DATE(YEAR((ResourceWeekStart+7*((COLUMN()-COLUMN(rw_LeaveOrigin)-1)-1))),MONTH((ResourceWeekStart+7*((COLUMN()-COLUMN(rw_LeaveOrigin)-1)-1)))+1,1)+leave_Days-1)&gt;=(ResourceWeekStart+7*((COLUMN()-COLUMN(rw_LeaveOrigin)-1)-1)))*((DATE(YEAR((ResourceWeekStart+7*((COLUMN()-COLUMN(rw_LeaveOrigin)-1)-1))),MONTH((ResourceWeekStart+7*((COLUMN()-COLUMN(rw_LeaveOrigin)-1)-1)))+1,1)+leave_Days-1)&lt;=(ResourceWeekStart+7*((COLUMN()-COLUMN(rw_LeaveOrigin)-1)-1))+6)*(MID(WorkWeek,WEEKDAY((DATE(YEAR((ResourceWeekStart+7*((COLUMN()-COLUMN(rw_LeaveOrigin)-1)-1))),MONTH((ResourceWeekStart+7*((COLUMN()-COLUMN(rw_LeaveOrigin)-1)-1)))+1,1)+leave_Days-1),2),1)="0")*(COUNTIF(Holidays,(DATE(YEAR((ResourceWeekStart+7*((COLUMN()-COLUMN(rw_LeaveOrigin)-1)-1))),MONTH((ResourceWeekStart+7*((COLUMN()-COLUMN(rw_LeaveOrigin)-1)-1)))+1,1)+leave_Days-1))=0)*--LEFT(SUBSTITUTE(MID(SUBSTITUTE(","&amp;SUBSTITUTE(SUBSTITUTE(INDEX(LeaveTable[#Data],INDEX(rw_LeaveRow,(ROW()-ROW(rw_LeaveOrigin)-2)),INDEX(rw_LeaveCol1,(COLUMN()-COLUMN(rw_LeaveOrigin)-1)))&amp;""," ",""),";",",")&amp;",",",","(1),")&amp;","&amp;leave_Days&amp;"(0)",SEARCH(","&amp;leave_Days&amp;"(",SUBSTITUTE(","&amp;SUBSTITUTE(SUBSTITUTE(INDEX(LeaveTable[#Data],INDEX(rw_LeaveRow,(ROW()-ROW(rw_LeaveOrigin)-2)),INDEX(rw_LeaveCol1,(COLUMN()-COLUMN(rw_LeaveOrigin)-1)))&amp;""," ",""),";",",")&amp;",",",","(1),")&amp;","&amp;leave_Days&amp;"(0)")+LEN(leave_Days)+2,5),")",REPT(" ",5)),5)),0)))),0)</f>
        <v>0</v>
      </c>
    </row>
    <row r="125" customFormat="false" ht="15" hidden="true" customHeight="false" outlineLevel="0" collapsed="false">
      <c r="B125" s="78" t="s">
        <v>263</v>
      </c>
    </row>
    <row r="126" customFormat="false" ht="15" hidden="true" customHeight="false" outlineLevel="0" collapsed="false">
      <c r="D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E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F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G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H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I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J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24</v>
      </c>
      <c r="K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32</v>
      </c>
      <c r="L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32</v>
      </c>
      <c r="M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32</v>
      </c>
      <c r="N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32</v>
      </c>
      <c r="O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P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Q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R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S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T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U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V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W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X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Y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Z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AA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AB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AC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c r="AD126"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56</v>
      </c>
    </row>
    <row r="127" customFormat="false" ht="15" hidden="true" customHeight="false" outlineLevel="0" collapsed="false">
      <c r="D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E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F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G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H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I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J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K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L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M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80</v>
      </c>
      <c r="N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120</v>
      </c>
      <c r="O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P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Q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R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S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T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U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V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W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X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Y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Z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A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B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C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D127"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row>
    <row r="128" customFormat="false" ht="15" hidden="true" customHeight="false" outlineLevel="0" collapsed="false">
      <c r="D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E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F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G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H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I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J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K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L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M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N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O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P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Q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R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S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T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U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V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W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X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Y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Z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AA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AB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AC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AD128"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row>
    <row r="129" customFormat="false" ht="15" hidden="true" customHeight="false" outlineLevel="0" collapsed="false">
      <c r="D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34.2857142857143</v>
      </c>
      <c r="E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48</v>
      </c>
      <c r="F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48</v>
      </c>
      <c r="G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65.1428571428572</v>
      </c>
      <c r="H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82.2857142857143</v>
      </c>
      <c r="I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108</v>
      </c>
      <c r="J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116</v>
      </c>
      <c r="K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L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M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N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O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P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Q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R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S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T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U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V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W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X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Y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Z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A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B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C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c r="AD129"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128</v>
      </c>
    </row>
    <row r="130" customFormat="false" ht="15" hidden="true" customHeight="false" outlineLevel="0" collapsed="false">
      <c r="D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20</v>
      </c>
      <c r="E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40</v>
      </c>
      <c r="F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73.3333333333333</v>
      </c>
      <c r="G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106.666666666667</v>
      </c>
      <c r="H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140</v>
      </c>
      <c r="I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180</v>
      </c>
      <c r="J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188</v>
      </c>
      <c r="K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188</v>
      </c>
      <c r="L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188</v>
      </c>
      <c r="M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188</v>
      </c>
      <c r="N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188</v>
      </c>
      <c r="O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200</v>
      </c>
      <c r="P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212</v>
      </c>
      <c r="Q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224</v>
      </c>
      <c r="R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S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T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U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V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W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X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Y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Z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AA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AB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AC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c r="AD130"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228</v>
      </c>
    </row>
    <row r="131" customFormat="false" ht="15" hidden="true" customHeight="false" outlineLevel="0" collapsed="false">
      <c r="D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E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18</v>
      </c>
      <c r="F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48</v>
      </c>
      <c r="G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82.2857142857143</v>
      </c>
      <c r="H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116.571428571429</v>
      </c>
      <c r="I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144</v>
      </c>
      <c r="J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160</v>
      </c>
      <c r="K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L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M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N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O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P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Q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R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S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T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U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V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W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X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Y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Z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AA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AB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AC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c r="AD131"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176</v>
      </c>
    </row>
    <row r="132" customFormat="false" ht="15" hidden="true" customHeight="false" outlineLevel="0" collapsed="false">
      <c r="D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E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F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G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H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I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0</v>
      </c>
      <c r="J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32</v>
      </c>
      <c r="K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64</v>
      </c>
      <c r="L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64</v>
      </c>
      <c r="M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64</v>
      </c>
      <c r="N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104</v>
      </c>
      <c r="O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P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Q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R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S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T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U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V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W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X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Y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Z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AA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AB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AC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c r="AD132" s="79" t="n">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112</v>
      </c>
    </row>
    <row r="133" customFormat="false" ht="15" hidden="true" customHeight="false" outlineLevel="0" collapsed="false">
      <c r="D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4" customFormat="false" ht="15" hidden="true" customHeight="false" outlineLevel="0" collapsed="false">
      <c r="D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5" customFormat="false" ht="15" hidden="true" customHeight="false" outlineLevel="0" collapsed="false">
      <c r="D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6" customFormat="false" ht="15" hidden="true" customHeight="false" outlineLevel="0" collapsed="false">
      <c r="D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7" customFormat="false" ht="15" hidden="true" customHeight="false" outlineLevel="0" collapsed="false">
      <c r="D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8" customFormat="false" ht="15" hidden="true" customHeight="false" outlineLevel="0" collapsed="false">
      <c r="D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39" customFormat="false" ht="15" hidden="true" customHeight="false" outlineLevel="0" collapsed="false">
      <c r="D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3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0" customFormat="false" ht="15" hidden="true" customHeight="false" outlineLevel="0" collapsed="false">
      <c r="D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1" customFormat="false" ht="15" hidden="true" customHeight="false" outlineLevel="0" collapsed="false">
      <c r="D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1"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2" customFormat="false" ht="15" hidden="true" customHeight="false" outlineLevel="0" collapsed="false">
      <c r="D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2"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3" customFormat="false" ht="15" hidden="true" customHeight="false" outlineLevel="0" collapsed="false">
      <c r="D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3"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4" customFormat="false" ht="15" hidden="true" customHeight="false" outlineLevel="0" collapsed="false">
      <c r="D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4"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5" customFormat="false" ht="15" hidden="true" customHeight="false" outlineLevel="0" collapsed="false">
      <c r="D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5"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6" customFormat="false" ht="15" hidden="true" customHeight="false" outlineLevel="0" collapsed="false">
      <c r="D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6"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7" customFormat="false" ht="15" hidden="true" customHeight="false" outlineLevel="0" collapsed="false">
      <c r="D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7"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8" customFormat="false" ht="15" hidden="true" customHeight="false" outlineLevel="0" collapsed="false">
      <c r="D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8"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49" customFormat="false" ht="15" hidden="true" customHeight="false" outlineLevel="0" collapsed="false">
      <c r="D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49"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row r="150" customFormat="false" ht="15" hidden="true" customHeight="false" outlineLevel="0" collapsed="false">
      <c r="D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E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F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G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H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I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J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K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L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M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N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O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P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Q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R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S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T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U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V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W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X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Y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Z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A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B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C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c r="AD150" s="79" t="str">
        <f aca="false">IFERROR(IF(INDEX(res_Name,(ROW()-ROW(rw_CumOrigin)))="","",IF((ResourceWeekStart+7*(COLUMN()-COLUMN(rw_CumOrigin)-2)-1)&lt;ProjectStart,0,IF((ResourceWeekStart+7*(COLUMN()-COLUMN(rw_CumOrigin)-2)-1)&gt;=ProjectFinish,SUMIFS(tsk_LeafWork,tsk_Resource,INDEX(res_Name,(ROW()-ROW(rw_CumOrigin))))+SUMIFS(asg_Work,asg_Resource,INDEX(res_Name,(ROW()-ROW(rw_CumOrigin)))),(SUMIFS(tsk_LeafWork,tsk_FinishWD,"&lt;"&amp;NETWORKDAYS.INTL(ProjectStart,(ResourceWeekStart+7*(COLUMN()-COLUMN(rw_CumOrigin)-2)-1),WorkWeek,Holidays),tsk_FinishWD,"&gt;0",tsk_Resource,INDEX(res_Name,(ROW()-ROW(rw_CumOrigin))))+NETWORKDAYS.INTL(ProjectStart,(ResourceWeekStart+7*(COLUMN()-COLUMN(rw_CumOrigin)-2)-1),WorkWeek,Holidays)*SUMIFS(tsk_WorkPerWD,tsk_StartWD,"&lt;="&amp;NETWORKDAYS.INTL(ProjectStart,(ResourceWeekStart+7*(COLUMN()-COLUMN(rw_CumOrigin)-2)-1),WorkWeek,Holidays),tsk_FinishWD,"&gt;="&amp;NETWORKDAYS.INTL(ProjectStart,(ResourceWeekStart+7*(COLUMN()-COLUMN(rw_CumOrigin)-2)-1),WorkWeek,Holidays),tsk_Resource,INDEX(res_Name,(ROW()-ROW(rw_CumOrigin))))-SUMIFS(tsk_WorkBeforeStart,tsk_StartWD,"&lt;="&amp;NETWORKDAYS.INTL(ProjectStart,(ResourceWeekStart+7*(COLUMN()-COLUMN(rw_CumOrigin)-2)-1),WorkWeek,Holidays),tsk_FinishWD,"&gt;="&amp;NETWORKDAYS.INTL(ProjectStart,(ResourceWeekStart+7*(COLUMN()-COLUMN(rw_CumOrigin)-2)-1),WorkWeek,Holidays),tsk_Resource,INDEX(res_Name,(ROW()-ROW(rw_CumOrigin))))+SUMIFS(asg_Work,asg_FinishWD,"&lt;"&amp;NETWORKDAYS.INTL(ProjectStart,(ResourceWeekStart+7*(COLUMN()-COLUMN(rw_CumOrigin)-2)-1),WorkWeek,Holidays),asg_FinishWD,"&gt;0",asg_Resource,INDEX(res_Name,(ROW()-ROW(rw_CumOrigin))))+NETWORKDAYS.INTL(ProjectStart,(ResourceWeekStart+7*(COLUMN()-COLUMN(rw_CumOrigin)-2)-1),WorkWeek,Holidays)*SUMIFS(asg_WorkPerWD,asg_StartWD,"&lt;="&amp;NETWORKDAYS.INTL(ProjectStart,(ResourceWeekStart+7*(COLUMN()-COLUMN(rw_CumOrigin)-2)-1),WorkWeek,Holidays),asg_FinishWD,"&gt;="&amp;NETWORKDAYS.INTL(ProjectStart,(ResourceWeekStart+7*(COLUMN()-COLUMN(rw_CumOrigin)-2)-1),WorkWeek,Holidays),asg_Resource,INDEX(res_Name,(ROW()-ROW(rw_CumOrigin))))-SUMIFS(asg_WorkBeforeStart,asg_StartWD,"&lt;="&amp;NETWORKDAYS.INTL(ProjectStart,(ResourceWeekStart+7*(COLUMN()-COLUMN(rw_CumOrigin)-2)-1),WorkWeek,Holidays),asg_FinishWD,"&gt;="&amp;NETWORKDAYS.INTL(ProjectStart,(ResourceWeekStart+7*(COLUMN()-COLUMN(rw_CumOrigin)-2)-1),WorkWeek,Holidays),asg_Resource,INDEX(res_Name,(ROW()-ROW(rw_CumOrigin)))))))),"")</f>
        <v/>
      </c>
    </row>
  </sheetData>
  <conditionalFormatting sqref="N6:N30">
    <cfRule type="expression" priority="2" aboveAverage="0" equalAverage="0" bottom="0" percent="0" rank="0" text="" dxfId="15">
      <formula>N(N6)&gt;0</formula>
    </cfRule>
  </conditionalFormatting>
  <conditionalFormatting sqref="M6:M30">
    <cfRule type="expression" priority="3" aboveAverage="0" equalAverage="0" bottom="0" percent="0" rank="0" text="" dxfId="34">
      <formula>AND(ISNUMBER(M6),M6&gt;1)</formula>
    </cfRule>
  </conditionalFormatting>
  <conditionalFormatting sqref="D36:AC60">
    <cfRule type="expression" priority="4" aboveAverage="0" equalAverage="0" bottom="0" percent="0" rank="0" text="" dxfId="15">
      <formula>AND(ISNUMBER(D68),D68&gt;1)</formula>
    </cfRule>
  </conditionalFormatting>
  <conditionalFormatting sqref="D68:AC92">
    <cfRule type="colorScale" priority="5">
      <colorScale>
        <cfvo type="num" val="0"/>
        <cfvo type="num" val="0.8"/>
        <cfvo type="num" val="1.2"/>
        <color rgb="FFFFFFFF"/>
        <color rgb="FFC6EFCE"/>
        <color rgb="FFF8696B"/>
      </colorScale>
    </cfRule>
  </conditionalFormatting>
  <conditionalFormatting sqref="D99:AC123">
    <cfRule type="expression" priority="6" aboveAverage="0" equalAverage="0" bottom="0" percent="0" rank="0" text="" dxfId="35">
      <formula>N(D99)&gt;0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true" outlineLevel="0" max="2" min="2" style="0" width="4"/>
    <col collapsed="false" customWidth="true" hidden="false" outlineLevel="0" max="3" min="3" style="0" width="44"/>
    <col collapsed="false" customWidth="true" hidden="false" outlineLevel="0" max="4" min="4" style="0" width="16"/>
    <col collapsed="false" customWidth="true" hidden="false" outlineLevel="0" max="5" min="5" style="0" width="30"/>
    <col collapsed="false" customWidth="true" hidden="false" outlineLevel="0" max="8" min="6" style="0" width="14"/>
    <col collapsed="false" customWidth="true" hidden="false" outlineLevel="0" max="9" min="9" style="0" width="12"/>
  </cols>
  <sheetData>
    <row r="1" customFormat="false" ht="19.7" hidden="false" customHeight="false" outlineLevel="0" collapsed="false">
      <c r="A1" s="26" t="str">
        <f aca="false">ProjectName&amp;"  -  Agile Report"</f>
        <v>Customer Portal Implementation  -  Agile Report</v>
      </c>
    </row>
    <row r="2" customFormat="false" ht="15" hidden="false" customHeight="false" outlineLevel="0" collapsed="false">
      <c r="A2" s="0" t="str">
        <f aca="false">"Status date "&amp;TEXT(StatusDate,"ddd dd-mmm-yyyy")&amp;"   Sprint length "&amp;SprintLength&amp;" days. Per-sprint numbers: Sprints sheet. Enter Story Points (and optionally Planned Sprint) on Tasks."</f>
        <v>Status date Sun 25-Oct-2026   Sprint length 14 days. Per-sprint numbers: Sprints sheet. Enter Story Points (and optionally Planned Sprint) on Tasks.</v>
      </c>
    </row>
    <row r="3" customFormat="false" ht="15" hidden="false" customHeight="false" outlineLevel="0" collapsed="false">
      <c r="C3" s="30" t="s">
        <v>264</v>
      </c>
    </row>
    <row r="4" customFormat="false" ht="15" hidden="false" customHeight="false" outlineLevel="0" collapsed="false">
      <c r="C4" s="9" t="s">
        <v>152</v>
      </c>
      <c r="D4" s="9" t="s">
        <v>98</v>
      </c>
    </row>
    <row r="5" customFormat="false" ht="15" hidden="false" customHeight="false" outlineLevel="0" collapsed="false">
      <c r="C5" s="10" t="s">
        <v>265</v>
      </c>
      <c r="D5" s="80" t="n">
        <f aca="false">TotalPoints</f>
        <v>82</v>
      </c>
    </row>
    <row r="6" customFormat="false" ht="15" hidden="false" customHeight="false" outlineLevel="0" collapsed="false">
      <c r="C6" s="10" t="s">
        <v>266</v>
      </c>
      <c r="D6" s="80" t="n">
        <f aca="false">SUMIFS(tsk_LeafPoints,tsk_DoneDate,"&lt;="&amp;StatusDate)</f>
        <v>33</v>
      </c>
    </row>
    <row r="7" customFormat="false" ht="15" hidden="false" customHeight="false" outlineLevel="0" collapsed="false">
      <c r="C7" s="10" t="s">
        <v>246</v>
      </c>
      <c r="D7" s="80" t="n">
        <f aca="false">agl_Total-agl_Done</f>
        <v>49</v>
      </c>
    </row>
    <row r="8" customFormat="false" ht="15" hidden="false" customHeight="false" outlineLevel="0" collapsed="false">
      <c r="C8" s="10" t="s">
        <v>267</v>
      </c>
      <c r="D8" s="81" t="n">
        <f aca="false">IFERROR(LOOKUP(2,1/(spr_Velocity&lt;&gt;""),spr_Velocity),"")</f>
        <v>11</v>
      </c>
    </row>
    <row r="9" customFormat="false" ht="15" hidden="false" customHeight="false" outlineLevel="0" collapsed="false">
      <c r="C9" s="10" t="s">
        <v>268</v>
      </c>
      <c r="D9" s="52" t="n">
        <f aca="false">IF(N(agl_Velocity)&gt;0,ROUNDUP(agl_Remaining/agl_Velocity,0),"")</f>
        <v>5</v>
      </c>
    </row>
    <row r="10" customFormat="false" ht="15" hidden="false" customHeight="false" outlineLevel="0" collapsed="false">
      <c r="C10" s="10" t="s">
        <v>269</v>
      </c>
      <c r="D10" s="52" t="n">
        <f aca="false">COUNTIF(spr_Status,"Closed")</f>
        <v>3</v>
      </c>
    </row>
    <row r="11" customFormat="false" ht="15" hidden="false" customHeight="false" outlineLevel="0" collapsed="false">
      <c r="C11" s="10" t="s">
        <v>270</v>
      </c>
      <c r="D11" s="82" t="str">
        <f aca="false">IF(agl_SprintsLeft="","",IF(agl_LastClosed+agl_SprintsLeft&lt;=SprintCount,INDEX(spr_Name,agl_LastClosed+agl_SprintsLeft),"after "&amp;INDEX(spr_Name,SprintCount)))</f>
        <v>Sprint 8</v>
      </c>
    </row>
    <row r="12" customFormat="false" ht="15" hidden="false" customHeight="false" outlineLevel="0" collapsed="false">
      <c r="C12" s="10" t="s">
        <v>271</v>
      </c>
      <c r="D12" s="83" t="n">
        <f aca="false">IF(agl_SprintsLeft="","",IF(agl_LastClosed+agl_SprintsLeft&lt;=SprintCount,INDEX(spr_End,agl_LastClosed+agl_SprintsLeft),""))</f>
        <v>46383</v>
      </c>
    </row>
    <row r="13" customFormat="false" ht="15" hidden="false" customHeight="false" outlineLevel="0" collapsed="false">
      <c r="C13" s="10" t="s">
        <v>272</v>
      </c>
      <c r="D13" s="83" t="n">
        <f aca="false">ProjectFinish</f>
        <v>46393</v>
      </c>
    </row>
    <row r="14" customFormat="false" ht="15" hidden="false" customHeight="false" outlineLevel="0" collapsed="false">
      <c r="C14" s="10" t="s">
        <v>116</v>
      </c>
      <c r="D14" s="82" t="str">
        <f aca="false">IF(CurrentSprint="","(outside sprint range)",CurrentSprint)</f>
        <v>Sprint 4</v>
      </c>
    </row>
    <row r="15" customFormat="false" ht="15" hidden="false" customHeight="false" outlineLevel="0" collapsed="false">
      <c r="C15" s="10" t="s">
        <v>273</v>
      </c>
      <c r="D15" s="80" t="n">
        <f aca="false">SUMIFS(tsk_LeafPoints,tsk_Sprint,CurrentSprint)</f>
        <v>8</v>
      </c>
    </row>
    <row r="16" customFormat="false" ht="15" hidden="false" customHeight="false" outlineLevel="0" collapsed="false">
      <c r="C16" s="10" t="s">
        <v>274</v>
      </c>
      <c r="D16" s="80" t="n">
        <f aca="false">SUMIFS(tsk_LeafPoints,tsk_Sprint,CurrentSprint,tsk_DoneDate,"&lt;="&amp;StatusDate)</f>
        <v>0</v>
      </c>
    </row>
    <row r="17" customFormat="false" ht="15" hidden="false" customHeight="false" outlineLevel="0" collapsed="false">
      <c r="C17" s="10" t="s">
        <v>275</v>
      </c>
      <c r="D17" s="52" t="n">
        <f aca="false">COUNTIFS(tsk_IsLeaf,1,tsk_StoryPoints,"",tsk_Duration,"&gt;0")</f>
        <v>0</v>
      </c>
    </row>
    <row r="19" customFormat="false" ht="15" hidden="false" customHeight="false" outlineLevel="0" collapsed="false">
      <c r="C19" s="30" t="str">
        <f aca="false">"Current sprint backlog ("&amp;agl_Current&amp;")"&amp;": "&amp;COUNT(tsk_CurrentSprintKey)&amp;IF(COUNT(tsk_CurrentSprintKey)&gt;ROWS(SprintBacklog[_Task])," (showing the first "&amp;ROWS(SprintBacklog[_Task])&amp;")","")</f>
        <v>Current sprint backlog (Sprint 4): 1</v>
      </c>
    </row>
    <row r="20" customFormat="false" ht="23.85" hidden="false" customHeight="false" outlineLevel="0" collapsed="false">
      <c r="B20" s="31" t="s">
        <v>131</v>
      </c>
      <c r="C20" s="9" t="s">
        <v>208</v>
      </c>
      <c r="D20" s="9" t="s">
        <v>276</v>
      </c>
      <c r="E20" s="9" t="s">
        <v>236</v>
      </c>
      <c r="F20" s="9" t="s">
        <v>228</v>
      </c>
      <c r="G20" s="9" t="s">
        <v>138</v>
      </c>
      <c r="H20" s="9" t="s">
        <v>99</v>
      </c>
    </row>
    <row r="21" customFormat="false" ht="15" hidden="false" customHeight="false" outlineLevel="0" collapsed="false">
      <c r="B21" s="32" t="n">
        <f aca="false">IFERROR(MATCH(SMALL(tsk_CurrentSprintKey,ROW()-ROW(SprintBacklog[[#Headers],[_Task]])),tsk_CurrentSprintKey,0),"")</f>
        <v>17</v>
      </c>
      <c r="C21" s="24" t="str">
        <f aca="false">IF(SprintBacklog[[#This Row],[_Task]]="","",INDEX(tsk_Name,SprintBacklog[[#This Row],[_Task]])&amp;"")</f>
        <v>Feature screens</v>
      </c>
      <c r="D21" s="84" t="n">
        <f aca="false">IF(SprintBacklog[[#This Row],[_Task]]="","",INDEX(tsk_StoryPoints,SprintBacklog[[#This Row],[_Task]]))</f>
        <v>8</v>
      </c>
      <c r="E21" s="24" t="str">
        <f aca="false">IF(SprintBacklog[[#This Row],[_Task]]="","",INDEX(tsk_ResourceNames,SprintBacklog[[#This Row],[_Task]])&amp;"")</f>
        <v>Sam Rivera, Casey Kim[50%]</v>
      </c>
      <c r="F21" s="61" t="n">
        <f aca="false">IF(SprintBacklog[[#This Row],[_Task]]="","",IF(N(INDEX(tsk_FcFinish,SprintBacklog[[#This Row],[_Task]]))=0,"",INDEX(tsk_FcFinish,SprintBacklog[[#This Row],[_Task]])))</f>
        <v>46331</v>
      </c>
      <c r="G21" s="34" t="n">
        <f aca="false">IF(SprintBacklog[[#This Row],[_Task]]="","",INDEX(tsk_Progress,SprintBacklog[[#This Row],[_Task]]))</f>
        <v>0.25</v>
      </c>
      <c r="H21" s="24" t="str">
        <f aca="false">IF(SprintBacklog[[#This Row],[_Task]]="","",INDEX(tsk_Status,SprintBacklog[[#This Row],[_Task]])&amp;"")</f>
        <v>Behind</v>
      </c>
    </row>
    <row r="22" customFormat="false" ht="15" hidden="false" customHeight="false" outlineLevel="0" collapsed="false">
      <c r="B22" s="32" t="str">
        <f aca="false">IFERROR(MATCH(SMALL(tsk_CurrentSprintKey,ROW()-ROW(SprintBacklog[[#Headers],[_Task]])),tsk_CurrentSprintKey,0),"")</f>
        <v/>
      </c>
      <c r="C22" s="24" t="str">
        <f aca="false">IF(SprintBacklog[[#This Row],[_Task]]="","",INDEX(tsk_Name,SprintBacklog[[#This Row],[_Task]])&amp;"")</f>
        <v/>
      </c>
      <c r="D22" s="84" t="str">
        <f aca="false">IF(SprintBacklog[[#This Row],[_Task]]="","",INDEX(tsk_StoryPoints,SprintBacklog[[#This Row],[_Task]]))</f>
        <v/>
      </c>
      <c r="E22" s="24" t="str">
        <f aca="false">IF(SprintBacklog[[#This Row],[_Task]]="","",INDEX(tsk_ResourceNames,SprintBacklog[[#This Row],[_Task]])&amp;"")</f>
        <v/>
      </c>
      <c r="F22" s="61" t="str">
        <f aca="false">IF(SprintBacklog[[#This Row],[_Task]]="","",IF(N(INDEX(tsk_FcFinish,SprintBacklog[[#This Row],[_Task]]))=0,"",INDEX(tsk_FcFinish,SprintBacklog[[#This Row],[_Task]])))</f>
        <v/>
      </c>
      <c r="G22" s="34" t="str">
        <f aca="false">IF(SprintBacklog[[#This Row],[_Task]]="","",INDEX(tsk_Progress,SprintBacklog[[#This Row],[_Task]]))</f>
        <v/>
      </c>
      <c r="H22" s="24" t="str">
        <f aca="false">IF(SprintBacklog[[#This Row],[_Task]]="","",INDEX(tsk_Status,SprintBacklog[[#This Row],[_Task]])&amp;"")</f>
        <v/>
      </c>
    </row>
    <row r="23" customFormat="false" ht="15" hidden="false" customHeight="false" outlineLevel="0" collapsed="false">
      <c r="B23" s="32" t="str">
        <f aca="false">IFERROR(MATCH(SMALL(tsk_CurrentSprintKey,ROW()-ROW(SprintBacklog[[#Headers],[_Task]])),tsk_CurrentSprintKey,0),"")</f>
        <v/>
      </c>
      <c r="C23" s="24" t="str">
        <f aca="false">IF(SprintBacklog[[#This Row],[_Task]]="","",INDEX(tsk_Name,SprintBacklog[[#This Row],[_Task]])&amp;"")</f>
        <v/>
      </c>
      <c r="D23" s="84" t="str">
        <f aca="false">IF(SprintBacklog[[#This Row],[_Task]]="","",INDEX(tsk_StoryPoints,SprintBacklog[[#This Row],[_Task]]))</f>
        <v/>
      </c>
      <c r="E23" s="24" t="str">
        <f aca="false">IF(SprintBacklog[[#This Row],[_Task]]="","",INDEX(tsk_ResourceNames,SprintBacklog[[#This Row],[_Task]])&amp;"")</f>
        <v/>
      </c>
      <c r="F23" s="61" t="str">
        <f aca="false">IF(SprintBacklog[[#This Row],[_Task]]="","",IF(N(INDEX(tsk_FcFinish,SprintBacklog[[#This Row],[_Task]]))=0,"",INDEX(tsk_FcFinish,SprintBacklog[[#This Row],[_Task]])))</f>
        <v/>
      </c>
      <c r="G23" s="34" t="str">
        <f aca="false">IF(SprintBacklog[[#This Row],[_Task]]="","",INDEX(tsk_Progress,SprintBacklog[[#This Row],[_Task]]))</f>
        <v/>
      </c>
      <c r="H23" s="24" t="str">
        <f aca="false">IF(SprintBacklog[[#This Row],[_Task]]="","",INDEX(tsk_Status,SprintBacklog[[#This Row],[_Task]])&amp;"")</f>
        <v/>
      </c>
    </row>
    <row r="24" customFormat="false" ht="15" hidden="false" customHeight="false" outlineLevel="0" collapsed="false">
      <c r="B24" s="32" t="str">
        <f aca="false">IFERROR(MATCH(SMALL(tsk_CurrentSprintKey,ROW()-ROW(SprintBacklog[[#Headers],[_Task]])),tsk_CurrentSprintKey,0),"")</f>
        <v/>
      </c>
      <c r="C24" s="24" t="str">
        <f aca="false">IF(SprintBacklog[[#This Row],[_Task]]="","",INDEX(tsk_Name,SprintBacklog[[#This Row],[_Task]])&amp;"")</f>
        <v/>
      </c>
      <c r="D24" s="84" t="str">
        <f aca="false">IF(SprintBacklog[[#This Row],[_Task]]="","",INDEX(tsk_StoryPoints,SprintBacklog[[#This Row],[_Task]]))</f>
        <v/>
      </c>
      <c r="E24" s="24" t="str">
        <f aca="false">IF(SprintBacklog[[#This Row],[_Task]]="","",INDEX(tsk_ResourceNames,SprintBacklog[[#This Row],[_Task]])&amp;"")</f>
        <v/>
      </c>
      <c r="F24" s="61" t="str">
        <f aca="false">IF(SprintBacklog[[#This Row],[_Task]]="","",IF(N(INDEX(tsk_FcFinish,SprintBacklog[[#This Row],[_Task]]))=0,"",INDEX(tsk_FcFinish,SprintBacklog[[#This Row],[_Task]])))</f>
        <v/>
      </c>
      <c r="G24" s="34" t="str">
        <f aca="false">IF(SprintBacklog[[#This Row],[_Task]]="","",INDEX(tsk_Progress,SprintBacklog[[#This Row],[_Task]]))</f>
        <v/>
      </c>
      <c r="H24" s="24" t="str">
        <f aca="false">IF(SprintBacklog[[#This Row],[_Task]]="","",INDEX(tsk_Status,SprintBacklog[[#This Row],[_Task]])&amp;"")</f>
        <v/>
      </c>
    </row>
    <row r="25" customFormat="false" ht="15" hidden="false" customHeight="false" outlineLevel="0" collapsed="false">
      <c r="B25" s="32" t="str">
        <f aca="false">IFERROR(MATCH(SMALL(tsk_CurrentSprintKey,ROW()-ROW(SprintBacklog[[#Headers],[_Task]])),tsk_CurrentSprintKey,0),"")</f>
        <v/>
      </c>
      <c r="C25" s="24" t="str">
        <f aca="false">IF(SprintBacklog[[#This Row],[_Task]]="","",INDEX(tsk_Name,SprintBacklog[[#This Row],[_Task]])&amp;"")</f>
        <v/>
      </c>
      <c r="D25" s="84" t="str">
        <f aca="false">IF(SprintBacklog[[#This Row],[_Task]]="","",INDEX(tsk_StoryPoints,SprintBacklog[[#This Row],[_Task]]))</f>
        <v/>
      </c>
      <c r="E25" s="24" t="str">
        <f aca="false">IF(SprintBacklog[[#This Row],[_Task]]="","",INDEX(tsk_ResourceNames,SprintBacklog[[#This Row],[_Task]])&amp;"")</f>
        <v/>
      </c>
      <c r="F25" s="61" t="str">
        <f aca="false">IF(SprintBacklog[[#This Row],[_Task]]="","",IF(N(INDEX(tsk_FcFinish,SprintBacklog[[#This Row],[_Task]]))=0,"",INDEX(tsk_FcFinish,SprintBacklog[[#This Row],[_Task]])))</f>
        <v/>
      </c>
      <c r="G25" s="34" t="str">
        <f aca="false">IF(SprintBacklog[[#This Row],[_Task]]="","",INDEX(tsk_Progress,SprintBacklog[[#This Row],[_Task]]))</f>
        <v/>
      </c>
      <c r="H25" s="24" t="str">
        <f aca="false">IF(SprintBacklog[[#This Row],[_Task]]="","",INDEX(tsk_Status,SprintBacklog[[#This Row],[_Task]])&amp;"")</f>
        <v/>
      </c>
    </row>
    <row r="26" customFormat="false" ht="15" hidden="false" customHeight="false" outlineLevel="0" collapsed="false">
      <c r="B26" s="32" t="str">
        <f aca="false">IFERROR(MATCH(SMALL(tsk_CurrentSprintKey,ROW()-ROW(SprintBacklog[[#Headers],[_Task]])),tsk_CurrentSprintKey,0),"")</f>
        <v/>
      </c>
      <c r="C26" s="24" t="str">
        <f aca="false">IF(SprintBacklog[[#This Row],[_Task]]="","",INDEX(tsk_Name,SprintBacklog[[#This Row],[_Task]])&amp;"")</f>
        <v/>
      </c>
      <c r="D26" s="84" t="str">
        <f aca="false">IF(SprintBacklog[[#This Row],[_Task]]="","",INDEX(tsk_StoryPoints,SprintBacklog[[#This Row],[_Task]]))</f>
        <v/>
      </c>
      <c r="E26" s="24" t="str">
        <f aca="false">IF(SprintBacklog[[#This Row],[_Task]]="","",INDEX(tsk_ResourceNames,SprintBacklog[[#This Row],[_Task]])&amp;"")</f>
        <v/>
      </c>
      <c r="F26" s="61" t="str">
        <f aca="false">IF(SprintBacklog[[#This Row],[_Task]]="","",IF(N(INDEX(tsk_FcFinish,SprintBacklog[[#This Row],[_Task]]))=0,"",INDEX(tsk_FcFinish,SprintBacklog[[#This Row],[_Task]])))</f>
        <v/>
      </c>
      <c r="G26" s="34" t="str">
        <f aca="false">IF(SprintBacklog[[#This Row],[_Task]]="","",INDEX(tsk_Progress,SprintBacklog[[#This Row],[_Task]]))</f>
        <v/>
      </c>
      <c r="H26" s="24" t="str">
        <f aca="false">IF(SprintBacklog[[#This Row],[_Task]]="","",INDEX(tsk_Status,SprintBacklog[[#This Row],[_Task]])&amp;"")</f>
        <v/>
      </c>
    </row>
    <row r="27" customFormat="false" ht="15" hidden="false" customHeight="false" outlineLevel="0" collapsed="false">
      <c r="B27" s="32" t="str">
        <f aca="false">IFERROR(MATCH(SMALL(tsk_CurrentSprintKey,ROW()-ROW(SprintBacklog[[#Headers],[_Task]])),tsk_CurrentSprintKey,0),"")</f>
        <v/>
      </c>
      <c r="C27" s="24" t="str">
        <f aca="false">IF(SprintBacklog[[#This Row],[_Task]]="","",INDEX(tsk_Name,SprintBacklog[[#This Row],[_Task]])&amp;"")</f>
        <v/>
      </c>
      <c r="D27" s="84" t="str">
        <f aca="false">IF(SprintBacklog[[#This Row],[_Task]]="","",INDEX(tsk_StoryPoints,SprintBacklog[[#This Row],[_Task]]))</f>
        <v/>
      </c>
      <c r="E27" s="24" t="str">
        <f aca="false">IF(SprintBacklog[[#This Row],[_Task]]="","",INDEX(tsk_ResourceNames,SprintBacklog[[#This Row],[_Task]])&amp;"")</f>
        <v/>
      </c>
      <c r="F27" s="61" t="str">
        <f aca="false">IF(SprintBacklog[[#This Row],[_Task]]="","",IF(N(INDEX(tsk_FcFinish,SprintBacklog[[#This Row],[_Task]]))=0,"",INDEX(tsk_FcFinish,SprintBacklog[[#This Row],[_Task]])))</f>
        <v/>
      </c>
      <c r="G27" s="34" t="str">
        <f aca="false">IF(SprintBacklog[[#This Row],[_Task]]="","",INDEX(tsk_Progress,SprintBacklog[[#This Row],[_Task]]))</f>
        <v/>
      </c>
      <c r="H27" s="24" t="str">
        <f aca="false">IF(SprintBacklog[[#This Row],[_Task]]="","",INDEX(tsk_Status,SprintBacklog[[#This Row],[_Task]])&amp;"")</f>
        <v/>
      </c>
    </row>
    <row r="28" customFormat="false" ht="15" hidden="false" customHeight="false" outlineLevel="0" collapsed="false">
      <c r="B28" s="32" t="str">
        <f aca="false">IFERROR(MATCH(SMALL(tsk_CurrentSprintKey,ROW()-ROW(SprintBacklog[[#Headers],[_Task]])),tsk_CurrentSprintKey,0),"")</f>
        <v/>
      </c>
      <c r="C28" s="24" t="str">
        <f aca="false">IF(SprintBacklog[[#This Row],[_Task]]="","",INDEX(tsk_Name,SprintBacklog[[#This Row],[_Task]])&amp;"")</f>
        <v/>
      </c>
      <c r="D28" s="84" t="str">
        <f aca="false">IF(SprintBacklog[[#This Row],[_Task]]="","",INDEX(tsk_StoryPoints,SprintBacklog[[#This Row],[_Task]]))</f>
        <v/>
      </c>
      <c r="E28" s="24" t="str">
        <f aca="false">IF(SprintBacklog[[#This Row],[_Task]]="","",INDEX(tsk_ResourceNames,SprintBacklog[[#This Row],[_Task]])&amp;"")</f>
        <v/>
      </c>
      <c r="F28" s="61" t="str">
        <f aca="false">IF(SprintBacklog[[#This Row],[_Task]]="","",IF(N(INDEX(tsk_FcFinish,SprintBacklog[[#This Row],[_Task]]))=0,"",INDEX(tsk_FcFinish,SprintBacklog[[#This Row],[_Task]])))</f>
        <v/>
      </c>
      <c r="G28" s="34" t="str">
        <f aca="false">IF(SprintBacklog[[#This Row],[_Task]]="","",INDEX(tsk_Progress,SprintBacklog[[#This Row],[_Task]]))</f>
        <v/>
      </c>
      <c r="H28" s="24" t="str">
        <f aca="false">IF(SprintBacklog[[#This Row],[_Task]]="","",INDEX(tsk_Status,SprintBacklog[[#This Row],[_Task]])&amp;"")</f>
        <v/>
      </c>
    </row>
    <row r="29" customFormat="false" ht="15" hidden="false" customHeight="false" outlineLevel="0" collapsed="false">
      <c r="B29" s="32" t="str">
        <f aca="false">IFERROR(MATCH(SMALL(tsk_CurrentSprintKey,ROW()-ROW(SprintBacklog[[#Headers],[_Task]])),tsk_CurrentSprintKey,0),"")</f>
        <v/>
      </c>
      <c r="C29" s="24" t="str">
        <f aca="false">IF(SprintBacklog[[#This Row],[_Task]]="","",INDEX(tsk_Name,SprintBacklog[[#This Row],[_Task]])&amp;"")</f>
        <v/>
      </c>
      <c r="D29" s="84" t="str">
        <f aca="false">IF(SprintBacklog[[#This Row],[_Task]]="","",INDEX(tsk_StoryPoints,SprintBacklog[[#This Row],[_Task]]))</f>
        <v/>
      </c>
      <c r="E29" s="24" t="str">
        <f aca="false">IF(SprintBacklog[[#This Row],[_Task]]="","",INDEX(tsk_ResourceNames,SprintBacklog[[#This Row],[_Task]])&amp;"")</f>
        <v/>
      </c>
      <c r="F29" s="61" t="str">
        <f aca="false">IF(SprintBacklog[[#This Row],[_Task]]="","",IF(N(INDEX(tsk_FcFinish,SprintBacklog[[#This Row],[_Task]]))=0,"",INDEX(tsk_FcFinish,SprintBacklog[[#This Row],[_Task]])))</f>
        <v/>
      </c>
      <c r="G29" s="34" t="str">
        <f aca="false">IF(SprintBacklog[[#This Row],[_Task]]="","",INDEX(tsk_Progress,SprintBacklog[[#This Row],[_Task]]))</f>
        <v/>
      </c>
      <c r="H29" s="24" t="str">
        <f aca="false">IF(SprintBacklog[[#This Row],[_Task]]="","",INDEX(tsk_Status,SprintBacklog[[#This Row],[_Task]])&amp;"")</f>
        <v/>
      </c>
    </row>
    <row r="30" customFormat="false" ht="15" hidden="false" customHeight="false" outlineLevel="0" collapsed="false">
      <c r="B30" s="32" t="str">
        <f aca="false">IFERROR(MATCH(SMALL(tsk_CurrentSprintKey,ROW()-ROW(SprintBacklog[[#Headers],[_Task]])),tsk_CurrentSprintKey,0),"")</f>
        <v/>
      </c>
      <c r="C30" s="24" t="str">
        <f aca="false">IF(SprintBacklog[[#This Row],[_Task]]="","",INDEX(tsk_Name,SprintBacklog[[#This Row],[_Task]])&amp;"")</f>
        <v/>
      </c>
      <c r="D30" s="84" t="str">
        <f aca="false">IF(SprintBacklog[[#This Row],[_Task]]="","",INDEX(tsk_StoryPoints,SprintBacklog[[#This Row],[_Task]]))</f>
        <v/>
      </c>
      <c r="E30" s="24" t="str">
        <f aca="false">IF(SprintBacklog[[#This Row],[_Task]]="","",INDEX(tsk_ResourceNames,SprintBacklog[[#This Row],[_Task]])&amp;"")</f>
        <v/>
      </c>
      <c r="F30" s="61" t="str">
        <f aca="false">IF(SprintBacklog[[#This Row],[_Task]]="","",IF(N(INDEX(tsk_FcFinish,SprintBacklog[[#This Row],[_Task]]))=0,"",INDEX(tsk_FcFinish,SprintBacklog[[#This Row],[_Task]])))</f>
        <v/>
      </c>
      <c r="G30" s="34" t="str">
        <f aca="false">IF(SprintBacklog[[#This Row],[_Task]]="","",INDEX(tsk_Progress,SprintBacklog[[#This Row],[_Task]]))</f>
        <v/>
      </c>
      <c r="H30" s="24" t="str">
        <f aca="false">IF(SprintBacklog[[#This Row],[_Task]]="","",INDEX(tsk_Status,SprintBacklog[[#This Row],[_Task]])&amp;"")</f>
        <v/>
      </c>
    </row>
    <row r="31" customFormat="false" ht="15" hidden="false" customHeight="false" outlineLevel="0" collapsed="false">
      <c r="B31" s="32" t="str">
        <f aca="false">IFERROR(MATCH(SMALL(tsk_CurrentSprintKey,ROW()-ROW(SprintBacklog[[#Headers],[_Task]])),tsk_CurrentSprintKey,0),"")</f>
        <v/>
      </c>
      <c r="C31" s="24" t="str">
        <f aca="false">IF(SprintBacklog[[#This Row],[_Task]]="","",INDEX(tsk_Name,SprintBacklog[[#This Row],[_Task]])&amp;"")</f>
        <v/>
      </c>
      <c r="D31" s="84" t="str">
        <f aca="false">IF(SprintBacklog[[#This Row],[_Task]]="","",INDEX(tsk_StoryPoints,SprintBacklog[[#This Row],[_Task]]))</f>
        <v/>
      </c>
      <c r="E31" s="24" t="str">
        <f aca="false">IF(SprintBacklog[[#This Row],[_Task]]="","",INDEX(tsk_ResourceNames,SprintBacklog[[#This Row],[_Task]])&amp;"")</f>
        <v/>
      </c>
      <c r="F31" s="61" t="str">
        <f aca="false">IF(SprintBacklog[[#This Row],[_Task]]="","",IF(N(INDEX(tsk_FcFinish,SprintBacklog[[#This Row],[_Task]]))=0,"",INDEX(tsk_FcFinish,SprintBacklog[[#This Row],[_Task]])))</f>
        <v/>
      </c>
      <c r="G31" s="34" t="str">
        <f aca="false">IF(SprintBacklog[[#This Row],[_Task]]="","",INDEX(tsk_Progress,SprintBacklog[[#This Row],[_Task]]))</f>
        <v/>
      </c>
      <c r="H31" s="24" t="str">
        <f aca="false">IF(SprintBacklog[[#This Row],[_Task]]="","",INDEX(tsk_Status,SprintBacklog[[#This Row],[_Task]])&amp;"")</f>
        <v/>
      </c>
    </row>
    <row r="32" customFormat="false" ht="15" hidden="false" customHeight="false" outlineLevel="0" collapsed="false">
      <c r="B32" s="32" t="str">
        <f aca="false">IFERROR(MATCH(SMALL(tsk_CurrentSprintKey,ROW()-ROW(SprintBacklog[[#Headers],[_Task]])),tsk_CurrentSprintKey,0),"")</f>
        <v/>
      </c>
      <c r="C32" s="24" t="str">
        <f aca="false">IF(SprintBacklog[[#This Row],[_Task]]="","",INDEX(tsk_Name,SprintBacklog[[#This Row],[_Task]])&amp;"")</f>
        <v/>
      </c>
      <c r="D32" s="84" t="str">
        <f aca="false">IF(SprintBacklog[[#This Row],[_Task]]="","",INDEX(tsk_StoryPoints,SprintBacklog[[#This Row],[_Task]]))</f>
        <v/>
      </c>
      <c r="E32" s="24" t="str">
        <f aca="false">IF(SprintBacklog[[#This Row],[_Task]]="","",INDEX(tsk_ResourceNames,SprintBacklog[[#This Row],[_Task]])&amp;"")</f>
        <v/>
      </c>
      <c r="F32" s="61" t="str">
        <f aca="false">IF(SprintBacklog[[#This Row],[_Task]]="","",IF(N(INDEX(tsk_FcFinish,SprintBacklog[[#This Row],[_Task]]))=0,"",INDEX(tsk_FcFinish,SprintBacklog[[#This Row],[_Task]])))</f>
        <v/>
      </c>
      <c r="G32" s="34" t="str">
        <f aca="false">IF(SprintBacklog[[#This Row],[_Task]]="","",INDEX(tsk_Progress,SprintBacklog[[#This Row],[_Task]]))</f>
        <v/>
      </c>
      <c r="H32" s="24" t="str">
        <f aca="false">IF(SprintBacklog[[#This Row],[_Task]]="","",INDEX(tsk_Status,SprintBacklog[[#This Row],[_Task]])&amp;"")</f>
        <v/>
      </c>
    </row>
    <row r="33" customFormat="false" ht="15" hidden="false" customHeight="false" outlineLevel="0" collapsed="false">
      <c r="B33" s="32" t="str">
        <f aca="false">IFERROR(MATCH(SMALL(tsk_CurrentSprintKey,ROW()-ROW(SprintBacklog[[#Headers],[_Task]])),tsk_CurrentSprintKey,0),"")</f>
        <v/>
      </c>
      <c r="C33" s="24" t="str">
        <f aca="false">IF(SprintBacklog[[#This Row],[_Task]]="","",INDEX(tsk_Name,SprintBacklog[[#This Row],[_Task]])&amp;"")</f>
        <v/>
      </c>
      <c r="D33" s="84" t="str">
        <f aca="false">IF(SprintBacklog[[#This Row],[_Task]]="","",INDEX(tsk_StoryPoints,SprintBacklog[[#This Row],[_Task]]))</f>
        <v/>
      </c>
      <c r="E33" s="24" t="str">
        <f aca="false">IF(SprintBacklog[[#This Row],[_Task]]="","",INDEX(tsk_ResourceNames,SprintBacklog[[#This Row],[_Task]])&amp;"")</f>
        <v/>
      </c>
      <c r="F33" s="61" t="str">
        <f aca="false">IF(SprintBacklog[[#This Row],[_Task]]="","",IF(N(INDEX(tsk_FcFinish,SprintBacklog[[#This Row],[_Task]]))=0,"",INDEX(tsk_FcFinish,SprintBacklog[[#This Row],[_Task]])))</f>
        <v/>
      </c>
      <c r="G33" s="34" t="str">
        <f aca="false">IF(SprintBacklog[[#This Row],[_Task]]="","",INDEX(tsk_Progress,SprintBacklog[[#This Row],[_Task]]))</f>
        <v/>
      </c>
      <c r="H33" s="24" t="str">
        <f aca="false">IF(SprintBacklog[[#This Row],[_Task]]="","",INDEX(tsk_Status,SprintBacklog[[#This Row],[_Task]])&amp;"")</f>
        <v/>
      </c>
    </row>
    <row r="34" customFormat="false" ht="15" hidden="false" customHeight="false" outlineLevel="0" collapsed="false">
      <c r="B34" s="32" t="str">
        <f aca="false">IFERROR(MATCH(SMALL(tsk_CurrentSprintKey,ROW()-ROW(SprintBacklog[[#Headers],[_Task]])),tsk_CurrentSprintKey,0),"")</f>
        <v/>
      </c>
      <c r="C34" s="24" t="str">
        <f aca="false">IF(SprintBacklog[[#This Row],[_Task]]="","",INDEX(tsk_Name,SprintBacklog[[#This Row],[_Task]])&amp;"")</f>
        <v/>
      </c>
      <c r="D34" s="84" t="str">
        <f aca="false">IF(SprintBacklog[[#This Row],[_Task]]="","",INDEX(tsk_StoryPoints,SprintBacklog[[#This Row],[_Task]]))</f>
        <v/>
      </c>
      <c r="E34" s="24" t="str">
        <f aca="false">IF(SprintBacklog[[#This Row],[_Task]]="","",INDEX(tsk_ResourceNames,SprintBacklog[[#This Row],[_Task]])&amp;"")</f>
        <v/>
      </c>
      <c r="F34" s="61" t="str">
        <f aca="false">IF(SprintBacklog[[#This Row],[_Task]]="","",IF(N(INDEX(tsk_FcFinish,SprintBacklog[[#This Row],[_Task]]))=0,"",INDEX(tsk_FcFinish,SprintBacklog[[#This Row],[_Task]])))</f>
        <v/>
      </c>
      <c r="G34" s="34" t="str">
        <f aca="false">IF(SprintBacklog[[#This Row],[_Task]]="","",INDEX(tsk_Progress,SprintBacklog[[#This Row],[_Task]]))</f>
        <v/>
      </c>
      <c r="H34" s="24" t="str">
        <f aca="false">IF(SprintBacklog[[#This Row],[_Task]]="","",INDEX(tsk_Status,SprintBacklog[[#This Row],[_Task]])&amp;"")</f>
        <v/>
      </c>
    </row>
    <row r="35" customFormat="false" ht="15" hidden="false" customHeight="false" outlineLevel="0" collapsed="false">
      <c r="B35" s="32" t="str">
        <f aca="false">IFERROR(MATCH(SMALL(tsk_CurrentSprintKey,ROW()-ROW(SprintBacklog[[#Headers],[_Task]])),tsk_CurrentSprintKey,0),"")</f>
        <v/>
      </c>
      <c r="C35" s="24" t="str">
        <f aca="false">IF(SprintBacklog[[#This Row],[_Task]]="","",INDEX(tsk_Name,SprintBacklog[[#This Row],[_Task]])&amp;"")</f>
        <v/>
      </c>
      <c r="D35" s="84" t="str">
        <f aca="false">IF(SprintBacklog[[#This Row],[_Task]]="","",INDEX(tsk_StoryPoints,SprintBacklog[[#This Row],[_Task]]))</f>
        <v/>
      </c>
      <c r="E35" s="24" t="str">
        <f aca="false">IF(SprintBacklog[[#This Row],[_Task]]="","",INDEX(tsk_ResourceNames,SprintBacklog[[#This Row],[_Task]])&amp;"")</f>
        <v/>
      </c>
      <c r="F35" s="61" t="str">
        <f aca="false">IF(SprintBacklog[[#This Row],[_Task]]="","",IF(N(INDEX(tsk_FcFinish,SprintBacklog[[#This Row],[_Task]]))=0,"",INDEX(tsk_FcFinish,SprintBacklog[[#This Row],[_Task]])))</f>
        <v/>
      </c>
      <c r="G35" s="34" t="str">
        <f aca="false">IF(SprintBacklog[[#This Row],[_Task]]="","",INDEX(tsk_Progress,SprintBacklog[[#This Row],[_Task]]))</f>
        <v/>
      </c>
      <c r="H35" s="24" t="str">
        <f aca="false">IF(SprintBacklog[[#This Row],[_Task]]="","",INDEX(tsk_Status,SprintBacklog[[#This Row],[_Task]])&amp;"")</f>
        <v/>
      </c>
    </row>
    <row r="36" customFormat="false" ht="15" hidden="false" customHeight="false" outlineLevel="0" collapsed="false">
      <c r="B36" s="32" t="str">
        <f aca="false">IFERROR(MATCH(SMALL(tsk_CurrentSprintKey,ROW()-ROW(SprintBacklog[[#Headers],[_Task]])),tsk_CurrentSprintKey,0),"")</f>
        <v/>
      </c>
      <c r="C36" s="24" t="str">
        <f aca="false">IF(SprintBacklog[[#This Row],[_Task]]="","",INDEX(tsk_Name,SprintBacklog[[#This Row],[_Task]])&amp;"")</f>
        <v/>
      </c>
      <c r="D36" s="84" t="str">
        <f aca="false">IF(SprintBacklog[[#This Row],[_Task]]="","",INDEX(tsk_StoryPoints,SprintBacklog[[#This Row],[_Task]]))</f>
        <v/>
      </c>
      <c r="E36" s="24" t="str">
        <f aca="false">IF(SprintBacklog[[#This Row],[_Task]]="","",INDEX(tsk_ResourceNames,SprintBacklog[[#This Row],[_Task]])&amp;"")</f>
        <v/>
      </c>
      <c r="F36" s="61" t="str">
        <f aca="false">IF(SprintBacklog[[#This Row],[_Task]]="","",IF(N(INDEX(tsk_FcFinish,SprintBacklog[[#This Row],[_Task]]))=0,"",INDEX(tsk_FcFinish,SprintBacklog[[#This Row],[_Task]])))</f>
        <v/>
      </c>
      <c r="G36" s="34" t="str">
        <f aca="false">IF(SprintBacklog[[#This Row],[_Task]]="","",INDEX(tsk_Progress,SprintBacklog[[#This Row],[_Task]]))</f>
        <v/>
      </c>
      <c r="H36" s="24" t="str">
        <f aca="false">IF(SprintBacklog[[#This Row],[_Task]]="","",INDEX(tsk_Status,SprintBacklog[[#This Row],[_Task]])&amp;"")</f>
        <v/>
      </c>
    </row>
    <row r="37" customFormat="false" ht="15" hidden="false" customHeight="false" outlineLevel="0" collapsed="false">
      <c r="B37" s="32" t="str">
        <f aca="false">IFERROR(MATCH(SMALL(tsk_CurrentSprintKey,ROW()-ROW(SprintBacklog[[#Headers],[_Task]])),tsk_CurrentSprintKey,0),"")</f>
        <v/>
      </c>
      <c r="C37" s="24" t="str">
        <f aca="false">IF(SprintBacklog[[#This Row],[_Task]]="","",INDEX(tsk_Name,SprintBacklog[[#This Row],[_Task]])&amp;"")</f>
        <v/>
      </c>
      <c r="D37" s="84" t="str">
        <f aca="false">IF(SprintBacklog[[#This Row],[_Task]]="","",INDEX(tsk_StoryPoints,SprintBacklog[[#This Row],[_Task]]))</f>
        <v/>
      </c>
      <c r="E37" s="24" t="str">
        <f aca="false">IF(SprintBacklog[[#This Row],[_Task]]="","",INDEX(tsk_ResourceNames,SprintBacklog[[#This Row],[_Task]])&amp;"")</f>
        <v/>
      </c>
      <c r="F37" s="61" t="str">
        <f aca="false">IF(SprintBacklog[[#This Row],[_Task]]="","",IF(N(INDEX(tsk_FcFinish,SprintBacklog[[#This Row],[_Task]]))=0,"",INDEX(tsk_FcFinish,SprintBacklog[[#This Row],[_Task]])))</f>
        <v/>
      </c>
      <c r="G37" s="34" t="str">
        <f aca="false">IF(SprintBacklog[[#This Row],[_Task]]="","",INDEX(tsk_Progress,SprintBacklog[[#This Row],[_Task]]))</f>
        <v/>
      </c>
      <c r="H37" s="24" t="str">
        <f aca="false">IF(SprintBacklog[[#This Row],[_Task]]="","",INDEX(tsk_Status,SprintBacklog[[#This Row],[_Task]])&amp;"")</f>
        <v/>
      </c>
    </row>
    <row r="38" customFormat="false" ht="15" hidden="false" customHeight="false" outlineLevel="0" collapsed="false">
      <c r="B38" s="32" t="str">
        <f aca="false">IFERROR(MATCH(SMALL(tsk_CurrentSprintKey,ROW()-ROW(SprintBacklog[[#Headers],[_Task]])),tsk_CurrentSprintKey,0),"")</f>
        <v/>
      </c>
      <c r="C38" s="24" t="str">
        <f aca="false">IF(SprintBacklog[[#This Row],[_Task]]="","",INDEX(tsk_Name,SprintBacklog[[#This Row],[_Task]])&amp;"")</f>
        <v/>
      </c>
      <c r="D38" s="84" t="str">
        <f aca="false">IF(SprintBacklog[[#This Row],[_Task]]="","",INDEX(tsk_StoryPoints,SprintBacklog[[#This Row],[_Task]]))</f>
        <v/>
      </c>
      <c r="E38" s="24" t="str">
        <f aca="false">IF(SprintBacklog[[#This Row],[_Task]]="","",INDEX(tsk_ResourceNames,SprintBacklog[[#This Row],[_Task]])&amp;"")</f>
        <v/>
      </c>
      <c r="F38" s="61" t="str">
        <f aca="false">IF(SprintBacklog[[#This Row],[_Task]]="","",IF(N(INDEX(tsk_FcFinish,SprintBacklog[[#This Row],[_Task]]))=0,"",INDEX(tsk_FcFinish,SprintBacklog[[#This Row],[_Task]])))</f>
        <v/>
      </c>
      <c r="G38" s="34" t="str">
        <f aca="false">IF(SprintBacklog[[#This Row],[_Task]]="","",INDEX(tsk_Progress,SprintBacklog[[#This Row],[_Task]]))</f>
        <v/>
      </c>
      <c r="H38" s="24" t="str">
        <f aca="false">IF(SprintBacklog[[#This Row],[_Task]]="","",INDEX(tsk_Status,SprintBacklog[[#This Row],[_Task]])&amp;"")</f>
        <v/>
      </c>
    </row>
    <row r="39" customFormat="false" ht="15" hidden="false" customHeight="false" outlineLevel="0" collapsed="false">
      <c r="B39" s="32" t="str">
        <f aca="false">IFERROR(MATCH(SMALL(tsk_CurrentSprintKey,ROW()-ROW(SprintBacklog[[#Headers],[_Task]])),tsk_CurrentSprintKey,0),"")</f>
        <v/>
      </c>
      <c r="C39" s="24" t="str">
        <f aca="false">IF(SprintBacklog[[#This Row],[_Task]]="","",INDEX(tsk_Name,SprintBacklog[[#This Row],[_Task]])&amp;"")</f>
        <v/>
      </c>
      <c r="D39" s="84" t="str">
        <f aca="false">IF(SprintBacklog[[#This Row],[_Task]]="","",INDEX(tsk_StoryPoints,SprintBacklog[[#This Row],[_Task]]))</f>
        <v/>
      </c>
      <c r="E39" s="24" t="str">
        <f aca="false">IF(SprintBacklog[[#This Row],[_Task]]="","",INDEX(tsk_ResourceNames,SprintBacklog[[#This Row],[_Task]])&amp;"")</f>
        <v/>
      </c>
      <c r="F39" s="61" t="str">
        <f aca="false">IF(SprintBacklog[[#This Row],[_Task]]="","",IF(N(INDEX(tsk_FcFinish,SprintBacklog[[#This Row],[_Task]]))=0,"",INDEX(tsk_FcFinish,SprintBacklog[[#This Row],[_Task]])))</f>
        <v/>
      </c>
      <c r="G39" s="34" t="str">
        <f aca="false">IF(SprintBacklog[[#This Row],[_Task]]="","",INDEX(tsk_Progress,SprintBacklog[[#This Row],[_Task]]))</f>
        <v/>
      </c>
      <c r="H39" s="24" t="str">
        <f aca="false">IF(SprintBacklog[[#This Row],[_Task]]="","",INDEX(tsk_Status,SprintBacklog[[#This Row],[_Task]])&amp;"")</f>
        <v/>
      </c>
    </row>
    <row r="40" customFormat="false" ht="15" hidden="false" customHeight="false" outlineLevel="0" collapsed="false">
      <c r="B40" s="32" t="str">
        <f aca="false">IFERROR(MATCH(SMALL(tsk_CurrentSprintKey,ROW()-ROW(SprintBacklog[[#Headers],[_Task]])),tsk_CurrentSprintKey,0),"")</f>
        <v/>
      </c>
      <c r="C40" s="24" t="str">
        <f aca="false">IF(SprintBacklog[[#This Row],[_Task]]="","",INDEX(tsk_Name,SprintBacklog[[#This Row],[_Task]])&amp;"")</f>
        <v/>
      </c>
      <c r="D40" s="84" t="str">
        <f aca="false">IF(SprintBacklog[[#This Row],[_Task]]="","",INDEX(tsk_StoryPoints,SprintBacklog[[#This Row],[_Task]]))</f>
        <v/>
      </c>
      <c r="E40" s="24" t="str">
        <f aca="false">IF(SprintBacklog[[#This Row],[_Task]]="","",INDEX(tsk_ResourceNames,SprintBacklog[[#This Row],[_Task]])&amp;"")</f>
        <v/>
      </c>
      <c r="F40" s="61" t="str">
        <f aca="false">IF(SprintBacklog[[#This Row],[_Task]]="","",IF(N(INDEX(tsk_FcFinish,SprintBacklog[[#This Row],[_Task]]))=0,"",INDEX(tsk_FcFinish,SprintBacklog[[#This Row],[_Task]])))</f>
        <v/>
      </c>
      <c r="G40" s="34" t="str">
        <f aca="false">IF(SprintBacklog[[#This Row],[_Task]]="","",INDEX(tsk_Progress,SprintBacklog[[#This Row],[_Task]]))</f>
        <v/>
      </c>
      <c r="H40" s="24" t="str">
        <f aca="false">IF(SprintBacklog[[#This Row],[_Task]]="","",INDEX(tsk_Status,SprintBacklog[[#This Row],[_Task]])&amp;"")</f>
        <v/>
      </c>
    </row>
    <row r="42" customFormat="false" ht="15" hidden="false" customHeight="false" outlineLevel="0" collapsed="false">
      <c r="C42" s="30" t="s">
        <v>277</v>
      </c>
    </row>
    <row r="43" customFormat="false" ht="23.85" hidden="false" customHeight="false" outlineLevel="0" collapsed="false">
      <c r="C43" s="9" t="s">
        <v>278</v>
      </c>
      <c r="D43" s="9" t="s">
        <v>246</v>
      </c>
      <c r="E43" s="9" t="s">
        <v>279</v>
      </c>
      <c r="F43" s="31" t="s">
        <v>280</v>
      </c>
      <c r="G43" s="31" t="s">
        <v>281</v>
      </c>
      <c r="H43" s="31" t="s">
        <v>282</v>
      </c>
    </row>
    <row r="44" customFormat="false" ht="15" hidden="false" customHeight="false" outlineLevel="0" collapsed="false">
      <c r="C44" s="25" t="n">
        <f aca="false">IF(OR(CurrentSprint="",ROW()-ROW(SprintBurndown[[#Headers],[Day]])&gt;SprintLength),"",CurrentSprintStart+ROW()-ROW(SprintBurndown[[#Headers],[Day]])-1)</f>
        <v>46314</v>
      </c>
      <c r="D44" s="85" t="n">
        <f aca="false">IF(OR(SprintBurndown[[#This Row],[Day]]="",SprintBurndown[[#This Row],[Day]]&gt;StatusDate),"",agl_CurCommitted-SUMIFS(tsk_LeafPoints,tsk_Sprint,CurrentSprint,tsk_DoneDate,"&lt;="&amp;SprintBurndown[[#This Row],[Day]]))</f>
        <v>8</v>
      </c>
      <c r="E44" s="85" t="n">
        <f aca="false">IF(SprintBurndown[[#This Row],[Day]]="","",agl_CurCommitted*MAX(0,1-NETWORKDAYS.INTL(CurrentSprintStart,SprintBurndown[[#This Row],[Day]],WorkWeek,Holidays)/MAX(1,NETWORKDAYS.INTL(CurrentSprintStart,CurrentSprintEnd,WorkWeek,Holidays))))</f>
        <v>7.2</v>
      </c>
      <c r="F44" s="86" t="str">
        <f aca="false">IF(SprintBurndown[[#This Row],[Day]]="","",TEXT(SprintBurndown[[#This Row],[Day]],"dd-mmm"))</f>
        <v>19-Oct</v>
      </c>
      <c r="G44" s="87" t="n">
        <f aca="false">IF(SprintBurndown[[#This Row],[Remaining]]="",NA(),SprintBurndown[[#This Row],[Remaining]])</f>
        <v>8</v>
      </c>
      <c r="H44" s="87" t="n">
        <f aca="false">IF(SprintBurndown[[#This Row],[Ideal]]="",NA(),SprintBurndown[[#This Row],[Ideal]])</f>
        <v>7.2</v>
      </c>
    </row>
    <row r="45" customFormat="false" ht="15" hidden="false" customHeight="false" outlineLevel="0" collapsed="false">
      <c r="C45" s="25" t="n">
        <f aca="false">IF(OR(CurrentSprint="",ROW()-ROW(SprintBurndown[[#Headers],[Day]])&gt;SprintLength),"",CurrentSprintStart+ROW()-ROW(SprintBurndown[[#Headers],[Day]])-1)</f>
        <v>46315</v>
      </c>
      <c r="D45" s="85" t="n">
        <f aca="false">IF(OR(SprintBurndown[[#This Row],[Day]]="",SprintBurndown[[#This Row],[Day]]&gt;StatusDate),"",agl_CurCommitted-SUMIFS(tsk_LeafPoints,tsk_Sprint,CurrentSprint,tsk_DoneDate,"&lt;="&amp;SprintBurndown[[#This Row],[Day]]))</f>
        <v>8</v>
      </c>
      <c r="E45" s="85" t="n">
        <f aca="false">IF(SprintBurndown[[#This Row],[Day]]="","",agl_CurCommitted*MAX(0,1-NETWORKDAYS.INTL(CurrentSprintStart,SprintBurndown[[#This Row],[Day]],WorkWeek,Holidays)/MAX(1,NETWORKDAYS.INTL(CurrentSprintStart,CurrentSprintEnd,WorkWeek,Holidays))))</f>
        <v>6.4</v>
      </c>
      <c r="F45" s="86" t="str">
        <f aca="false">IF(SprintBurndown[[#This Row],[Day]]="","",TEXT(SprintBurndown[[#This Row],[Day]],"dd-mmm"))</f>
        <v>20-Oct</v>
      </c>
      <c r="G45" s="87" t="n">
        <f aca="false">IF(SprintBurndown[[#This Row],[Remaining]]="",NA(),SprintBurndown[[#This Row],[Remaining]])</f>
        <v>8</v>
      </c>
      <c r="H45" s="87" t="n">
        <f aca="false">IF(SprintBurndown[[#This Row],[Ideal]]="",NA(),SprintBurndown[[#This Row],[Ideal]])</f>
        <v>6.4</v>
      </c>
    </row>
    <row r="46" customFormat="false" ht="15" hidden="false" customHeight="false" outlineLevel="0" collapsed="false">
      <c r="C46" s="25" t="n">
        <f aca="false">IF(OR(CurrentSprint="",ROW()-ROW(SprintBurndown[[#Headers],[Day]])&gt;SprintLength),"",CurrentSprintStart+ROW()-ROW(SprintBurndown[[#Headers],[Day]])-1)</f>
        <v>46316</v>
      </c>
      <c r="D46" s="85" t="n">
        <f aca="false">IF(OR(SprintBurndown[[#This Row],[Day]]="",SprintBurndown[[#This Row],[Day]]&gt;StatusDate),"",agl_CurCommitted-SUMIFS(tsk_LeafPoints,tsk_Sprint,CurrentSprint,tsk_DoneDate,"&lt;="&amp;SprintBurndown[[#This Row],[Day]]))</f>
        <v>8</v>
      </c>
      <c r="E46" s="85" t="n">
        <f aca="false">IF(SprintBurndown[[#This Row],[Day]]="","",agl_CurCommitted*MAX(0,1-NETWORKDAYS.INTL(CurrentSprintStart,SprintBurndown[[#This Row],[Day]],WorkWeek,Holidays)/MAX(1,NETWORKDAYS.INTL(CurrentSprintStart,CurrentSprintEnd,WorkWeek,Holidays))))</f>
        <v>5.6</v>
      </c>
      <c r="F46" s="86" t="str">
        <f aca="false">IF(SprintBurndown[[#This Row],[Day]]="","",TEXT(SprintBurndown[[#This Row],[Day]],"dd-mmm"))</f>
        <v>21-Oct</v>
      </c>
      <c r="G46" s="87" t="n">
        <f aca="false">IF(SprintBurndown[[#This Row],[Remaining]]="",NA(),SprintBurndown[[#This Row],[Remaining]])</f>
        <v>8</v>
      </c>
      <c r="H46" s="87" t="n">
        <f aca="false">IF(SprintBurndown[[#This Row],[Ideal]]="",NA(),SprintBurndown[[#This Row],[Ideal]])</f>
        <v>5.6</v>
      </c>
    </row>
    <row r="47" customFormat="false" ht="15" hidden="false" customHeight="false" outlineLevel="0" collapsed="false">
      <c r="C47" s="25" t="n">
        <f aca="false">IF(OR(CurrentSprint="",ROW()-ROW(SprintBurndown[[#Headers],[Day]])&gt;SprintLength),"",CurrentSprintStart+ROW()-ROW(SprintBurndown[[#Headers],[Day]])-1)</f>
        <v>46317</v>
      </c>
      <c r="D47" s="85" t="n">
        <f aca="false">IF(OR(SprintBurndown[[#This Row],[Day]]="",SprintBurndown[[#This Row],[Day]]&gt;StatusDate),"",agl_CurCommitted-SUMIFS(tsk_LeafPoints,tsk_Sprint,CurrentSprint,tsk_DoneDate,"&lt;="&amp;SprintBurndown[[#This Row],[Day]]))</f>
        <v>8</v>
      </c>
      <c r="E47" s="85" t="n">
        <f aca="false">IF(SprintBurndown[[#This Row],[Day]]="","",agl_CurCommitted*MAX(0,1-NETWORKDAYS.INTL(CurrentSprintStart,SprintBurndown[[#This Row],[Day]],WorkWeek,Holidays)/MAX(1,NETWORKDAYS.INTL(CurrentSprintStart,CurrentSprintEnd,WorkWeek,Holidays))))</f>
        <v>4.8</v>
      </c>
      <c r="F47" s="86" t="str">
        <f aca="false">IF(SprintBurndown[[#This Row],[Day]]="","",TEXT(SprintBurndown[[#This Row],[Day]],"dd-mmm"))</f>
        <v>22-Oct</v>
      </c>
      <c r="G47" s="87" t="n">
        <f aca="false">IF(SprintBurndown[[#This Row],[Remaining]]="",NA(),SprintBurndown[[#This Row],[Remaining]])</f>
        <v>8</v>
      </c>
      <c r="H47" s="87" t="n">
        <f aca="false">IF(SprintBurndown[[#This Row],[Ideal]]="",NA(),SprintBurndown[[#This Row],[Ideal]])</f>
        <v>4.8</v>
      </c>
    </row>
    <row r="48" customFormat="false" ht="15" hidden="false" customHeight="false" outlineLevel="0" collapsed="false">
      <c r="C48" s="25" t="n">
        <f aca="false">IF(OR(CurrentSprint="",ROW()-ROW(SprintBurndown[[#Headers],[Day]])&gt;SprintLength),"",CurrentSprintStart+ROW()-ROW(SprintBurndown[[#Headers],[Day]])-1)</f>
        <v>46318</v>
      </c>
      <c r="D48" s="85" t="n">
        <f aca="false">IF(OR(SprintBurndown[[#This Row],[Day]]="",SprintBurndown[[#This Row],[Day]]&gt;StatusDate),"",agl_CurCommitted-SUMIFS(tsk_LeafPoints,tsk_Sprint,CurrentSprint,tsk_DoneDate,"&lt;="&amp;SprintBurndown[[#This Row],[Day]]))</f>
        <v>8</v>
      </c>
      <c r="E48" s="85" t="n">
        <f aca="false">IF(SprintBurndown[[#This Row],[Day]]="","",agl_CurCommitted*MAX(0,1-NETWORKDAYS.INTL(CurrentSprintStart,SprintBurndown[[#This Row],[Day]],WorkWeek,Holidays)/MAX(1,NETWORKDAYS.INTL(CurrentSprintStart,CurrentSprintEnd,WorkWeek,Holidays))))</f>
        <v>4</v>
      </c>
      <c r="F48" s="86" t="str">
        <f aca="false">IF(SprintBurndown[[#This Row],[Day]]="","",TEXT(SprintBurndown[[#This Row],[Day]],"dd-mmm"))</f>
        <v>23-Oct</v>
      </c>
      <c r="G48" s="87" t="n">
        <f aca="false">IF(SprintBurndown[[#This Row],[Remaining]]="",NA(),SprintBurndown[[#This Row],[Remaining]])</f>
        <v>8</v>
      </c>
      <c r="H48" s="87" t="n">
        <f aca="false">IF(SprintBurndown[[#This Row],[Ideal]]="",NA(),SprintBurndown[[#This Row],[Ideal]])</f>
        <v>4</v>
      </c>
    </row>
    <row r="49" customFormat="false" ht="15" hidden="false" customHeight="false" outlineLevel="0" collapsed="false">
      <c r="C49" s="25" t="n">
        <f aca="false">IF(OR(CurrentSprint="",ROW()-ROW(SprintBurndown[[#Headers],[Day]])&gt;SprintLength),"",CurrentSprintStart+ROW()-ROW(SprintBurndown[[#Headers],[Day]])-1)</f>
        <v>46319</v>
      </c>
      <c r="D49" s="85" t="n">
        <f aca="false">IF(OR(SprintBurndown[[#This Row],[Day]]="",SprintBurndown[[#This Row],[Day]]&gt;StatusDate),"",agl_CurCommitted-SUMIFS(tsk_LeafPoints,tsk_Sprint,CurrentSprint,tsk_DoneDate,"&lt;="&amp;SprintBurndown[[#This Row],[Day]]))</f>
        <v>8</v>
      </c>
      <c r="E49" s="85" t="n">
        <f aca="false">IF(SprintBurndown[[#This Row],[Day]]="","",agl_CurCommitted*MAX(0,1-NETWORKDAYS.INTL(CurrentSprintStart,SprintBurndown[[#This Row],[Day]],WorkWeek,Holidays)/MAX(1,NETWORKDAYS.INTL(CurrentSprintStart,CurrentSprintEnd,WorkWeek,Holidays))))</f>
        <v>4</v>
      </c>
      <c r="F49" s="86" t="str">
        <f aca="false">IF(SprintBurndown[[#This Row],[Day]]="","",TEXT(SprintBurndown[[#This Row],[Day]],"dd-mmm"))</f>
        <v>24-Oct</v>
      </c>
      <c r="G49" s="87" t="n">
        <f aca="false">IF(SprintBurndown[[#This Row],[Remaining]]="",NA(),SprintBurndown[[#This Row],[Remaining]])</f>
        <v>8</v>
      </c>
      <c r="H49" s="87" t="n">
        <f aca="false">IF(SprintBurndown[[#This Row],[Ideal]]="",NA(),SprintBurndown[[#This Row],[Ideal]])</f>
        <v>4</v>
      </c>
    </row>
    <row r="50" customFormat="false" ht="15" hidden="false" customHeight="false" outlineLevel="0" collapsed="false">
      <c r="C50" s="25" t="n">
        <f aca="false">IF(OR(CurrentSprint="",ROW()-ROW(SprintBurndown[[#Headers],[Day]])&gt;SprintLength),"",CurrentSprintStart+ROW()-ROW(SprintBurndown[[#Headers],[Day]])-1)</f>
        <v>46320</v>
      </c>
      <c r="D50" s="85" t="n">
        <f aca="false">IF(OR(SprintBurndown[[#This Row],[Day]]="",SprintBurndown[[#This Row],[Day]]&gt;StatusDate),"",agl_CurCommitted-SUMIFS(tsk_LeafPoints,tsk_Sprint,CurrentSprint,tsk_DoneDate,"&lt;="&amp;SprintBurndown[[#This Row],[Day]]))</f>
        <v>8</v>
      </c>
      <c r="E50" s="85" t="n">
        <f aca="false">IF(SprintBurndown[[#This Row],[Day]]="","",agl_CurCommitted*MAX(0,1-NETWORKDAYS.INTL(CurrentSprintStart,SprintBurndown[[#This Row],[Day]],WorkWeek,Holidays)/MAX(1,NETWORKDAYS.INTL(CurrentSprintStart,CurrentSprintEnd,WorkWeek,Holidays))))</f>
        <v>4</v>
      </c>
      <c r="F50" s="86" t="str">
        <f aca="false">IF(SprintBurndown[[#This Row],[Day]]="","",TEXT(SprintBurndown[[#This Row],[Day]],"dd-mmm"))</f>
        <v>25-Oct</v>
      </c>
      <c r="G50" s="87" t="n">
        <f aca="false">IF(SprintBurndown[[#This Row],[Remaining]]="",NA(),SprintBurndown[[#This Row],[Remaining]])</f>
        <v>8</v>
      </c>
      <c r="H50" s="87" t="n">
        <f aca="false">IF(SprintBurndown[[#This Row],[Ideal]]="",NA(),SprintBurndown[[#This Row],[Ideal]])</f>
        <v>4</v>
      </c>
    </row>
    <row r="51" customFormat="false" ht="15" hidden="false" customHeight="false" outlineLevel="0" collapsed="false">
      <c r="C51" s="25" t="n">
        <f aca="false">IF(OR(CurrentSprint="",ROW()-ROW(SprintBurndown[[#Headers],[Day]])&gt;SprintLength),"",CurrentSprintStart+ROW()-ROW(SprintBurndown[[#Headers],[Day]])-1)</f>
        <v>46321</v>
      </c>
      <c r="D51" s="85" t="str">
        <f aca="false">IF(OR(SprintBurndown[[#This Row],[Day]]="",SprintBurndown[[#This Row],[Day]]&gt;StatusDate),"",agl_CurCommitted-SUMIFS(tsk_LeafPoints,tsk_Sprint,CurrentSprint,tsk_DoneDate,"&lt;="&amp;SprintBurndown[[#This Row],[Day]]))</f>
        <v/>
      </c>
      <c r="E51" s="85" t="n">
        <f aca="false">IF(SprintBurndown[[#This Row],[Day]]="","",agl_CurCommitted*MAX(0,1-NETWORKDAYS.INTL(CurrentSprintStart,SprintBurndown[[#This Row],[Day]],WorkWeek,Holidays)/MAX(1,NETWORKDAYS.INTL(CurrentSprintStart,CurrentSprintEnd,WorkWeek,Holidays))))</f>
        <v>3.2</v>
      </c>
      <c r="F51" s="86" t="str">
        <f aca="false">IF(SprintBurndown[[#This Row],[Day]]="","",TEXT(SprintBurndown[[#This Row],[Day]],"dd-mmm"))</f>
        <v>26-Oct</v>
      </c>
      <c r="G51" s="86" t="e">
        <f aca="false">IF(SprintBurndown[[#This Row],[Remaining]]="",NA(),SprintBurndown[[#This Row],[Remaining]])</f>
        <v>#N/A</v>
      </c>
      <c r="H51" s="87" t="n">
        <f aca="false">IF(SprintBurndown[[#This Row],[Ideal]]="",NA(),SprintBurndown[[#This Row],[Ideal]])</f>
        <v>3.2</v>
      </c>
    </row>
    <row r="52" customFormat="false" ht="15" hidden="false" customHeight="false" outlineLevel="0" collapsed="false">
      <c r="C52" s="25" t="n">
        <f aca="false">IF(OR(CurrentSprint="",ROW()-ROW(SprintBurndown[[#Headers],[Day]])&gt;SprintLength),"",CurrentSprintStart+ROW()-ROW(SprintBurndown[[#Headers],[Day]])-1)</f>
        <v>46322</v>
      </c>
      <c r="D52" s="85" t="str">
        <f aca="false">IF(OR(SprintBurndown[[#This Row],[Day]]="",SprintBurndown[[#This Row],[Day]]&gt;StatusDate),"",agl_CurCommitted-SUMIFS(tsk_LeafPoints,tsk_Sprint,CurrentSprint,tsk_DoneDate,"&lt;="&amp;SprintBurndown[[#This Row],[Day]]))</f>
        <v/>
      </c>
      <c r="E52" s="85" t="n">
        <f aca="false">IF(SprintBurndown[[#This Row],[Day]]="","",agl_CurCommitted*MAX(0,1-NETWORKDAYS.INTL(CurrentSprintStart,SprintBurndown[[#This Row],[Day]],WorkWeek,Holidays)/MAX(1,NETWORKDAYS.INTL(CurrentSprintStart,CurrentSprintEnd,WorkWeek,Holidays))))</f>
        <v>2.4</v>
      </c>
      <c r="F52" s="86" t="str">
        <f aca="false">IF(SprintBurndown[[#This Row],[Day]]="","",TEXT(SprintBurndown[[#This Row],[Day]],"dd-mmm"))</f>
        <v>27-Oct</v>
      </c>
      <c r="G52" s="86" t="e">
        <f aca="false">IF(SprintBurndown[[#This Row],[Remaining]]="",NA(),SprintBurndown[[#This Row],[Remaining]])</f>
        <v>#N/A</v>
      </c>
      <c r="H52" s="87" t="n">
        <f aca="false">IF(SprintBurndown[[#This Row],[Ideal]]="",NA(),SprintBurndown[[#This Row],[Ideal]])</f>
        <v>2.4</v>
      </c>
    </row>
    <row r="53" customFormat="false" ht="15" hidden="false" customHeight="false" outlineLevel="0" collapsed="false">
      <c r="C53" s="25" t="n">
        <f aca="false">IF(OR(CurrentSprint="",ROW()-ROW(SprintBurndown[[#Headers],[Day]])&gt;SprintLength),"",CurrentSprintStart+ROW()-ROW(SprintBurndown[[#Headers],[Day]])-1)</f>
        <v>46323</v>
      </c>
      <c r="D53" s="85" t="str">
        <f aca="false">IF(OR(SprintBurndown[[#This Row],[Day]]="",SprintBurndown[[#This Row],[Day]]&gt;StatusDate),"",agl_CurCommitted-SUMIFS(tsk_LeafPoints,tsk_Sprint,CurrentSprint,tsk_DoneDate,"&lt;="&amp;SprintBurndown[[#This Row],[Day]]))</f>
        <v/>
      </c>
      <c r="E53" s="85" t="n">
        <f aca="false">IF(SprintBurndown[[#This Row],[Day]]="","",agl_CurCommitted*MAX(0,1-NETWORKDAYS.INTL(CurrentSprintStart,SprintBurndown[[#This Row],[Day]],WorkWeek,Holidays)/MAX(1,NETWORKDAYS.INTL(CurrentSprintStart,CurrentSprintEnd,WorkWeek,Holidays))))</f>
        <v>1.6</v>
      </c>
      <c r="F53" s="86" t="str">
        <f aca="false">IF(SprintBurndown[[#This Row],[Day]]="","",TEXT(SprintBurndown[[#This Row],[Day]],"dd-mmm"))</f>
        <v>28-Oct</v>
      </c>
      <c r="G53" s="86" t="e">
        <f aca="false">IF(SprintBurndown[[#This Row],[Remaining]]="",NA(),SprintBurndown[[#This Row],[Remaining]])</f>
        <v>#N/A</v>
      </c>
      <c r="H53" s="87" t="n">
        <f aca="false">IF(SprintBurndown[[#This Row],[Ideal]]="",NA(),SprintBurndown[[#This Row],[Ideal]])</f>
        <v>1.6</v>
      </c>
    </row>
    <row r="54" customFormat="false" ht="15" hidden="false" customHeight="false" outlineLevel="0" collapsed="false">
      <c r="C54" s="25" t="n">
        <f aca="false">IF(OR(CurrentSprint="",ROW()-ROW(SprintBurndown[[#Headers],[Day]])&gt;SprintLength),"",CurrentSprintStart+ROW()-ROW(SprintBurndown[[#Headers],[Day]])-1)</f>
        <v>46324</v>
      </c>
      <c r="D54" s="85" t="str">
        <f aca="false">IF(OR(SprintBurndown[[#This Row],[Day]]="",SprintBurndown[[#This Row],[Day]]&gt;StatusDate),"",agl_CurCommitted-SUMIFS(tsk_LeafPoints,tsk_Sprint,CurrentSprint,tsk_DoneDate,"&lt;="&amp;SprintBurndown[[#This Row],[Day]]))</f>
        <v/>
      </c>
      <c r="E54" s="85" t="n">
        <f aca="false">IF(SprintBurndown[[#This Row],[Day]]="","",agl_CurCommitted*MAX(0,1-NETWORKDAYS.INTL(CurrentSprintStart,SprintBurndown[[#This Row],[Day]],WorkWeek,Holidays)/MAX(1,NETWORKDAYS.INTL(CurrentSprintStart,CurrentSprintEnd,WorkWeek,Holidays))))</f>
        <v>0.8</v>
      </c>
      <c r="F54" s="86" t="str">
        <f aca="false">IF(SprintBurndown[[#This Row],[Day]]="","",TEXT(SprintBurndown[[#This Row],[Day]],"dd-mmm"))</f>
        <v>29-Oct</v>
      </c>
      <c r="G54" s="86" t="e">
        <f aca="false">IF(SprintBurndown[[#This Row],[Remaining]]="",NA(),SprintBurndown[[#This Row],[Remaining]])</f>
        <v>#N/A</v>
      </c>
      <c r="H54" s="87" t="n">
        <f aca="false">IF(SprintBurndown[[#This Row],[Ideal]]="",NA(),SprintBurndown[[#This Row],[Ideal]])</f>
        <v>0.8</v>
      </c>
    </row>
    <row r="55" customFormat="false" ht="15" hidden="false" customHeight="false" outlineLevel="0" collapsed="false">
      <c r="C55" s="25" t="n">
        <f aca="false">IF(OR(CurrentSprint="",ROW()-ROW(SprintBurndown[[#Headers],[Day]])&gt;SprintLength),"",CurrentSprintStart+ROW()-ROW(SprintBurndown[[#Headers],[Day]])-1)</f>
        <v>46325</v>
      </c>
      <c r="D55" s="85" t="str">
        <f aca="false">IF(OR(SprintBurndown[[#This Row],[Day]]="",SprintBurndown[[#This Row],[Day]]&gt;StatusDate),"",agl_CurCommitted-SUMIFS(tsk_LeafPoints,tsk_Sprint,CurrentSprint,tsk_DoneDate,"&lt;="&amp;SprintBurndown[[#This Row],[Day]]))</f>
        <v/>
      </c>
      <c r="E55" s="85" t="n">
        <f aca="false">IF(SprintBurndown[[#This Row],[Day]]="","",agl_CurCommitted*MAX(0,1-NETWORKDAYS.INTL(CurrentSprintStart,SprintBurndown[[#This Row],[Day]],WorkWeek,Holidays)/MAX(1,NETWORKDAYS.INTL(CurrentSprintStart,CurrentSprintEnd,WorkWeek,Holidays))))</f>
        <v>0</v>
      </c>
      <c r="F55" s="86" t="str">
        <f aca="false">IF(SprintBurndown[[#This Row],[Day]]="","",TEXT(SprintBurndown[[#This Row],[Day]],"dd-mmm"))</f>
        <v>30-Oct</v>
      </c>
      <c r="G55" s="86" t="e">
        <f aca="false">IF(SprintBurndown[[#This Row],[Remaining]]="",NA(),SprintBurndown[[#This Row],[Remaining]])</f>
        <v>#N/A</v>
      </c>
      <c r="H55" s="87" t="n">
        <f aca="false">IF(SprintBurndown[[#This Row],[Ideal]]="",NA(),SprintBurndown[[#This Row],[Ideal]])</f>
        <v>0</v>
      </c>
    </row>
    <row r="56" customFormat="false" ht="15" hidden="false" customHeight="false" outlineLevel="0" collapsed="false">
      <c r="C56" s="25" t="n">
        <f aca="false">IF(OR(CurrentSprint="",ROW()-ROW(SprintBurndown[[#Headers],[Day]])&gt;SprintLength),"",CurrentSprintStart+ROW()-ROW(SprintBurndown[[#Headers],[Day]])-1)</f>
        <v>46326</v>
      </c>
      <c r="D56" s="85" t="str">
        <f aca="false">IF(OR(SprintBurndown[[#This Row],[Day]]="",SprintBurndown[[#This Row],[Day]]&gt;StatusDate),"",agl_CurCommitted-SUMIFS(tsk_LeafPoints,tsk_Sprint,CurrentSprint,tsk_DoneDate,"&lt;="&amp;SprintBurndown[[#This Row],[Day]]))</f>
        <v/>
      </c>
      <c r="E56" s="85" t="n">
        <f aca="false">IF(SprintBurndown[[#This Row],[Day]]="","",agl_CurCommitted*MAX(0,1-NETWORKDAYS.INTL(CurrentSprintStart,SprintBurndown[[#This Row],[Day]],WorkWeek,Holidays)/MAX(1,NETWORKDAYS.INTL(CurrentSprintStart,CurrentSprintEnd,WorkWeek,Holidays))))</f>
        <v>0</v>
      </c>
      <c r="F56" s="86" t="str">
        <f aca="false">IF(SprintBurndown[[#This Row],[Day]]="","",TEXT(SprintBurndown[[#This Row],[Day]],"dd-mmm"))</f>
        <v>31-Oct</v>
      </c>
      <c r="G56" s="86" t="e">
        <f aca="false">IF(SprintBurndown[[#This Row],[Remaining]]="",NA(),SprintBurndown[[#This Row],[Remaining]])</f>
        <v>#N/A</v>
      </c>
      <c r="H56" s="87" t="n">
        <f aca="false">IF(SprintBurndown[[#This Row],[Ideal]]="",NA(),SprintBurndown[[#This Row],[Ideal]])</f>
        <v>0</v>
      </c>
    </row>
    <row r="57" customFormat="false" ht="15" hidden="false" customHeight="false" outlineLevel="0" collapsed="false">
      <c r="C57" s="25" t="n">
        <f aca="false">IF(OR(CurrentSprint="",ROW()-ROW(SprintBurndown[[#Headers],[Day]])&gt;SprintLength),"",CurrentSprintStart+ROW()-ROW(SprintBurndown[[#Headers],[Day]])-1)</f>
        <v>46327</v>
      </c>
      <c r="D57" s="85" t="str">
        <f aca="false">IF(OR(SprintBurndown[[#This Row],[Day]]="",SprintBurndown[[#This Row],[Day]]&gt;StatusDate),"",agl_CurCommitted-SUMIFS(tsk_LeafPoints,tsk_Sprint,CurrentSprint,tsk_DoneDate,"&lt;="&amp;SprintBurndown[[#This Row],[Day]]))</f>
        <v/>
      </c>
      <c r="E57" s="85" t="n">
        <f aca="false">IF(SprintBurndown[[#This Row],[Day]]="","",agl_CurCommitted*MAX(0,1-NETWORKDAYS.INTL(CurrentSprintStart,SprintBurndown[[#This Row],[Day]],WorkWeek,Holidays)/MAX(1,NETWORKDAYS.INTL(CurrentSprintStart,CurrentSprintEnd,WorkWeek,Holidays))))</f>
        <v>0</v>
      </c>
      <c r="F57" s="86" t="str">
        <f aca="false">IF(SprintBurndown[[#This Row],[Day]]="","",TEXT(SprintBurndown[[#This Row],[Day]],"dd-mmm"))</f>
        <v>01-Nov</v>
      </c>
      <c r="G57" s="86" t="e">
        <f aca="false">IF(SprintBurndown[[#This Row],[Remaining]]="",NA(),SprintBurndown[[#This Row],[Remaining]])</f>
        <v>#N/A</v>
      </c>
      <c r="H57" s="87" t="n">
        <f aca="false">IF(SprintBurndown[[#This Row],[Ideal]]="",NA(),SprintBurndown[[#This Row],[Ideal]])</f>
        <v>0</v>
      </c>
    </row>
    <row r="58" customFormat="false" ht="15" hidden="false" customHeight="false" outlineLevel="0" collapsed="false">
      <c r="C58" s="25" t="str">
        <f aca="false">IF(OR(CurrentSprint="",ROW()-ROW(SprintBurndown[[#Headers],[Day]])&gt;SprintLength),"",CurrentSprintStart+ROW()-ROW(SprintBurndown[[#Headers],[Day]])-1)</f>
        <v/>
      </c>
      <c r="D58" s="85" t="str">
        <f aca="false">IF(OR(SprintBurndown[[#This Row],[Day]]="",SprintBurndown[[#This Row],[Day]]&gt;StatusDate),"",agl_CurCommitted-SUMIFS(tsk_LeafPoints,tsk_Sprint,CurrentSprint,tsk_DoneDate,"&lt;="&amp;SprintBurndown[[#This Row],[Day]]))</f>
        <v/>
      </c>
      <c r="E58" s="85" t="str">
        <f aca="false">IF(SprintBurndown[[#This Row],[Day]]="","",agl_CurCommitted*MAX(0,1-NETWORKDAYS.INTL(CurrentSprintStart,SprintBurndown[[#This Row],[Day]],WorkWeek,Holidays)/MAX(1,NETWORKDAYS.INTL(CurrentSprintStart,CurrentSprintEnd,WorkWeek,Holidays))))</f>
        <v/>
      </c>
      <c r="F58" s="86" t="str">
        <f aca="false">IF(SprintBurndown[[#This Row],[Day]]="","",TEXT(SprintBurndown[[#This Row],[Day]],"dd-mmm"))</f>
        <v/>
      </c>
      <c r="G58" s="86" t="e">
        <f aca="false">IF(SprintBurndown[[#This Row],[Remaining]]="",NA(),SprintBurndown[[#This Row],[Remaining]])</f>
        <v>#N/A</v>
      </c>
      <c r="H58" s="86" t="e">
        <f aca="false">IF(SprintBurndown[[#This Row],[Ideal]]="",NA(),SprintBurndown[[#This Row],[Ideal]])</f>
        <v>#N/A</v>
      </c>
    </row>
    <row r="59" customFormat="false" ht="15" hidden="false" customHeight="false" outlineLevel="0" collapsed="false">
      <c r="C59" s="25" t="str">
        <f aca="false">IF(OR(CurrentSprint="",ROW()-ROW(SprintBurndown[[#Headers],[Day]])&gt;SprintLength),"",CurrentSprintStart+ROW()-ROW(SprintBurndown[[#Headers],[Day]])-1)</f>
        <v/>
      </c>
      <c r="D59" s="85" t="str">
        <f aca="false">IF(OR(SprintBurndown[[#This Row],[Day]]="",SprintBurndown[[#This Row],[Day]]&gt;StatusDate),"",agl_CurCommitted-SUMIFS(tsk_LeafPoints,tsk_Sprint,CurrentSprint,tsk_DoneDate,"&lt;="&amp;SprintBurndown[[#This Row],[Day]]))</f>
        <v/>
      </c>
      <c r="E59" s="85" t="str">
        <f aca="false">IF(SprintBurndown[[#This Row],[Day]]="","",agl_CurCommitted*MAX(0,1-NETWORKDAYS.INTL(CurrentSprintStart,SprintBurndown[[#This Row],[Day]],WorkWeek,Holidays)/MAX(1,NETWORKDAYS.INTL(CurrentSprintStart,CurrentSprintEnd,WorkWeek,Holidays))))</f>
        <v/>
      </c>
      <c r="F59" s="86" t="str">
        <f aca="false">IF(SprintBurndown[[#This Row],[Day]]="","",TEXT(SprintBurndown[[#This Row],[Day]],"dd-mmm"))</f>
        <v/>
      </c>
      <c r="G59" s="86" t="e">
        <f aca="false">IF(SprintBurndown[[#This Row],[Remaining]]="",NA(),SprintBurndown[[#This Row],[Remaining]])</f>
        <v>#N/A</v>
      </c>
      <c r="H59" s="86" t="e">
        <f aca="false">IF(SprintBurndown[[#This Row],[Ideal]]="",NA(),SprintBurndown[[#This Row],[Ideal]])</f>
        <v>#N/A</v>
      </c>
    </row>
    <row r="60" customFormat="false" ht="15" hidden="false" customHeight="false" outlineLevel="0" collapsed="false">
      <c r="C60" s="25" t="str">
        <f aca="false">IF(OR(CurrentSprint="",ROW()-ROW(SprintBurndown[[#Headers],[Day]])&gt;SprintLength),"",CurrentSprintStart+ROW()-ROW(SprintBurndown[[#Headers],[Day]])-1)</f>
        <v/>
      </c>
      <c r="D60" s="85" t="str">
        <f aca="false">IF(OR(SprintBurndown[[#This Row],[Day]]="",SprintBurndown[[#This Row],[Day]]&gt;StatusDate),"",agl_CurCommitted-SUMIFS(tsk_LeafPoints,tsk_Sprint,CurrentSprint,tsk_DoneDate,"&lt;="&amp;SprintBurndown[[#This Row],[Day]]))</f>
        <v/>
      </c>
      <c r="E60" s="85" t="str">
        <f aca="false">IF(SprintBurndown[[#This Row],[Day]]="","",agl_CurCommitted*MAX(0,1-NETWORKDAYS.INTL(CurrentSprintStart,SprintBurndown[[#This Row],[Day]],WorkWeek,Holidays)/MAX(1,NETWORKDAYS.INTL(CurrentSprintStart,CurrentSprintEnd,WorkWeek,Holidays))))</f>
        <v/>
      </c>
      <c r="F60" s="86" t="str">
        <f aca="false">IF(SprintBurndown[[#This Row],[Day]]="","",TEXT(SprintBurndown[[#This Row],[Day]],"dd-mmm"))</f>
        <v/>
      </c>
      <c r="G60" s="86" t="e">
        <f aca="false">IF(SprintBurndown[[#This Row],[Remaining]]="",NA(),SprintBurndown[[#This Row],[Remaining]])</f>
        <v>#N/A</v>
      </c>
      <c r="H60" s="86" t="e">
        <f aca="false">IF(SprintBurndown[[#This Row],[Ideal]]="",NA(),SprintBurndown[[#This Row],[Ideal]])</f>
        <v>#N/A</v>
      </c>
    </row>
    <row r="61" customFormat="false" ht="15" hidden="false" customHeight="false" outlineLevel="0" collapsed="false">
      <c r="C61" s="25" t="str">
        <f aca="false">IF(OR(CurrentSprint="",ROW()-ROW(SprintBurndown[[#Headers],[Day]])&gt;SprintLength),"",CurrentSprintStart+ROW()-ROW(SprintBurndown[[#Headers],[Day]])-1)</f>
        <v/>
      </c>
      <c r="D61" s="85" t="str">
        <f aca="false">IF(OR(SprintBurndown[[#This Row],[Day]]="",SprintBurndown[[#This Row],[Day]]&gt;StatusDate),"",agl_CurCommitted-SUMIFS(tsk_LeafPoints,tsk_Sprint,CurrentSprint,tsk_DoneDate,"&lt;="&amp;SprintBurndown[[#This Row],[Day]]))</f>
        <v/>
      </c>
      <c r="E61" s="85" t="str">
        <f aca="false">IF(SprintBurndown[[#This Row],[Day]]="","",agl_CurCommitted*MAX(0,1-NETWORKDAYS.INTL(CurrentSprintStart,SprintBurndown[[#This Row],[Day]],WorkWeek,Holidays)/MAX(1,NETWORKDAYS.INTL(CurrentSprintStart,CurrentSprintEnd,WorkWeek,Holidays))))</f>
        <v/>
      </c>
      <c r="F61" s="86" t="str">
        <f aca="false">IF(SprintBurndown[[#This Row],[Day]]="","",TEXT(SprintBurndown[[#This Row],[Day]],"dd-mmm"))</f>
        <v/>
      </c>
      <c r="G61" s="86" t="e">
        <f aca="false">IF(SprintBurndown[[#This Row],[Remaining]]="",NA(),SprintBurndown[[#This Row],[Remaining]])</f>
        <v>#N/A</v>
      </c>
      <c r="H61" s="86" t="e">
        <f aca="false">IF(SprintBurndown[[#This Row],[Ideal]]="",NA(),SprintBurndown[[#This Row],[Ideal]])</f>
        <v>#N/A</v>
      </c>
    </row>
    <row r="62" customFormat="false" ht="15" hidden="false" customHeight="false" outlineLevel="0" collapsed="false">
      <c r="C62" s="25" t="str">
        <f aca="false">IF(OR(CurrentSprint="",ROW()-ROW(SprintBurndown[[#Headers],[Day]])&gt;SprintLength),"",CurrentSprintStart+ROW()-ROW(SprintBurndown[[#Headers],[Day]])-1)</f>
        <v/>
      </c>
      <c r="D62" s="85" t="str">
        <f aca="false">IF(OR(SprintBurndown[[#This Row],[Day]]="",SprintBurndown[[#This Row],[Day]]&gt;StatusDate),"",agl_CurCommitted-SUMIFS(tsk_LeafPoints,tsk_Sprint,CurrentSprint,tsk_DoneDate,"&lt;="&amp;SprintBurndown[[#This Row],[Day]]))</f>
        <v/>
      </c>
      <c r="E62" s="85" t="str">
        <f aca="false">IF(SprintBurndown[[#This Row],[Day]]="","",agl_CurCommitted*MAX(0,1-NETWORKDAYS.INTL(CurrentSprintStart,SprintBurndown[[#This Row],[Day]],WorkWeek,Holidays)/MAX(1,NETWORKDAYS.INTL(CurrentSprintStart,CurrentSprintEnd,WorkWeek,Holidays))))</f>
        <v/>
      </c>
      <c r="F62" s="86" t="str">
        <f aca="false">IF(SprintBurndown[[#This Row],[Day]]="","",TEXT(SprintBurndown[[#This Row],[Day]],"dd-mmm"))</f>
        <v/>
      </c>
      <c r="G62" s="86" t="e">
        <f aca="false">IF(SprintBurndown[[#This Row],[Remaining]]="",NA(),SprintBurndown[[#This Row],[Remaining]])</f>
        <v>#N/A</v>
      </c>
      <c r="H62" s="86" t="e">
        <f aca="false">IF(SprintBurndown[[#This Row],[Ideal]]="",NA(),SprintBurndown[[#This Row],[Ideal]])</f>
        <v>#N/A</v>
      </c>
    </row>
    <row r="63" customFormat="false" ht="15" hidden="false" customHeight="false" outlineLevel="0" collapsed="false">
      <c r="C63" s="25" t="str">
        <f aca="false">IF(OR(CurrentSprint="",ROW()-ROW(SprintBurndown[[#Headers],[Day]])&gt;SprintLength),"",CurrentSprintStart+ROW()-ROW(SprintBurndown[[#Headers],[Day]])-1)</f>
        <v/>
      </c>
      <c r="D63" s="85" t="str">
        <f aca="false">IF(OR(SprintBurndown[[#This Row],[Day]]="",SprintBurndown[[#This Row],[Day]]&gt;StatusDate),"",agl_CurCommitted-SUMIFS(tsk_LeafPoints,tsk_Sprint,CurrentSprint,tsk_DoneDate,"&lt;="&amp;SprintBurndown[[#This Row],[Day]]))</f>
        <v/>
      </c>
      <c r="E63" s="85" t="str">
        <f aca="false">IF(SprintBurndown[[#This Row],[Day]]="","",agl_CurCommitted*MAX(0,1-NETWORKDAYS.INTL(CurrentSprintStart,SprintBurndown[[#This Row],[Day]],WorkWeek,Holidays)/MAX(1,NETWORKDAYS.INTL(CurrentSprintStart,CurrentSprintEnd,WorkWeek,Holidays))))</f>
        <v/>
      </c>
      <c r="F63" s="86" t="str">
        <f aca="false">IF(SprintBurndown[[#This Row],[Day]]="","",TEXT(SprintBurndown[[#This Row],[Day]],"dd-mmm"))</f>
        <v/>
      </c>
      <c r="G63" s="86" t="e">
        <f aca="false">IF(SprintBurndown[[#This Row],[Remaining]]="",NA(),SprintBurndown[[#This Row],[Remaining]])</f>
        <v>#N/A</v>
      </c>
      <c r="H63" s="86" t="e">
        <f aca="false">IF(SprintBurndown[[#This Row],[Ideal]]="",NA(),SprintBurndown[[#This Row],[Ideal]])</f>
        <v>#N/A</v>
      </c>
    </row>
    <row r="64" customFormat="false" ht="15" hidden="false" customHeight="false" outlineLevel="0" collapsed="false">
      <c r="C64" s="25" t="str">
        <f aca="false">IF(OR(CurrentSprint="",ROW()-ROW(SprintBurndown[[#Headers],[Day]])&gt;SprintLength),"",CurrentSprintStart+ROW()-ROW(SprintBurndown[[#Headers],[Day]])-1)</f>
        <v/>
      </c>
      <c r="D64" s="85" t="str">
        <f aca="false">IF(OR(SprintBurndown[[#This Row],[Day]]="",SprintBurndown[[#This Row],[Day]]&gt;StatusDate),"",agl_CurCommitted-SUMIFS(tsk_LeafPoints,tsk_Sprint,CurrentSprint,tsk_DoneDate,"&lt;="&amp;SprintBurndown[[#This Row],[Day]]))</f>
        <v/>
      </c>
      <c r="E64" s="85" t="str">
        <f aca="false">IF(SprintBurndown[[#This Row],[Day]]="","",agl_CurCommitted*MAX(0,1-NETWORKDAYS.INTL(CurrentSprintStart,SprintBurndown[[#This Row],[Day]],WorkWeek,Holidays)/MAX(1,NETWORKDAYS.INTL(CurrentSprintStart,CurrentSprintEnd,WorkWeek,Holidays))))</f>
        <v/>
      </c>
      <c r="F64" s="86" t="str">
        <f aca="false">IF(SprintBurndown[[#This Row],[Day]]="","",TEXT(SprintBurndown[[#This Row],[Day]],"dd-mmm"))</f>
        <v/>
      </c>
      <c r="G64" s="86" t="e">
        <f aca="false">IF(SprintBurndown[[#This Row],[Remaining]]="",NA(),SprintBurndown[[#This Row],[Remaining]])</f>
        <v>#N/A</v>
      </c>
      <c r="H64" s="86" t="e">
        <f aca="false">IF(SprintBurndown[[#This Row],[Ideal]]="",NA(),SprintBurndown[[#This Row],[Ideal]])</f>
        <v>#N/A</v>
      </c>
    </row>
    <row r="65" customFormat="false" ht="15" hidden="false" customHeight="false" outlineLevel="0" collapsed="false">
      <c r="C65" s="25" t="str">
        <f aca="false">IF(OR(CurrentSprint="",ROW()-ROW(SprintBurndown[[#Headers],[Day]])&gt;SprintLength),"",CurrentSprintStart+ROW()-ROW(SprintBurndown[[#Headers],[Day]])-1)</f>
        <v/>
      </c>
      <c r="D65" s="85" t="str">
        <f aca="false">IF(OR(SprintBurndown[[#This Row],[Day]]="",SprintBurndown[[#This Row],[Day]]&gt;StatusDate),"",agl_CurCommitted-SUMIFS(tsk_LeafPoints,tsk_Sprint,CurrentSprint,tsk_DoneDate,"&lt;="&amp;SprintBurndown[[#This Row],[Day]]))</f>
        <v/>
      </c>
      <c r="E65" s="85" t="str">
        <f aca="false">IF(SprintBurndown[[#This Row],[Day]]="","",agl_CurCommitted*MAX(0,1-NETWORKDAYS.INTL(CurrentSprintStart,SprintBurndown[[#This Row],[Day]],WorkWeek,Holidays)/MAX(1,NETWORKDAYS.INTL(CurrentSprintStart,CurrentSprintEnd,WorkWeek,Holidays))))</f>
        <v/>
      </c>
      <c r="F65" s="86" t="str">
        <f aca="false">IF(SprintBurndown[[#This Row],[Day]]="","",TEXT(SprintBurndown[[#This Row],[Day]],"dd-mmm"))</f>
        <v/>
      </c>
      <c r="G65" s="86" t="e">
        <f aca="false">IF(SprintBurndown[[#This Row],[Remaining]]="",NA(),SprintBurndown[[#This Row],[Remaining]])</f>
        <v>#N/A</v>
      </c>
      <c r="H65" s="86" t="e">
        <f aca="false">IF(SprintBurndown[[#This Row],[Ideal]]="",NA(),SprintBurndown[[#This Row],[Ideal]])</f>
        <v>#N/A</v>
      </c>
    </row>
    <row r="66" customFormat="false" ht="15" hidden="false" customHeight="false" outlineLevel="0" collapsed="false">
      <c r="C66" s="25" t="str">
        <f aca="false">IF(OR(CurrentSprint="",ROW()-ROW(SprintBurndown[[#Headers],[Day]])&gt;SprintLength),"",CurrentSprintStart+ROW()-ROW(SprintBurndown[[#Headers],[Day]])-1)</f>
        <v/>
      </c>
      <c r="D66" s="85" t="str">
        <f aca="false">IF(OR(SprintBurndown[[#This Row],[Day]]="",SprintBurndown[[#This Row],[Day]]&gt;StatusDate),"",agl_CurCommitted-SUMIFS(tsk_LeafPoints,tsk_Sprint,CurrentSprint,tsk_DoneDate,"&lt;="&amp;SprintBurndown[[#This Row],[Day]]))</f>
        <v/>
      </c>
      <c r="E66" s="85" t="str">
        <f aca="false">IF(SprintBurndown[[#This Row],[Day]]="","",agl_CurCommitted*MAX(0,1-NETWORKDAYS.INTL(CurrentSprintStart,SprintBurndown[[#This Row],[Day]],WorkWeek,Holidays)/MAX(1,NETWORKDAYS.INTL(CurrentSprintStart,CurrentSprintEnd,WorkWeek,Holidays))))</f>
        <v/>
      </c>
      <c r="F66" s="86" t="str">
        <f aca="false">IF(SprintBurndown[[#This Row],[Day]]="","",TEXT(SprintBurndown[[#This Row],[Day]],"dd-mmm"))</f>
        <v/>
      </c>
      <c r="G66" s="86" t="e">
        <f aca="false">IF(SprintBurndown[[#This Row],[Remaining]]="",NA(),SprintBurndown[[#This Row],[Remaining]])</f>
        <v>#N/A</v>
      </c>
      <c r="H66" s="86" t="e">
        <f aca="false">IF(SprintBurndown[[#This Row],[Ideal]]="",NA(),SprintBurndown[[#This Row],[Ideal]])</f>
        <v>#N/A</v>
      </c>
    </row>
    <row r="67" customFormat="false" ht="15" hidden="false" customHeight="false" outlineLevel="0" collapsed="false">
      <c r="C67" s="25" t="str">
        <f aca="false">IF(OR(CurrentSprint="",ROW()-ROW(SprintBurndown[[#Headers],[Day]])&gt;SprintLength),"",CurrentSprintStart+ROW()-ROW(SprintBurndown[[#Headers],[Day]])-1)</f>
        <v/>
      </c>
      <c r="D67" s="85" t="str">
        <f aca="false">IF(OR(SprintBurndown[[#This Row],[Day]]="",SprintBurndown[[#This Row],[Day]]&gt;StatusDate),"",agl_CurCommitted-SUMIFS(tsk_LeafPoints,tsk_Sprint,CurrentSprint,tsk_DoneDate,"&lt;="&amp;SprintBurndown[[#This Row],[Day]]))</f>
        <v/>
      </c>
      <c r="E67" s="85" t="str">
        <f aca="false">IF(SprintBurndown[[#This Row],[Day]]="","",agl_CurCommitted*MAX(0,1-NETWORKDAYS.INTL(CurrentSprintStart,SprintBurndown[[#This Row],[Day]],WorkWeek,Holidays)/MAX(1,NETWORKDAYS.INTL(CurrentSprintStart,CurrentSprintEnd,WorkWeek,Holidays))))</f>
        <v/>
      </c>
      <c r="F67" s="86" t="str">
        <f aca="false">IF(SprintBurndown[[#This Row],[Day]]="","",TEXT(SprintBurndown[[#This Row],[Day]],"dd-mmm"))</f>
        <v/>
      </c>
      <c r="G67" s="86" t="e">
        <f aca="false">IF(SprintBurndown[[#This Row],[Remaining]]="",NA(),SprintBurndown[[#This Row],[Remaining]])</f>
        <v>#N/A</v>
      </c>
      <c r="H67" s="86" t="e">
        <f aca="false">IF(SprintBurndown[[#This Row],[Ideal]]="",NA(),SprintBurndown[[#This Row],[Ideal]])</f>
        <v>#N/A</v>
      </c>
    </row>
    <row r="68" customFormat="false" ht="15" hidden="false" customHeight="false" outlineLevel="0" collapsed="false">
      <c r="C68" s="25" t="str">
        <f aca="false">IF(OR(CurrentSprint="",ROW()-ROW(SprintBurndown[[#Headers],[Day]])&gt;SprintLength),"",CurrentSprintStart+ROW()-ROW(SprintBurndown[[#Headers],[Day]])-1)</f>
        <v/>
      </c>
      <c r="D68" s="85" t="str">
        <f aca="false">IF(OR(SprintBurndown[[#This Row],[Day]]="",SprintBurndown[[#This Row],[Day]]&gt;StatusDate),"",agl_CurCommitted-SUMIFS(tsk_LeafPoints,tsk_Sprint,CurrentSprint,tsk_DoneDate,"&lt;="&amp;SprintBurndown[[#This Row],[Day]]))</f>
        <v/>
      </c>
      <c r="E68" s="85" t="str">
        <f aca="false">IF(SprintBurndown[[#This Row],[Day]]="","",agl_CurCommitted*MAX(0,1-NETWORKDAYS.INTL(CurrentSprintStart,SprintBurndown[[#This Row],[Day]],WorkWeek,Holidays)/MAX(1,NETWORKDAYS.INTL(CurrentSprintStart,CurrentSprintEnd,WorkWeek,Holidays))))</f>
        <v/>
      </c>
      <c r="F68" s="86" t="str">
        <f aca="false">IF(SprintBurndown[[#This Row],[Day]]="","",TEXT(SprintBurndown[[#This Row],[Day]],"dd-mmm"))</f>
        <v/>
      </c>
      <c r="G68" s="86" t="e">
        <f aca="false">IF(SprintBurndown[[#This Row],[Remaining]]="",NA(),SprintBurndown[[#This Row],[Remaining]])</f>
        <v>#N/A</v>
      </c>
      <c r="H68" s="86" t="e">
        <f aca="false">IF(SprintBurndown[[#This Row],[Ideal]]="",NA(),SprintBurndown[[#This Row],[Ideal]])</f>
        <v>#N/A</v>
      </c>
    </row>
    <row r="69" customFormat="false" ht="15" hidden="false" customHeight="false" outlineLevel="0" collapsed="false">
      <c r="C69" s="25" t="str">
        <f aca="false">IF(OR(CurrentSprint="",ROW()-ROW(SprintBurndown[[#Headers],[Day]])&gt;SprintLength),"",CurrentSprintStart+ROW()-ROW(SprintBurndown[[#Headers],[Day]])-1)</f>
        <v/>
      </c>
      <c r="D69" s="85" t="str">
        <f aca="false">IF(OR(SprintBurndown[[#This Row],[Day]]="",SprintBurndown[[#This Row],[Day]]&gt;StatusDate),"",agl_CurCommitted-SUMIFS(tsk_LeafPoints,tsk_Sprint,CurrentSprint,tsk_DoneDate,"&lt;="&amp;SprintBurndown[[#This Row],[Day]]))</f>
        <v/>
      </c>
      <c r="E69" s="85" t="str">
        <f aca="false">IF(SprintBurndown[[#This Row],[Day]]="","",agl_CurCommitted*MAX(0,1-NETWORKDAYS.INTL(CurrentSprintStart,SprintBurndown[[#This Row],[Day]],WorkWeek,Holidays)/MAX(1,NETWORKDAYS.INTL(CurrentSprintStart,CurrentSprintEnd,WorkWeek,Holidays))))</f>
        <v/>
      </c>
      <c r="F69" s="86" t="str">
        <f aca="false">IF(SprintBurndown[[#This Row],[Day]]="","",TEXT(SprintBurndown[[#This Row],[Day]],"dd-mmm"))</f>
        <v/>
      </c>
      <c r="G69" s="86" t="e">
        <f aca="false">IF(SprintBurndown[[#This Row],[Remaining]]="",NA(),SprintBurndown[[#This Row],[Remaining]])</f>
        <v>#N/A</v>
      </c>
      <c r="H69" s="86" t="e">
        <f aca="false">IF(SprintBurndown[[#This Row],[Ideal]]="",NA(),SprintBurndown[[#This Row],[Ideal]])</f>
        <v>#N/A</v>
      </c>
    </row>
    <row r="70" customFormat="false" ht="15" hidden="false" customHeight="false" outlineLevel="0" collapsed="false">
      <c r="C70" s="25" t="str">
        <f aca="false">IF(OR(CurrentSprint="",ROW()-ROW(SprintBurndown[[#Headers],[Day]])&gt;SprintLength),"",CurrentSprintStart+ROW()-ROW(SprintBurndown[[#Headers],[Day]])-1)</f>
        <v/>
      </c>
      <c r="D70" s="85" t="str">
        <f aca="false">IF(OR(SprintBurndown[[#This Row],[Day]]="",SprintBurndown[[#This Row],[Day]]&gt;StatusDate),"",agl_CurCommitted-SUMIFS(tsk_LeafPoints,tsk_Sprint,CurrentSprint,tsk_DoneDate,"&lt;="&amp;SprintBurndown[[#This Row],[Day]]))</f>
        <v/>
      </c>
      <c r="E70" s="85" t="str">
        <f aca="false">IF(SprintBurndown[[#This Row],[Day]]="","",agl_CurCommitted*MAX(0,1-NETWORKDAYS.INTL(CurrentSprintStart,SprintBurndown[[#This Row],[Day]],WorkWeek,Holidays)/MAX(1,NETWORKDAYS.INTL(CurrentSprintStart,CurrentSprintEnd,WorkWeek,Holidays))))</f>
        <v/>
      </c>
      <c r="F70" s="86" t="str">
        <f aca="false">IF(SprintBurndown[[#This Row],[Day]]="","",TEXT(SprintBurndown[[#This Row],[Day]],"dd-mmm"))</f>
        <v/>
      </c>
      <c r="G70" s="86" t="e">
        <f aca="false">IF(SprintBurndown[[#This Row],[Remaining]]="",NA(),SprintBurndown[[#This Row],[Remaining]])</f>
        <v>#N/A</v>
      </c>
      <c r="H70" s="86" t="e">
        <f aca="false">IF(SprintBurndown[[#This Row],[Ideal]]="",NA(),SprintBurndown[[#This Row],[Ideal]])</f>
        <v>#N/A</v>
      </c>
    </row>
    <row r="71" customFormat="false" ht="15" hidden="false" customHeight="false" outlineLevel="0" collapsed="false">
      <c r="C71" s="25" t="str">
        <f aca="false">IF(OR(CurrentSprint="",ROW()-ROW(SprintBurndown[[#Headers],[Day]])&gt;SprintLength),"",CurrentSprintStart+ROW()-ROW(SprintBurndown[[#Headers],[Day]])-1)</f>
        <v/>
      </c>
      <c r="D71" s="85" t="str">
        <f aca="false">IF(OR(SprintBurndown[[#This Row],[Day]]="",SprintBurndown[[#This Row],[Day]]&gt;StatusDate),"",agl_CurCommitted-SUMIFS(tsk_LeafPoints,tsk_Sprint,CurrentSprint,tsk_DoneDate,"&lt;="&amp;SprintBurndown[[#This Row],[Day]]))</f>
        <v/>
      </c>
      <c r="E71" s="85" t="str">
        <f aca="false">IF(SprintBurndown[[#This Row],[Day]]="","",agl_CurCommitted*MAX(0,1-NETWORKDAYS.INTL(CurrentSprintStart,SprintBurndown[[#This Row],[Day]],WorkWeek,Holidays)/MAX(1,NETWORKDAYS.INTL(CurrentSprintStart,CurrentSprintEnd,WorkWeek,Holidays))))</f>
        <v/>
      </c>
      <c r="F71" s="86" t="str">
        <f aca="false">IF(SprintBurndown[[#This Row],[Day]]="","",TEXT(SprintBurndown[[#This Row],[Day]],"dd-mmm"))</f>
        <v/>
      </c>
      <c r="G71" s="86" t="e">
        <f aca="false">IF(SprintBurndown[[#This Row],[Remaining]]="",NA(),SprintBurndown[[#This Row],[Remaining]])</f>
        <v>#N/A</v>
      </c>
      <c r="H71" s="86" t="e">
        <f aca="false">IF(SprintBurndown[[#This Row],[Ideal]]="",NA(),SprintBurndown[[#This Row],[Ideal]])</f>
        <v>#N/A</v>
      </c>
    </row>
    <row r="72" customFormat="false" ht="15" hidden="false" customHeight="false" outlineLevel="0" collapsed="false">
      <c r="C72" s="25" t="str">
        <f aca="false">IF(OR(CurrentSprint="",ROW()-ROW(SprintBurndown[[#Headers],[Day]])&gt;SprintLength),"",CurrentSprintStart+ROW()-ROW(SprintBurndown[[#Headers],[Day]])-1)</f>
        <v/>
      </c>
      <c r="D72" s="85" t="str">
        <f aca="false">IF(OR(SprintBurndown[[#This Row],[Day]]="",SprintBurndown[[#This Row],[Day]]&gt;StatusDate),"",agl_CurCommitted-SUMIFS(tsk_LeafPoints,tsk_Sprint,CurrentSprint,tsk_DoneDate,"&lt;="&amp;SprintBurndown[[#This Row],[Day]]))</f>
        <v/>
      </c>
      <c r="E72" s="85" t="str">
        <f aca="false">IF(SprintBurndown[[#This Row],[Day]]="","",agl_CurCommitted*MAX(0,1-NETWORKDAYS.INTL(CurrentSprintStart,SprintBurndown[[#This Row],[Day]],WorkWeek,Holidays)/MAX(1,NETWORKDAYS.INTL(CurrentSprintStart,CurrentSprintEnd,WorkWeek,Holidays))))</f>
        <v/>
      </c>
      <c r="F72" s="86" t="str">
        <f aca="false">IF(SprintBurndown[[#This Row],[Day]]="","",TEXT(SprintBurndown[[#This Row],[Day]],"dd-mmm"))</f>
        <v/>
      </c>
      <c r="G72" s="86" t="e">
        <f aca="false">IF(SprintBurndown[[#This Row],[Remaining]]="",NA(),SprintBurndown[[#This Row],[Remaining]])</f>
        <v>#N/A</v>
      </c>
      <c r="H72" s="86" t="e">
        <f aca="false">IF(SprintBurndown[[#This Row],[Ideal]]="",NA(),SprintBurndown[[#This Row],[Ideal]])</f>
        <v>#N/A</v>
      </c>
    </row>
    <row r="73" customFormat="false" ht="15" hidden="false" customHeight="false" outlineLevel="0" collapsed="false">
      <c r="C73" s="25" t="str">
        <f aca="false">IF(OR(CurrentSprint="",ROW()-ROW(SprintBurndown[[#Headers],[Day]])&gt;SprintLength),"",CurrentSprintStart+ROW()-ROW(SprintBurndown[[#Headers],[Day]])-1)</f>
        <v/>
      </c>
      <c r="D73" s="85" t="str">
        <f aca="false">IF(OR(SprintBurndown[[#This Row],[Day]]="",SprintBurndown[[#This Row],[Day]]&gt;StatusDate),"",agl_CurCommitted-SUMIFS(tsk_LeafPoints,tsk_Sprint,CurrentSprint,tsk_DoneDate,"&lt;="&amp;SprintBurndown[[#This Row],[Day]]))</f>
        <v/>
      </c>
      <c r="E73" s="85" t="str">
        <f aca="false">IF(SprintBurndown[[#This Row],[Day]]="","",agl_CurCommitted*MAX(0,1-NETWORKDAYS.INTL(CurrentSprintStart,SprintBurndown[[#This Row],[Day]],WorkWeek,Holidays)/MAX(1,NETWORKDAYS.INTL(CurrentSprintStart,CurrentSprintEnd,WorkWeek,Holidays))))</f>
        <v/>
      </c>
      <c r="F73" s="86" t="str">
        <f aca="false">IF(SprintBurndown[[#This Row],[Day]]="","",TEXT(SprintBurndown[[#This Row],[Day]],"dd-mmm"))</f>
        <v/>
      </c>
      <c r="G73" s="86" t="e">
        <f aca="false">IF(SprintBurndown[[#This Row],[Remaining]]="",NA(),SprintBurndown[[#This Row],[Remaining]])</f>
        <v>#N/A</v>
      </c>
      <c r="H73" s="86" t="e">
        <f aca="false">IF(SprintBurndown[[#This Row],[Ideal]]="",NA(),SprintBurndown[[#This Row],[Ideal]])</f>
        <v>#N/A</v>
      </c>
    </row>
    <row r="74" customFormat="false" ht="15" hidden="false" customHeight="false" outlineLevel="0" collapsed="false">
      <c r="C74" s="25" t="str">
        <f aca="false">IF(OR(CurrentSprint="",ROW()-ROW(SprintBurndown[[#Headers],[Day]])&gt;SprintLength),"",CurrentSprintStart+ROW()-ROW(SprintBurndown[[#Headers],[Day]])-1)</f>
        <v/>
      </c>
      <c r="D74" s="85" t="str">
        <f aca="false">IF(OR(SprintBurndown[[#This Row],[Day]]="",SprintBurndown[[#This Row],[Day]]&gt;StatusDate),"",agl_CurCommitted-SUMIFS(tsk_LeafPoints,tsk_Sprint,CurrentSprint,tsk_DoneDate,"&lt;="&amp;SprintBurndown[[#This Row],[Day]]))</f>
        <v/>
      </c>
      <c r="E74" s="85" t="str">
        <f aca="false">IF(SprintBurndown[[#This Row],[Day]]="","",agl_CurCommitted*MAX(0,1-NETWORKDAYS.INTL(CurrentSprintStart,SprintBurndown[[#This Row],[Day]],WorkWeek,Holidays)/MAX(1,NETWORKDAYS.INTL(CurrentSprintStart,CurrentSprintEnd,WorkWeek,Holidays))))</f>
        <v/>
      </c>
      <c r="F74" s="86" t="str">
        <f aca="false">IF(SprintBurndown[[#This Row],[Day]]="","",TEXT(SprintBurndown[[#This Row],[Day]],"dd-mmm"))</f>
        <v/>
      </c>
      <c r="G74" s="86" t="e">
        <f aca="false">IF(SprintBurndown[[#This Row],[Remaining]]="",NA(),SprintBurndown[[#This Row],[Remaining]])</f>
        <v>#N/A</v>
      </c>
      <c r="H74" s="86" t="e">
        <f aca="false">IF(SprintBurndown[[#This Row],[Ideal]]="",NA(),SprintBurndown[[#This Row],[Ideal]])</f>
        <v>#N/A</v>
      </c>
    </row>
  </sheetData>
  <conditionalFormatting sqref="F44:H74">
    <cfRule type="expression" priority="2" aboveAverage="0" equalAverage="0" bottom="0" percent="0" rank="0" text="" dxfId="36">
      <formula>ISNA(F44)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T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6"/>
    <col collapsed="false" customWidth="true" hidden="false" outlineLevel="0" max="3" min="3" style="0" width="12"/>
    <col collapsed="false" customWidth="true" hidden="false" outlineLevel="0" max="4" min="4" style="0" width="44"/>
    <col collapsed="false" customWidth="true" hidden="false" outlineLevel="0" max="5" min="5" style="0" width="16"/>
    <col collapsed="false" customWidth="true" hidden="false" outlineLevel="0" max="7" min="6" style="0" width="12"/>
    <col collapsed="false" customWidth="true" hidden="false" outlineLevel="0" max="8" min="8" style="0" width="11"/>
    <col collapsed="false" customWidth="true" hidden="false" outlineLevel="0" max="9" min="9" style="0" width="9"/>
    <col collapsed="false" customWidth="true" hidden="false" outlineLevel="0" max="10" min="10" style="0" width="8"/>
    <col collapsed="false" customWidth="true" hidden="false" outlineLevel="0" max="11" min="11" style="0" width="7"/>
    <col collapsed="false" customWidth="true" hidden="false" outlineLevel="0" max="12" min="12" style="0" width="8"/>
    <col collapsed="false" customWidth="true" hidden="false" outlineLevel="0" max="13" min="13" style="0" width="9"/>
    <col collapsed="false" customWidth="true" hidden="false" outlineLevel="0" max="14" min="14" style="0" width="8"/>
    <col collapsed="false" customWidth="true" hidden="false" outlineLevel="0" max="15" min="15" style="0" width="28"/>
    <col collapsed="false" customWidth="true" hidden="false" outlineLevel="0" max="16" min="16" style="0" width="12"/>
    <col collapsed="false" customWidth="true" hidden="false" outlineLevel="0" max="17" min="17" style="0" width="44"/>
    <col collapsed="false" customWidth="true" hidden="false" outlineLevel="0" max="18" min="18" style="0" width="30"/>
    <col collapsed="false" customWidth="true" hidden="true" outlineLevel="1" max="20" min="19" style="0" width="8"/>
  </cols>
  <sheetData>
    <row r="1" customFormat="false" ht="19.7" hidden="false" customHeight="false" outlineLevel="0" collapsed="false">
      <c r="A1" s="26" t="s">
        <v>283</v>
      </c>
    </row>
    <row r="2" customFormat="false" ht="15" hidden="false" customHeight="false" outlineLevel="0" collapsed="false">
      <c r="A2" s="8" t="s">
        <v>284</v>
      </c>
    </row>
    <row r="4" customFormat="false" ht="23.85" hidden="false" customHeight="false" outlineLevel="0" collapsed="false">
      <c r="B4" s="44" t="s">
        <v>285</v>
      </c>
      <c r="C4" s="44" t="s">
        <v>286</v>
      </c>
      <c r="D4" s="44" t="s">
        <v>287</v>
      </c>
      <c r="E4" s="44" t="s">
        <v>204</v>
      </c>
      <c r="F4" s="44" t="s">
        <v>288</v>
      </c>
      <c r="G4" s="44" t="s">
        <v>205</v>
      </c>
      <c r="H4" s="44" t="s">
        <v>99</v>
      </c>
      <c r="I4" s="44" t="s">
        <v>289</v>
      </c>
      <c r="J4" s="44" t="s">
        <v>290</v>
      </c>
      <c r="K4" s="9" t="s">
        <v>206</v>
      </c>
      <c r="L4" s="9" t="s">
        <v>207</v>
      </c>
      <c r="M4" s="9" t="s">
        <v>291</v>
      </c>
      <c r="N4" s="44" t="s">
        <v>292</v>
      </c>
      <c r="O4" s="9" t="s">
        <v>208</v>
      </c>
      <c r="P4" s="9" t="s">
        <v>293</v>
      </c>
      <c r="Q4" s="44" t="s">
        <v>203</v>
      </c>
      <c r="R4" s="44" t="s">
        <v>294</v>
      </c>
      <c r="S4" s="31" t="s">
        <v>295</v>
      </c>
      <c r="T4" s="31" t="s">
        <v>296</v>
      </c>
    </row>
    <row r="5" customFormat="false" ht="15" hidden="false" customHeight="false" outlineLevel="0" collapsed="false">
      <c r="B5" s="46" t="n">
        <v>1</v>
      </c>
      <c r="C5" s="47" t="s">
        <v>297</v>
      </c>
      <c r="D5" s="47" t="s">
        <v>298</v>
      </c>
      <c r="E5" s="47" t="s">
        <v>299</v>
      </c>
      <c r="F5" s="88" t="n">
        <v>46296</v>
      </c>
      <c r="G5" s="88" t="n">
        <v>46325</v>
      </c>
      <c r="H5" s="46" t="s">
        <v>300</v>
      </c>
      <c r="I5" s="46" t="n">
        <v>4</v>
      </c>
      <c r="J5" s="46" t="n">
        <v>4</v>
      </c>
      <c r="K5" s="56" t="n">
        <f aca="false">IF(RAIDLog[[#This Row],[Title]]="","",IF(RAIDLog[[#This Row],[Type]]="Issue",5,N(RAIDLog[[#This Row],[Probability]]))*N(RAIDLog[[#This Row],[Impact]]))</f>
        <v>16</v>
      </c>
      <c r="L5" s="45" t="str">
        <f aca="false">IF(RAIDLog[[#This Row],[Title]]="","",IF(RAIDLog[[#This Row],[Score]]&gt;=RAIDHighScore,"High",IF(RAIDLog[[#This Row],[Score]]&gt;=RAIDMediumScore,"Medium","Low")))</f>
        <v>High</v>
      </c>
      <c r="M5" s="45" t="str">
        <f aca="false">IF(OR(RAIDLog[[#This Row],[Title]]="",N(RAIDLog[[#This Row],[Due]])=0),"",IF(AND(RAIDLog[[#This Row],[Status]]&lt;&gt;"Closed",RAIDLog[[#This Row],[Due]]&lt;StatusDate),"Overdue",""))</f>
        <v/>
      </c>
      <c r="N5" s="46" t="n">
        <v>14</v>
      </c>
      <c r="O5" s="24" t="str">
        <f aca="false">IF(N(RAIDLog[[#This Row],[Task UID]])=0,"",IFERROR(INDEX(tsk_Name,MATCH(RAIDLog[[#This Row],[Task UID]],tsk_UID,0)),"UID "&amp;RAIDLog[[#This Row],[Task UID]]&amp;" not found"))</f>
        <v>Payment gateway integration</v>
      </c>
      <c r="P5" s="25" t="n">
        <f aca="false">IF(N(RAIDLog[[#This Row],[Task UID]])=0,"",IFERROR(INDEX(tsk_FcFinish,MATCH(RAIDLog[[#This Row],[Task UID]],tsk_UID,0)),""))</f>
        <v>46335</v>
      </c>
      <c r="Q5" s="47" t="s">
        <v>301</v>
      </c>
      <c r="R5" s="47" t="s">
        <v>302</v>
      </c>
      <c r="S5" s="32" t="str">
        <f aca="false">IF(RAIDLog[[#This Row],[Title]]="","",RAIDLog[[#This Row],[Type]]&amp;" "&amp;RAIDLog[[#This Row],[Ref]]&amp;": "&amp;RAIDLog[[#This Row],[Title]])</f>
        <v>Risk 1: Payment provider certification takes longer than planned</v>
      </c>
      <c r="T5" s="32" t="n">
        <f aca="false">IF(AND(NOT(RAIDLog[[#This Row],[Title]]=""),RAIDLog[[#This Row],[Status]]&lt;&gt;"Closed"),RAIDLog[[#This Row],[Score]]+1-(ROW()-ROW(RAIDLog[[#Headers],[Ref]]))/100000,"")</f>
        <v>16.99999</v>
      </c>
    </row>
    <row r="6" customFormat="false" ht="15" hidden="false" customHeight="false" outlineLevel="0" collapsed="false">
      <c r="B6" s="46" t="n">
        <v>2</v>
      </c>
      <c r="C6" s="47" t="s">
        <v>297</v>
      </c>
      <c r="D6" s="47" t="s">
        <v>303</v>
      </c>
      <c r="E6" s="47" t="s">
        <v>304</v>
      </c>
      <c r="F6" s="88" t="n">
        <v>46300</v>
      </c>
      <c r="G6" s="88" t="n">
        <v>46328</v>
      </c>
      <c r="H6" s="46" t="s">
        <v>300</v>
      </c>
      <c r="I6" s="46" t="n">
        <v>3</v>
      </c>
      <c r="J6" s="46" t="n">
        <v>3</v>
      </c>
      <c r="K6" s="56" t="n">
        <f aca="false">IF(RAIDLog[[#This Row],[Title]]="","",IF(RAIDLog[[#This Row],[Type]]="Issue",5,N(RAIDLog[[#This Row],[Probability]]))*N(RAIDLog[[#This Row],[Impact]]))</f>
        <v>9</v>
      </c>
      <c r="L6" s="45" t="str">
        <f aca="false">IF(RAIDLog[[#This Row],[Title]]="","",IF(RAIDLog[[#This Row],[Score]]&gt;=RAIDHighScore,"High",IF(RAIDLog[[#This Row],[Score]]&gt;=RAIDMediumScore,"Medium","Low")))</f>
        <v>Medium</v>
      </c>
      <c r="M6" s="45" t="str">
        <f aca="false">IF(OR(RAIDLog[[#This Row],[Title]]="",N(RAIDLog[[#This Row],[Due]])=0),"",IF(AND(RAIDLog[[#This Row],[Status]]&lt;&gt;"Closed",RAIDLog[[#This Row],[Due]]&lt;StatusDate),"Overdue",""))</f>
        <v/>
      </c>
      <c r="N6" s="46" t="n">
        <v>18</v>
      </c>
      <c r="O6" s="24" t="str">
        <f aca="false">IF(N(RAIDLog[[#This Row],[Task UID]])=0,"",IFERROR(INDEX(tsk_Name,MATCH(RAIDLog[[#This Row],[Task UID]],tsk_UID,0)),"UID "&amp;RAIDLog[[#This Row],[Task UID]]&amp;" not found"))</f>
        <v>Accessibility review</v>
      </c>
      <c r="P6" s="25" t="n">
        <f aca="false">IF(N(RAIDLog[[#This Row],[Task UID]])=0,"",IFERROR(INDEX(tsk_FcFinish,MATCH(RAIDLog[[#This Row],[Task UID]],tsk_UID,0)),""))</f>
        <v>46332</v>
      </c>
      <c r="Q6" s="47" t="s">
        <v>305</v>
      </c>
      <c r="R6" s="47"/>
      <c r="S6" s="32" t="str">
        <f aca="false">IF(RAIDLog[[#This Row],[Title]]="","",RAIDLog[[#This Row],[Type]]&amp;" "&amp;RAIDLog[[#This Row],[Ref]]&amp;": "&amp;RAIDLog[[#This Row],[Title]])</f>
        <v>Risk 2: UX designer on leave for two weeks in November</v>
      </c>
      <c r="T6" s="32" t="n">
        <f aca="false">IF(AND(NOT(RAIDLog[[#This Row],[Title]]=""),RAIDLog[[#This Row],[Status]]&lt;&gt;"Closed"),RAIDLog[[#This Row],[Score]]+1-(ROW()-ROW(RAIDLog[[#Headers],[Ref]]))/100000,"")</f>
        <v>9.99998</v>
      </c>
    </row>
    <row r="7" customFormat="false" ht="15" hidden="false" customHeight="false" outlineLevel="0" collapsed="false">
      <c r="B7" s="46" t="n">
        <v>3</v>
      </c>
      <c r="C7" s="47" t="s">
        <v>306</v>
      </c>
      <c r="D7" s="47" t="s">
        <v>307</v>
      </c>
      <c r="E7" s="47" t="s">
        <v>308</v>
      </c>
      <c r="F7" s="88" t="n">
        <v>46315</v>
      </c>
      <c r="G7" s="88" t="n">
        <v>46318</v>
      </c>
      <c r="H7" s="46" t="s">
        <v>104</v>
      </c>
      <c r="I7" s="46"/>
      <c r="J7" s="46" t="n">
        <v>4</v>
      </c>
      <c r="K7" s="56" t="n">
        <f aca="false">IF(RAIDLog[[#This Row],[Title]]="","",IF(RAIDLog[[#This Row],[Type]]="Issue",5,N(RAIDLog[[#This Row],[Probability]]))*N(RAIDLog[[#This Row],[Impact]]))</f>
        <v>20</v>
      </c>
      <c r="L7" s="45" t="str">
        <f aca="false">IF(RAIDLog[[#This Row],[Title]]="","",IF(RAIDLog[[#This Row],[Score]]&gt;=RAIDHighScore,"High",IF(RAIDLog[[#This Row],[Score]]&gt;=RAIDMediumScore,"Medium","Low")))</f>
        <v>High</v>
      </c>
      <c r="M7" s="45" t="str">
        <f aca="false">IF(OR(RAIDLog[[#This Row],[Title]]="",N(RAIDLog[[#This Row],[Due]])=0),"",IF(AND(RAIDLog[[#This Row],[Status]]&lt;&gt;"Closed",RAIDLog[[#This Row],[Due]]&lt;StatusDate),"Overdue",""))</f>
        <v>Overdue</v>
      </c>
      <c r="N7" s="46" t="n">
        <v>13</v>
      </c>
      <c r="O7" s="24" t="str">
        <f aca="false">IF(N(RAIDLog[[#This Row],[Task UID]])=0,"",IFERROR(INDEX(tsk_Name,MATCH(RAIDLog[[#This Row],[Task UID]],tsk_UID,0)),"UID "&amp;RAIDLog[[#This Row],[Task UID]]&amp;" not found"))</f>
        <v>Core API endpoints</v>
      </c>
      <c r="P7" s="25" t="n">
        <f aca="false">IF(N(RAIDLog[[#This Row],[Task UID]])=0,"",IFERROR(INDEX(tsk_FcFinish,MATCH(RAIDLog[[#This Row],[Task UID]],tsk_UID,0)),""))</f>
        <v>46325</v>
      </c>
      <c r="Q7" s="47" t="s">
        <v>309</v>
      </c>
      <c r="R7" s="47" t="s">
        <v>310</v>
      </c>
      <c r="S7" s="32" t="str">
        <f aca="false">IF(RAIDLog[[#This Row],[Title]]="","",RAIDLog[[#This Row],[Type]]&amp;" "&amp;RAIDLog[[#This Row],[Ref]]&amp;": "&amp;RAIDLog[[#This Row],[Title]])</f>
        <v>Issue 3: Core API endpoints running 6 days behind plan</v>
      </c>
      <c r="T7" s="32" t="n">
        <f aca="false">IF(AND(NOT(RAIDLog[[#This Row],[Title]]=""),RAIDLog[[#This Row],[Status]]&lt;&gt;"Closed"),RAIDLog[[#This Row],[Score]]+1-(ROW()-ROW(RAIDLog[[#Headers],[Ref]]))/100000,"")</f>
        <v>20.99997</v>
      </c>
    </row>
    <row r="8" customFormat="false" ht="15" hidden="false" customHeight="false" outlineLevel="0" collapsed="false">
      <c r="B8" s="46" t="n">
        <v>4</v>
      </c>
      <c r="C8" s="47" t="s">
        <v>311</v>
      </c>
      <c r="D8" s="47" t="s">
        <v>312</v>
      </c>
      <c r="E8" s="47" t="s">
        <v>313</v>
      </c>
      <c r="F8" s="88" t="n">
        <v>46280</v>
      </c>
      <c r="G8" s="88" t="n">
        <v>46346</v>
      </c>
      <c r="H8" s="46" t="s">
        <v>300</v>
      </c>
      <c r="I8" s="46" t="n">
        <v>2</v>
      </c>
      <c r="J8" s="46" t="n">
        <v>4</v>
      </c>
      <c r="K8" s="56" t="n">
        <f aca="false">IF(RAIDLog[[#This Row],[Title]]="","",IF(RAIDLog[[#This Row],[Type]]="Issue",5,N(RAIDLog[[#This Row],[Probability]]))*N(RAIDLog[[#This Row],[Impact]]))</f>
        <v>8</v>
      </c>
      <c r="L8" s="45" t="str">
        <f aca="false">IF(RAIDLog[[#This Row],[Title]]="","",IF(RAIDLog[[#This Row],[Score]]&gt;=RAIDHighScore,"High",IF(RAIDLog[[#This Row],[Score]]&gt;=RAIDMediumScore,"Medium","Low")))</f>
        <v>Medium</v>
      </c>
      <c r="M8" s="45" t="str">
        <f aca="false">IF(OR(RAIDLog[[#This Row],[Title]]="",N(RAIDLog[[#This Row],[Due]])=0),"",IF(AND(RAIDLog[[#This Row],[Status]]&lt;&gt;"Closed",RAIDLog[[#This Row],[Due]]&lt;StatusDate),"Overdue",""))</f>
        <v/>
      </c>
      <c r="N8" s="46" t="n">
        <v>22</v>
      </c>
      <c r="O8" s="24" t="str">
        <f aca="false">IF(N(RAIDLog[[#This Row],[Task UID]])=0,"",IFERROR(INDEX(tsk_Name,MATCH(RAIDLog[[#This Row],[Task UID]],tsk_UID,0)),"UID "&amp;RAIDLog[[#This Row],[Task UID]]&amp;" not found"))</f>
        <v>User acceptance testing</v>
      </c>
      <c r="P8" s="25" t="n">
        <f aca="false">IF(N(RAIDLog[[#This Row],[Task UID]])=0,"",IFERROR(INDEX(tsk_FcFinish,MATCH(RAIDLog[[#This Row],[Task UID]],tsk_UID,0)),""))</f>
        <v>46370</v>
      </c>
      <c r="Q8" s="47" t="s">
        <v>314</v>
      </c>
      <c r="R8" s="47"/>
      <c r="S8" s="32" t="str">
        <f aca="false">IF(RAIDLog[[#This Row],[Title]]="","",RAIDLog[[#This Row],[Type]]&amp;" "&amp;RAIDLog[[#This Row],[Ref]]&amp;": "&amp;RAIDLog[[#This Row],[Title]])</f>
        <v>Assumption 4: Client UAT team available from 7 December</v>
      </c>
      <c r="T8" s="32" t="n">
        <f aca="false">IF(AND(NOT(RAIDLog[[#This Row],[Title]]=""),RAIDLog[[#This Row],[Status]]&lt;&gt;"Closed"),RAIDLog[[#This Row],[Score]]+1-(ROW()-ROW(RAIDLog[[#Headers],[Ref]]))/100000,"")</f>
        <v>8.99996</v>
      </c>
    </row>
    <row r="9" customFormat="false" ht="15" hidden="false" customHeight="false" outlineLevel="0" collapsed="false">
      <c r="B9" s="46" t="n">
        <v>5</v>
      </c>
      <c r="C9" s="47" t="s">
        <v>315</v>
      </c>
      <c r="D9" s="47" t="s">
        <v>316</v>
      </c>
      <c r="E9" s="47" t="s">
        <v>317</v>
      </c>
      <c r="F9" s="88" t="n">
        <v>46295</v>
      </c>
      <c r="G9" s="88" t="n">
        <v>46335</v>
      </c>
      <c r="H9" s="46" t="s">
        <v>300</v>
      </c>
      <c r="I9" s="46" t="n">
        <v>3</v>
      </c>
      <c r="J9" s="46" t="n">
        <v>5</v>
      </c>
      <c r="K9" s="56" t="n">
        <f aca="false">IF(RAIDLog[[#This Row],[Title]]="","",IF(RAIDLog[[#This Row],[Type]]="Issue",5,N(RAIDLog[[#This Row],[Probability]]))*N(RAIDLog[[#This Row],[Impact]]))</f>
        <v>15</v>
      </c>
      <c r="L9" s="45" t="str">
        <f aca="false">IF(RAIDLog[[#This Row],[Title]]="","",IF(RAIDLog[[#This Row],[Score]]&gt;=RAIDHighScore,"High",IF(RAIDLog[[#This Row],[Score]]&gt;=RAIDMediumScore,"Medium","Low")))</f>
        <v>High</v>
      </c>
      <c r="M9" s="45" t="str">
        <f aca="false">IF(OR(RAIDLog[[#This Row],[Title]]="",N(RAIDLog[[#This Row],[Due]])=0),"",IF(AND(RAIDLog[[#This Row],[Status]]&lt;&gt;"Closed",RAIDLog[[#This Row],[Due]]&lt;StatusDate),"Overdue",""))</f>
        <v/>
      </c>
      <c r="N9" s="46" t="n">
        <v>21</v>
      </c>
      <c r="O9" s="24" t="str">
        <f aca="false">IF(N(RAIDLog[[#This Row],[Task UID]])=0,"",IFERROR(INDEX(tsk_Name,MATCH(RAIDLog[[#This Row],[Task UID]],tsk_UID,0)),"UID "&amp;RAIDLog[[#This Row],[Task UID]]&amp;" not found"))</f>
        <v>System integration testing</v>
      </c>
      <c r="P9" s="25" t="n">
        <f aca="false">IF(N(RAIDLog[[#This Row],[Task UID]])=0,"",IFERROR(INDEX(tsk_FcFinish,MATCH(RAIDLog[[#This Row],[Task UID]],tsk_UID,0)),""))</f>
        <v>46345</v>
      </c>
      <c r="Q9" s="47" t="s">
        <v>318</v>
      </c>
      <c r="R9" s="47" t="s">
        <v>319</v>
      </c>
      <c r="S9" s="32" t="str">
        <f aca="false">IF(RAIDLog[[#This Row],[Title]]="","",RAIDLog[[#This Row],[Type]]&amp;" "&amp;RAIDLog[[#This Row],[Ref]]&amp;": "&amp;RAIDLog[[#This Row],[Title]])</f>
        <v>Dependency 5: Test environment delivered by IT operations by 9 November</v>
      </c>
      <c r="T9" s="32" t="n">
        <f aca="false">IF(AND(NOT(RAIDLog[[#This Row],[Title]]=""),RAIDLog[[#This Row],[Status]]&lt;&gt;"Closed"),RAIDLog[[#This Row],[Score]]+1-(ROW()-ROW(RAIDLog[[#Headers],[Ref]]))/100000,"")</f>
        <v>15.99995</v>
      </c>
    </row>
    <row r="10" customFormat="false" ht="15" hidden="false" customHeight="false" outlineLevel="0" collapsed="false">
      <c r="B10" s="46" t="n">
        <v>6</v>
      </c>
      <c r="C10" s="47" t="s">
        <v>297</v>
      </c>
      <c r="D10" s="47" t="s">
        <v>320</v>
      </c>
      <c r="E10" s="47" t="s">
        <v>308</v>
      </c>
      <c r="F10" s="88" t="n">
        <v>46275</v>
      </c>
      <c r="G10" s="88" t="n">
        <v>46304</v>
      </c>
      <c r="H10" s="46" t="s">
        <v>321</v>
      </c>
      <c r="I10" s="46" t="n">
        <v>2</v>
      </c>
      <c r="J10" s="46" t="n">
        <v>3</v>
      </c>
      <c r="K10" s="56" t="n">
        <f aca="false">IF(RAIDLog[[#This Row],[Title]]="","",IF(RAIDLog[[#This Row],[Type]]="Issue",5,N(RAIDLog[[#This Row],[Probability]]))*N(RAIDLog[[#This Row],[Impact]]))</f>
        <v>6</v>
      </c>
      <c r="L10" s="45" t="str">
        <f aca="false">IF(RAIDLog[[#This Row],[Title]]="","",IF(RAIDLog[[#This Row],[Score]]&gt;=RAIDHighScore,"High",IF(RAIDLog[[#This Row],[Score]]&gt;=RAIDMediumScore,"Medium","Low")))</f>
        <v>Low</v>
      </c>
      <c r="M10" s="45" t="str">
        <f aca="false">IF(OR(RAIDLog[[#This Row],[Title]]="",N(RAIDLog[[#This Row],[Due]])=0),"",IF(AND(RAIDLog[[#This Row],[Status]]&lt;&gt;"Closed",RAIDLog[[#This Row],[Due]]&lt;StatusDate),"Overdue",""))</f>
        <v/>
      </c>
      <c r="N10" s="46" t="n">
        <v>17</v>
      </c>
      <c r="O10" s="24" t="str">
        <f aca="false">IF(N(RAIDLog[[#This Row],[Task UID]])=0,"",IFERROR(INDEX(tsk_Name,MATCH(RAIDLog[[#This Row],[Task UID]],tsk_UID,0)),"UID "&amp;RAIDLog[[#This Row],[Task UID]]&amp;" not found"))</f>
        <v>Feature screens</v>
      </c>
      <c r="P10" s="25" t="n">
        <f aca="false">IF(N(RAIDLog[[#This Row],[Task UID]])=0,"",IFERROR(INDEX(tsk_FcFinish,MATCH(RAIDLog[[#This Row],[Task UID]],tsk_UID,0)),""))</f>
        <v>46331</v>
      </c>
      <c r="Q10" s="47" t="s">
        <v>322</v>
      </c>
      <c r="R10" s="47" t="s">
        <v>323</v>
      </c>
      <c r="S10" s="32" t="str">
        <f aca="false">IF(RAIDLog[[#This Row],[Title]]="","",RAIDLog[[#This Row],[Type]]&amp;" "&amp;RAIDLog[[#This Row],[Ref]]&amp;": "&amp;RAIDLog[[#This Row],[Title]])</f>
        <v>Risk 6: Scope creep on the reporting screens</v>
      </c>
      <c r="T10" s="32" t="str">
        <f aca="false">IF(AND(NOT(RAIDLog[[#This Row],[Title]]=""),RAIDLog[[#This Row],[Status]]&lt;&gt;"Closed"),RAIDLog[[#This Row],[Score]]+1-(ROW()-ROW(RAIDLog[[#Headers],[Ref]]))/100000,"")</f>
        <v/>
      </c>
    </row>
    <row r="11" customFormat="false" ht="15" hidden="false" customHeight="false" outlineLevel="0" collapsed="false">
      <c r="B11" s="46" t="n">
        <v>7</v>
      </c>
      <c r="C11" s="47"/>
      <c r="D11" s="47"/>
      <c r="E11" s="47"/>
      <c r="F11" s="88"/>
      <c r="G11" s="88"/>
      <c r="H11" s="46"/>
      <c r="I11" s="46"/>
      <c r="J11" s="46"/>
      <c r="K11" s="56" t="str">
        <f aca="false">IF(RAIDLog[[#This Row],[Title]]="","",IF(RAIDLog[[#This Row],[Type]]="Issue",5,N(RAIDLog[[#This Row],[Probability]]))*N(RAIDLog[[#This Row],[Impact]]))</f>
        <v/>
      </c>
      <c r="L11" s="45" t="str">
        <f aca="false">IF(RAIDLog[[#This Row],[Title]]="","",IF(RAIDLog[[#This Row],[Score]]&gt;=RAIDHighScore,"High",IF(RAIDLog[[#This Row],[Score]]&gt;=RAIDMediumScore,"Medium","Low")))</f>
        <v/>
      </c>
      <c r="M11" s="45" t="str">
        <f aca="false">IF(OR(RAIDLog[[#This Row],[Title]]="",N(RAIDLog[[#This Row],[Due]])=0),"",IF(AND(RAIDLog[[#This Row],[Status]]&lt;&gt;"Closed",RAIDLog[[#This Row],[Due]]&lt;StatusDate),"Overdue",""))</f>
        <v/>
      </c>
      <c r="N11" s="46"/>
      <c r="O11" s="24" t="str">
        <f aca="false">IF(N(RAIDLog[[#This Row],[Task UID]])=0,"",IFERROR(INDEX(tsk_Name,MATCH(RAIDLog[[#This Row],[Task UID]],tsk_UID,0)),"UID "&amp;RAIDLog[[#This Row],[Task UID]]&amp;" not found"))</f>
        <v/>
      </c>
      <c r="P11" s="25" t="str">
        <f aca="false">IF(N(RAIDLog[[#This Row],[Task UID]])=0,"",IFERROR(INDEX(tsk_FcFinish,MATCH(RAIDLog[[#This Row],[Task UID]],tsk_UID,0)),""))</f>
        <v/>
      </c>
      <c r="Q11" s="47"/>
      <c r="R11" s="47"/>
      <c r="S11" s="32" t="str">
        <f aca="false">IF(RAIDLog[[#This Row],[Title]]="","",RAIDLog[[#This Row],[Type]]&amp;" "&amp;RAIDLog[[#This Row],[Ref]]&amp;": "&amp;RAIDLog[[#This Row],[Title]])</f>
        <v/>
      </c>
      <c r="T11" s="32" t="str">
        <f aca="false">IF(AND(NOT(RAIDLog[[#This Row],[Title]]=""),RAIDLog[[#This Row],[Status]]&lt;&gt;"Closed"),RAIDLog[[#This Row],[Score]]+1-(ROW()-ROW(RAIDLog[[#Headers],[Ref]]))/100000,"")</f>
        <v/>
      </c>
    </row>
    <row r="12" customFormat="false" ht="15" hidden="false" customHeight="false" outlineLevel="0" collapsed="false">
      <c r="B12" s="46" t="n">
        <v>8</v>
      </c>
      <c r="C12" s="47"/>
      <c r="D12" s="47"/>
      <c r="E12" s="47"/>
      <c r="F12" s="88"/>
      <c r="G12" s="88"/>
      <c r="H12" s="46"/>
      <c r="I12" s="46"/>
      <c r="J12" s="46"/>
      <c r="K12" s="56" t="str">
        <f aca="false">IF(RAIDLog[[#This Row],[Title]]="","",IF(RAIDLog[[#This Row],[Type]]="Issue",5,N(RAIDLog[[#This Row],[Probability]]))*N(RAIDLog[[#This Row],[Impact]]))</f>
        <v/>
      </c>
      <c r="L12" s="45" t="str">
        <f aca="false">IF(RAIDLog[[#This Row],[Title]]="","",IF(RAIDLog[[#This Row],[Score]]&gt;=RAIDHighScore,"High",IF(RAIDLog[[#This Row],[Score]]&gt;=RAIDMediumScore,"Medium","Low")))</f>
        <v/>
      </c>
      <c r="M12" s="45" t="str">
        <f aca="false">IF(OR(RAIDLog[[#This Row],[Title]]="",N(RAIDLog[[#This Row],[Due]])=0),"",IF(AND(RAIDLog[[#This Row],[Status]]&lt;&gt;"Closed",RAIDLog[[#This Row],[Due]]&lt;StatusDate),"Overdue",""))</f>
        <v/>
      </c>
      <c r="N12" s="46"/>
      <c r="O12" s="24" t="str">
        <f aca="false">IF(N(RAIDLog[[#This Row],[Task UID]])=0,"",IFERROR(INDEX(tsk_Name,MATCH(RAIDLog[[#This Row],[Task UID]],tsk_UID,0)),"UID "&amp;RAIDLog[[#This Row],[Task UID]]&amp;" not found"))</f>
        <v/>
      </c>
      <c r="P12" s="25" t="str">
        <f aca="false">IF(N(RAIDLog[[#This Row],[Task UID]])=0,"",IFERROR(INDEX(tsk_FcFinish,MATCH(RAIDLog[[#This Row],[Task UID]],tsk_UID,0)),""))</f>
        <v/>
      </c>
      <c r="Q12" s="47"/>
      <c r="R12" s="47"/>
      <c r="S12" s="32" t="str">
        <f aca="false">IF(RAIDLog[[#This Row],[Title]]="","",RAIDLog[[#This Row],[Type]]&amp;" "&amp;RAIDLog[[#This Row],[Ref]]&amp;": "&amp;RAIDLog[[#This Row],[Title]])</f>
        <v/>
      </c>
      <c r="T12" s="32" t="str">
        <f aca="false">IF(AND(NOT(RAIDLog[[#This Row],[Title]]=""),RAIDLog[[#This Row],[Status]]&lt;&gt;"Closed"),RAIDLog[[#This Row],[Score]]+1-(ROW()-ROW(RAIDLog[[#Headers],[Ref]]))/100000,"")</f>
        <v/>
      </c>
    </row>
    <row r="13" customFormat="false" ht="15" hidden="false" customHeight="false" outlineLevel="0" collapsed="false">
      <c r="B13" s="46" t="n">
        <v>9</v>
      </c>
      <c r="C13" s="47"/>
      <c r="D13" s="47"/>
      <c r="E13" s="47"/>
      <c r="F13" s="88"/>
      <c r="G13" s="88"/>
      <c r="H13" s="46"/>
      <c r="I13" s="46"/>
      <c r="J13" s="46"/>
      <c r="K13" s="56" t="str">
        <f aca="false">IF(RAIDLog[[#This Row],[Title]]="","",IF(RAIDLog[[#This Row],[Type]]="Issue",5,N(RAIDLog[[#This Row],[Probability]]))*N(RAIDLog[[#This Row],[Impact]]))</f>
        <v/>
      </c>
      <c r="L13" s="45" t="str">
        <f aca="false">IF(RAIDLog[[#This Row],[Title]]="","",IF(RAIDLog[[#This Row],[Score]]&gt;=RAIDHighScore,"High",IF(RAIDLog[[#This Row],[Score]]&gt;=RAIDMediumScore,"Medium","Low")))</f>
        <v/>
      </c>
      <c r="M13" s="45" t="str">
        <f aca="false">IF(OR(RAIDLog[[#This Row],[Title]]="",N(RAIDLog[[#This Row],[Due]])=0),"",IF(AND(RAIDLog[[#This Row],[Status]]&lt;&gt;"Closed",RAIDLog[[#This Row],[Due]]&lt;StatusDate),"Overdue",""))</f>
        <v/>
      </c>
      <c r="N13" s="46"/>
      <c r="O13" s="24" t="str">
        <f aca="false">IF(N(RAIDLog[[#This Row],[Task UID]])=0,"",IFERROR(INDEX(tsk_Name,MATCH(RAIDLog[[#This Row],[Task UID]],tsk_UID,0)),"UID "&amp;RAIDLog[[#This Row],[Task UID]]&amp;" not found"))</f>
        <v/>
      </c>
      <c r="P13" s="25" t="str">
        <f aca="false">IF(N(RAIDLog[[#This Row],[Task UID]])=0,"",IFERROR(INDEX(tsk_FcFinish,MATCH(RAIDLog[[#This Row],[Task UID]],tsk_UID,0)),""))</f>
        <v/>
      </c>
      <c r="Q13" s="47"/>
      <c r="R13" s="47"/>
      <c r="S13" s="32" t="str">
        <f aca="false">IF(RAIDLog[[#This Row],[Title]]="","",RAIDLog[[#This Row],[Type]]&amp;" "&amp;RAIDLog[[#This Row],[Ref]]&amp;": "&amp;RAIDLog[[#This Row],[Title]])</f>
        <v/>
      </c>
      <c r="T13" s="32" t="str">
        <f aca="false">IF(AND(NOT(RAIDLog[[#This Row],[Title]]=""),RAIDLog[[#This Row],[Status]]&lt;&gt;"Closed"),RAIDLog[[#This Row],[Score]]+1-(ROW()-ROW(RAIDLog[[#Headers],[Ref]]))/100000,"")</f>
        <v/>
      </c>
    </row>
    <row r="14" customFormat="false" ht="15" hidden="false" customHeight="false" outlineLevel="0" collapsed="false">
      <c r="B14" s="46" t="n">
        <v>10</v>
      </c>
      <c r="C14" s="47"/>
      <c r="D14" s="47"/>
      <c r="E14" s="47"/>
      <c r="F14" s="88"/>
      <c r="G14" s="88"/>
      <c r="H14" s="46"/>
      <c r="I14" s="46"/>
      <c r="J14" s="46"/>
      <c r="K14" s="56" t="str">
        <f aca="false">IF(RAIDLog[[#This Row],[Title]]="","",IF(RAIDLog[[#This Row],[Type]]="Issue",5,N(RAIDLog[[#This Row],[Probability]]))*N(RAIDLog[[#This Row],[Impact]]))</f>
        <v/>
      </c>
      <c r="L14" s="45" t="str">
        <f aca="false">IF(RAIDLog[[#This Row],[Title]]="","",IF(RAIDLog[[#This Row],[Score]]&gt;=RAIDHighScore,"High",IF(RAIDLog[[#This Row],[Score]]&gt;=RAIDMediumScore,"Medium","Low")))</f>
        <v/>
      </c>
      <c r="M14" s="45" t="str">
        <f aca="false">IF(OR(RAIDLog[[#This Row],[Title]]="",N(RAIDLog[[#This Row],[Due]])=0),"",IF(AND(RAIDLog[[#This Row],[Status]]&lt;&gt;"Closed",RAIDLog[[#This Row],[Due]]&lt;StatusDate),"Overdue",""))</f>
        <v/>
      </c>
      <c r="N14" s="46"/>
      <c r="O14" s="24" t="str">
        <f aca="false">IF(N(RAIDLog[[#This Row],[Task UID]])=0,"",IFERROR(INDEX(tsk_Name,MATCH(RAIDLog[[#This Row],[Task UID]],tsk_UID,0)),"UID "&amp;RAIDLog[[#This Row],[Task UID]]&amp;" not found"))</f>
        <v/>
      </c>
      <c r="P14" s="25" t="str">
        <f aca="false">IF(N(RAIDLog[[#This Row],[Task UID]])=0,"",IFERROR(INDEX(tsk_FcFinish,MATCH(RAIDLog[[#This Row],[Task UID]],tsk_UID,0)),""))</f>
        <v/>
      </c>
      <c r="Q14" s="47"/>
      <c r="R14" s="47"/>
      <c r="S14" s="32" t="str">
        <f aca="false">IF(RAIDLog[[#This Row],[Title]]="","",RAIDLog[[#This Row],[Type]]&amp;" "&amp;RAIDLog[[#This Row],[Ref]]&amp;": "&amp;RAIDLog[[#This Row],[Title]])</f>
        <v/>
      </c>
      <c r="T14" s="32" t="str">
        <f aca="false">IF(AND(NOT(RAIDLog[[#This Row],[Title]]=""),RAIDLog[[#This Row],[Status]]&lt;&gt;"Closed"),RAIDLog[[#This Row],[Score]]+1-(ROW()-ROW(RAIDLog[[#Headers],[Ref]]))/100000,"")</f>
        <v/>
      </c>
    </row>
    <row r="15" customFormat="false" ht="15" hidden="false" customHeight="false" outlineLevel="0" collapsed="false">
      <c r="B15" s="46" t="n">
        <v>11</v>
      </c>
      <c r="C15" s="47"/>
      <c r="D15" s="47"/>
      <c r="E15" s="47"/>
      <c r="F15" s="88"/>
      <c r="G15" s="88"/>
      <c r="H15" s="46"/>
      <c r="I15" s="46"/>
      <c r="J15" s="46"/>
      <c r="K15" s="56" t="str">
        <f aca="false">IF(RAIDLog[[#This Row],[Title]]="","",IF(RAIDLog[[#This Row],[Type]]="Issue",5,N(RAIDLog[[#This Row],[Probability]]))*N(RAIDLog[[#This Row],[Impact]]))</f>
        <v/>
      </c>
      <c r="L15" s="45" t="str">
        <f aca="false">IF(RAIDLog[[#This Row],[Title]]="","",IF(RAIDLog[[#This Row],[Score]]&gt;=RAIDHighScore,"High",IF(RAIDLog[[#This Row],[Score]]&gt;=RAIDMediumScore,"Medium","Low")))</f>
        <v/>
      </c>
      <c r="M15" s="45" t="str">
        <f aca="false">IF(OR(RAIDLog[[#This Row],[Title]]="",N(RAIDLog[[#This Row],[Due]])=0),"",IF(AND(RAIDLog[[#This Row],[Status]]&lt;&gt;"Closed",RAIDLog[[#This Row],[Due]]&lt;StatusDate),"Overdue",""))</f>
        <v/>
      </c>
      <c r="N15" s="46"/>
      <c r="O15" s="24" t="str">
        <f aca="false">IF(N(RAIDLog[[#This Row],[Task UID]])=0,"",IFERROR(INDEX(tsk_Name,MATCH(RAIDLog[[#This Row],[Task UID]],tsk_UID,0)),"UID "&amp;RAIDLog[[#This Row],[Task UID]]&amp;" not found"))</f>
        <v/>
      </c>
      <c r="P15" s="25" t="str">
        <f aca="false">IF(N(RAIDLog[[#This Row],[Task UID]])=0,"",IFERROR(INDEX(tsk_FcFinish,MATCH(RAIDLog[[#This Row],[Task UID]],tsk_UID,0)),""))</f>
        <v/>
      </c>
      <c r="Q15" s="47"/>
      <c r="R15" s="47"/>
      <c r="S15" s="32" t="str">
        <f aca="false">IF(RAIDLog[[#This Row],[Title]]="","",RAIDLog[[#This Row],[Type]]&amp;" "&amp;RAIDLog[[#This Row],[Ref]]&amp;": "&amp;RAIDLog[[#This Row],[Title]])</f>
        <v/>
      </c>
      <c r="T15" s="32" t="str">
        <f aca="false">IF(AND(NOT(RAIDLog[[#This Row],[Title]]=""),RAIDLog[[#This Row],[Status]]&lt;&gt;"Closed"),RAIDLog[[#This Row],[Score]]+1-(ROW()-ROW(RAIDLog[[#Headers],[Ref]]))/100000,"")</f>
        <v/>
      </c>
    </row>
    <row r="16" customFormat="false" ht="15" hidden="false" customHeight="false" outlineLevel="0" collapsed="false">
      <c r="B16" s="46" t="n">
        <v>12</v>
      </c>
      <c r="C16" s="47"/>
      <c r="D16" s="47"/>
      <c r="E16" s="47"/>
      <c r="F16" s="88"/>
      <c r="G16" s="88"/>
      <c r="H16" s="46"/>
      <c r="I16" s="46"/>
      <c r="J16" s="46"/>
      <c r="K16" s="56" t="str">
        <f aca="false">IF(RAIDLog[[#This Row],[Title]]="","",IF(RAIDLog[[#This Row],[Type]]="Issue",5,N(RAIDLog[[#This Row],[Probability]]))*N(RAIDLog[[#This Row],[Impact]]))</f>
        <v/>
      </c>
      <c r="L16" s="45" t="str">
        <f aca="false">IF(RAIDLog[[#This Row],[Title]]="","",IF(RAIDLog[[#This Row],[Score]]&gt;=RAIDHighScore,"High",IF(RAIDLog[[#This Row],[Score]]&gt;=RAIDMediumScore,"Medium","Low")))</f>
        <v/>
      </c>
      <c r="M16" s="45" t="str">
        <f aca="false">IF(OR(RAIDLog[[#This Row],[Title]]="",N(RAIDLog[[#This Row],[Due]])=0),"",IF(AND(RAIDLog[[#This Row],[Status]]&lt;&gt;"Closed",RAIDLog[[#This Row],[Due]]&lt;StatusDate),"Overdue",""))</f>
        <v/>
      </c>
      <c r="N16" s="46"/>
      <c r="O16" s="24" t="str">
        <f aca="false">IF(N(RAIDLog[[#This Row],[Task UID]])=0,"",IFERROR(INDEX(tsk_Name,MATCH(RAIDLog[[#This Row],[Task UID]],tsk_UID,0)),"UID "&amp;RAIDLog[[#This Row],[Task UID]]&amp;" not found"))</f>
        <v/>
      </c>
      <c r="P16" s="25" t="str">
        <f aca="false">IF(N(RAIDLog[[#This Row],[Task UID]])=0,"",IFERROR(INDEX(tsk_FcFinish,MATCH(RAIDLog[[#This Row],[Task UID]],tsk_UID,0)),""))</f>
        <v/>
      </c>
      <c r="Q16" s="47"/>
      <c r="R16" s="47"/>
      <c r="S16" s="32" t="str">
        <f aca="false">IF(RAIDLog[[#This Row],[Title]]="","",RAIDLog[[#This Row],[Type]]&amp;" "&amp;RAIDLog[[#This Row],[Ref]]&amp;": "&amp;RAIDLog[[#This Row],[Title]])</f>
        <v/>
      </c>
      <c r="T16" s="32" t="str">
        <f aca="false">IF(AND(NOT(RAIDLog[[#This Row],[Title]]=""),RAIDLog[[#This Row],[Status]]&lt;&gt;"Closed"),RAIDLog[[#This Row],[Score]]+1-(ROW()-ROW(RAIDLog[[#Headers],[Ref]]))/100000,"")</f>
        <v/>
      </c>
    </row>
    <row r="17" customFormat="false" ht="15" hidden="false" customHeight="false" outlineLevel="0" collapsed="false">
      <c r="B17" s="46" t="n">
        <v>13</v>
      </c>
      <c r="C17" s="47"/>
      <c r="D17" s="47"/>
      <c r="E17" s="47"/>
      <c r="F17" s="88"/>
      <c r="G17" s="88"/>
      <c r="H17" s="46"/>
      <c r="I17" s="46"/>
      <c r="J17" s="46"/>
      <c r="K17" s="56" t="str">
        <f aca="false">IF(RAIDLog[[#This Row],[Title]]="","",IF(RAIDLog[[#This Row],[Type]]="Issue",5,N(RAIDLog[[#This Row],[Probability]]))*N(RAIDLog[[#This Row],[Impact]]))</f>
        <v/>
      </c>
      <c r="L17" s="45" t="str">
        <f aca="false">IF(RAIDLog[[#This Row],[Title]]="","",IF(RAIDLog[[#This Row],[Score]]&gt;=RAIDHighScore,"High",IF(RAIDLog[[#This Row],[Score]]&gt;=RAIDMediumScore,"Medium","Low")))</f>
        <v/>
      </c>
      <c r="M17" s="45" t="str">
        <f aca="false">IF(OR(RAIDLog[[#This Row],[Title]]="",N(RAIDLog[[#This Row],[Due]])=0),"",IF(AND(RAIDLog[[#This Row],[Status]]&lt;&gt;"Closed",RAIDLog[[#This Row],[Due]]&lt;StatusDate),"Overdue",""))</f>
        <v/>
      </c>
      <c r="N17" s="46"/>
      <c r="O17" s="24" t="str">
        <f aca="false">IF(N(RAIDLog[[#This Row],[Task UID]])=0,"",IFERROR(INDEX(tsk_Name,MATCH(RAIDLog[[#This Row],[Task UID]],tsk_UID,0)),"UID "&amp;RAIDLog[[#This Row],[Task UID]]&amp;" not found"))</f>
        <v/>
      </c>
      <c r="P17" s="25" t="str">
        <f aca="false">IF(N(RAIDLog[[#This Row],[Task UID]])=0,"",IFERROR(INDEX(tsk_FcFinish,MATCH(RAIDLog[[#This Row],[Task UID]],tsk_UID,0)),""))</f>
        <v/>
      </c>
      <c r="Q17" s="47"/>
      <c r="R17" s="47"/>
      <c r="S17" s="32" t="str">
        <f aca="false">IF(RAIDLog[[#This Row],[Title]]="","",RAIDLog[[#This Row],[Type]]&amp;" "&amp;RAIDLog[[#This Row],[Ref]]&amp;": "&amp;RAIDLog[[#This Row],[Title]])</f>
        <v/>
      </c>
      <c r="T17" s="32" t="str">
        <f aca="false">IF(AND(NOT(RAIDLog[[#This Row],[Title]]=""),RAIDLog[[#This Row],[Status]]&lt;&gt;"Closed"),RAIDLog[[#This Row],[Score]]+1-(ROW()-ROW(RAIDLog[[#Headers],[Ref]]))/100000,"")</f>
        <v/>
      </c>
    </row>
    <row r="18" customFormat="false" ht="15" hidden="false" customHeight="false" outlineLevel="0" collapsed="false">
      <c r="B18" s="46" t="n">
        <v>14</v>
      </c>
      <c r="C18" s="47"/>
      <c r="D18" s="47"/>
      <c r="E18" s="47"/>
      <c r="F18" s="88"/>
      <c r="G18" s="88"/>
      <c r="H18" s="46"/>
      <c r="I18" s="46"/>
      <c r="J18" s="46"/>
      <c r="K18" s="56" t="str">
        <f aca="false">IF(RAIDLog[[#This Row],[Title]]="","",IF(RAIDLog[[#This Row],[Type]]="Issue",5,N(RAIDLog[[#This Row],[Probability]]))*N(RAIDLog[[#This Row],[Impact]]))</f>
        <v/>
      </c>
      <c r="L18" s="45" t="str">
        <f aca="false">IF(RAIDLog[[#This Row],[Title]]="","",IF(RAIDLog[[#This Row],[Score]]&gt;=RAIDHighScore,"High",IF(RAIDLog[[#This Row],[Score]]&gt;=RAIDMediumScore,"Medium","Low")))</f>
        <v/>
      </c>
      <c r="M18" s="45" t="str">
        <f aca="false">IF(OR(RAIDLog[[#This Row],[Title]]="",N(RAIDLog[[#This Row],[Due]])=0),"",IF(AND(RAIDLog[[#This Row],[Status]]&lt;&gt;"Closed",RAIDLog[[#This Row],[Due]]&lt;StatusDate),"Overdue",""))</f>
        <v/>
      </c>
      <c r="N18" s="46"/>
      <c r="O18" s="24" t="str">
        <f aca="false">IF(N(RAIDLog[[#This Row],[Task UID]])=0,"",IFERROR(INDEX(tsk_Name,MATCH(RAIDLog[[#This Row],[Task UID]],tsk_UID,0)),"UID "&amp;RAIDLog[[#This Row],[Task UID]]&amp;" not found"))</f>
        <v/>
      </c>
      <c r="P18" s="25" t="str">
        <f aca="false">IF(N(RAIDLog[[#This Row],[Task UID]])=0,"",IFERROR(INDEX(tsk_FcFinish,MATCH(RAIDLog[[#This Row],[Task UID]],tsk_UID,0)),""))</f>
        <v/>
      </c>
      <c r="Q18" s="47"/>
      <c r="R18" s="47"/>
      <c r="S18" s="32" t="str">
        <f aca="false">IF(RAIDLog[[#This Row],[Title]]="","",RAIDLog[[#This Row],[Type]]&amp;" "&amp;RAIDLog[[#This Row],[Ref]]&amp;": "&amp;RAIDLog[[#This Row],[Title]])</f>
        <v/>
      </c>
      <c r="T18" s="32" t="str">
        <f aca="false">IF(AND(NOT(RAIDLog[[#This Row],[Title]]=""),RAIDLog[[#This Row],[Status]]&lt;&gt;"Closed"),RAIDLog[[#This Row],[Score]]+1-(ROW()-ROW(RAIDLog[[#Headers],[Ref]]))/100000,"")</f>
        <v/>
      </c>
    </row>
    <row r="19" customFormat="false" ht="15" hidden="false" customHeight="false" outlineLevel="0" collapsed="false">
      <c r="B19" s="46" t="n">
        <v>15</v>
      </c>
      <c r="C19" s="47"/>
      <c r="D19" s="47"/>
      <c r="E19" s="47"/>
      <c r="F19" s="88"/>
      <c r="G19" s="88"/>
      <c r="H19" s="46"/>
      <c r="I19" s="46"/>
      <c r="J19" s="46"/>
      <c r="K19" s="56" t="str">
        <f aca="false">IF(RAIDLog[[#This Row],[Title]]="","",IF(RAIDLog[[#This Row],[Type]]="Issue",5,N(RAIDLog[[#This Row],[Probability]]))*N(RAIDLog[[#This Row],[Impact]]))</f>
        <v/>
      </c>
      <c r="L19" s="45" t="str">
        <f aca="false">IF(RAIDLog[[#This Row],[Title]]="","",IF(RAIDLog[[#This Row],[Score]]&gt;=RAIDHighScore,"High",IF(RAIDLog[[#This Row],[Score]]&gt;=RAIDMediumScore,"Medium","Low")))</f>
        <v/>
      </c>
      <c r="M19" s="45" t="str">
        <f aca="false">IF(OR(RAIDLog[[#This Row],[Title]]="",N(RAIDLog[[#This Row],[Due]])=0),"",IF(AND(RAIDLog[[#This Row],[Status]]&lt;&gt;"Closed",RAIDLog[[#This Row],[Due]]&lt;StatusDate),"Overdue",""))</f>
        <v/>
      </c>
      <c r="N19" s="46"/>
      <c r="O19" s="24" t="str">
        <f aca="false">IF(N(RAIDLog[[#This Row],[Task UID]])=0,"",IFERROR(INDEX(tsk_Name,MATCH(RAIDLog[[#This Row],[Task UID]],tsk_UID,0)),"UID "&amp;RAIDLog[[#This Row],[Task UID]]&amp;" not found"))</f>
        <v/>
      </c>
      <c r="P19" s="25" t="str">
        <f aca="false">IF(N(RAIDLog[[#This Row],[Task UID]])=0,"",IFERROR(INDEX(tsk_FcFinish,MATCH(RAIDLog[[#This Row],[Task UID]],tsk_UID,0)),""))</f>
        <v/>
      </c>
      <c r="Q19" s="47"/>
      <c r="R19" s="47"/>
      <c r="S19" s="32" t="str">
        <f aca="false">IF(RAIDLog[[#This Row],[Title]]="","",RAIDLog[[#This Row],[Type]]&amp;" "&amp;RAIDLog[[#This Row],[Ref]]&amp;": "&amp;RAIDLog[[#This Row],[Title]])</f>
        <v/>
      </c>
      <c r="T19" s="32" t="str">
        <f aca="false">IF(AND(NOT(RAIDLog[[#This Row],[Title]]=""),RAIDLog[[#This Row],[Status]]&lt;&gt;"Closed"),RAIDLog[[#This Row],[Score]]+1-(ROW()-ROW(RAIDLog[[#Headers],[Ref]]))/100000,"")</f>
        <v/>
      </c>
    </row>
    <row r="20" customFormat="false" ht="15" hidden="false" customHeight="false" outlineLevel="0" collapsed="false">
      <c r="B20" s="46" t="n">
        <v>16</v>
      </c>
      <c r="C20" s="47"/>
      <c r="D20" s="47"/>
      <c r="E20" s="47"/>
      <c r="F20" s="88"/>
      <c r="G20" s="88"/>
      <c r="H20" s="46"/>
      <c r="I20" s="46"/>
      <c r="J20" s="46"/>
      <c r="K20" s="56" t="str">
        <f aca="false">IF(RAIDLog[[#This Row],[Title]]="","",IF(RAIDLog[[#This Row],[Type]]="Issue",5,N(RAIDLog[[#This Row],[Probability]]))*N(RAIDLog[[#This Row],[Impact]]))</f>
        <v/>
      </c>
      <c r="L20" s="45" t="str">
        <f aca="false">IF(RAIDLog[[#This Row],[Title]]="","",IF(RAIDLog[[#This Row],[Score]]&gt;=RAIDHighScore,"High",IF(RAIDLog[[#This Row],[Score]]&gt;=RAIDMediumScore,"Medium","Low")))</f>
        <v/>
      </c>
      <c r="M20" s="45" t="str">
        <f aca="false">IF(OR(RAIDLog[[#This Row],[Title]]="",N(RAIDLog[[#This Row],[Due]])=0),"",IF(AND(RAIDLog[[#This Row],[Status]]&lt;&gt;"Closed",RAIDLog[[#This Row],[Due]]&lt;StatusDate),"Overdue",""))</f>
        <v/>
      </c>
      <c r="N20" s="46"/>
      <c r="O20" s="24" t="str">
        <f aca="false">IF(N(RAIDLog[[#This Row],[Task UID]])=0,"",IFERROR(INDEX(tsk_Name,MATCH(RAIDLog[[#This Row],[Task UID]],tsk_UID,0)),"UID "&amp;RAIDLog[[#This Row],[Task UID]]&amp;" not found"))</f>
        <v/>
      </c>
      <c r="P20" s="25" t="str">
        <f aca="false">IF(N(RAIDLog[[#This Row],[Task UID]])=0,"",IFERROR(INDEX(tsk_FcFinish,MATCH(RAIDLog[[#This Row],[Task UID]],tsk_UID,0)),""))</f>
        <v/>
      </c>
      <c r="Q20" s="47"/>
      <c r="R20" s="47"/>
      <c r="S20" s="32" t="str">
        <f aca="false">IF(RAIDLog[[#This Row],[Title]]="","",RAIDLog[[#This Row],[Type]]&amp;" "&amp;RAIDLog[[#This Row],[Ref]]&amp;": "&amp;RAIDLog[[#This Row],[Title]])</f>
        <v/>
      </c>
      <c r="T20" s="32" t="str">
        <f aca="false">IF(AND(NOT(RAIDLog[[#This Row],[Title]]=""),RAIDLog[[#This Row],[Status]]&lt;&gt;"Closed"),RAIDLog[[#This Row],[Score]]+1-(ROW()-ROW(RAIDLog[[#Headers],[Ref]]))/100000,"")</f>
        <v/>
      </c>
    </row>
    <row r="21" customFormat="false" ht="15" hidden="false" customHeight="false" outlineLevel="0" collapsed="false">
      <c r="B21" s="46" t="n">
        <v>17</v>
      </c>
      <c r="C21" s="47"/>
      <c r="D21" s="47"/>
      <c r="E21" s="47"/>
      <c r="F21" s="88"/>
      <c r="G21" s="88"/>
      <c r="H21" s="46"/>
      <c r="I21" s="46"/>
      <c r="J21" s="46"/>
      <c r="K21" s="56" t="str">
        <f aca="false">IF(RAIDLog[[#This Row],[Title]]="","",IF(RAIDLog[[#This Row],[Type]]="Issue",5,N(RAIDLog[[#This Row],[Probability]]))*N(RAIDLog[[#This Row],[Impact]]))</f>
        <v/>
      </c>
      <c r="L21" s="45" t="str">
        <f aca="false">IF(RAIDLog[[#This Row],[Title]]="","",IF(RAIDLog[[#This Row],[Score]]&gt;=RAIDHighScore,"High",IF(RAIDLog[[#This Row],[Score]]&gt;=RAIDMediumScore,"Medium","Low")))</f>
        <v/>
      </c>
      <c r="M21" s="45" t="str">
        <f aca="false">IF(OR(RAIDLog[[#This Row],[Title]]="",N(RAIDLog[[#This Row],[Due]])=0),"",IF(AND(RAIDLog[[#This Row],[Status]]&lt;&gt;"Closed",RAIDLog[[#This Row],[Due]]&lt;StatusDate),"Overdue",""))</f>
        <v/>
      </c>
      <c r="N21" s="46"/>
      <c r="O21" s="24" t="str">
        <f aca="false">IF(N(RAIDLog[[#This Row],[Task UID]])=0,"",IFERROR(INDEX(tsk_Name,MATCH(RAIDLog[[#This Row],[Task UID]],tsk_UID,0)),"UID "&amp;RAIDLog[[#This Row],[Task UID]]&amp;" not found"))</f>
        <v/>
      </c>
      <c r="P21" s="25" t="str">
        <f aca="false">IF(N(RAIDLog[[#This Row],[Task UID]])=0,"",IFERROR(INDEX(tsk_FcFinish,MATCH(RAIDLog[[#This Row],[Task UID]],tsk_UID,0)),""))</f>
        <v/>
      </c>
      <c r="Q21" s="47"/>
      <c r="R21" s="47"/>
      <c r="S21" s="32" t="str">
        <f aca="false">IF(RAIDLog[[#This Row],[Title]]="","",RAIDLog[[#This Row],[Type]]&amp;" "&amp;RAIDLog[[#This Row],[Ref]]&amp;": "&amp;RAIDLog[[#This Row],[Title]])</f>
        <v/>
      </c>
      <c r="T21" s="32" t="str">
        <f aca="false">IF(AND(NOT(RAIDLog[[#This Row],[Title]]=""),RAIDLog[[#This Row],[Status]]&lt;&gt;"Closed"),RAIDLog[[#This Row],[Score]]+1-(ROW()-ROW(RAIDLog[[#Headers],[Ref]]))/100000,"")</f>
        <v/>
      </c>
    </row>
    <row r="22" customFormat="false" ht="15" hidden="false" customHeight="false" outlineLevel="0" collapsed="false">
      <c r="B22" s="46" t="n">
        <v>18</v>
      </c>
      <c r="C22" s="47"/>
      <c r="D22" s="47"/>
      <c r="E22" s="47"/>
      <c r="F22" s="88"/>
      <c r="G22" s="88"/>
      <c r="H22" s="46"/>
      <c r="I22" s="46"/>
      <c r="J22" s="46"/>
      <c r="K22" s="56" t="str">
        <f aca="false">IF(RAIDLog[[#This Row],[Title]]="","",IF(RAIDLog[[#This Row],[Type]]="Issue",5,N(RAIDLog[[#This Row],[Probability]]))*N(RAIDLog[[#This Row],[Impact]]))</f>
        <v/>
      </c>
      <c r="L22" s="45" t="str">
        <f aca="false">IF(RAIDLog[[#This Row],[Title]]="","",IF(RAIDLog[[#This Row],[Score]]&gt;=RAIDHighScore,"High",IF(RAIDLog[[#This Row],[Score]]&gt;=RAIDMediumScore,"Medium","Low")))</f>
        <v/>
      </c>
      <c r="M22" s="45" t="str">
        <f aca="false">IF(OR(RAIDLog[[#This Row],[Title]]="",N(RAIDLog[[#This Row],[Due]])=0),"",IF(AND(RAIDLog[[#This Row],[Status]]&lt;&gt;"Closed",RAIDLog[[#This Row],[Due]]&lt;StatusDate),"Overdue",""))</f>
        <v/>
      </c>
      <c r="N22" s="46"/>
      <c r="O22" s="24" t="str">
        <f aca="false">IF(N(RAIDLog[[#This Row],[Task UID]])=0,"",IFERROR(INDEX(tsk_Name,MATCH(RAIDLog[[#This Row],[Task UID]],tsk_UID,0)),"UID "&amp;RAIDLog[[#This Row],[Task UID]]&amp;" not found"))</f>
        <v/>
      </c>
      <c r="P22" s="25" t="str">
        <f aca="false">IF(N(RAIDLog[[#This Row],[Task UID]])=0,"",IFERROR(INDEX(tsk_FcFinish,MATCH(RAIDLog[[#This Row],[Task UID]],tsk_UID,0)),""))</f>
        <v/>
      </c>
      <c r="Q22" s="47"/>
      <c r="R22" s="47"/>
      <c r="S22" s="32" t="str">
        <f aca="false">IF(RAIDLog[[#This Row],[Title]]="","",RAIDLog[[#This Row],[Type]]&amp;" "&amp;RAIDLog[[#This Row],[Ref]]&amp;": "&amp;RAIDLog[[#This Row],[Title]])</f>
        <v/>
      </c>
      <c r="T22" s="32" t="str">
        <f aca="false">IF(AND(NOT(RAIDLog[[#This Row],[Title]]=""),RAIDLog[[#This Row],[Status]]&lt;&gt;"Closed"),RAIDLog[[#This Row],[Score]]+1-(ROW()-ROW(RAIDLog[[#Headers],[Ref]]))/100000,"")</f>
        <v/>
      </c>
    </row>
    <row r="23" customFormat="false" ht="15" hidden="false" customHeight="false" outlineLevel="0" collapsed="false">
      <c r="B23" s="46" t="n">
        <v>19</v>
      </c>
      <c r="C23" s="47"/>
      <c r="D23" s="47"/>
      <c r="E23" s="47"/>
      <c r="F23" s="88"/>
      <c r="G23" s="88"/>
      <c r="H23" s="46"/>
      <c r="I23" s="46"/>
      <c r="J23" s="46"/>
      <c r="K23" s="56" t="str">
        <f aca="false">IF(RAIDLog[[#This Row],[Title]]="","",IF(RAIDLog[[#This Row],[Type]]="Issue",5,N(RAIDLog[[#This Row],[Probability]]))*N(RAIDLog[[#This Row],[Impact]]))</f>
        <v/>
      </c>
      <c r="L23" s="45" t="str">
        <f aca="false">IF(RAIDLog[[#This Row],[Title]]="","",IF(RAIDLog[[#This Row],[Score]]&gt;=RAIDHighScore,"High",IF(RAIDLog[[#This Row],[Score]]&gt;=RAIDMediumScore,"Medium","Low")))</f>
        <v/>
      </c>
      <c r="M23" s="45" t="str">
        <f aca="false">IF(OR(RAIDLog[[#This Row],[Title]]="",N(RAIDLog[[#This Row],[Due]])=0),"",IF(AND(RAIDLog[[#This Row],[Status]]&lt;&gt;"Closed",RAIDLog[[#This Row],[Due]]&lt;StatusDate),"Overdue",""))</f>
        <v/>
      </c>
      <c r="N23" s="46"/>
      <c r="O23" s="24" t="str">
        <f aca="false">IF(N(RAIDLog[[#This Row],[Task UID]])=0,"",IFERROR(INDEX(tsk_Name,MATCH(RAIDLog[[#This Row],[Task UID]],tsk_UID,0)),"UID "&amp;RAIDLog[[#This Row],[Task UID]]&amp;" not found"))</f>
        <v/>
      </c>
      <c r="P23" s="25" t="str">
        <f aca="false">IF(N(RAIDLog[[#This Row],[Task UID]])=0,"",IFERROR(INDEX(tsk_FcFinish,MATCH(RAIDLog[[#This Row],[Task UID]],tsk_UID,0)),""))</f>
        <v/>
      </c>
      <c r="Q23" s="47"/>
      <c r="R23" s="47"/>
      <c r="S23" s="32" t="str">
        <f aca="false">IF(RAIDLog[[#This Row],[Title]]="","",RAIDLog[[#This Row],[Type]]&amp;" "&amp;RAIDLog[[#This Row],[Ref]]&amp;": "&amp;RAIDLog[[#This Row],[Title]])</f>
        <v/>
      </c>
      <c r="T23" s="32" t="str">
        <f aca="false">IF(AND(NOT(RAIDLog[[#This Row],[Title]]=""),RAIDLog[[#This Row],[Status]]&lt;&gt;"Closed"),RAIDLog[[#This Row],[Score]]+1-(ROW()-ROW(RAIDLog[[#Headers],[Ref]]))/100000,"")</f>
        <v/>
      </c>
    </row>
    <row r="24" customFormat="false" ht="15" hidden="false" customHeight="false" outlineLevel="0" collapsed="false">
      <c r="B24" s="46" t="n">
        <v>20</v>
      </c>
      <c r="C24" s="47"/>
      <c r="D24" s="47"/>
      <c r="E24" s="47"/>
      <c r="F24" s="88"/>
      <c r="G24" s="88"/>
      <c r="H24" s="46"/>
      <c r="I24" s="46"/>
      <c r="J24" s="46"/>
      <c r="K24" s="56" t="str">
        <f aca="false">IF(RAIDLog[[#This Row],[Title]]="","",IF(RAIDLog[[#This Row],[Type]]="Issue",5,N(RAIDLog[[#This Row],[Probability]]))*N(RAIDLog[[#This Row],[Impact]]))</f>
        <v/>
      </c>
      <c r="L24" s="45" t="str">
        <f aca="false">IF(RAIDLog[[#This Row],[Title]]="","",IF(RAIDLog[[#This Row],[Score]]&gt;=RAIDHighScore,"High",IF(RAIDLog[[#This Row],[Score]]&gt;=RAIDMediumScore,"Medium","Low")))</f>
        <v/>
      </c>
      <c r="M24" s="45" t="str">
        <f aca="false">IF(OR(RAIDLog[[#This Row],[Title]]="",N(RAIDLog[[#This Row],[Due]])=0),"",IF(AND(RAIDLog[[#This Row],[Status]]&lt;&gt;"Closed",RAIDLog[[#This Row],[Due]]&lt;StatusDate),"Overdue",""))</f>
        <v/>
      </c>
      <c r="N24" s="46"/>
      <c r="O24" s="24" t="str">
        <f aca="false">IF(N(RAIDLog[[#This Row],[Task UID]])=0,"",IFERROR(INDEX(tsk_Name,MATCH(RAIDLog[[#This Row],[Task UID]],tsk_UID,0)),"UID "&amp;RAIDLog[[#This Row],[Task UID]]&amp;" not found"))</f>
        <v/>
      </c>
      <c r="P24" s="25" t="str">
        <f aca="false">IF(N(RAIDLog[[#This Row],[Task UID]])=0,"",IFERROR(INDEX(tsk_FcFinish,MATCH(RAIDLog[[#This Row],[Task UID]],tsk_UID,0)),""))</f>
        <v/>
      </c>
      <c r="Q24" s="47"/>
      <c r="R24" s="47"/>
      <c r="S24" s="32" t="str">
        <f aca="false">IF(RAIDLog[[#This Row],[Title]]="","",RAIDLog[[#This Row],[Type]]&amp;" "&amp;RAIDLog[[#This Row],[Ref]]&amp;": "&amp;RAIDLog[[#This Row],[Title]])</f>
        <v/>
      </c>
      <c r="T24" s="32" t="str">
        <f aca="false">IF(AND(NOT(RAIDLog[[#This Row],[Title]]=""),RAIDLog[[#This Row],[Status]]&lt;&gt;"Closed"),RAIDLog[[#This Row],[Score]]+1-(ROW()-ROW(RAIDLog[[#Headers],[Ref]]))/100000,"")</f>
        <v/>
      </c>
    </row>
    <row r="25" customFormat="false" ht="15" hidden="false" customHeight="false" outlineLevel="0" collapsed="false">
      <c r="B25" s="46" t="n">
        <v>21</v>
      </c>
      <c r="C25" s="47"/>
      <c r="D25" s="47"/>
      <c r="E25" s="47"/>
      <c r="F25" s="88"/>
      <c r="G25" s="88"/>
      <c r="H25" s="46"/>
      <c r="I25" s="46"/>
      <c r="J25" s="46"/>
      <c r="K25" s="56" t="str">
        <f aca="false">IF(RAIDLog[[#This Row],[Title]]="","",IF(RAIDLog[[#This Row],[Type]]="Issue",5,N(RAIDLog[[#This Row],[Probability]]))*N(RAIDLog[[#This Row],[Impact]]))</f>
        <v/>
      </c>
      <c r="L25" s="45" t="str">
        <f aca="false">IF(RAIDLog[[#This Row],[Title]]="","",IF(RAIDLog[[#This Row],[Score]]&gt;=RAIDHighScore,"High",IF(RAIDLog[[#This Row],[Score]]&gt;=RAIDMediumScore,"Medium","Low")))</f>
        <v/>
      </c>
      <c r="M25" s="45" t="str">
        <f aca="false">IF(OR(RAIDLog[[#This Row],[Title]]="",N(RAIDLog[[#This Row],[Due]])=0),"",IF(AND(RAIDLog[[#This Row],[Status]]&lt;&gt;"Closed",RAIDLog[[#This Row],[Due]]&lt;StatusDate),"Overdue",""))</f>
        <v/>
      </c>
      <c r="N25" s="46"/>
      <c r="O25" s="24" t="str">
        <f aca="false">IF(N(RAIDLog[[#This Row],[Task UID]])=0,"",IFERROR(INDEX(tsk_Name,MATCH(RAIDLog[[#This Row],[Task UID]],tsk_UID,0)),"UID "&amp;RAIDLog[[#This Row],[Task UID]]&amp;" not found"))</f>
        <v/>
      </c>
      <c r="P25" s="25" t="str">
        <f aca="false">IF(N(RAIDLog[[#This Row],[Task UID]])=0,"",IFERROR(INDEX(tsk_FcFinish,MATCH(RAIDLog[[#This Row],[Task UID]],tsk_UID,0)),""))</f>
        <v/>
      </c>
      <c r="Q25" s="47"/>
      <c r="R25" s="47"/>
      <c r="S25" s="32" t="str">
        <f aca="false">IF(RAIDLog[[#This Row],[Title]]="","",RAIDLog[[#This Row],[Type]]&amp;" "&amp;RAIDLog[[#This Row],[Ref]]&amp;": "&amp;RAIDLog[[#This Row],[Title]])</f>
        <v/>
      </c>
      <c r="T25" s="32" t="str">
        <f aca="false">IF(AND(NOT(RAIDLog[[#This Row],[Title]]=""),RAIDLog[[#This Row],[Status]]&lt;&gt;"Closed"),RAIDLog[[#This Row],[Score]]+1-(ROW()-ROW(RAIDLog[[#Headers],[Ref]]))/100000,"")</f>
        <v/>
      </c>
    </row>
    <row r="26" customFormat="false" ht="15" hidden="false" customHeight="false" outlineLevel="0" collapsed="false">
      <c r="B26" s="46" t="n">
        <v>22</v>
      </c>
      <c r="C26" s="47"/>
      <c r="D26" s="47"/>
      <c r="E26" s="47"/>
      <c r="F26" s="88"/>
      <c r="G26" s="88"/>
      <c r="H26" s="46"/>
      <c r="I26" s="46"/>
      <c r="J26" s="46"/>
      <c r="K26" s="56" t="str">
        <f aca="false">IF(RAIDLog[[#This Row],[Title]]="","",IF(RAIDLog[[#This Row],[Type]]="Issue",5,N(RAIDLog[[#This Row],[Probability]]))*N(RAIDLog[[#This Row],[Impact]]))</f>
        <v/>
      </c>
      <c r="L26" s="45" t="str">
        <f aca="false">IF(RAIDLog[[#This Row],[Title]]="","",IF(RAIDLog[[#This Row],[Score]]&gt;=RAIDHighScore,"High",IF(RAIDLog[[#This Row],[Score]]&gt;=RAIDMediumScore,"Medium","Low")))</f>
        <v/>
      </c>
      <c r="M26" s="45" t="str">
        <f aca="false">IF(OR(RAIDLog[[#This Row],[Title]]="",N(RAIDLog[[#This Row],[Due]])=0),"",IF(AND(RAIDLog[[#This Row],[Status]]&lt;&gt;"Closed",RAIDLog[[#This Row],[Due]]&lt;StatusDate),"Overdue",""))</f>
        <v/>
      </c>
      <c r="N26" s="46"/>
      <c r="O26" s="24" t="str">
        <f aca="false">IF(N(RAIDLog[[#This Row],[Task UID]])=0,"",IFERROR(INDEX(tsk_Name,MATCH(RAIDLog[[#This Row],[Task UID]],tsk_UID,0)),"UID "&amp;RAIDLog[[#This Row],[Task UID]]&amp;" not found"))</f>
        <v/>
      </c>
      <c r="P26" s="25" t="str">
        <f aca="false">IF(N(RAIDLog[[#This Row],[Task UID]])=0,"",IFERROR(INDEX(tsk_FcFinish,MATCH(RAIDLog[[#This Row],[Task UID]],tsk_UID,0)),""))</f>
        <v/>
      </c>
      <c r="Q26" s="47"/>
      <c r="R26" s="47"/>
      <c r="S26" s="32" t="str">
        <f aca="false">IF(RAIDLog[[#This Row],[Title]]="","",RAIDLog[[#This Row],[Type]]&amp;" "&amp;RAIDLog[[#This Row],[Ref]]&amp;": "&amp;RAIDLog[[#This Row],[Title]])</f>
        <v/>
      </c>
      <c r="T26" s="32" t="str">
        <f aca="false">IF(AND(NOT(RAIDLog[[#This Row],[Title]]=""),RAIDLog[[#This Row],[Status]]&lt;&gt;"Closed"),RAIDLog[[#This Row],[Score]]+1-(ROW()-ROW(RAIDLog[[#Headers],[Ref]]))/100000,"")</f>
        <v/>
      </c>
    </row>
    <row r="27" customFormat="false" ht="15" hidden="false" customHeight="false" outlineLevel="0" collapsed="false">
      <c r="B27" s="46" t="n">
        <v>23</v>
      </c>
      <c r="C27" s="47"/>
      <c r="D27" s="47"/>
      <c r="E27" s="47"/>
      <c r="F27" s="88"/>
      <c r="G27" s="88"/>
      <c r="H27" s="46"/>
      <c r="I27" s="46"/>
      <c r="J27" s="46"/>
      <c r="K27" s="56" t="str">
        <f aca="false">IF(RAIDLog[[#This Row],[Title]]="","",IF(RAIDLog[[#This Row],[Type]]="Issue",5,N(RAIDLog[[#This Row],[Probability]]))*N(RAIDLog[[#This Row],[Impact]]))</f>
        <v/>
      </c>
      <c r="L27" s="45" t="str">
        <f aca="false">IF(RAIDLog[[#This Row],[Title]]="","",IF(RAIDLog[[#This Row],[Score]]&gt;=RAIDHighScore,"High",IF(RAIDLog[[#This Row],[Score]]&gt;=RAIDMediumScore,"Medium","Low")))</f>
        <v/>
      </c>
      <c r="M27" s="45" t="str">
        <f aca="false">IF(OR(RAIDLog[[#This Row],[Title]]="",N(RAIDLog[[#This Row],[Due]])=0),"",IF(AND(RAIDLog[[#This Row],[Status]]&lt;&gt;"Closed",RAIDLog[[#This Row],[Due]]&lt;StatusDate),"Overdue",""))</f>
        <v/>
      </c>
      <c r="N27" s="46"/>
      <c r="O27" s="24" t="str">
        <f aca="false">IF(N(RAIDLog[[#This Row],[Task UID]])=0,"",IFERROR(INDEX(tsk_Name,MATCH(RAIDLog[[#This Row],[Task UID]],tsk_UID,0)),"UID "&amp;RAIDLog[[#This Row],[Task UID]]&amp;" not found"))</f>
        <v/>
      </c>
      <c r="P27" s="25" t="str">
        <f aca="false">IF(N(RAIDLog[[#This Row],[Task UID]])=0,"",IFERROR(INDEX(tsk_FcFinish,MATCH(RAIDLog[[#This Row],[Task UID]],tsk_UID,0)),""))</f>
        <v/>
      </c>
      <c r="Q27" s="47"/>
      <c r="R27" s="47"/>
      <c r="S27" s="32" t="str">
        <f aca="false">IF(RAIDLog[[#This Row],[Title]]="","",RAIDLog[[#This Row],[Type]]&amp;" "&amp;RAIDLog[[#This Row],[Ref]]&amp;": "&amp;RAIDLog[[#This Row],[Title]])</f>
        <v/>
      </c>
      <c r="T27" s="32" t="str">
        <f aca="false">IF(AND(NOT(RAIDLog[[#This Row],[Title]]=""),RAIDLog[[#This Row],[Status]]&lt;&gt;"Closed"),RAIDLog[[#This Row],[Score]]+1-(ROW()-ROW(RAIDLog[[#Headers],[Ref]]))/100000,"")</f>
        <v/>
      </c>
    </row>
    <row r="28" customFormat="false" ht="15" hidden="false" customHeight="false" outlineLevel="0" collapsed="false">
      <c r="B28" s="46" t="n">
        <v>24</v>
      </c>
      <c r="C28" s="47"/>
      <c r="D28" s="47"/>
      <c r="E28" s="47"/>
      <c r="F28" s="88"/>
      <c r="G28" s="88"/>
      <c r="H28" s="46"/>
      <c r="I28" s="46"/>
      <c r="J28" s="46"/>
      <c r="K28" s="56" t="str">
        <f aca="false">IF(RAIDLog[[#This Row],[Title]]="","",IF(RAIDLog[[#This Row],[Type]]="Issue",5,N(RAIDLog[[#This Row],[Probability]]))*N(RAIDLog[[#This Row],[Impact]]))</f>
        <v/>
      </c>
      <c r="L28" s="45" t="str">
        <f aca="false">IF(RAIDLog[[#This Row],[Title]]="","",IF(RAIDLog[[#This Row],[Score]]&gt;=RAIDHighScore,"High",IF(RAIDLog[[#This Row],[Score]]&gt;=RAIDMediumScore,"Medium","Low")))</f>
        <v/>
      </c>
      <c r="M28" s="45" t="str">
        <f aca="false">IF(OR(RAIDLog[[#This Row],[Title]]="",N(RAIDLog[[#This Row],[Due]])=0),"",IF(AND(RAIDLog[[#This Row],[Status]]&lt;&gt;"Closed",RAIDLog[[#This Row],[Due]]&lt;StatusDate),"Overdue",""))</f>
        <v/>
      </c>
      <c r="N28" s="46"/>
      <c r="O28" s="24" t="str">
        <f aca="false">IF(N(RAIDLog[[#This Row],[Task UID]])=0,"",IFERROR(INDEX(tsk_Name,MATCH(RAIDLog[[#This Row],[Task UID]],tsk_UID,0)),"UID "&amp;RAIDLog[[#This Row],[Task UID]]&amp;" not found"))</f>
        <v/>
      </c>
      <c r="P28" s="25" t="str">
        <f aca="false">IF(N(RAIDLog[[#This Row],[Task UID]])=0,"",IFERROR(INDEX(tsk_FcFinish,MATCH(RAIDLog[[#This Row],[Task UID]],tsk_UID,0)),""))</f>
        <v/>
      </c>
      <c r="Q28" s="47"/>
      <c r="R28" s="47"/>
      <c r="S28" s="32" t="str">
        <f aca="false">IF(RAIDLog[[#This Row],[Title]]="","",RAIDLog[[#This Row],[Type]]&amp;" "&amp;RAIDLog[[#This Row],[Ref]]&amp;": "&amp;RAIDLog[[#This Row],[Title]])</f>
        <v/>
      </c>
      <c r="T28" s="32" t="str">
        <f aca="false">IF(AND(NOT(RAIDLog[[#This Row],[Title]]=""),RAIDLog[[#This Row],[Status]]&lt;&gt;"Closed"),RAIDLog[[#This Row],[Score]]+1-(ROW()-ROW(RAIDLog[[#Headers],[Ref]]))/100000,"")</f>
        <v/>
      </c>
    </row>
    <row r="29" customFormat="false" ht="15" hidden="false" customHeight="false" outlineLevel="0" collapsed="false">
      <c r="B29" s="46" t="n">
        <v>25</v>
      </c>
      <c r="C29" s="47"/>
      <c r="D29" s="47"/>
      <c r="E29" s="47"/>
      <c r="F29" s="88"/>
      <c r="G29" s="88"/>
      <c r="H29" s="46"/>
      <c r="I29" s="46"/>
      <c r="J29" s="46"/>
      <c r="K29" s="56" t="str">
        <f aca="false">IF(RAIDLog[[#This Row],[Title]]="","",IF(RAIDLog[[#This Row],[Type]]="Issue",5,N(RAIDLog[[#This Row],[Probability]]))*N(RAIDLog[[#This Row],[Impact]]))</f>
        <v/>
      </c>
      <c r="L29" s="45" t="str">
        <f aca="false">IF(RAIDLog[[#This Row],[Title]]="","",IF(RAIDLog[[#This Row],[Score]]&gt;=RAIDHighScore,"High",IF(RAIDLog[[#This Row],[Score]]&gt;=RAIDMediumScore,"Medium","Low")))</f>
        <v/>
      </c>
      <c r="M29" s="45" t="str">
        <f aca="false">IF(OR(RAIDLog[[#This Row],[Title]]="",N(RAIDLog[[#This Row],[Due]])=0),"",IF(AND(RAIDLog[[#This Row],[Status]]&lt;&gt;"Closed",RAIDLog[[#This Row],[Due]]&lt;StatusDate),"Overdue",""))</f>
        <v/>
      </c>
      <c r="N29" s="46"/>
      <c r="O29" s="24" t="str">
        <f aca="false">IF(N(RAIDLog[[#This Row],[Task UID]])=0,"",IFERROR(INDEX(tsk_Name,MATCH(RAIDLog[[#This Row],[Task UID]],tsk_UID,0)),"UID "&amp;RAIDLog[[#This Row],[Task UID]]&amp;" not found"))</f>
        <v/>
      </c>
      <c r="P29" s="25" t="str">
        <f aca="false">IF(N(RAIDLog[[#This Row],[Task UID]])=0,"",IFERROR(INDEX(tsk_FcFinish,MATCH(RAIDLog[[#This Row],[Task UID]],tsk_UID,0)),""))</f>
        <v/>
      </c>
      <c r="Q29" s="47"/>
      <c r="R29" s="47"/>
      <c r="S29" s="32" t="str">
        <f aca="false">IF(RAIDLog[[#This Row],[Title]]="","",RAIDLog[[#This Row],[Type]]&amp;" "&amp;RAIDLog[[#This Row],[Ref]]&amp;": "&amp;RAIDLog[[#This Row],[Title]])</f>
        <v/>
      </c>
      <c r="T29" s="32" t="str">
        <f aca="false">IF(AND(NOT(RAIDLog[[#This Row],[Title]]=""),RAIDLog[[#This Row],[Status]]&lt;&gt;"Closed"),RAIDLog[[#This Row],[Score]]+1-(ROW()-ROW(RAIDLog[[#Headers],[Ref]]))/100000,"")</f>
        <v/>
      </c>
    </row>
    <row r="30" customFormat="false" ht="15" hidden="false" customHeight="false" outlineLevel="0" collapsed="false">
      <c r="B30" s="46" t="n">
        <v>26</v>
      </c>
      <c r="C30" s="47"/>
      <c r="D30" s="47"/>
      <c r="E30" s="47"/>
      <c r="F30" s="88"/>
      <c r="G30" s="88"/>
      <c r="H30" s="46"/>
      <c r="I30" s="46"/>
      <c r="J30" s="46"/>
      <c r="K30" s="56" t="str">
        <f aca="false">IF(RAIDLog[[#This Row],[Title]]="","",IF(RAIDLog[[#This Row],[Type]]="Issue",5,N(RAIDLog[[#This Row],[Probability]]))*N(RAIDLog[[#This Row],[Impact]]))</f>
        <v/>
      </c>
      <c r="L30" s="45" t="str">
        <f aca="false">IF(RAIDLog[[#This Row],[Title]]="","",IF(RAIDLog[[#This Row],[Score]]&gt;=RAIDHighScore,"High",IF(RAIDLog[[#This Row],[Score]]&gt;=RAIDMediumScore,"Medium","Low")))</f>
        <v/>
      </c>
      <c r="M30" s="45" t="str">
        <f aca="false">IF(OR(RAIDLog[[#This Row],[Title]]="",N(RAIDLog[[#This Row],[Due]])=0),"",IF(AND(RAIDLog[[#This Row],[Status]]&lt;&gt;"Closed",RAIDLog[[#This Row],[Due]]&lt;StatusDate),"Overdue",""))</f>
        <v/>
      </c>
      <c r="N30" s="46"/>
      <c r="O30" s="24" t="str">
        <f aca="false">IF(N(RAIDLog[[#This Row],[Task UID]])=0,"",IFERROR(INDEX(tsk_Name,MATCH(RAIDLog[[#This Row],[Task UID]],tsk_UID,0)),"UID "&amp;RAIDLog[[#This Row],[Task UID]]&amp;" not found"))</f>
        <v/>
      </c>
      <c r="P30" s="25" t="str">
        <f aca="false">IF(N(RAIDLog[[#This Row],[Task UID]])=0,"",IFERROR(INDEX(tsk_FcFinish,MATCH(RAIDLog[[#This Row],[Task UID]],tsk_UID,0)),""))</f>
        <v/>
      </c>
      <c r="Q30" s="47"/>
      <c r="R30" s="47"/>
      <c r="S30" s="32" t="str">
        <f aca="false">IF(RAIDLog[[#This Row],[Title]]="","",RAIDLog[[#This Row],[Type]]&amp;" "&amp;RAIDLog[[#This Row],[Ref]]&amp;": "&amp;RAIDLog[[#This Row],[Title]])</f>
        <v/>
      </c>
      <c r="T30" s="32" t="str">
        <f aca="false">IF(AND(NOT(RAIDLog[[#This Row],[Title]]=""),RAIDLog[[#This Row],[Status]]&lt;&gt;"Closed"),RAIDLog[[#This Row],[Score]]+1-(ROW()-ROW(RAIDLog[[#Headers],[Ref]]))/100000,"")</f>
        <v/>
      </c>
    </row>
    <row r="31" customFormat="false" ht="15" hidden="false" customHeight="false" outlineLevel="0" collapsed="false">
      <c r="B31" s="46" t="n">
        <v>27</v>
      </c>
      <c r="C31" s="47"/>
      <c r="D31" s="47"/>
      <c r="E31" s="47"/>
      <c r="F31" s="88"/>
      <c r="G31" s="88"/>
      <c r="H31" s="46"/>
      <c r="I31" s="46"/>
      <c r="J31" s="46"/>
      <c r="K31" s="56" t="str">
        <f aca="false">IF(RAIDLog[[#This Row],[Title]]="","",IF(RAIDLog[[#This Row],[Type]]="Issue",5,N(RAIDLog[[#This Row],[Probability]]))*N(RAIDLog[[#This Row],[Impact]]))</f>
        <v/>
      </c>
      <c r="L31" s="45" t="str">
        <f aca="false">IF(RAIDLog[[#This Row],[Title]]="","",IF(RAIDLog[[#This Row],[Score]]&gt;=RAIDHighScore,"High",IF(RAIDLog[[#This Row],[Score]]&gt;=RAIDMediumScore,"Medium","Low")))</f>
        <v/>
      </c>
      <c r="M31" s="45" t="str">
        <f aca="false">IF(OR(RAIDLog[[#This Row],[Title]]="",N(RAIDLog[[#This Row],[Due]])=0),"",IF(AND(RAIDLog[[#This Row],[Status]]&lt;&gt;"Closed",RAIDLog[[#This Row],[Due]]&lt;StatusDate),"Overdue",""))</f>
        <v/>
      </c>
      <c r="N31" s="46"/>
      <c r="O31" s="24" t="str">
        <f aca="false">IF(N(RAIDLog[[#This Row],[Task UID]])=0,"",IFERROR(INDEX(tsk_Name,MATCH(RAIDLog[[#This Row],[Task UID]],tsk_UID,0)),"UID "&amp;RAIDLog[[#This Row],[Task UID]]&amp;" not found"))</f>
        <v/>
      </c>
      <c r="P31" s="25" t="str">
        <f aca="false">IF(N(RAIDLog[[#This Row],[Task UID]])=0,"",IFERROR(INDEX(tsk_FcFinish,MATCH(RAIDLog[[#This Row],[Task UID]],tsk_UID,0)),""))</f>
        <v/>
      </c>
      <c r="Q31" s="47"/>
      <c r="R31" s="47"/>
      <c r="S31" s="32" t="str">
        <f aca="false">IF(RAIDLog[[#This Row],[Title]]="","",RAIDLog[[#This Row],[Type]]&amp;" "&amp;RAIDLog[[#This Row],[Ref]]&amp;": "&amp;RAIDLog[[#This Row],[Title]])</f>
        <v/>
      </c>
      <c r="T31" s="32" t="str">
        <f aca="false">IF(AND(NOT(RAIDLog[[#This Row],[Title]]=""),RAIDLog[[#This Row],[Status]]&lt;&gt;"Closed"),RAIDLog[[#This Row],[Score]]+1-(ROW()-ROW(RAIDLog[[#Headers],[Ref]]))/100000,"")</f>
        <v/>
      </c>
    </row>
    <row r="32" customFormat="false" ht="15" hidden="false" customHeight="false" outlineLevel="0" collapsed="false">
      <c r="B32" s="46" t="n">
        <v>28</v>
      </c>
      <c r="C32" s="47"/>
      <c r="D32" s="47"/>
      <c r="E32" s="47"/>
      <c r="F32" s="88"/>
      <c r="G32" s="88"/>
      <c r="H32" s="46"/>
      <c r="I32" s="46"/>
      <c r="J32" s="46"/>
      <c r="K32" s="56" t="str">
        <f aca="false">IF(RAIDLog[[#This Row],[Title]]="","",IF(RAIDLog[[#This Row],[Type]]="Issue",5,N(RAIDLog[[#This Row],[Probability]]))*N(RAIDLog[[#This Row],[Impact]]))</f>
        <v/>
      </c>
      <c r="L32" s="45" t="str">
        <f aca="false">IF(RAIDLog[[#This Row],[Title]]="","",IF(RAIDLog[[#This Row],[Score]]&gt;=RAIDHighScore,"High",IF(RAIDLog[[#This Row],[Score]]&gt;=RAIDMediumScore,"Medium","Low")))</f>
        <v/>
      </c>
      <c r="M32" s="45" t="str">
        <f aca="false">IF(OR(RAIDLog[[#This Row],[Title]]="",N(RAIDLog[[#This Row],[Due]])=0),"",IF(AND(RAIDLog[[#This Row],[Status]]&lt;&gt;"Closed",RAIDLog[[#This Row],[Due]]&lt;StatusDate),"Overdue",""))</f>
        <v/>
      </c>
      <c r="N32" s="46"/>
      <c r="O32" s="24" t="str">
        <f aca="false">IF(N(RAIDLog[[#This Row],[Task UID]])=0,"",IFERROR(INDEX(tsk_Name,MATCH(RAIDLog[[#This Row],[Task UID]],tsk_UID,0)),"UID "&amp;RAIDLog[[#This Row],[Task UID]]&amp;" not found"))</f>
        <v/>
      </c>
      <c r="P32" s="25" t="str">
        <f aca="false">IF(N(RAIDLog[[#This Row],[Task UID]])=0,"",IFERROR(INDEX(tsk_FcFinish,MATCH(RAIDLog[[#This Row],[Task UID]],tsk_UID,0)),""))</f>
        <v/>
      </c>
      <c r="Q32" s="47"/>
      <c r="R32" s="47"/>
      <c r="S32" s="32" t="str">
        <f aca="false">IF(RAIDLog[[#This Row],[Title]]="","",RAIDLog[[#This Row],[Type]]&amp;" "&amp;RAIDLog[[#This Row],[Ref]]&amp;": "&amp;RAIDLog[[#This Row],[Title]])</f>
        <v/>
      </c>
      <c r="T32" s="32" t="str">
        <f aca="false">IF(AND(NOT(RAIDLog[[#This Row],[Title]]=""),RAIDLog[[#This Row],[Status]]&lt;&gt;"Closed"),RAIDLog[[#This Row],[Score]]+1-(ROW()-ROW(RAIDLog[[#Headers],[Ref]]))/100000,"")</f>
        <v/>
      </c>
    </row>
    <row r="33" customFormat="false" ht="15" hidden="false" customHeight="false" outlineLevel="0" collapsed="false">
      <c r="B33" s="46" t="n">
        <v>29</v>
      </c>
      <c r="C33" s="47"/>
      <c r="D33" s="47"/>
      <c r="E33" s="47"/>
      <c r="F33" s="88"/>
      <c r="G33" s="88"/>
      <c r="H33" s="46"/>
      <c r="I33" s="46"/>
      <c r="J33" s="46"/>
      <c r="K33" s="56" t="str">
        <f aca="false">IF(RAIDLog[[#This Row],[Title]]="","",IF(RAIDLog[[#This Row],[Type]]="Issue",5,N(RAIDLog[[#This Row],[Probability]]))*N(RAIDLog[[#This Row],[Impact]]))</f>
        <v/>
      </c>
      <c r="L33" s="45" t="str">
        <f aca="false">IF(RAIDLog[[#This Row],[Title]]="","",IF(RAIDLog[[#This Row],[Score]]&gt;=RAIDHighScore,"High",IF(RAIDLog[[#This Row],[Score]]&gt;=RAIDMediumScore,"Medium","Low")))</f>
        <v/>
      </c>
      <c r="M33" s="45" t="str">
        <f aca="false">IF(OR(RAIDLog[[#This Row],[Title]]="",N(RAIDLog[[#This Row],[Due]])=0),"",IF(AND(RAIDLog[[#This Row],[Status]]&lt;&gt;"Closed",RAIDLog[[#This Row],[Due]]&lt;StatusDate),"Overdue",""))</f>
        <v/>
      </c>
      <c r="N33" s="46"/>
      <c r="O33" s="24" t="str">
        <f aca="false">IF(N(RAIDLog[[#This Row],[Task UID]])=0,"",IFERROR(INDEX(tsk_Name,MATCH(RAIDLog[[#This Row],[Task UID]],tsk_UID,0)),"UID "&amp;RAIDLog[[#This Row],[Task UID]]&amp;" not found"))</f>
        <v/>
      </c>
      <c r="P33" s="25" t="str">
        <f aca="false">IF(N(RAIDLog[[#This Row],[Task UID]])=0,"",IFERROR(INDEX(tsk_FcFinish,MATCH(RAIDLog[[#This Row],[Task UID]],tsk_UID,0)),""))</f>
        <v/>
      </c>
      <c r="Q33" s="47"/>
      <c r="R33" s="47"/>
      <c r="S33" s="32" t="str">
        <f aca="false">IF(RAIDLog[[#This Row],[Title]]="","",RAIDLog[[#This Row],[Type]]&amp;" "&amp;RAIDLog[[#This Row],[Ref]]&amp;": "&amp;RAIDLog[[#This Row],[Title]])</f>
        <v/>
      </c>
      <c r="T33" s="32" t="str">
        <f aca="false">IF(AND(NOT(RAIDLog[[#This Row],[Title]]=""),RAIDLog[[#This Row],[Status]]&lt;&gt;"Closed"),RAIDLog[[#This Row],[Score]]+1-(ROW()-ROW(RAIDLog[[#Headers],[Ref]]))/100000,"")</f>
        <v/>
      </c>
    </row>
    <row r="34" customFormat="false" ht="15" hidden="false" customHeight="false" outlineLevel="0" collapsed="false">
      <c r="B34" s="46" t="n">
        <v>30</v>
      </c>
      <c r="C34" s="47"/>
      <c r="D34" s="47"/>
      <c r="E34" s="47"/>
      <c r="F34" s="88"/>
      <c r="G34" s="88"/>
      <c r="H34" s="46"/>
      <c r="I34" s="46"/>
      <c r="J34" s="46"/>
      <c r="K34" s="56" t="str">
        <f aca="false">IF(RAIDLog[[#This Row],[Title]]="","",IF(RAIDLog[[#This Row],[Type]]="Issue",5,N(RAIDLog[[#This Row],[Probability]]))*N(RAIDLog[[#This Row],[Impact]]))</f>
        <v/>
      </c>
      <c r="L34" s="45" t="str">
        <f aca="false">IF(RAIDLog[[#This Row],[Title]]="","",IF(RAIDLog[[#This Row],[Score]]&gt;=RAIDHighScore,"High",IF(RAIDLog[[#This Row],[Score]]&gt;=RAIDMediumScore,"Medium","Low")))</f>
        <v/>
      </c>
      <c r="M34" s="45" t="str">
        <f aca="false">IF(OR(RAIDLog[[#This Row],[Title]]="",N(RAIDLog[[#This Row],[Due]])=0),"",IF(AND(RAIDLog[[#This Row],[Status]]&lt;&gt;"Closed",RAIDLog[[#This Row],[Due]]&lt;StatusDate),"Overdue",""))</f>
        <v/>
      </c>
      <c r="N34" s="46"/>
      <c r="O34" s="24" t="str">
        <f aca="false">IF(N(RAIDLog[[#This Row],[Task UID]])=0,"",IFERROR(INDEX(tsk_Name,MATCH(RAIDLog[[#This Row],[Task UID]],tsk_UID,0)),"UID "&amp;RAIDLog[[#This Row],[Task UID]]&amp;" not found"))</f>
        <v/>
      </c>
      <c r="P34" s="25" t="str">
        <f aca="false">IF(N(RAIDLog[[#This Row],[Task UID]])=0,"",IFERROR(INDEX(tsk_FcFinish,MATCH(RAIDLog[[#This Row],[Task UID]],tsk_UID,0)),""))</f>
        <v/>
      </c>
      <c r="Q34" s="47"/>
      <c r="R34" s="47"/>
      <c r="S34" s="32" t="str">
        <f aca="false">IF(RAIDLog[[#This Row],[Title]]="","",RAIDLog[[#This Row],[Type]]&amp;" "&amp;RAIDLog[[#This Row],[Ref]]&amp;": "&amp;RAIDLog[[#This Row],[Title]])</f>
        <v/>
      </c>
      <c r="T34" s="32" t="str">
        <f aca="false">IF(AND(NOT(RAIDLog[[#This Row],[Title]]=""),RAIDLog[[#This Row],[Status]]&lt;&gt;"Closed"),RAIDLog[[#This Row],[Score]]+1-(ROW()-ROW(RAIDLog[[#Headers],[Ref]]))/100000,"")</f>
        <v/>
      </c>
    </row>
    <row r="35" customFormat="false" ht="15" hidden="false" customHeight="false" outlineLevel="0" collapsed="false">
      <c r="B35" s="46" t="n">
        <v>31</v>
      </c>
      <c r="C35" s="47"/>
      <c r="D35" s="47"/>
      <c r="E35" s="47"/>
      <c r="F35" s="88"/>
      <c r="G35" s="88"/>
      <c r="H35" s="46"/>
      <c r="I35" s="46"/>
      <c r="J35" s="46"/>
      <c r="K35" s="56" t="str">
        <f aca="false">IF(RAIDLog[[#This Row],[Title]]="","",IF(RAIDLog[[#This Row],[Type]]="Issue",5,N(RAIDLog[[#This Row],[Probability]]))*N(RAIDLog[[#This Row],[Impact]]))</f>
        <v/>
      </c>
      <c r="L35" s="45" t="str">
        <f aca="false">IF(RAIDLog[[#This Row],[Title]]="","",IF(RAIDLog[[#This Row],[Score]]&gt;=RAIDHighScore,"High",IF(RAIDLog[[#This Row],[Score]]&gt;=RAIDMediumScore,"Medium","Low")))</f>
        <v/>
      </c>
      <c r="M35" s="45" t="str">
        <f aca="false">IF(OR(RAIDLog[[#This Row],[Title]]="",N(RAIDLog[[#This Row],[Due]])=0),"",IF(AND(RAIDLog[[#This Row],[Status]]&lt;&gt;"Closed",RAIDLog[[#This Row],[Due]]&lt;StatusDate),"Overdue",""))</f>
        <v/>
      </c>
      <c r="N35" s="46"/>
      <c r="O35" s="24" t="str">
        <f aca="false">IF(N(RAIDLog[[#This Row],[Task UID]])=0,"",IFERROR(INDEX(tsk_Name,MATCH(RAIDLog[[#This Row],[Task UID]],tsk_UID,0)),"UID "&amp;RAIDLog[[#This Row],[Task UID]]&amp;" not found"))</f>
        <v/>
      </c>
      <c r="P35" s="25" t="str">
        <f aca="false">IF(N(RAIDLog[[#This Row],[Task UID]])=0,"",IFERROR(INDEX(tsk_FcFinish,MATCH(RAIDLog[[#This Row],[Task UID]],tsk_UID,0)),""))</f>
        <v/>
      </c>
      <c r="Q35" s="47"/>
      <c r="R35" s="47"/>
      <c r="S35" s="32" t="str">
        <f aca="false">IF(RAIDLog[[#This Row],[Title]]="","",RAIDLog[[#This Row],[Type]]&amp;" "&amp;RAIDLog[[#This Row],[Ref]]&amp;": "&amp;RAIDLog[[#This Row],[Title]])</f>
        <v/>
      </c>
      <c r="T35" s="32" t="str">
        <f aca="false">IF(AND(NOT(RAIDLog[[#This Row],[Title]]=""),RAIDLog[[#This Row],[Status]]&lt;&gt;"Closed"),RAIDLog[[#This Row],[Score]]+1-(ROW()-ROW(RAIDLog[[#Headers],[Ref]]))/100000,"")</f>
        <v/>
      </c>
    </row>
    <row r="36" customFormat="false" ht="15" hidden="false" customHeight="false" outlineLevel="0" collapsed="false">
      <c r="B36" s="46" t="n">
        <v>32</v>
      </c>
      <c r="C36" s="47"/>
      <c r="D36" s="47"/>
      <c r="E36" s="47"/>
      <c r="F36" s="88"/>
      <c r="G36" s="88"/>
      <c r="H36" s="46"/>
      <c r="I36" s="46"/>
      <c r="J36" s="46"/>
      <c r="K36" s="56" t="str">
        <f aca="false">IF(RAIDLog[[#This Row],[Title]]="","",IF(RAIDLog[[#This Row],[Type]]="Issue",5,N(RAIDLog[[#This Row],[Probability]]))*N(RAIDLog[[#This Row],[Impact]]))</f>
        <v/>
      </c>
      <c r="L36" s="45" t="str">
        <f aca="false">IF(RAIDLog[[#This Row],[Title]]="","",IF(RAIDLog[[#This Row],[Score]]&gt;=RAIDHighScore,"High",IF(RAIDLog[[#This Row],[Score]]&gt;=RAIDMediumScore,"Medium","Low")))</f>
        <v/>
      </c>
      <c r="M36" s="45" t="str">
        <f aca="false">IF(OR(RAIDLog[[#This Row],[Title]]="",N(RAIDLog[[#This Row],[Due]])=0),"",IF(AND(RAIDLog[[#This Row],[Status]]&lt;&gt;"Closed",RAIDLog[[#This Row],[Due]]&lt;StatusDate),"Overdue",""))</f>
        <v/>
      </c>
      <c r="N36" s="46"/>
      <c r="O36" s="24" t="str">
        <f aca="false">IF(N(RAIDLog[[#This Row],[Task UID]])=0,"",IFERROR(INDEX(tsk_Name,MATCH(RAIDLog[[#This Row],[Task UID]],tsk_UID,0)),"UID "&amp;RAIDLog[[#This Row],[Task UID]]&amp;" not found"))</f>
        <v/>
      </c>
      <c r="P36" s="25" t="str">
        <f aca="false">IF(N(RAIDLog[[#This Row],[Task UID]])=0,"",IFERROR(INDEX(tsk_FcFinish,MATCH(RAIDLog[[#This Row],[Task UID]],tsk_UID,0)),""))</f>
        <v/>
      </c>
      <c r="Q36" s="47"/>
      <c r="R36" s="47"/>
      <c r="S36" s="32" t="str">
        <f aca="false">IF(RAIDLog[[#This Row],[Title]]="","",RAIDLog[[#This Row],[Type]]&amp;" "&amp;RAIDLog[[#This Row],[Ref]]&amp;": "&amp;RAIDLog[[#This Row],[Title]])</f>
        <v/>
      </c>
      <c r="T36" s="32" t="str">
        <f aca="false">IF(AND(NOT(RAIDLog[[#This Row],[Title]]=""),RAIDLog[[#This Row],[Status]]&lt;&gt;"Closed"),RAIDLog[[#This Row],[Score]]+1-(ROW()-ROW(RAIDLog[[#Headers],[Ref]]))/100000,"")</f>
        <v/>
      </c>
    </row>
    <row r="37" customFormat="false" ht="15" hidden="false" customHeight="false" outlineLevel="0" collapsed="false">
      <c r="B37" s="46" t="n">
        <v>33</v>
      </c>
      <c r="C37" s="47"/>
      <c r="D37" s="47"/>
      <c r="E37" s="47"/>
      <c r="F37" s="88"/>
      <c r="G37" s="88"/>
      <c r="H37" s="46"/>
      <c r="I37" s="46"/>
      <c r="J37" s="46"/>
      <c r="K37" s="56" t="str">
        <f aca="false">IF(RAIDLog[[#This Row],[Title]]="","",IF(RAIDLog[[#This Row],[Type]]="Issue",5,N(RAIDLog[[#This Row],[Probability]]))*N(RAIDLog[[#This Row],[Impact]]))</f>
        <v/>
      </c>
      <c r="L37" s="45" t="str">
        <f aca="false">IF(RAIDLog[[#This Row],[Title]]="","",IF(RAIDLog[[#This Row],[Score]]&gt;=RAIDHighScore,"High",IF(RAIDLog[[#This Row],[Score]]&gt;=RAIDMediumScore,"Medium","Low")))</f>
        <v/>
      </c>
      <c r="M37" s="45" t="str">
        <f aca="false">IF(OR(RAIDLog[[#This Row],[Title]]="",N(RAIDLog[[#This Row],[Due]])=0),"",IF(AND(RAIDLog[[#This Row],[Status]]&lt;&gt;"Closed",RAIDLog[[#This Row],[Due]]&lt;StatusDate),"Overdue",""))</f>
        <v/>
      </c>
      <c r="N37" s="46"/>
      <c r="O37" s="24" t="str">
        <f aca="false">IF(N(RAIDLog[[#This Row],[Task UID]])=0,"",IFERROR(INDEX(tsk_Name,MATCH(RAIDLog[[#This Row],[Task UID]],tsk_UID,0)),"UID "&amp;RAIDLog[[#This Row],[Task UID]]&amp;" not found"))</f>
        <v/>
      </c>
      <c r="P37" s="25" t="str">
        <f aca="false">IF(N(RAIDLog[[#This Row],[Task UID]])=0,"",IFERROR(INDEX(tsk_FcFinish,MATCH(RAIDLog[[#This Row],[Task UID]],tsk_UID,0)),""))</f>
        <v/>
      </c>
      <c r="Q37" s="47"/>
      <c r="R37" s="47"/>
      <c r="S37" s="32" t="str">
        <f aca="false">IF(RAIDLog[[#This Row],[Title]]="","",RAIDLog[[#This Row],[Type]]&amp;" "&amp;RAIDLog[[#This Row],[Ref]]&amp;": "&amp;RAIDLog[[#This Row],[Title]])</f>
        <v/>
      </c>
      <c r="T37" s="32" t="str">
        <f aca="false">IF(AND(NOT(RAIDLog[[#This Row],[Title]]=""),RAIDLog[[#This Row],[Status]]&lt;&gt;"Closed"),RAIDLog[[#This Row],[Score]]+1-(ROW()-ROW(RAIDLog[[#Headers],[Ref]]))/100000,"")</f>
        <v/>
      </c>
    </row>
    <row r="38" customFormat="false" ht="15" hidden="false" customHeight="false" outlineLevel="0" collapsed="false">
      <c r="B38" s="46" t="n">
        <v>34</v>
      </c>
      <c r="C38" s="47"/>
      <c r="D38" s="47"/>
      <c r="E38" s="47"/>
      <c r="F38" s="88"/>
      <c r="G38" s="88"/>
      <c r="H38" s="46"/>
      <c r="I38" s="46"/>
      <c r="J38" s="46"/>
      <c r="K38" s="56" t="str">
        <f aca="false">IF(RAIDLog[[#This Row],[Title]]="","",IF(RAIDLog[[#This Row],[Type]]="Issue",5,N(RAIDLog[[#This Row],[Probability]]))*N(RAIDLog[[#This Row],[Impact]]))</f>
        <v/>
      </c>
      <c r="L38" s="45" t="str">
        <f aca="false">IF(RAIDLog[[#This Row],[Title]]="","",IF(RAIDLog[[#This Row],[Score]]&gt;=RAIDHighScore,"High",IF(RAIDLog[[#This Row],[Score]]&gt;=RAIDMediumScore,"Medium","Low")))</f>
        <v/>
      </c>
      <c r="M38" s="45" t="str">
        <f aca="false">IF(OR(RAIDLog[[#This Row],[Title]]="",N(RAIDLog[[#This Row],[Due]])=0),"",IF(AND(RAIDLog[[#This Row],[Status]]&lt;&gt;"Closed",RAIDLog[[#This Row],[Due]]&lt;StatusDate),"Overdue",""))</f>
        <v/>
      </c>
      <c r="N38" s="46"/>
      <c r="O38" s="24" t="str">
        <f aca="false">IF(N(RAIDLog[[#This Row],[Task UID]])=0,"",IFERROR(INDEX(tsk_Name,MATCH(RAIDLog[[#This Row],[Task UID]],tsk_UID,0)),"UID "&amp;RAIDLog[[#This Row],[Task UID]]&amp;" not found"))</f>
        <v/>
      </c>
      <c r="P38" s="25" t="str">
        <f aca="false">IF(N(RAIDLog[[#This Row],[Task UID]])=0,"",IFERROR(INDEX(tsk_FcFinish,MATCH(RAIDLog[[#This Row],[Task UID]],tsk_UID,0)),""))</f>
        <v/>
      </c>
      <c r="Q38" s="47"/>
      <c r="R38" s="47"/>
      <c r="S38" s="32" t="str">
        <f aca="false">IF(RAIDLog[[#This Row],[Title]]="","",RAIDLog[[#This Row],[Type]]&amp;" "&amp;RAIDLog[[#This Row],[Ref]]&amp;": "&amp;RAIDLog[[#This Row],[Title]])</f>
        <v/>
      </c>
      <c r="T38" s="32" t="str">
        <f aca="false">IF(AND(NOT(RAIDLog[[#This Row],[Title]]=""),RAIDLog[[#This Row],[Status]]&lt;&gt;"Closed"),RAIDLog[[#This Row],[Score]]+1-(ROW()-ROW(RAIDLog[[#Headers],[Ref]]))/100000,"")</f>
        <v/>
      </c>
    </row>
    <row r="39" customFormat="false" ht="15" hidden="false" customHeight="false" outlineLevel="0" collapsed="false">
      <c r="B39" s="46" t="n">
        <v>35</v>
      </c>
      <c r="C39" s="47"/>
      <c r="D39" s="47"/>
      <c r="E39" s="47"/>
      <c r="F39" s="88"/>
      <c r="G39" s="88"/>
      <c r="H39" s="46"/>
      <c r="I39" s="46"/>
      <c r="J39" s="46"/>
      <c r="K39" s="56" t="str">
        <f aca="false">IF(RAIDLog[[#This Row],[Title]]="","",IF(RAIDLog[[#This Row],[Type]]="Issue",5,N(RAIDLog[[#This Row],[Probability]]))*N(RAIDLog[[#This Row],[Impact]]))</f>
        <v/>
      </c>
      <c r="L39" s="45" t="str">
        <f aca="false">IF(RAIDLog[[#This Row],[Title]]="","",IF(RAIDLog[[#This Row],[Score]]&gt;=RAIDHighScore,"High",IF(RAIDLog[[#This Row],[Score]]&gt;=RAIDMediumScore,"Medium","Low")))</f>
        <v/>
      </c>
      <c r="M39" s="45" t="str">
        <f aca="false">IF(OR(RAIDLog[[#This Row],[Title]]="",N(RAIDLog[[#This Row],[Due]])=0),"",IF(AND(RAIDLog[[#This Row],[Status]]&lt;&gt;"Closed",RAIDLog[[#This Row],[Due]]&lt;StatusDate),"Overdue",""))</f>
        <v/>
      </c>
      <c r="N39" s="46"/>
      <c r="O39" s="24" t="str">
        <f aca="false">IF(N(RAIDLog[[#This Row],[Task UID]])=0,"",IFERROR(INDEX(tsk_Name,MATCH(RAIDLog[[#This Row],[Task UID]],tsk_UID,0)),"UID "&amp;RAIDLog[[#This Row],[Task UID]]&amp;" not found"))</f>
        <v/>
      </c>
      <c r="P39" s="25" t="str">
        <f aca="false">IF(N(RAIDLog[[#This Row],[Task UID]])=0,"",IFERROR(INDEX(tsk_FcFinish,MATCH(RAIDLog[[#This Row],[Task UID]],tsk_UID,0)),""))</f>
        <v/>
      </c>
      <c r="Q39" s="47"/>
      <c r="R39" s="47"/>
      <c r="S39" s="32" t="str">
        <f aca="false">IF(RAIDLog[[#This Row],[Title]]="","",RAIDLog[[#This Row],[Type]]&amp;" "&amp;RAIDLog[[#This Row],[Ref]]&amp;": "&amp;RAIDLog[[#This Row],[Title]])</f>
        <v/>
      </c>
      <c r="T39" s="32" t="str">
        <f aca="false">IF(AND(NOT(RAIDLog[[#This Row],[Title]]=""),RAIDLog[[#This Row],[Status]]&lt;&gt;"Closed"),RAIDLog[[#This Row],[Score]]+1-(ROW()-ROW(RAIDLog[[#Headers],[Ref]]))/100000,"")</f>
        <v/>
      </c>
    </row>
    <row r="40" customFormat="false" ht="15" hidden="false" customHeight="false" outlineLevel="0" collapsed="false">
      <c r="B40" s="46" t="n">
        <v>36</v>
      </c>
      <c r="C40" s="47"/>
      <c r="D40" s="47"/>
      <c r="E40" s="47"/>
      <c r="F40" s="88"/>
      <c r="G40" s="88"/>
      <c r="H40" s="46"/>
      <c r="I40" s="46"/>
      <c r="J40" s="46"/>
      <c r="K40" s="56" t="str">
        <f aca="false">IF(RAIDLog[[#This Row],[Title]]="","",IF(RAIDLog[[#This Row],[Type]]="Issue",5,N(RAIDLog[[#This Row],[Probability]]))*N(RAIDLog[[#This Row],[Impact]]))</f>
        <v/>
      </c>
      <c r="L40" s="45" t="str">
        <f aca="false">IF(RAIDLog[[#This Row],[Title]]="","",IF(RAIDLog[[#This Row],[Score]]&gt;=RAIDHighScore,"High",IF(RAIDLog[[#This Row],[Score]]&gt;=RAIDMediumScore,"Medium","Low")))</f>
        <v/>
      </c>
      <c r="M40" s="45" t="str">
        <f aca="false">IF(OR(RAIDLog[[#This Row],[Title]]="",N(RAIDLog[[#This Row],[Due]])=0),"",IF(AND(RAIDLog[[#This Row],[Status]]&lt;&gt;"Closed",RAIDLog[[#This Row],[Due]]&lt;StatusDate),"Overdue",""))</f>
        <v/>
      </c>
      <c r="N40" s="46"/>
      <c r="O40" s="24" t="str">
        <f aca="false">IF(N(RAIDLog[[#This Row],[Task UID]])=0,"",IFERROR(INDEX(tsk_Name,MATCH(RAIDLog[[#This Row],[Task UID]],tsk_UID,0)),"UID "&amp;RAIDLog[[#This Row],[Task UID]]&amp;" not found"))</f>
        <v/>
      </c>
      <c r="P40" s="25" t="str">
        <f aca="false">IF(N(RAIDLog[[#This Row],[Task UID]])=0,"",IFERROR(INDEX(tsk_FcFinish,MATCH(RAIDLog[[#This Row],[Task UID]],tsk_UID,0)),""))</f>
        <v/>
      </c>
      <c r="Q40" s="47"/>
      <c r="R40" s="47"/>
      <c r="S40" s="32" t="str">
        <f aca="false">IF(RAIDLog[[#This Row],[Title]]="","",RAIDLog[[#This Row],[Type]]&amp;" "&amp;RAIDLog[[#This Row],[Ref]]&amp;": "&amp;RAIDLog[[#This Row],[Title]])</f>
        <v/>
      </c>
      <c r="T40" s="32" t="str">
        <f aca="false">IF(AND(NOT(RAIDLog[[#This Row],[Title]]=""),RAIDLog[[#This Row],[Status]]&lt;&gt;"Closed"),RAIDLog[[#This Row],[Score]]+1-(ROW()-ROW(RAIDLog[[#Headers],[Ref]]))/100000,"")</f>
        <v/>
      </c>
    </row>
    <row r="41" customFormat="false" ht="15" hidden="false" customHeight="false" outlineLevel="0" collapsed="false">
      <c r="B41" s="46" t="n">
        <v>37</v>
      </c>
      <c r="C41" s="47"/>
      <c r="D41" s="47"/>
      <c r="E41" s="47"/>
      <c r="F41" s="88"/>
      <c r="G41" s="88"/>
      <c r="H41" s="46"/>
      <c r="I41" s="46"/>
      <c r="J41" s="46"/>
      <c r="K41" s="56" t="str">
        <f aca="false">IF(RAIDLog[[#This Row],[Title]]="","",IF(RAIDLog[[#This Row],[Type]]="Issue",5,N(RAIDLog[[#This Row],[Probability]]))*N(RAIDLog[[#This Row],[Impact]]))</f>
        <v/>
      </c>
      <c r="L41" s="45" t="str">
        <f aca="false">IF(RAIDLog[[#This Row],[Title]]="","",IF(RAIDLog[[#This Row],[Score]]&gt;=RAIDHighScore,"High",IF(RAIDLog[[#This Row],[Score]]&gt;=RAIDMediumScore,"Medium","Low")))</f>
        <v/>
      </c>
      <c r="M41" s="45" t="str">
        <f aca="false">IF(OR(RAIDLog[[#This Row],[Title]]="",N(RAIDLog[[#This Row],[Due]])=0),"",IF(AND(RAIDLog[[#This Row],[Status]]&lt;&gt;"Closed",RAIDLog[[#This Row],[Due]]&lt;StatusDate),"Overdue",""))</f>
        <v/>
      </c>
      <c r="N41" s="46"/>
      <c r="O41" s="24" t="str">
        <f aca="false">IF(N(RAIDLog[[#This Row],[Task UID]])=0,"",IFERROR(INDEX(tsk_Name,MATCH(RAIDLog[[#This Row],[Task UID]],tsk_UID,0)),"UID "&amp;RAIDLog[[#This Row],[Task UID]]&amp;" not found"))</f>
        <v/>
      </c>
      <c r="P41" s="25" t="str">
        <f aca="false">IF(N(RAIDLog[[#This Row],[Task UID]])=0,"",IFERROR(INDEX(tsk_FcFinish,MATCH(RAIDLog[[#This Row],[Task UID]],tsk_UID,0)),""))</f>
        <v/>
      </c>
      <c r="Q41" s="47"/>
      <c r="R41" s="47"/>
      <c r="S41" s="32" t="str">
        <f aca="false">IF(RAIDLog[[#This Row],[Title]]="","",RAIDLog[[#This Row],[Type]]&amp;" "&amp;RAIDLog[[#This Row],[Ref]]&amp;": "&amp;RAIDLog[[#This Row],[Title]])</f>
        <v/>
      </c>
      <c r="T41" s="32" t="str">
        <f aca="false">IF(AND(NOT(RAIDLog[[#This Row],[Title]]=""),RAIDLog[[#This Row],[Status]]&lt;&gt;"Closed"),RAIDLog[[#This Row],[Score]]+1-(ROW()-ROW(RAIDLog[[#Headers],[Ref]]))/100000,"")</f>
        <v/>
      </c>
    </row>
    <row r="42" customFormat="false" ht="15" hidden="false" customHeight="false" outlineLevel="0" collapsed="false">
      <c r="B42" s="46" t="n">
        <v>38</v>
      </c>
      <c r="C42" s="47"/>
      <c r="D42" s="47"/>
      <c r="E42" s="47"/>
      <c r="F42" s="88"/>
      <c r="G42" s="88"/>
      <c r="H42" s="46"/>
      <c r="I42" s="46"/>
      <c r="J42" s="46"/>
      <c r="K42" s="56" t="str">
        <f aca="false">IF(RAIDLog[[#This Row],[Title]]="","",IF(RAIDLog[[#This Row],[Type]]="Issue",5,N(RAIDLog[[#This Row],[Probability]]))*N(RAIDLog[[#This Row],[Impact]]))</f>
        <v/>
      </c>
      <c r="L42" s="45" t="str">
        <f aca="false">IF(RAIDLog[[#This Row],[Title]]="","",IF(RAIDLog[[#This Row],[Score]]&gt;=RAIDHighScore,"High",IF(RAIDLog[[#This Row],[Score]]&gt;=RAIDMediumScore,"Medium","Low")))</f>
        <v/>
      </c>
      <c r="M42" s="45" t="str">
        <f aca="false">IF(OR(RAIDLog[[#This Row],[Title]]="",N(RAIDLog[[#This Row],[Due]])=0),"",IF(AND(RAIDLog[[#This Row],[Status]]&lt;&gt;"Closed",RAIDLog[[#This Row],[Due]]&lt;StatusDate),"Overdue",""))</f>
        <v/>
      </c>
      <c r="N42" s="46"/>
      <c r="O42" s="24" t="str">
        <f aca="false">IF(N(RAIDLog[[#This Row],[Task UID]])=0,"",IFERROR(INDEX(tsk_Name,MATCH(RAIDLog[[#This Row],[Task UID]],tsk_UID,0)),"UID "&amp;RAIDLog[[#This Row],[Task UID]]&amp;" not found"))</f>
        <v/>
      </c>
      <c r="P42" s="25" t="str">
        <f aca="false">IF(N(RAIDLog[[#This Row],[Task UID]])=0,"",IFERROR(INDEX(tsk_FcFinish,MATCH(RAIDLog[[#This Row],[Task UID]],tsk_UID,0)),""))</f>
        <v/>
      </c>
      <c r="Q42" s="47"/>
      <c r="R42" s="47"/>
      <c r="S42" s="32" t="str">
        <f aca="false">IF(RAIDLog[[#This Row],[Title]]="","",RAIDLog[[#This Row],[Type]]&amp;" "&amp;RAIDLog[[#This Row],[Ref]]&amp;": "&amp;RAIDLog[[#This Row],[Title]])</f>
        <v/>
      </c>
      <c r="T42" s="32" t="str">
        <f aca="false">IF(AND(NOT(RAIDLog[[#This Row],[Title]]=""),RAIDLog[[#This Row],[Status]]&lt;&gt;"Closed"),RAIDLog[[#This Row],[Score]]+1-(ROW()-ROW(RAIDLog[[#Headers],[Ref]]))/100000,"")</f>
        <v/>
      </c>
    </row>
    <row r="43" customFormat="false" ht="15" hidden="false" customHeight="false" outlineLevel="0" collapsed="false">
      <c r="B43" s="46" t="n">
        <v>39</v>
      </c>
      <c r="C43" s="47"/>
      <c r="D43" s="47"/>
      <c r="E43" s="47"/>
      <c r="F43" s="88"/>
      <c r="G43" s="88"/>
      <c r="H43" s="46"/>
      <c r="I43" s="46"/>
      <c r="J43" s="46"/>
      <c r="K43" s="56" t="str">
        <f aca="false">IF(RAIDLog[[#This Row],[Title]]="","",IF(RAIDLog[[#This Row],[Type]]="Issue",5,N(RAIDLog[[#This Row],[Probability]]))*N(RAIDLog[[#This Row],[Impact]]))</f>
        <v/>
      </c>
      <c r="L43" s="45" t="str">
        <f aca="false">IF(RAIDLog[[#This Row],[Title]]="","",IF(RAIDLog[[#This Row],[Score]]&gt;=RAIDHighScore,"High",IF(RAIDLog[[#This Row],[Score]]&gt;=RAIDMediumScore,"Medium","Low")))</f>
        <v/>
      </c>
      <c r="M43" s="45" t="str">
        <f aca="false">IF(OR(RAIDLog[[#This Row],[Title]]="",N(RAIDLog[[#This Row],[Due]])=0),"",IF(AND(RAIDLog[[#This Row],[Status]]&lt;&gt;"Closed",RAIDLog[[#This Row],[Due]]&lt;StatusDate),"Overdue",""))</f>
        <v/>
      </c>
      <c r="N43" s="46"/>
      <c r="O43" s="24" t="str">
        <f aca="false">IF(N(RAIDLog[[#This Row],[Task UID]])=0,"",IFERROR(INDEX(tsk_Name,MATCH(RAIDLog[[#This Row],[Task UID]],tsk_UID,0)),"UID "&amp;RAIDLog[[#This Row],[Task UID]]&amp;" not found"))</f>
        <v/>
      </c>
      <c r="P43" s="25" t="str">
        <f aca="false">IF(N(RAIDLog[[#This Row],[Task UID]])=0,"",IFERROR(INDEX(tsk_FcFinish,MATCH(RAIDLog[[#This Row],[Task UID]],tsk_UID,0)),""))</f>
        <v/>
      </c>
      <c r="Q43" s="47"/>
      <c r="R43" s="47"/>
      <c r="S43" s="32" t="str">
        <f aca="false">IF(RAIDLog[[#This Row],[Title]]="","",RAIDLog[[#This Row],[Type]]&amp;" "&amp;RAIDLog[[#This Row],[Ref]]&amp;": "&amp;RAIDLog[[#This Row],[Title]])</f>
        <v/>
      </c>
      <c r="T43" s="32" t="str">
        <f aca="false">IF(AND(NOT(RAIDLog[[#This Row],[Title]]=""),RAIDLog[[#This Row],[Status]]&lt;&gt;"Closed"),RAIDLog[[#This Row],[Score]]+1-(ROW()-ROW(RAIDLog[[#Headers],[Ref]]))/100000,"")</f>
        <v/>
      </c>
    </row>
    <row r="44" customFormat="false" ht="15" hidden="false" customHeight="false" outlineLevel="0" collapsed="false">
      <c r="B44" s="46" t="n">
        <v>40</v>
      </c>
      <c r="C44" s="47"/>
      <c r="D44" s="47"/>
      <c r="E44" s="47"/>
      <c r="F44" s="88"/>
      <c r="G44" s="88"/>
      <c r="H44" s="46"/>
      <c r="I44" s="46"/>
      <c r="J44" s="46"/>
      <c r="K44" s="56" t="str">
        <f aca="false">IF(RAIDLog[[#This Row],[Title]]="","",IF(RAIDLog[[#This Row],[Type]]="Issue",5,N(RAIDLog[[#This Row],[Probability]]))*N(RAIDLog[[#This Row],[Impact]]))</f>
        <v/>
      </c>
      <c r="L44" s="45" t="str">
        <f aca="false">IF(RAIDLog[[#This Row],[Title]]="","",IF(RAIDLog[[#This Row],[Score]]&gt;=RAIDHighScore,"High",IF(RAIDLog[[#This Row],[Score]]&gt;=RAIDMediumScore,"Medium","Low")))</f>
        <v/>
      </c>
      <c r="M44" s="45" t="str">
        <f aca="false">IF(OR(RAIDLog[[#This Row],[Title]]="",N(RAIDLog[[#This Row],[Due]])=0),"",IF(AND(RAIDLog[[#This Row],[Status]]&lt;&gt;"Closed",RAIDLog[[#This Row],[Due]]&lt;StatusDate),"Overdue",""))</f>
        <v/>
      </c>
      <c r="N44" s="46"/>
      <c r="O44" s="24" t="str">
        <f aca="false">IF(N(RAIDLog[[#This Row],[Task UID]])=0,"",IFERROR(INDEX(tsk_Name,MATCH(RAIDLog[[#This Row],[Task UID]],tsk_UID,0)),"UID "&amp;RAIDLog[[#This Row],[Task UID]]&amp;" not found"))</f>
        <v/>
      </c>
      <c r="P44" s="25" t="str">
        <f aca="false">IF(N(RAIDLog[[#This Row],[Task UID]])=0,"",IFERROR(INDEX(tsk_FcFinish,MATCH(RAIDLog[[#This Row],[Task UID]],tsk_UID,0)),""))</f>
        <v/>
      </c>
      <c r="Q44" s="47"/>
      <c r="R44" s="47"/>
      <c r="S44" s="32" t="str">
        <f aca="false">IF(RAIDLog[[#This Row],[Title]]="","",RAIDLog[[#This Row],[Type]]&amp;" "&amp;RAIDLog[[#This Row],[Ref]]&amp;": "&amp;RAIDLog[[#This Row],[Title]])</f>
        <v/>
      </c>
      <c r="T44" s="32" t="str">
        <f aca="false">IF(AND(NOT(RAIDLog[[#This Row],[Title]]=""),RAIDLog[[#This Row],[Status]]&lt;&gt;"Closed"),RAIDLog[[#This Row],[Score]]+1-(ROW()-ROW(RAIDLog[[#Headers],[Ref]]))/100000,"")</f>
        <v/>
      </c>
    </row>
    <row r="45" customFormat="false" ht="15" hidden="false" customHeight="false" outlineLevel="0" collapsed="false">
      <c r="B45" s="46" t="n">
        <v>41</v>
      </c>
      <c r="C45" s="47"/>
      <c r="D45" s="47"/>
      <c r="E45" s="47"/>
      <c r="F45" s="88"/>
      <c r="G45" s="88"/>
      <c r="H45" s="46"/>
      <c r="I45" s="46"/>
      <c r="J45" s="46"/>
      <c r="K45" s="56" t="str">
        <f aca="false">IF(RAIDLog[[#This Row],[Title]]="","",IF(RAIDLog[[#This Row],[Type]]="Issue",5,N(RAIDLog[[#This Row],[Probability]]))*N(RAIDLog[[#This Row],[Impact]]))</f>
        <v/>
      </c>
      <c r="L45" s="45" t="str">
        <f aca="false">IF(RAIDLog[[#This Row],[Title]]="","",IF(RAIDLog[[#This Row],[Score]]&gt;=RAIDHighScore,"High",IF(RAIDLog[[#This Row],[Score]]&gt;=RAIDMediumScore,"Medium","Low")))</f>
        <v/>
      </c>
      <c r="M45" s="45" t="str">
        <f aca="false">IF(OR(RAIDLog[[#This Row],[Title]]="",N(RAIDLog[[#This Row],[Due]])=0),"",IF(AND(RAIDLog[[#This Row],[Status]]&lt;&gt;"Closed",RAIDLog[[#This Row],[Due]]&lt;StatusDate),"Overdue",""))</f>
        <v/>
      </c>
      <c r="N45" s="46"/>
      <c r="O45" s="24" t="str">
        <f aca="false">IF(N(RAIDLog[[#This Row],[Task UID]])=0,"",IFERROR(INDEX(tsk_Name,MATCH(RAIDLog[[#This Row],[Task UID]],tsk_UID,0)),"UID "&amp;RAIDLog[[#This Row],[Task UID]]&amp;" not found"))</f>
        <v/>
      </c>
      <c r="P45" s="25" t="str">
        <f aca="false">IF(N(RAIDLog[[#This Row],[Task UID]])=0,"",IFERROR(INDEX(tsk_FcFinish,MATCH(RAIDLog[[#This Row],[Task UID]],tsk_UID,0)),""))</f>
        <v/>
      </c>
      <c r="Q45" s="47"/>
      <c r="R45" s="47"/>
      <c r="S45" s="32" t="str">
        <f aca="false">IF(RAIDLog[[#This Row],[Title]]="","",RAIDLog[[#This Row],[Type]]&amp;" "&amp;RAIDLog[[#This Row],[Ref]]&amp;": "&amp;RAIDLog[[#This Row],[Title]])</f>
        <v/>
      </c>
      <c r="T45" s="32" t="str">
        <f aca="false">IF(AND(NOT(RAIDLog[[#This Row],[Title]]=""),RAIDLog[[#This Row],[Status]]&lt;&gt;"Closed"),RAIDLog[[#This Row],[Score]]+1-(ROW()-ROW(RAIDLog[[#Headers],[Ref]]))/100000,"")</f>
        <v/>
      </c>
    </row>
    <row r="46" customFormat="false" ht="15" hidden="false" customHeight="false" outlineLevel="0" collapsed="false">
      <c r="B46" s="46" t="n">
        <v>42</v>
      </c>
      <c r="C46" s="47"/>
      <c r="D46" s="47"/>
      <c r="E46" s="47"/>
      <c r="F46" s="88"/>
      <c r="G46" s="88"/>
      <c r="H46" s="46"/>
      <c r="I46" s="46"/>
      <c r="J46" s="46"/>
      <c r="K46" s="56" t="str">
        <f aca="false">IF(RAIDLog[[#This Row],[Title]]="","",IF(RAIDLog[[#This Row],[Type]]="Issue",5,N(RAIDLog[[#This Row],[Probability]]))*N(RAIDLog[[#This Row],[Impact]]))</f>
        <v/>
      </c>
      <c r="L46" s="45" t="str">
        <f aca="false">IF(RAIDLog[[#This Row],[Title]]="","",IF(RAIDLog[[#This Row],[Score]]&gt;=RAIDHighScore,"High",IF(RAIDLog[[#This Row],[Score]]&gt;=RAIDMediumScore,"Medium","Low")))</f>
        <v/>
      </c>
      <c r="M46" s="45" t="str">
        <f aca="false">IF(OR(RAIDLog[[#This Row],[Title]]="",N(RAIDLog[[#This Row],[Due]])=0),"",IF(AND(RAIDLog[[#This Row],[Status]]&lt;&gt;"Closed",RAIDLog[[#This Row],[Due]]&lt;StatusDate),"Overdue",""))</f>
        <v/>
      </c>
      <c r="N46" s="46"/>
      <c r="O46" s="24" t="str">
        <f aca="false">IF(N(RAIDLog[[#This Row],[Task UID]])=0,"",IFERROR(INDEX(tsk_Name,MATCH(RAIDLog[[#This Row],[Task UID]],tsk_UID,0)),"UID "&amp;RAIDLog[[#This Row],[Task UID]]&amp;" not found"))</f>
        <v/>
      </c>
      <c r="P46" s="25" t="str">
        <f aca="false">IF(N(RAIDLog[[#This Row],[Task UID]])=0,"",IFERROR(INDEX(tsk_FcFinish,MATCH(RAIDLog[[#This Row],[Task UID]],tsk_UID,0)),""))</f>
        <v/>
      </c>
      <c r="Q46" s="47"/>
      <c r="R46" s="47"/>
      <c r="S46" s="32" t="str">
        <f aca="false">IF(RAIDLog[[#This Row],[Title]]="","",RAIDLog[[#This Row],[Type]]&amp;" "&amp;RAIDLog[[#This Row],[Ref]]&amp;": "&amp;RAIDLog[[#This Row],[Title]])</f>
        <v/>
      </c>
      <c r="T46" s="32" t="str">
        <f aca="false">IF(AND(NOT(RAIDLog[[#This Row],[Title]]=""),RAIDLog[[#This Row],[Status]]&lt;&gt;"Closed"),RAIDLog[[#This Row],[Score]]+1-(ROW()-ROW(RAIDLog[[#Headers],[Ref]]))/100000,"")</f>
        <v/>
      </c>
    </row>
    <row r="47" customFormat="false" ht="15" hidden="false" customHeight="false" outlineLevel="0" collapsed="false">
      <c r="B47" s="46" t="n">
        <v>43</v>
      </c>
      <c r="C47" s="47"/>
      <c r="D47" s="47"/>
      <c r="E47" s="47"/>
      <c r="F47" s="88"/>
      <c r="G47" s="88"/>
      <c r="H47" s="46"/>
      <c r="I47" s="46"/>
      <c r="J47" s="46"/>
      <c r="K47" s="56" t="str">
        <f aca="false">IF(RAIDLog[[#This Row],[Title]]="","",IF(RAIDLog[[#This Row],[Type]]="Issue",5,N(RAIDLog[[#This Row],[Probability]]))*N(RAIDLog[[#This Row],[Impact]]))</f>
        <v/>
      </c>
      <c r="L47" s="45" t="str">
        <f aca="false">IF(RAIDLog[[#This Row],[Title]]="","",IF(RAIDLog[[#This Row],[Score]]&gt;=RAIDHighScore,"High",IF(RAIDLog[[#This Row],[Score]]&gt;=RAIDMediumScore,"Medium","Low")))</f>
        <v/>
      </c>
      <c r="M47" s="45" t="str">
        <f aca="false">IF(OR(RAIDLog[[#This Row],[Title]]="",N(RAIDLog[[#This Row],[Due]])=0),"",IF(AND(RAIDLog[[#This Row],[Status]]&lt;&gt;"Closed",RAIDLog[[#This Row],[Due]]&lt;StatusDate),"Overdue",""))</f>
        <v/>
      </c>
      <c r="N47" s="46"/>
      <c r="O47" s="24" t="str">
        <f aca="false">IF(N(RAIDLog[[#This Row],[Task UID]])=0,"",IFERROR(INDEX(tsk_Name,MATCH(RAIDLog[[#This Row],[Task UID]],tsk_UID,0)),"UID "&amp;RAIDLog[[#This Row],[Task UID]]&amp;" not found"))</f>
        <v/>
      </c>
      <c r="P47" s="25" t="str">
        <f aca="false">IF(N(RAIDLog[[#This Row],[Task UID]])=0,"",IFERROR(INDEX(tsk_FcFinish,MATCH(RAIDLog[[#This Row],[Task UID]],tsk_UID,0)),""))</f>
        <v/>
      </c>
      <c r="Q47" s="47"/>
      <c r="R47" s="47"/>
      <c r="S47" s="32" t="str">
        <f aca="false">IF(RAIDLog[[#This Row],[Title]]="","",RAIDLog[[#This Row],[Type]]&amp;" "&amp;RAIDLog[[#This Row],[Ref]]&amp;": "&amp;RAIDLog[[#This Row],[Title]])</f>
        <v/>
      </c>
      <c r="T47" s="32" t="str">
        <f aca="false">IF(AND(NOT(RAIDLog[[#This Row],[Title]]=""),RAIDLog[[#This Row],[Status]]&lt;&gt;"Closed"),RAIDLog[[#This Row],[Score]]+1-(ROW()-ROW(RAIDLog[[#Headers],[Ref]]))/100000,"")</f>
        <v/>
      </c>
    </row>
    <row r="48" customFormat="false" ht="15" hidden="false" customHeight="false" outlineLevel="0" collapsed="false">
      <c r="B48" s="46" t="n">
        <v>44</v>
      </c>
      <c r="C48" s="47"/>
      <c r="D48" s="47"/>
      <c r="E48" s="47"/>
      <c r="F48" s="88"/>
      <c r="G48" s="88"/>
      <c r="H48" s="46"/>
      <c r="I48" s="46"/>
      <c r="J48" s="46"/>
      <c r="K48" s="56" t="str">
        <f aca="false">IF(RAIDLog[[#This Row],[Title]]="","",IF(RAIDLog[[#This Row],[Type]]="Issue",5,N(RAIDLog[[#This Row],[Probability]]))*N(RAIDLog[[#This Row],[Impact]]))</f>
        <v/>
      </c>
      <c r="L48" s="45" t="str">
        <f aca="false">IF(RAIDLog[[#This Row],[Title]]="","",IF(RAIDLog[[#This Row],[Score]]&gt;=RAIDHighScore,"High",IF(RAIDLog[[#This Row],[Score]]&gt;=RAIDMediumScore,"Medium","Low")))</f>
        <v/>
      </c>
      <c r="M48" s="45" t="str">
        <f aca="false">IF(OR(RAIDLog[[#This Row],[Title]]="",N(RAIDLog[[#This Row],[Due]])=0),"",IF(AND(RAIDLog[[#This Row],[Status]]&lt;&gt;"Closed",RAIDLog[[#This Row],[Due]]&lt;StatusDate),"Overdue",""))</f>
        <v/>
      </c>
      <c r="N48" s="46"/>
      <c r="O48" s="24" t="str">
        <f aca="false">IF(N(RAIDLog[[#This Row],[Task UID]])=0,"",IFERROR(INDEX(tsk_Name,MATCH(RAIDLog[[#This Row],[Task UID]],tsk_UID,0)),"UID "&amp;RAIDLog[[#This Row],[Task UID]]&amp;" not found"))</f>
        <v/>
      </c>
      <c r="P48" s="25" t="str">
        <f aca="false">IF(N(RAIDLog[[#This Row],[Task UID]])=0,"",IFERROR(INDEX(tsk_FcFinish,MATCH(RAIDLog[[#This Row],[Task UID]],tsk_UID,0)),""))</f>
        <v/>
      </c>
      <c r="Q48" s="47"/>
      <c r="R48" s="47"/>
      <c r="S48" s="32" t="str">
        <f aca="false">IF(RAIDLog[[#This Row],[Title]]="","",RAIDLog[[#This Row],[Type]]&amp;" "&amp;RAIDLog[[#This Row],[Ref]]&amp;": "&amp;RAIDLog[[#This Row],[Title]])</f>
        <v/>
      </c>
      <c r="T48" s="32" t="str">
        <f aca="false">IF(AND(NOT(RAIDLog[[#This Row],[Title]]=""),RAIDLog[[#This Row],[Status]]&lt;&gt;"Closed"),RAIDLog[[#This Row],[Score]]+1-(ROW()-ROW(RAIDLog[[#Headers],[Ref]]))/100000,"")</f>
        <v/>
      </c>
    </row>
    <row r="49" customFormat="false" ht="15" hidden="false" customHeight="false" outlineLevel="0" collapsed="false">
      <c r="B49" s="46" t="n">
        <v>45</v>
      </c>
      <c r="C49" s="47"/>
      <c r="D49" s="47"/>
      <c r="E49" s="47"/>
      <c r="F49" s="88"/>
      <c r="G49" s="88"/>
      <c r="H49" s="46"/>
      <c r="I49" s="46"/>
      <c r="J49" s="46"/>
      <c r="K49" s="56" t="str">
        <f aca="false">IF(RAIDLog[[#This Row],[Title]]="","",IF(RAIDLog[[#This Row],[Type]]="Issue",5,N(RAIDLog[[#This Row],[Probability]]))*N(RAIDLog[[#This Row],[Impact]]))</f>
        <v/>
      </c>
      <c r="L49" s="45" t="str">
        <f aca="false">IF(RAIDLog[[#This Row],[Title]]="","",IF(RAIDLog[[#This Row],[Score]]&gt;=RAIDHighScore,"High",IF(RAIDLog[[#This Row],[Score]]&gt;=RAIDMediumScore,"Medium","Low")))</f>
        <v/>
      </c>
      <c r="M49" s="45" t="str">
        <f aca="false">IF(OR(RAIDLog[[#This Row],[Title]]="",N(RAIDLog[[#This Row],[Due]])=0),"",IF(AND(RAIDLog[[#This Row],[Status]]&lt;&gt;"Closed",RAIDLog[[#This Row],[Due]]&lt;StatusDate),"Overdue",""))</f>
        <v/>
      </c>
      <c r="N49" s="46"/>
      <c r="O49" s="24" t="str">
        <f aca="false">IF(N(RAIDLog[[#This Row],[Task UID]])=0,"",IFERROR(INDEX(tsk_Name,MATCH(RAIDLog[[#This Row],[Task UID]],tsk_UID,0)),"UID "&amp;RAIDLog[[#This Row],[Task UID]]&amp;" not found"))</f>
        <v/>
      </c>
      <c r="P49" s="25" t="str">
        <f aca="false">IF(N(RAIDLog[[#This Row],[Task UID]])=0,"",IFERROR(INDEX(tsk_FcFinish,MATCH(RAIDLog[[#This Row],[Task UID]],tsk_UID,0)),""))</f>
        <v/>
      </c>
      <c r="Q49" s="47"/>
      <c r="R49" s="47"/>
      <c r="S49" s="32" t="str">
        <f aca="false">IF(RAIDLog[[#This Row],[Title]]="","",RAIDLog[[#This Row],[Type]]&amp;" "&amp;RAIDLog[[#This Row],[Ref]]&amp;": "&amp;RAIDLog[[#This Row],[Title]])</f>
        <v/>
      </c>
      <c r="T49" s="32" t="str">
        <f aca="false">IF(AND(NOT(RAIDLog[[#This Row],[Title]]=""),RAIDLog[[#This Row],[Status]]&lt;&gt;"Closed"),RAIDLog[[#This Row],[Score]]+1-(ROW()-ROW(RAIDLog[[#Headers],[Ref]]))/100000,"")</f>
        <v/>
      </c>
    </row>
    <row r="50" customFormat="false" ht="15" hidden="false" customHeight="false" outlineLevel="0" collapsed="false">
      <c r="B50" s="46" t="n">
        <v>46</v>
      </c>
      <c r="C50" s="47"/>
      <c r="D50" s="47"/>
      <c r="E50" s="47"/>
      <c r="F50" s="88"/>
      <c r="G50" s="88"/>
      <c r="H50" s="46"/>
      <c r="I50" s="46"/>
      <c r="J50" s="46"/>
      <c r="K50" s="56" t="str">
        <f aca="false">IF(RAIDLog[[#This Row],[Title]]="","",IF(RAIDLog[[#This Row],[Type]]="Issue",5,N(RAIDLog[[#This Row],[Probability]]))*N(RAIDLog[[#This Row],[Impact]]))</f>
        <v/>
      </c>
      <c r="L50" s="45" t="str">
        <f aca="false">IF(RAIDLog[[#This Row],[Title]]="","",IF(RAIDLog[[#This Row],[Score]]&gt;=RAIDHighScore,"High",IF(RAIDLog[[#This Row],[Score]]&gt;=RAIDMediumScore,"Medium","Low")))</f>
        <v/>
      </c>
      <c r="M50" s="45" t="str">
        <f aca="false">IF(OR(RAIDLog[[#This Row],[Title]]="",N(RAIDLog[[#This Row],[Due]])=0),"",IF(AND(RAIDLog[[#This Row],[Status]]&lt;&gt;"Closed",RAIDLog[[#This Row],[Due]]&lt;StatusDate),"Overdue",""))</f>
        <v/>
      </c>
      <c r="N50" s="46"/>
      <c r="O50" s="24" t="str">
        <f aca="false">IF(N(RAIDLog[[#This Row],[Task UID]])=0,"",IFERROR(INDEX(tsk_Name,MATCH(RAIDLog[[#This Row],[Task UID]],tsk_UID,0)),"UID "&amp;RAIDLog[[#This Row],[Task UID]]&amp;" not found"))</f>
        <v/>
      </c>
      <c r="P50" s="25" t="str">
        <f aca="false">IF(N(RAIDLog[[#This Row],[Task UID]])=0,"",IFERROR(INDEX(tsk_FcFinish,MATCH(RAIDLog[[#This Row],[Task UID]],tsk_UID,0)),""))</f>
        <v/>
      </c>
      <c r="Q50" s="47"/>
      <c r="R50" s="47"/>
      <c r="S50" s="32" t="str">
        <f aca="false">IF(RAIDLog[[#This Row],[Title]]="","",RAIDLog[[#This Row],[Type]]&amp;" "&amp;RAIDLog[[#This Row],[Ref]]&amp;": "&amp;RAIDLog[[#This Row],[Title]])</f>
        <v/>
      </c>
      <c r="T50" s="32" t="str">
        <f aca="false">IF(AND(NOT(RAIDLog[[#This Row],[Title]]=""),RAIDLog[[#This Row],[Status]]&lt;&gt;"Closed"),RAIDLog[[#This Row],[Score]]+1-(ROW()-ROW(RAIDLog[[#Headers],[Ref]]))/100000,"")</f>
        <v/>
      </c>
    </row>
    <row r="51" customFormat="false" ht="15" hidden="false" customHeight="false" outlineLevel="0" collapsed="false">
      <c r="B51" s="46" t="n">
        <v>47</v>
      </c>
      <c r="C51" s="47"/>
      <c r="D51" s="47"/>
      <c r="E51" s="47"/>
      <c r="F51" s="88"/>
      <c r="G51" s="88"/>
      <c r="H51" s="46"/>
      <c r="I51" s="46"/>
      <c r="J51" s="46"/>
      <c r="K51" s="56" t="str">
        <f aca="false">IF(RAIDLog[[#This Row],[Title]]="","",IF(RAIDLog[[#This Row],[Type]]="Issue",5,N(RAIDLog[[#This Row],[Probability]]))*N(RAIDLog[[#This Row],[Impact]]))</f>
        <v/>
      </c>
      <c r="L51" s="45" t="str">
        <f aca="false">IF(RAIDLog[[#This Row],[Title]]="","",IF(RAIDLog[[#This Row],[Score]]&gt;=RAIDHighScore,"High",IF(RAIDLog[[#This Row],[Score]]&gt;=RAIDMediumScore,"Medium","Low")))</f>
        <v/>
      </c>
      <c r="M51" s="45" t="str">
        <f aca="false">IF(OR(RAIDLog[[#This Row],[Title]]="",N(RAIDLog[[#This Row],[Due]])=0),"",IF(AND(RAIDLog[[#This Row],[Status]]&lt;&gt;"Closed",RAIDLog[[#This Row],[Due]]&lt;StatusDate),"Overdue",""))</f>
        <v/>
      </c>
      <c r="N51" s="46"/>
      <c r="O51" s="24" t="str">
        <f aca="false">IF(N(RAIDLog[[#This Row],[Task UID]])=0,"",IFERROR(INDEX(tsk_Name,MATCH(RAIDLog[[#This Row],[Task UID]],tsk_UID,0)),"UID "&amp;RAIDLog[[#This Row],[Task UID]]&amp;" not found"))</f>
        <v/>
      </c>
      <c r="P51" s="25" t="str">
        <f aca="false">IF(N(RAIDLog[[#This Row],[Task UID]])=0,"",IFERROR(INDEX(tsk_FcFinish,MATCH(RAIDLog[[#This Row],[Task UID]],tsk_UID,0)),""))</f>
        <v/>
      </c>
      <c r="Q51" s="47"/>
      <c r="R51" s="47"/>
      <c r="S51" s="32" t="str">
        <f aca="false">IF(RAIDLog[[#This Row],[Title]]="","",RAIDLog[[#This Row],[Type]]&amp;" "&amp;RAIDLog[[#This Row],[Ref]]&amp;": "&amp;RAIDLog[[#This Row],[Title]])</f>
        <v/>
      </c>
      <c r="T51" s="32" t="str">
        <f aca="false">IF(AND(NOT(RAIDLog[[#This Row],[Title]]=""),RAIDLog[[#This Row],[Status]]&lt;&gt;"Closed"),RAIDLog[[#This Row],[Score]]+1-(ROW()-ROW(RAIDLog[[#Headers],[Ref]]))/100000,"")</f>
        <v/>
      </c>
    </row>
    <row r="52" customFormat="false" ht="15" hidden="false" customHeight="false" outlineLevel="0" collapsed="false">
      <c r="B52" s="46" t="n">
        <v>48</v>
      </c>
      <c r="C52" s="47"/>
      <c r="D52" s="47"/>
      <c r="E52" s="47"/>
      <c r="F52" s="88"/>
      <c r="G52" s="88"/>
      <c r="H52" s="46"/>
      <c r="I52" s="46"/>
      <c r="J52" s="46"/>
      <c r="K52" s="56" t="str">
        <f aca="false">IF(RAIDLog[[#This Row],[Title]]="","",IF(RAIDLog[[#This Row],[Type]]="Issue",5,N(RAIDLog[[#This Row],[Probability]]))*N(RAIDLog[[#This Row],[Impact]]))</f>
        <v/>
      </c>
      <c r="L52" s="45" t="str">
        <f aca="false">IF(RAIDLog[[#This Row],[Title]]="","",IF(RAIDLog[[#This Row],[Score]]&gt;=RAIDHighScore,"High",IF(RAIDLog[[#This Row],[Score]]&gt;=RAIDMediumScore,"Medium","Low")))</f>
        <v/>
      </c>
      <c r="M52" s="45" t="str">
        <f aca="false">IF(OR(RAIDLog[[#This Row],[Title]]="",N(RAIDLog[[#This Row],[Due]])=0),"",IF(AND(RAIDLog[[#This Row],[Status]]&lt;&gt;"Closed",RAIDLog[[#This Row],[Due]]&lt;StatusDate),"Overdue",""))</f>
        <v/>
      </c>
      <c r="N52" s="46"/>
      <c r="O52" s="24" t="str">
        <f aca="false">IF(N(RAIDLog[[#This Row],[Task UID]])=0,"",IFERROR(INDEX(tsk_Name,MATCH(RAIDLog[[#This Row],[Task UID]],tsk_UID,0)),"UID "&amp;RAIDLog[[#This Row],[Task UID]]&amp;" not found"))</f>
        <v/>
      </c>
      <c r="P52" s="25" t="str">
        <f aca="false">IF(N(RAIDLog[[#This Row],[Task UID]])=0,"",IFERROR(INDEX(tsk_FcFinish,MATCH(RAIDLog[[#This Row],[Task UID]],tsk_UID,0)),""))</f>
        <v/>
      </c>
      <c r="Q52" s="47"/>
      <c r="R52" s="47"/>
      <c r="S52" s="32" t="str">
        <f aca="false">IF(RAIDLog[[#This Row],[Title]]="","",RAIDLog[[#This Row],[Type]]&amp;" "&amp;RAIDLog[[#This Row],[Ref]]&amp;": "&amp;RAIDLog[[#This Row],[Title]])</f>
        <v/>
      </c>
      <c r="T52" s="32" t="str">
        <f aca="false">IF(AND(NOT(RAIDLog[[#This Row],[Title]]=""),RAIDLog[[#This Row],[Status]]&lt;&gt;"Closed"),RAIDLog[[#This Row],[Score]]+1-(ROW()-ROW(RAIDLog[[#Headers],[Ref]]))/100000,"")</f>
        <v/>
      </c>
    </row>
    <row r="53" customFormat="false" ht="15" hidden="false" customHeight="false" outlineLevel="0" collapsed="false">
      <c r="B53" s="46" t="n">
        <v>49</v>
      </c>
      <c r="C53" s="47"/>
      <c r="D53" s="47"/>
      <c r="E53" s="47"/>
      <c r="F53" s="88"/>
      <c r="G53" s="88"/>
      <c r="H53" s="46"/>
      <c r="I53" s="46"/>
      <c r="J53" s="46"/>
      <c r="K53" s="56" t="str">
        <f aca="false">IF(RAIDLog[[#This Row],[Title]]="","",IF(RAIDLog[[#This Row],[Type]]="Issue",5,N(RAIDLog[[#This Row],[Probability]]))*N(RAIDLog[[#This Row],[Impact]]))</f>
        <v/>
      </c>
      <c r="L53" s="45" t="str">
        <f aca="false">IF(RAIDLog[[#This Row],[Title]]="","",IF(RAIDLog[[#This Row],[Score]]&gt;=RAIDHighScore,"High",IF(RAIDLog[[#This Row],[Score]]&gt;=RAIDMediumScore,"Medium","Low")))</f>
        <v/>
      </c>
      <c r="M53" s="45" t="str">
        <f aca="false">IF(OR(RAIDLog[[#This Row],[Title]]="",N(RAIDLog[[#This Row],[Due]])=0),"",IF(AND(RAIDLog[[#This Row],[Status]]&lt;&gt;"Closed",RAIDLog[[#This Row],[Due]]&lt;StatusDate),"Overdue",""))</f>
        <v/>
      </c>
      <c r="N53" s="46"/>
      <c r="O53" s="24" t="str">
        <f aca="false">IF(N(RAIDLog[[#This Row],[Task UID]])=0,"",IFERROR(INDEX(tsk_Name,MATCH(RAIDLog[[#This Row],[Task UID]],tsk_UID,0)),"UID "&amp;RAIDLog[[#This Row],[Task UID]]&amp;" not found"))</f>
        <v/>
      </c>
      <c r="P53" s="25" t="str">
        <f aca="false">IF(N(RAIDLog[[#This Row],[Task UID]])=0,"",IFERROR(INDEX(tsk_FcFinish,MATCH(RAIDLog[[#This Row],[Task UID]],tsk_UID,0)),""))</f>
        <v/>
      </c>
      <c r="Q53" s="47"/>
      <c r="R53" s="47"/>
      <c r="S53" s="32" t="str">
        <f aca="false">IF(RAIDLog[[#This Row],[Title]]="","",RAIDLog[[#This Row],[Type]]&amp;" "&amp;RAIDLog[[#This Row],[Ref]]&amp;": "&amp;RAIDLog[[#This Row],[Title]])</f>
        <v/>
      </c>
      <c r="T53" s="32" t="str">
        <f aca="false">IF(AND(NOT(RAIDLog[[#This Row],[Title]]=""),RAIDLog[[#This Row],[Status]]&lt;&gt;"Closed"),RAIDLog[[#This Row],[Score]]+1-(ROW()-ROW(RAIDLog[[#Headers],[Ref]]))/100000,"")</f>
        <v/>
      </c>
    </row>
    <row r="54" customFormat="false" ht="15" hidden="false" customHeight="false" outlineLevel="0" collapsed="false">
      <c r="B54" s="46" t="n">
        <v>50</v>
      </c>
      <c r="C54" s="47"/>
      <c r="D54" s="47"/>
      <c r="E54" s="47"/>
      <c r="F54" s="88"/>
      <c r="G54" s="88"/>
      <c r="H54" s="46"/>
      <c r="I54" s="46"/>
      <c r="J54" s="46"/>
      <c r="K54" s="56" t="str">
        <f aca="false">IF(RAIDLog[[#This Row],[Title]]="","",IF(RAIDLog[[#This Row],[Type]]="Issue",5,N(RAIDLog[[#This Row],[Probability]]))*N(RAIDLog[[#This Row],[Impact]]))</f>
        <v/>
      </c>
      <c r="L54" s="45" t="str">
        <f aca="false">IF(RAIDLog[[#This Row],[Title]]="","",IF(RAIDLog[[#This Row],[Score]]&gt;=RAIDHighScore,"High",IF(RAIDLog[[#This Row],[Score]]&gt;=RAIDMediumScore,"Medium","Low")))</f>
        <v/>
      </c>
      <c r="M54" s="45" t="str">
        <f aca="false">IF(OR(RAIDLog[[#This Row],[Title]]="",N(RAIDLog[[#This Row],[Due]])=0),"",IF(AND(RAIDLog[[#This Row],[Status]]&lt;&gt;"Closed",RAIDLog[[#This Row],[Due]]&lt;StatusDate),"Overdue",""))</f>
        <v/>
      </c>
      <c r="N54" s="46"/>
      <c r="O54" s="24" t="str">
        <f aca="false">IF(N(RAIDLog[[#This Row],[Task UID]])=0,"",IFERROR(INDEX(tsk_Name,MATCH(RAIDLog[[#This Row],[Task UID]],tsk_UID,0)),"UID "&amp;RAIDLog[[#This Row],[Task UID]]&amp;" not found"))</f>
        <v/>
      </c>
      <c r="P54" s="25" t="str">
        <f aca="false">IF(N(RAIDLog[[#This Row],[Task UID]])=0,"",IFERROR(INDEX(tsk_FcFinish,MATCH(RAIDLog[[#This Row],[Task UID]],tsk_UID,0)),""))</f>
        <v/>
      </c>
      <c r="Q54" s="47"/>
      <c r="R54" s="47"/>
      <c r="S54" s="32" t="str">
        <f aca="false">IF(RAIDLog[[#This Row],[Title]]="","",RAIDLog[[#This Row],[Type]]&amp;" "&amp;RAIDLog[[#This Row],[Ref]]&amp;": "&amp;RAIDLog[[#This Row],[Title]])</f>
        <v/>
      </c>
      <c r="T54" s="32" t="str">
        <f aca="false">IF(AND(NOT(RAIDLog[[#This Row],[Title]]=""),RAIDLog[[#This Row],[Status]]&lt;&gt;"Closed"),RAIDLog[[#This Row],[Score]]+1-(ROW()-ROW(RAIDLog[[#Headers],[Ref]]))/100000,"")</f>
        <v/>
      </c>
    </row>
    <row r="55" customFormat="false" ht="15" hidden="false" customHeight="false" outlineLevel="0" collapsed="false">
      <c r="B55" s="46" t="n">
        <v>51</v>
      </c>
      <c r="C55" s="47"/>
      <c r="D55" s="47"/>
      <c r="E55" s="47"/>
      <c r="F55" s="88"/>
      <c r="G55" s="88"/>
      <c r="H55" s="46"/>
      <c r="I55" s="46"/>
      <c r="J55" s="46"/>
      <c r="K55" s="56" t="str">
        <f aca="false">IF(RAIDLog[[#This Row],[Title]]="","",IF(RAIDLog[[#This Row],[Type]]="Issue",5,N(RAIDLog[[#This Row],[Probability]]))*N(RAIDLog[[#This Row],[Impact]]))</f>
        <v/>
      </c>
      <c r="L55" s="45" t="str">
        <f aca="false">IF(RAIDLog[[#This Row],[Title]]="","",IF(RAIDLog[[#This Row],[Score]]&gt;=RAIDHighScore,"High",IF(RAIDLog[[#This Row],[Score]]&gt;=RAIDMediumScore,"Medium","Low")))</f>
        <v/>
      </c>
      <c r="M55" s="45" t="str">
        <f aca="false">IF(OR(RAIDLog[[#This Row],[Title]]="",N(RAIDLog[[#This Row],[Due]])=0),"",IF(AND(RAIDLog[[#This Row],[Status]]&lt;&gt;"Closed",RAIDLog[[#This Row],[Due]]&lt;StatusDate),"Overdue",""))</f>
        <v/>
      </c>
      <c r="N55" s="46"/>
      <c r="O55" s="24" t="str">
        <f aca="false">IF(N(RAIDLog[[#This Row],[Task UID]])=0,"",IFERROR(INDEX(tsk_Name,MATCH(RAIDLog[[#This Row],[Task UID]],tsk_UID,0)),"UID "&amp;RAIDLog[[#This Row],[Task UID]]&amp;" not found"))</f>
        <v/>
      </c>
      <c r="P55" s="25" t="str">
        <f aca="false">IF(N(RAIDLog[[#This Row],[Task UID]])=0,"",IFERROR(INDEX(tsk_FcFinish,MATCH(RAIDLog[[#This Row],[Task UID]],tsk_UID,0)),""))</f>
        <v/>
      </c>
      <c r="Q55" s="47"/>
      <c r="R55" s="47"/>
      <c r="S55" s="32" t="str">
        <f aca="false">IF(RAIDLog[[#This Row],[Title]]="","",RAIDLog[[#This Row],[Type]]&amp;" "&amp;RAIDLog[[#This Row],[Ref]]&amp;": "&amp;RAIDLog[[#This Row],[Title]])</f>
        <v/>
      </c>
      <c r="T55" s="32" t="str">
        <f aca="false">IF(AND(NOT(RAIDLog[[#This Row],[Title]]=""),RAIDLog[[#This Row],[Status]]&lt;&gt;"Closed"),RAIDLog[[#This Row],[Score]]+1-(ROW()-ROW(RAIDLog[[#Headers],[Ref]]))/100000,"")</f>
        <v/>
      </c>
    </row>
    <row r="56" customFormat="false" ht="15" hidden="false" customHeight="false" outlineLevel="0" collapsed="false">
      <c r="B56" s="46" t="n">
        <v>52</v>
      </c>
      <c r="C56" s="47"/>
      <c r="D56" s="47"/>
      <c r="E56" s="47"/>
      <c r="F56" s="88"/>
      <c r="G56" s="88"/>
      <c r="H56" s="46"/>
      <c r="I56" s="46"/>
      <c r="J56" s="46"/>
      <c r="K56" s="56" t="str">
        <f aca="false">IF(RAIDLog[[#This Row],[Title]]="","",IF(RAIDLog[[#This Row],[Type]]="Issue",5,N(RAIDLog[[#This Row],[Probability]]))*N(RAIDLog[[#This Row],[Impact]]))</f>
        <v/>
      </c>
      <c r="L56" s="45" t="str">
        <f aca="false">IF(RAIDLog[[#This Row],[Title]]="","",IF(RAIDLog[[#This Row],[Score]]&gt;=RAIDHighScore,"High",IF(RAIDLog[[#This Row],[Score]]&gt;=RAIDMediumScore,"Medium","Low")))</f>
        <v/>
      </c>
      <c r="M56" s="45" t="str">
        <f aca="false">IF(OR(RAIDLog[[#This Row],[Title]]="",N(RAIDLog[[#This Row],[Due]])=0),"",IF(AND(RAIDLog[[#This Row],[Status]]&lt;&gt;"Closed",RAIDLog[[#This Row],[Due]]&lt;StatusDate),"Overdue",""))</f>
        <v/>
      </c>
      <c r="N56" s="46"/>
      <c r="O56" s="24" t="str">
        <f aca="false">IF(N(RAIDLog[[#This Row],[Task UID]])=0,"",IFERROR(INDEX(tsk_Name,MATCH(RAIDLog[[#This Row],[Task UID]],tsk_UID,0)),"UID "&amp;RAIDLog[[#This Row],[Task UID]]&amp;" not found"))</f>
        <v/>
      </c>
      <c r="P56" s="25" t="str">
        <f aca="false">IF(N(RAIDLog[[#This Row],[Task UID]])=0,"",IFERROR(INDEX(tsk_FcFinish,MATCH(RAIDLog[[#This Row],[Task UID]],tsk_UID,0)),""))</f>
        <v/>
      </c>
      <c r="Q56" s="47"/>
      <c r="R56" s="47"/>
      <c r="S56" s="32" t="str">
        <f aca="false">IF(RAIDLog[[#This Row],[Title]]="","",RAIDLog[[#This Row],[Type]]&amp;" "&amp;RAIDLog[[#This Row],[Ref]]&amp;": "&amp;RAIDLog[[#This Row],[Title]])</f>
        <v/>
      </c>
      <c r="T56" s="32" t="str">
        <f aca="false">IF(AND(NOT(RAIDLog[[#This Row],[Title]]=""),RAIDLog[[#This Row],[Status]]&lt;&gt;"Closed"),RAIDLog[[#This Row],[Score]]+1-(ROW()-ROW(RAIDLog[[#Headers],[Ref]]))/100000,"")</f>
        <v/>
      </c>
    </row>
    <row r="57" customFormat="false" ht="15" hidden="false" customHeight="false" outlineLevel="0" collapsed="false">
      <c r="B57" s="46" t="n">
        <v>53</v>
      </c>
      <c r="C57" s="47"/>
      <c r="D57" s="47"/>
      <c r="E57" s="47"/>
      <c r="F57" s="88"/>
      <c r="G57" s="88"/>
      <c r="H57" s="46"/>
      <c r="I57" s="46"/>
      <c r="J57" s="46"/>
      <c r="K57" s="56" t="str">
        <f aca="false">IF(RAIDLog[[#This Row],[Title]]="","",IF(RAIDLog[[#This Row],[Type]]="Issue",5,N(RAIDLog[[#This Row],[Probability]]))*N(RAIDLog[[#This Row],[Impact]]))</f>
        <v/>
      </c>
      <c r="L57" s="45" t="str">
        <f aca="false">IF(RAIDLog[[#This Row],[Title]]="","",IF(RAIDLog[[#This Row],[Score]]&gt;=RAIDHighScore,"High",IF(RAIDLog[[#This Row],[Score]]&gt;=RAIDMediumScore,"Medium","Low")))</f>
        <v/>
      </c>
      <c r="M57" s="45" t="str">
        <f aca="false">IF(OR(RAIDLog[[#This Row],[Title]]="",N(RAIDLog[[#This Row],[Due]])=0),"",IF(AND(RAIDLog[[#This Row],[Status]]&lt;&gt;"Closed",RAIDLog[[#This Row],[Due]]&lt;StatusDate),"Overdue",""))</f>
        <v/>
      </c>
      <c r="N57" s="46"/>
      <c r="O57" s="24" t="str">
        <f aca="false">IF(N(RAIDLog[[#This Row],[Task UID]])=0,"",IFERROR(INDEX(tsk_Name,MATCH(RAIDLog[[#This Row],[Task UID]],tsk_UID,0)),"UID "&amp;RAIDLog[[#This Row],[Task UID]]&amp;" not found"))</f>
        <v/>
      </c>
      <c r="P57" s="25" t="str">
        <f aca="false">IF(N(RAIDLog[[#This Row],[Task UID]])=0,"",IFERROR(INDEX(tsk_FcFinish,MATCH(RAIDLog[[#This Row],[Task UID]],tsk_UID,0)),""))</f>
        <v/>
      </c>
      <c r="Q57" s="47"/>
      <c r="R57" s="47"/>
      <c r="S57" s="32" t="str">
        <f aca="false">IF(RAIDLog[[#This Row],[Title]]="","",RAIDLog[[#This Row],[Type]]&amp;" "&amp;RAIDLog[[#This Row],[Ref]]&amp;": "&amp;RAIDLog[[#This Row],[Title]])</f>
        <v/>
      </c>
      <c r="T57" s="32" t="str">
        <f aca="false">IF(AND(NOT(RAIDLog[[#This Row],[Title]]=""),RAIDLog[[#This Row],[Status]]&lt;&gt;"Closed"),RAIDLog[[#This Row],[Score]]+1-(ROW()-ROW(RAIDLog[[#Headers],[Ref]]))/100000,"")</f>
        <v/>
      </c>
    </row>
    <row r="58" customFormat="false" ht="15" hidden="false" customHeight="false" outlineLevel="0" collapsed="false">
      <c r="B58" s="46" t="n">
        <v>54</v>
      </c>
      <c r="C58" s="47"/>
      <c r="D58" s="47"/>
      <c r="E58" s="47"/>
      <c r="F58" s="88"/>
      <c r="G58" s="88"/>
      <c r="H58" s="46"/>
      <c r="I58" s="46"/>
      <c r="J58" s="46"/>
      <c r="K58" s="56" t="str">
        <f aca="false">IF(RAIDLog[[#This Row],[Title]]="","",IF(RAIDLog[[#This Row],[Type]]="Issue",5,N(RAIDLog[[#This Row],[Probability]]))*N(RAIDLog[[#This Row],[Impact]]))</f>
        <v/>
      </c>
      <c r="L58" s="45" t="str">
        <f aca="false">IF(RAIDLog[[#This Row],[Title]]="","",IF(RAIDLog[[#This Row],[Score]]&gt;=RAIDHighScore,"High",IF(RAIDLog[[#This Row],[Score]]&gt;=RAIDMediumScore,"Medium","Low")))</f>
        <v/>
      </c>
      <c r="M58" s="45" t="str">
        <f aca="false">IF(OR(RAIDLog[[#This Row],[Title]]="",N(RAIDLog[[#This Row],[Due]])=0),"",IF(AND(RAIDLog[[#This Row],[Status]]&lt;&gt;"Closed",RAIDLog[[#This Row],[Due]]&lt;StatusDate),"Overdue",""))</f>
        <v/>
      </c>
      <c r="N58" s="46"/>
      <c r="O58" s="24" t="str">
        <f aca="false">IF(N(RAIDLog[[#This Row],[Task UID]])=0,"",IFERROR(INDEX(tsk_Name,MATCH(RAIDLog[[#This Row],[Task UID]],tsk_UID,0)),"UID "&amp;RAIDLog[[#This Row],[Task UID]]&amp;" not found"))</f>
        <v/>
      </c>
      <c r="P58" s="25" t="str">
        <f aca="false">IF(N(RAIDLog[[#This Row],[Task UID]])=0,"",IFERROR(INDEX(tsk_FcFinish,MATCH(RAIDLog[[#This Row],[Task UID]],tsk_UID,0)),""))</f>
        <v/>
      </c>
      <c r="Q58" s="47"/>
      <c r="R58" s="47"/>
      <c r="S58" s="32" t="str">
        <f aca="false">IF(RAIDLog[[#This Row],[Title]]="","",RAIDLog[[#This Row],[Type]]&amp;" "&amp;RAIDLog[[#This Row],[Ref]]&amp;": "&amp;RAIDLog[[#This Row],[Title]])</f>
        <v/>
      </c>
      <c r="T58" s="32" t="str">
        <f aca="false">IF(AND(NOT(RAIDLog[[#This Row],[Title]]=""),RAIDLog[[#This Row],[Status]]&lt;&gt;"Closed"),RAIDLog[[#This Row],[Score]]+1-(ROW()-ROW(RAIDLog[[#Headers],[Ref]]))/100000,"")</f>
        <v/>
      </c>
    </row>
    <row r="59" customFormat="false" ht="15" hidden="false" customHeight="false" outlineLevel="0" collapsed="false">
      <c r="B59" s="46" t="n">
        <v>55</v>
      </c>
      <c r="C59" s="47"/>
      <c r="D59" s="47"/>
      <c r="E59" s="47"/>
      <c r="F59" s="88"/>
      <c r="G59" s="88"/>
      <c r="H59" s="46"/>
      <c r="I59" s="46"/>
      <c r="J59" s="46"/>
      <c r="K59" s="56" t="str">
        <f aca="false">IF(RAIDLog[[#This Row],[Title]]="","",IF(RAIDLog[[#This Row],[Type]]="Issue",5,N(RAIDLog[[#This Row],[Probability]]))*N(RAIDLog[[#This Row],[Impact]]))</f>
        <v/>
      </c>
      <c r="L59" s="45" t="str">
        <f aca="false">IF(RAIDLog[[#This Row],[Title]]="","",IF(RAIDLog[[#This Row],[Score]]&gt;=RAIDHighScore,"High",IF(RAIDLog[[#This Row],[Score]]&gt;=RAIDMediumScore,"Medium","Low")))</f>
        <v/>
      </c>
      <c r="M59" s="45" t="str">
        <f aca="false">IF(OR(RAIDLog[[#This Row],[Title]]="",N(RAIDLog[[#This Row],[Due]])=0),"",IF(AND(RAIDLog[[#This Row],[Status]]&lt;&gt;"Closed",RAIDLog[[#This Row],[Due]]&lt;StatusDate),"Overdue",""))</f>
        <v/>
      </c>
      <c r="N59" s="46"/>
      <c r="O59" s="24" t="str">
        <f aca="false">IF(N(RAIDLog[[#This Row],[Task UID]])=0,"",IFERROR(INDEX(tsk_Name,MATCH(RAIDLog[[#This Row],[Task UID]],tsk_UID,0)),"UID "&amp;RAIDLog[[#This Row],[Task UID]]&amp;" not found"))</f>
        <v/>
      </c>
      <c r="P59" s="25" t="str">
        <f aca="false">IF(N(RAIDLog[[#This Row],[Task UID]])=0,"",IFERROR(INDEX(tsk_FcFinish,MATCH(RAIDLog[[#This Row],[Task UID]],tsk_UID,0)),""))</f>
        <v/>
      </c>
      <c r="Q59" s="47"/>
      <c r="R59" s="47"/>
      <c r="S59" s="32" t="str">
        <f aca="false">IF(RAIDLog[[#This Row],[Title]]="","",RAIDLog[[#This Row],[Type]]&amp;" "&amp;RAIDLog[[#This Row],[Ref]]&amp;": "&amp;RAIDLog[[#This Row],[Title]])</f>
        <v/>
      </c>
      <c r="T59" s="32" t="str">
        <f aca="false">IF(AND(NOT(RAIDLog[[#This Row],[Title]]=""),RAIDLog[[#This Row],[Status]]&lt;&gt;"Closed"),RAIDLog[[#This Row],[Score]]+1-(ROW()-ROW(RAIDLog[[#Headers],[Ref]]))/100000,"")</f>
        <v/>
      </c>
    </row>
    <row r="60" customFormat="false" ht="15" hidden="false" customHeight="false" outlineLevel="0" collapsed="false">
      <c r="B60" s="46" t="n">
        <v>56</v>
      </c>
      <c r="C60" s="47"/>
      <c r="D60" s="47"/>
      <c r="E60" s="47"/>
      <c r="F60" s="88"/>
      <c r="G60" s="88"/>
      <c r="H60" s="46"/>
      <c r="I60" s="46"/>
      <c r="J60" s="46"/>
      <c r="K60" s="56" t="str">
        <f aca="false">IF(RAIDLog[[#This Row],[Title]]="","",IF(RAIDLog[[#This Row],[Type]]="Issue",5,N(RAIDLog[[#This Row],[Probability]]))*N(RAIDLog[[#This Row],[Impact]]))</f>
        <v/>
      </c>
      <c r="L60" s="45" t="str">
        <f aca="false">IF(RAIDLog[[#This Row],[Title]]="","",IF(RAIDLog[[#This Row],[Score]]&gt;=RAIDHighScore,"High",IF(RAIDLog[[#This Row],[Score]]&gt;=RAIDMediumScore,"Medium","Low")))</f>
        <v/>
      </c>
      <c r="M60" s="45" t="str">
        <f aca="false">IF(OR(RAIDLog[[#This Row],[Title]]="",N(RAIDLog[[#This Row],[Due]])=0),"",IF(AND(RAIDLog[[#This Row],[Status]]&lt;&gt;"Closed",RAIDLog[[#This Row],[Due]]&lt;StatusDate),"Overdue",""))</f>
        <v/>
      </c>
      <c r="N60" s="46"/>
      <c r="O60" s="24" t="str">
        <f aca="false">IF(N(RAIDLog[[#This Row],[Task UID]])=0,"",IFERROR(INDEX(tsk_Name,MATCH(RAIDLog[[#This Row],[Task UID]],tsk_UID,0)),"UID "&amp;RAIDLog[[#This Row],[Task UID]]&amp;" not found"))</f>
        <v/>
      </c>
      <c r="P60" s="25" t="str">
        <f aca="false">IF(N(RAIDLog[[#This Row],[Task UID]])=0,"",IFERROR(INDEX(tsk_FcFinish,MATCH(RAIDLog[[#This Row],[Task UID]],tsk_UID,0)),""))</f>
        <v/>
      </c>
      <c r="Q60" s="47"/>
      <c r="R60" s="47"/>
      <c r="S60" s="32" t="str">
        <f aca="false">IF(RAIDLog[[#This Row],[Title]]="","",RAIDLog[[#This Row],[Type]]&amp;" "&amp;RAIDLog[[#This Row],[Ref]]&amp;": "&amp;RAIDLog[[#This Row],[Title]])</f>
        <v/>
      </c>
      <c r="T60" s="32" t="str">
        <f aca="false">IF(AND(NOT(RAIDLog[[#This Row],[Title]]=""),RAIDLog[[#This Row],[Status]]&lt;&gt;"Closed"),RAIDLog[[#This Row],[Score]]+1-(ROW()-ROW(RAIDLog[[#Headers],[Ref]]))/100000,"")</f>
        <v/>
      </c>
    </row>
    <row r="61" customFormat="false" ht="15" hidden="false" customHeight="false" outlineLevel="0" collapsed="false">
      <c r="B61" s="46" t="n">
        <v>57</v>
      </c>
      <c r="C61" s="47"/>
      <c r="D61" s="47"/>
      <c r="E61" s="47"/>
      <c r="F61" s="88"/>
      <c r="G61" s="88"/>
      <c r="H61" s="46"/>
      <c r="I61" s="46"/>
      <c r="J61" s="46"/>
      <c r="K61" s="56" t="str">
        <f aca="false">IF(RAIDLog[[#This Row],[Title]]="","",IF(RAIDLog[[#This Row],[Type]]="Issue",5,N(RAIDLog[[#This Row],[Probability]]))*N(RAIDLog[[#This Row],[Impact]]))</f>
        <v/>
      </c>
      <c r="L61" s="45" t="str">
        <f aca="false">IF(RAIDLog[[#This Row],[Title]]="","",IF(RAIDLog[[#This Row],[Score]]&gt;=RAIDHighScore,"High",IF(RAIDLog[[#This Row],[Score]]&gt;=RAIDMediumScore,"Medium","Low")))</f>
        <v/>
      </c>
      <c r="M61" s="45" t="str">
        <f aca="false">IF(OR(RAIDLog[[#This Row],[Title]]="",N(RAIDLog[[#This Row],[Due]])=0),"",IF(AND(RAIDLog[[#This Row],[Status]]&lt;&gt;"Closed",RAIDLog[[#This Row],[Due]]&lt;StatusDate),"Overdue",""))</f>
        <v/>
      </c>
      <c r="N61" s="46"/>
      <c r="O61" s="24" t="str">
        <f aca="false">IF(N(RAIDLog[[#This Row],[Task UID]])=0,"",IFERROR(INDEX(tsk_Name,MATCH(RAIDLog[[#This Row],[Task UID]],tsk_UID,0)),"UID "&amp;RAIDLog[[#This Row],[Task UID]]&amp;" not found"))</f>
        <v/>
      </c>
      <c r="P61" s="25" t="str">
        <f aca="false">IF(N(RAIDLog[[#This Row],[Task UID]])=0,"",IFERROR(INDEX(tsk_FcFinish,MATCH(RAIDLog[[#This Row],[Task UID]],tsk_UID,0)),""))</f>
        <v/>
      </c>
      <c r="Q61" s="47"/>
      <c r="R61" s="47"/>
      <c r="S61" s="32" t="str">
        <f aca="false">IF(RAIDLog[[#This Row],[Title]]="","",RAIDLog[[#This Row],[Type]]&amp;" "&amp;RAIDLog[[#This Row],[Ref]]&amp;": "&amp;RAIDLog[[#This Row],[Title]])</f>
        <v/>
      </c>
      <c r="T61" s="32" t="str">
        <f aca="false">IF(AND(NOT(RAIDLog[[#This Row],[Title]]=""),RAIDLog[[#This Row],[Status]]&lt;&gt;"Closed"),RAIDLog[[#This Row],[Score]]+1-(ROW()-ROW(RAIDLog[[#Headers],[Ref]]))/100000,"")</f>
        <v/>
      </c>
    </row>
    <row r="62" customFormat="false" ht="15" hidden="false" customHeight="false" outlineLevel="0" collapsed="false">
      <c r="B62" s="46" t="n">
        <v>58</v>
      </c>
      <c r="C62" s="47"/>
      <c r="D62" s="47"/>
      <c r="E62" s="47"/>
      <c r="F62" s="88"/>
      <c r="G62" s="88"/>
      <c r="H62" s="46"/>
      <c r="I62" s="46"/>
      <c r="J62" s="46"/>
      <c r="K62" s="56" t="str">
        <f aca="false">IF(RAIDLog[[#This Row],[Title]]="","",IF(RAIDLog[[#This Row],[Type]]="Issue",5,N(RAIDLog[[#This Row],[Probability]]))*N(RAIDLog[[#This Row],[Impact]]))</f>
        <v/>
      </c>
      <c r="L62" s="45" t="str">
        <f aca="false">IF(RAIDLog[[#This Row],[Title]]="","",IF(RAIDLog[[#This Row],[Score]]&gt;=RAIDHighScore,"High",IF(RAIDLog[[#This Row],[Score]]&gt;=RAIDMediumScore,"Medium","Low")))</f>
        <v/>
      </c>
      <c r="M62" s="45" t="str">
        <f aca="false">IF(OR(RAIDLog[[#This Row],[Title]]="",N(RAIDLog[[#This Row],[Due]])=0),"",IF(AND(RAIDLog[[#This Row],[Status]]&lt;&gt;"Closed",RAIDLog[[#This Row],[Due]]&lt;StatusDate),"Overdue",""))</f>
        <v/>
      </c>
      <c r="N62" s="46"/>
      <c r="O62" s="24" t="str">
        <f aca="false">IF(N(RAIDLog[[#This Row],[Task UID]])=0,"",IFERROR(INDEX(tsk_Name,MATCH(RAIDLog[[#This Row],[Task UID]],tsk_UID,0)),"UID "&amp;RAIDLog[[#This Row],[Task UID]]&amp;" not found"))</f>
        <v/>
      </c>
      <c r="P62" s="25" t="str">
        <f aca="false">IF(N(RAIDLog[[#This Row],[Task UID]])=0,"",IFERROR(INDEX(tsk_FcFinish,MATCH(RAIDLog[[#This Row],[Task UID]],tsk_UID,0)),""))</f>
        <v/>
      </c>
      <c r="Q62" s="47"/>
      <c r="R62" s="47"/>
      <c r="S62" s="32" t="str">
        <f aca="false">IF(RAIDLog[[#This Row],[Title]]="","",RAIDLog[[#This Row],[Type]]&amp;" "&amp;RAIDLog[[#This Row],[Ref]]&amp;": "&amp;RAIDLog[[#This Row],[Title]])</f>
        <v/>
      </c>
      <c r="T62" s="32" t="str">
        <f aca="false">IF(AND(NOT(RAIDLog[[#This Row],[Title]]=""),RAIDLog[[#This Row],[Status]]&lt;&gt;"Closed"),RAIDLog[[#This Row],[Score]]+1-(ROW()-ROW(RAIDLog[[#Headers],[Ref]]))/100000,"")</f>
        <v/>
      </c>
    </row>
    <row r="63" customFormat="false" ht="15" hidden="false" customHeight="false" outlineLevel="0" collapsed="false">
      <c r="B63" s="46" t="n">
        <v>59</v>
      </c>
      <c r="C63" s="47"/>
      <c r="D63" s="47"/>
      <c r="E63" s="47"/>
      <c r="F63" s="88"/>
      <c r="G63" s="88"/>
      <c r="H63" s="46"/>
      <c r="I63" s="46"/>
      <c r="J63" s="46"/>
      <c r="K63" s="56" t="str">
        <f aca="false">IF(RAIDLog[[#This Row],[Title]]="","",IF(RAIDLog[[#This Row],[Type]]="Issue",5,N(RAIDLog[[#This Row],[Probability]]))*N(RAIDLog[[#This Row],[Impact]]))</f>
        <v/>
      </c>
      <c r="L63" s="45" t="str">
        <f aca="false">IF(RAIDLog[[#This Row],[Title]]="","",IF(RAIDLog[[#This Row],[Score]]&gt;=RAIDHighScore,"High",IF(RAIDLog[[#This Row],[Score]]&gt;=RAIDMediumScore,"Medium","Low")))</f>
        <v/>
      </c>
      <c r="M63" s="45" t="str">
        <f aca="false">IF(OR(RAIDLog[[#This Row],[Title]]="",N(RAIDLog[[#This Row],[Due]])=0),"",IF(AND(RAIDLog[[#This Row],[Status]]&lt;&gt;"Closed",RAIDLog[[#This Row],[Due]]&lt;StatusDate),"Overdue",""))</f>
        <v/>
      </c>
      <c r="N63" s="46"/>
      <c r="O63" s="24" t="str">
        <f aca="false">IF(N(RAIDLog[[#This Row],[Task UID]])=0,"",IFERROR(INDEX(tsk_Name,MATCH(RAIDLog[[#This Row],[Task UID]],tsk_UID,0)),"UID "&amp;RAIDLog[[#This Row],[Task UID]]&amp;" not found"))</f>
        <v/>
      </c>
      <c r="P63" s="25" t="str">
        <f aca="false">IF(N(RAIDLog[[#This Row],[Task UID]])=0,"",IFERROR(INDEX(tsk_FcFinish,MATCH(RAIDLog[[#This Row],[Task UID]],tsk_UID,0)),""))</f>
        <v/>
      </c>
      <c r="Q63" s="47"/>
      <c r="R63" s="47"/>
      <c r="S63" s="32" t="str">
        <f aca="false">IF(RAIDLog[[#This Row],[Title]]="","",RAIDLog[[#This Row],[Type]]&amp;" "&amp;RAIDLog[[#This Row],[Ref]]&amp;": "&amp;RAIDLog[[#This Row],[Title]])</f>
        <v/>
      </c>
      <c r="T63" s="32" t="str">
        <f aca="false">IF(AND(NOT(RAIDLog[[#This Row],[Title]]=""),RAIDLog[[#This Row],[Status]]&lt;&gt;"Closed"),RAIDLog[[#This Row],[Score]]+1-(ROW()-ROW(RAIDLog[[#Headers],[Ref]]))/100000,"")</f>
        <v/>
      </c>
    </row>
    <row r="64" customFormat="false" ht="15" hidden="false" customHeight="false" outlineLevel="0" collapsed="false">
      <c r="B64" s="46" t="n">
        <v>60</v>
      </c>
      <c r="C64" s="47"/>
      <c r="D64" s="47"/>
      <c r="E64" s="47"/>
      <c r="F64" s="88"/>
      <c r="G64" s="88"/>
      <c r="H64" s="46"/>
      <c r="I64" s="46"/>
      <c r="J64" s="46"/>
      <c r="K64" s="56" t="str">
        <f aca="false">IF(RAIDLog[[#This Row],[Title]]="","",IF(RAIDLog[[#This Row],[Type]]="Issue",5,N(RAIDLog[[#This Row],[Probability]]))*N(RAIDLog[[#This Row],[Impact]]))</f>
        <v/>
      </c>
      <c r="L64" s="45" t="str">
        <f aca="false">IF(RAIDLog[[#This Row],[Title]]="","",IF(RAIDLog[[#This Row],[Score]]&gt;=RAIDHighScore,"High",IF(RAIDLog[[#This Row],[Score]]&gt;=RAIDMediumScore,"Medium","Low")))</f>
        <v/>
      </c>
      <c r="M64" s="45" t="str">
        <f aca="false">IF(OR(RAIDLog[[#This Row],[Title]]="",N(RAIDLog[[#This Row],[Due]])=0),"",IF(AND(RAIDLog[[#This Row],[Status]]&lt;&gt;"Closed",RAIDLog[[#This Row],[Due]]&lt;StatusDate),"Overdue",""))</f>
        <v/>
      </c>
      <c r="N64" s="46"/>
      <c r="O64" s="24" t="str">
        <f aca="false">IF(N(RAIDLog[[#This Row],[Task UID]])=0,"",IFERROR(INDEX(tsk_Name,MATCH(RAIDLog[[#This Row],[Task UID]],tsk_UID,0)),"UID "&amp;RAIDLog[[#This Row],[Task UID]]&amp;" not found"))</f>
        <v/>
      </c>
      <c r="P64" s="25" t="str">
        <f aca="false">IF(N(RAIDLog[[#This Row],[Task UID]])=0,"",IFERROR(INDEX(tsk_FcFinish,MATCH(RAIDLog[[#This Row],[Task UID]],tsk_UID,0)),""))</f>
        <v/>
      </c>
      <c r="Q64" s="47"/>
      <c r="R64" s="47"/>
      <c r="S64" s="32" t="str">
        <f aca="false">IF(RAIDLog[[#This Row],[Title]]="","",RAIDLog[[#This Row],[Type]]&amp;" "&amp;RAIDLog[[#This Row],[Ref]]&amp;": "&amp;RAIDLog[[#This Row],[Title]])</f>
        <v/>
      </c>
      <c r="T64" s="32" t="str">
        <f aca="false">IF(AND(NOT(RAIDLog[[#This Row],[Title]]=""),RAIDLog[[#This Row],[Status]]&lt;&gt;"Closed"),RAIDLog[[#This Row],[Score]]+1-(ROW()-ROW(RAIDLog[[#Headers],[Ref]]))/100000,"")</f>
        <v/>
      </c>
    </row>
    <row r="65" customFormat="false" ht="15" hidden="false" customHeight="false" outlineLevel="0" collapsed="false">
      <c r="B65" s="46" t="n">
        <v>61</v>
      </c>
      <c r="C65" s="47"/>
      <c r="D65" s="47"/>
      <c r="E65" s="47"/>
      <c r="F65" s="88"/>
      <c r="G65" s="88"/>
      <c r="H65" s="46"/>
      <c r="I65" s="46"/>
      <c r="J65" s="46"/>
      <c r="K65" s="56" t="str">
        <f aca="false">IF(RAIDLog[[#This Row],[Title]]="","",IF(RAIDLog[[#This Row],[Type]]="Issue",5,N(RAIDLog[[#This Row],[Probability]]))*N(RAIDLog[[#This Row],[Impact]]))</f>
        <v/>
      </c>
      <c r="L65" s="45" t="str">
        <f aca="false">IF(RAIDLog[[#This Row],[Title]]="","",IF(RAIDLog[[#This Row],[Score]]&gt;=RAIDHighScore,"High",IF(RAIDLog[[#This Row],[Score]]&gt;=RAIDMediumScore,"Medium","Low")))</f>
        <v/>
      </c>
      <c r="M65" s="45" t="str">
        <f aca="false">IF(OR(RAIDLog[[#This Row],[Title]]="",N(RAIDLog[[#This Row],[Due]])=0),"",IF(AND(RAIDLog[[#This Row],[Status]]&lt;&gt;"Closed",RAIDLog[[#This Row],[Due]]&lt;StatusDate),"Overdue",""))</f>
        <v/>
      </c>
      <c r="N65" s="46"/>
      <c r="O65" s="24" t="str">
        <f aca="false">IF(N(RAIDLog[[#This Row],[Task UID]])=0,"",IFERROR(INDEX(tsk_Name,MATCH(RAIDLog[[#This Row],[Task UID]],tsk_UID,0)),"UID "&amp;RAIDLog[[#This Row],[Task UID]]&amp;" not found"))</f>
        <v/>
      </c>
      <c r="P65" s="25" t="str">
        <f aca="false">IF(N(RAIDLog[[#This Row],[Task UID]])=0,"",IFERROR(INDEX(tsk_FcFinish,MATCH(RAIDLog[[#This Row],[Task UID]],tsk_UID,0)),""))</f>
        <v/>
      </c>
      <c r="Q65" s="47"/>
      <c r="R65" s="47"/>
      <c r="S65" s="32" t="str">
        <f aca="false">IF(RAIDLog[[#This Row],[Title]]="","",RAIDLog[[#This Row],[Type]]&amp;" "&amp;RAIDLog[[#This Row],[Ref]]&amp;": "&amp;RAIDLog[[#This Row],[Title]])</f>
        <v/>
      </c>
      <c r="T65" s="32" t="str">
        <f aca="false">IF(AND(NOT(RAIDLog[[#This Row],[Title]]=""),RAIDLog[[#This Row],[Status]]&lt;&gt;"Closed"),RAIDLog[[#This Row],[Score]]+1-(ROW()-ROW(RAIDLog[[#Headers],[Ref]]))/100000,"")</f>
        <v/>
      </c>
    </row>
    <row r="66" customFormat="false" ht="15" hidden="false" customHeight="false" outlineLevel="0" collapsed="false">
      <c r="B66" s="46" t="n">
        <v>62</v>
      </c>
      <c r="C66" s="47"/>
      <c r="D66" s="47"/>
      <c r="E66" s="47"/>
      <c r="F66" s="88"/>
      <c r="G66" s="88"/>
      <c r="H66" s="46"/>
      <c r="I66" s="46"/>
      <c r="J66" s="46"/>
      <c r="K66" s="56" t="str">
        <f aca="false">IF(RAIDLog[[#This Row],[Title]]="","",IF(RAIDLog[[#This Row],[Type]]="Issue",5,N(RAIDLog[[#This Row],[Probability]]))*N(RAIDLog[[#This Row],[Impact]]))</f>
        <v/>
      </c>
      <c r="L66" s="45" t="str">
        <f aca="false">IF(RAIDLog[[#This Row],[Title]]="","",IF(RAIDLog[[#This Row],[Score]]&gt;=RAIDHighScore,"High",IF(RAIDLog[[#This Row],[Score]]&gt;=RAIDMediumScore,"Medium","Low")))</f>
        <v/>
      </c>
      <c r="M66" s="45" t="str">
        <f aca="false">IF(OR(RAIDLog[[#This Row],[Title]]="",N(RAIDLog[[#This Row],[Due]])=0),"",IF(AND(RAIDLog[[#This Row],[Status]]&lt;&gt;"Closed",RAIDLog[[#This Row],[Due]]&lt;StatusDate),"Overdue",""))</f>
        <v/>
      </c>
      <c r="N66" s="46"/>
      <c r="O66" s="24" t="str">
        <f aca="false">IF(N(RAIDLog[[#This Row],[Task UID]])=0,"",IFERROR(INDEX(tsk_Name,MATCH(RAIDLog[[#This Row],[Task UID]],tsk_UID,0)),"UID "&amp;RAIDLog[[#This Row],[Task UID]]&amp;" not found"))</f>
        <v/>
      </c>
      <c r="P66" s="25" t="str">
        <f aca="false">IF(N(RAIDLog[[#This Row],[Task UID]])=0,"",IFERROR(INDEX(tsk_FcFinish,MATCH(RAIDLog[[#This Row],[Task UID]],tsk_UID,0)),""))</f>
        <v/>
      </c>
      <c r="Q66" s="47"/>
      <c r="R66" s="47"/>
      <c r="S66" s="32" t="str">
        <f aca="false">IF(RAIDLog[[#This Row],[Title]]="","",RAIDLog[[#This Row],[Type]]&amp;" "&amp;RAIDLog[[#This Row],[Ref]]&amp;": "&amp;RAIDLog[[#This Row],[Title]])</f>
        <v/>
      </c>
      <c r="T66" s="32" t="str">
        <f aca="false">IF(AND(NOT(RAIDLog[[#This Row],[Title]]=""),RAIDLog[[#This Row],[Status]]&lt;&gt;"Closed"),RAIDLog[[#This Row],[Score]]+1-(ROW()-ROW(RAIDLog[[#Headers],[Ref]]))/100000,"")</f>
        <v/>
      </c>
    </row>
    <row r="67" customFormat="false" ht="15" hidden="false" customHeight="false" outlineLevel="0" collapsed="false">
      <c r="B67" s="46" t="n">
        <v>63</v>
      </c>
      <c r="C67" s="47"/>
      <c r="D67" s="47"/>
      <c r="E67" s="47"/>
      <c r="F67" s="88"/>
      <c r="G67" s="88"/>
      <c r="H67" s="46"/>
      <c r="I67" s="46"/>
      <c r="J67" s="46"/>
      <c r="K67" s="56" t="str">
        <f aca="false">IF(RAIDLog[[#This Row],[Title]]="","",IF(RAIDLog[[#This Row],[Type]]="Issue",5,N(RAIDLog[[#This Row],[Probability]]))*N(RAIDLog[[#This Row],[Impact]]))</f>
        <v/>
      </c>
      <c r="L67" s="45" t="str">
        <f aca="false">IF(RAIDLog[[#This Row],[Title]]="","",IF(RAIDLog[[#This Row],[Score]]&gt;=RAIDHighScore,"High",IF(RAIDLog[[#This Row],[Score]]&gt;=RAIDMediumScore,"Medium","Low")))</f>
        <v/>
      </c>
      <c r="M67" s="45" t="str">
        <f aca="false">IF(OR(RAIDLog[[#This Row],[Title]]="",N(RAIDLog[[#This Row],[Due]])=0),"",IF(AND(RAIDLog[[#This Row],[Status]]&lt;&gt;"Closed",RAIDLog[[#This Row],[Due]]&lt;StatusDate),"Overdue",""))</f>
        <v/>
      </c>
      <c r="N67" s="46"/>
      <c r="O67" s="24" t="str">
        <f aca="false">IF(N(RAIDLog[[#This Row],[Task UID]])=0,"",IFERROR(INDEX(tsk_Name,MATCH(RAIDLog[[#This Row],[Task UID]],tsk_UID,0)),"UID "&amp;RAIDLog[[#This Row],[Task UID]]&amp;" not found"))</f>
        <v/>
      </c>
      <c r="P67" s="25" t="str">
        <f aca="false">IF(N(RAIDLog[[#This Row],[Task UID]])=0,"",IFERROR(INDEX(tsk_FcFinish,MATCH(RAIDLog[[#This Row],[Task UID]],tsk_UID,0)),""))</f>
        <v/>
      </c>
      <c r="Q67" s="47"/>
      <c r="R67" s="47"/>
      <c r="S67" s="32" t="str">
        <f aca="false">IF(RAIDLog[[#This Row],[Title]]="","",RAIDLog[[#This Row],[Type]]&amp;" "&amp;RAIDLog[[#This Row],[Ref]]&amp;": "&amp;RAIDLog[[#This Row],[Title]])</f>
        <v/>
      </c>
      <c r="T67" s="32" t="str">
        <f aca="false">IF(AND(NOT(RAIDLog[[#This Row],[Title]]=""),RAIDLog[[#This Row],[Status]]&lt;&gt;"Closed"),RAIDLog[[#This Row],[Score]]+1-(ROW()-ROW(RAIDLog[[#Headers],[Ref]]))/100000,"")</f>
        <v/>
      </c>
    </row>
    <row r="68" customFormat="false" ht="15" hidden="false" customHeight="false" outlineLevel="0" collapsed="false">
      <c r="B68" s="46" t="n">
        <v>64</v>
      </c>
      <c r="C68" s="47"/>
      <c r="D68" s="47"/>
      <c r="E68" s="47"/>
      <c r="F68" s="88"/>
      <c r="G68" s="88"/>
      <c r="H68" s="46"/>
      <c r="I68" s="46"/>
      <c r="J68" s="46"/>
      <c r="K68" s="56" t="str">
        <f aca="false">IF(RAIDLog[[#This Row],[Title]]="","",IF(RAIDLog[[#This Row],[Type]]="Issue",5,N(RAIDLog[[#This Row],[Probability]]))*N(RAIDLog[[#This Row],[Impact]]))</f>
        <v/>
      </c>
      <c r="L68" s="45" t="str">
        <f aca="false">IF(RAIDLog[[#This Row],[Title]]="","",IF(RAIDLog[[#This Row],[Score]]&gt;=RAIDHighScore,"High",IF(RAIDLog[[#This Row],[Score]]&gt;=RAIDMediumScore,"Medium","Low")))</f>
        <v/>
      </c>
      <c r="M68" s="45" t="str">
        <f aca="false">IF(OR(RAIDLog[[#This Row],[Title]]="",N(RAIDLog[[#This Row],[Due]])=0),"",IF(AND(RAIDLog[[#This Row],[Status]]&lt;&gt;"Closed",RAIDLog[[#This Row],[Due]]&lt;StatusDate),"Overdue",""))</f>
        <v/>
      </c>
      <c r="N68" s="46"/>
      <c r="O68" s="24" t="str">
        <f aca="false">IF(N(RAIDLog[[#This Row],[Task UID]])=0,"",IFERROR(INDEX(tsk_Name,MATCH(RAIDLog[[#This Row],[Task UID]],tsk_UID,0)),"UID "&amp;RAIDLog[[#This Row],[Task UID]]&amp;" not found"))</f>
        <v/>
      </c>
      <c r="P68" s="25" t="str">
        <f aca="false">IF(N(RAIDLog[[#This Row],[Task UID]])=0,"",IFERROR(INDEX(tsk_FcFinish,MATCH(RAIDLog[[#This Row],[Task UID]],tsk_UID,0)),""))</f>
        <v/>
      </c>
      <c r="Q68" s="47"/>
      <c r="R68" s="47"/>
      <c r="S68" s="32" t="str">
        <f aca="false">IF(RAIDLog[[#This Row],[Title]]="","",RAIDLog[[#This Row],[Type]]&amp;" "&amp;RAIDLog[[#This Row],[Ref]]&amp;": "&amp;RAIDLog[[#This Row],[Title]])</f>
        <v/>
      </c>
      <c r="T68" s="32" t="str">
        <f aca="false">IF(AND(NOT(RAIDLog[[#This Row],[Title]]=""),RAIDLog[[#This Row],[Status]]&lt;&gt;"Closed"),RAIDLog[[#This Row],[Score]]+1-(ROW()-ROW(RAIDLog[[#Headers],[Ref]]))/100000,"")</f>
        <v/>
      </c>
    </row>
    <row r="69" customFormat="false" ht="15" hidden="false" customHeight="false" outlineLevel="0" collapsed="false">
      <c r="B69" s="46" t="n">
        <v>65</v>
      </c>
      <c r="C69" s="47"/>
      <c r="D69" s="47"/>
      <c r="E69" s="47"/>
      <c r="F69" s="88"/>
      <c r="G69" s="88"/>
      <c r="H69" s="46"/>
      <c r="I69" s="46"/>
      <c r="J69" s="46"/>
      <c r="K69" s="56" t="str">
        <f aca="false">IF(RAIDLog[[#This Row],[Title]]="","",IF(RAIDLog[[#This Row],[Type]]="Issue",5,N(RAIDLog[[#This Row],[Probability]]))*N(RAIDLog[[#This Row],[Impact]]))</f>
        <v/>
      </c>
      <c r="L69" s="45" t="str">
        <f aca="false">IF(RAIDLog[[#This Row],[Title]]="","",IF(RAIDLog[[#This Row],[Score]]&gt;=RAIDHighScore,"High",IF(RAIDLog[[#This Row],[Score]]&gt;=RAIDMediumScore,"Medium","Low")))</f>
        <v/>
      </c>
      <c r="M69" s="45" t="str">
        <f aca="false">IF(OR(RAIDLog[[#This Row],[Title]]="",N(RAIDLog[[#This Row],[Due]])=0),"",IF(AND(RAIDLog[[#This Row],[Status]]&lt;&gt;"Closed",RAIDLog[[#This Row],[Due]]&lt;StatusDate),"Overdue",""))</f>
        <v/>
      </c>
      <c r="N69" s="46"/>
      <c r="O69" s="24" t="str">
        <f aca="false">IF(N(RAIDLog[[#This Row],[Task UID]])=0,"",IFERROR(INDEX(tsk_Name,MATCH(RAIDLog[[#This Row],[Task UID]],tsk_UID,0)),"UID "&amp;RAIDLog[[#This Row],[Task UID]]&amp;" not found"))</f>
        <v/>
      </c>
      <c r="P69" s="25" t="str">
        <f aca="false">IF(N(RAIDLog[[#This Row],[Task UID]])=0,"",IFERROR(INDEX(tsk_FcFinish,MATCH(RAIDLog[[#This Row],[Task UID]],tsk_UID,0)),""))</f>
        <v/>
      </c>
      <c r="Q69" s="47"/>
      <c r="R69" s="47"/>
      <c r="S69" s="32" t="str">
        <f aca="false">IF(RAIDLog[[#This Row],[Title]]="","",RAIDLog[[#This Row],[Type]]&amp;" "&amp;RAIDLog[[#This Row],[Ref]]&amp;": "&amp;RAIDLog[[#This Row],[Title]])</f>
        <v/>
      </c>
      <c r="T69" s="32" t="str">
        <f aca="false">IF(AND(NOT(RAIDLog[[#This Row],[Title]]=""),RAIDLog[[#This Row],[Status]]&lt;&gt;"Closed"),RAIDLog[[#This Row],[Score]]+1-(ROW()-ROW(RAIDLog[[#Headers],[Ref]]))/100000,"")</f>
        <v/>
      </c>
    </row>
    <row r="70" customFormat="false" ht="15" hidden="false" customHeight="false" outlineLevel="0" collapsed="false">
      <c r="B70" s="46" t="n">
        <v>66</v>
      </c>
      <c r="C70" s="47"/>
      <c r="D70" s="47"/>
      <c r="E70" s="47"/>
      <c r="F70" s="88"/>
      <c r="G70" s="88"/>
      <c r="H70" s="46"/>
      <c r="I70" s="46"/>
      <c r="J70" s="46"/>
      <c r="K70" s="56" t="str">
        <f aca="false">IF(RAIDLog[[#This Row],[Title]]="","",IF(RAIDLog[[#This Row],[Type]]="Issue",5,N(RAIDLog[[#This Row],[Probability]]))*N(RAIDLog[[#This Row],[Impact]]))</f>
        <v/>
      </c>
      <c r="L70" s="45" t="str">
        <f aca="false">IF(RAIDLog[[#This Row],[Title]]="","",IF(RAIDLog[[#This Row],[Score]]&gt;=RAIDHighScore,"High",IF(RAIDLog[[#This Row],[Score]]&gt;=RAIDMediumScore,"Medium","Low")))</f>
        <v/>
      </c>
      <c r="M70" s="45" t="str">
        <f aca="false">IF(OR(RAIDLog[[#This Row],[Title]]="",N(RAIDLog[[#This Row],[Due]])=0),"",IF(AND(RAIDLog[[#This Row],[Status]]&lt;&gt;"Closed",RAIDLog[[#This Row],[Due]]&lt;StatusDate),"Overdue",""))</f>
        <v/>
      </c>
      <c r="N70" s="46"/>
      <c r="O70" s="24" t="str">
        <f aca="false">IF(N(RAIDLog[[#This Row],[Task UID]])=0,"",IFERROR(INDEX(tsk_Name,MATCH(RAIDLog[[#This Row],[Task UID]],tsk_UID,0)),"UID "&amp;RAIDLog[[#This Row],[Task UID]]&amp;" not found"))</f>
        <v/>
      </c>
      <c r="P70" s="25" t="str">
        <f aca="false">IF(N(RAIDLog[[#This Row],[Task UID]])=0,"",IFERROR(INDEX(tsk_FcFinish,MATCH(RAIDLog[[#This Row],[Task UID]],tsk_UID,0)),""))</f>
        <v/>
      </c>
      <c r="Q70" s="47"/>
      <c r="R70" s="47"/>
      <c r="S70" s="32" t="str">
        <f aca="false">IF(RAIDLog[[#This Row],[Title]]="","",RAIDLog[[#This Row],[Type]]&amp;" "&amp;RAIDLog[[#This Row],[Ref]]&amp;": "&amp;RAIDLog[[#This Row],[Title]])</f>
        <v/>
      </c>
      <c r="T70" s="32" t="str">
        <f aca="false">IF(AND(NOT(RAIDLog[[#This Row],[Title]]=""),RAIDLog[[#This Row],[Status]]&lt;&gt;"Closed"),RAIDLog[[#This Row],[Score]]+1-(ROW()-ROW(RAIDLog[[#Headers],[Ref]]))/100000,"")</f>
        <v/>
      </c>
    </row>
    <row r="71" customFormat="false" ht="15" hidden="false" customHeight="false" outlineLevel="0" collapsed="false">
      <c r="B71" s="46" t="n">
        <v>67</v>
      </c>
      <c r="C71" s="47"/>
      <c r="D71" s="47"/>
      <c r="E71" s="47"/>
      <c r="F71" s="88"/>
      <c r="G71" s="88"/>
      <c r="H71" s="46"/>
      <c r="I71" s="46"/>
      <c r="J71" s="46"/>
      <c r="K71" s="56" t="str">
        <f aca="false">IF(RAIDLog[[#This Row],[Title]]="","",IF(RAIDLog[[#This Row],[Type]]="Issue",5,N(RAIDLog[[#This Row],[Probability]]))*N(RAIDLog[[#This Row],[Impact]]))</f>
        <v/>
      </c>
      <c r="L71" s="45" t="str">
        <f aca="false">IF(RAIDLog[[#This Row],[Title]]="","",IF(RAIDLog[[#This Row],[Score]]&gt;=RAIDHighScore,"High",IF(RAIDLog[[#This Row],[Score]]&gt;=RAIDMediumScore,"Medium","Low")))</f>
        <v/>
      </c>
      <c r="M71" s="45" t="str">
        <f aca="false">IF(OR(RAIDLog[[#This Row],[Title]]="",N(RAIDLog[[#This Row],[Due]])=0),"",IF(AND(RAIDLog[[#This Row],[Status]]&lt;&gt;"Closed",RAIDLog[[#This Row],[Due]]&lt;StatusDate),"Overdue",""))</f>
        <v/>
      </c>
      <c r="N71" s="46"/>
      <c r="O71" s="24" t="str">
        <f aca="false">IF(N(RAIDLog[[#This Row],[Task UID]])=0,"",IFERROR(INDEX(tsk_Name,MATCH(RAIDLog[[#This Row],[Task UID]],tsk_UID,0)),"UID "&amp;RAIDLog[[#This Row],[Task UID]]&amp;" not found"))</f>
        <v/>
      </c>
      <c r="P71" s="25" t="str">
        <f aca="false">IF(N(RAIDLog[[#This Row],[Task UID]])=0,"",IFERROR(INDEX(tsk_FcFinish,MATCH(RAIDLog[[#This Row],[Task UID]],tsk_UID,0)),""))</f>
        <v/>
      </c>
      <c r="Q71" s="47"/>
      <c r="R71" s="47"/>
      <c r="S71" s="32" t="str">
        <f aca="false">IF(RAIDLog[[#This Row],[Title]]="","",RAIDLog[[#This Row],[Type]]&amp;" "&amp;RAIDLog[[#This Row],[Ref]]&amp;": "&amp;RAIDLog[[#This Row],[Title]])</f>
        <v/>
      </c>
      <c r="T71" s="32" t="str">
        <f aca="false">IF(AND(NOT(RAIDLog[[#This Row],[Title]]=""),RAIDLog[[#This Row],[Status]]&lt;&gt;"Closed"),RAIDLog[[#This Row],[Score]]+1-(ROW()-ROW(RAIDLog[[#Headers],[Ref]]))/100000,"")</f>
        <v/>
      </c>
    </row>
    <row r="72" customFormat="false" ht="15" hidden="false" customHeight="false" outlineLevel="0" collapsed="false">
      <c r="B72" s="46" t="n">
        <v>68</v>
      </c>
      <c r="C72" s="47"/>
      <c r="D72" s="47"/>
      <c r="E72" s="47"/>
      <c r="F72" s="88"/>
      <c r="G72" s="88"/>
      <c r="H72" s="46"/>
      <c r="I72" s="46"/>
      <c r="J72" s="46"/>
      <c r="K72" s="56" t="str">
        <f aca="false">IF(RAIDLog[[#This Row],[Title]]="","",IF(RAIDLog[[#This Row],[Type]]="Issue",5,N(RAIDLog[[#This Row],[Probability]]))*N(RAIDLog[[#This Row],[Impact]]))</f>
        <v/>
      </c>
      <c r="L72" s="45" t="str">
        <f aca="false">IF(RAIDLog[[#This Row],[Title]]="","",IF(RAIDLog[[#This Row],[Score]]&gt;=RAIDHighScore,"High",IF(RAIDLog[[#This Row],[Score]]&gt;=RAIDMediumScore,"Medium","Low")))</f>
        <v/>
      </c>
      <c r="M72" s="45" t="str">
        <f aca="false">IF(OR(RAIDLog[[#This Row],[Title]]="",N(RAIDLog[[#This Row],[Due]])=0),"",IF(AND(RAIDLog[[#This Row],[Status]]&lt;&gt;"Closed",RAIDLog[[#This Row],[Due]]&lt;StatusDate),"Overdue",""))</f>
        <v/>
      </c>
      <c r="N72" s="46"/>
      <c r="O72" s="24" t="str">
        <f aca="false">IF(N(RAIDLog[[#This Row],[Task UID]])=0,"",IFERROR(INDEX(tsk_Name,MATCH(RAIDLog[[#This Row],[Task UID]],tsk_UID,0)),"UID "&amp;RAIDLog[[#This Row],[Task UID]]&amp;" not found"))</f>
        <v/>
      </c>
      <c r="P72" s="25" t="str">
        <f aca="false">IF(N(RAIDLog[[#This Row],[Task UID]])=0,"",IFERROR(INDEX(tsk_FcFinish,MATCH(RAIDLog[[#This Row],[Task UID]],tsk_UID,0)),""))</f>
        <v/>
      </c>
      <c r="Q72" s="47"/>
      <c r="R72" s="47"/>
      <c r="S72" s="32" t="str">
        <f aca="false">IF(RAIDLog[[#This Row],[Title]]="","",RAIDLog[[#This Row],[Type]]&amp;" "&amp;RAIDLog[[#This Row],[Ref]]&amp;": "&amp;RAIDLog[[#This Row],[Title]])</f>
        <v/>
      </c>
      <c r="T72" s="32" t="str">
        <f aca="false">IF(AND(NOT(RAIDLog[[#This Row],[Title]]=""),RAIDLog[[#This Row],[Status]]&lt;&gt;"Closed"),RAIDLog[[#This Row],[Score]]+1-(ROW()-ROW(RAIDLog[[#Headers],[Ref]]))/100000,"")</f>
        <v/>
      </c>
    </row>
    <row r="73" customFormat="false" ht="15" hidden="false" customHeight="false" outlineLevel="0" collapsed="false">
      <c r="B73" s="46" t="n">
        <v>69</v>
      </c>
      <c r="C73" s="47"/>
      <c r="D73" s="47"/>
      <c r="E73" s="47"/>
      <c r="F73" s="88"/>
      <c r="G73" s="88"/>
      <c r="H73" s="46"/>
      <c r="I73" s="46"/>
      <c r="J73" s="46"/>
      <c r="K73" s="56" t="str">
        <f aca="false">IF(RAIDLog[[#This Row],[Title]]="","",IF(RAIDLog[[#This Row],[Type]]="Issue",5,N(RAIDLog[[#This Row],[Probability]]))*N(RAIDLog[[#This Row],[Impact]]))</f>
        <v/>
      </c>
      <c r="L73" s="45" t="str">
        <f aca="false">IF(RAIDLog[[#This Row],[Title]]="","",IF(RAIDLog[[#This Row],[Score]]&gt;=RAIDHighScore,"High",IF(RAIDLog[[#This Row],[Score]]&gt;=RAIDMediumScore,"Medium","Low")))</f>
        <v/>
      </c>
      <c r="M73" s="45" t="str">
        <f aca="false">IF(OR(RAIDLog[[#This Row],[Title]]="",N(RAIDLog[[#This Row],[Due]])=0),"",IF(AND(RAIDLog[[#This Row],[Status]]&lt;&gt;"Closed",RAIDLog[[#This Row],[Due]]&lt;StatusDate),"Overdue",""))</f>
        <v/>
      </c>
      <c r="N73" s="46"/>
      <c r="O73" s="24" t="str">
        <f aca="false">IF(N(RAIDLog[[#This Row],[Task UID]])=0,"",IFERROR(INDEX(tsk_Name,MATCH(RAIDLog[[#This Row],[Task UID]],tsk_UID,0)),"UID "&amp;RAIDLog[[#This Row],[Task UID]]&amp;" not found"))</f>
        <v/>
      </c>
      <c r="P73" s="25" t="str">
        <f aca="false">IF(N(RAIDLog[[#This Row],[Task UID]])=0,"",IFERROR(INDEX(tsk_FcFinish,MATCH(RAIDLog[[#This Row],[Task UID]],tsk_UID,0)),""))</f>
        <v/>
      </c>
      <c r="Q73" s="47"/>
      <c r="R73" s="47"/>
      <c r="S73" s="32" t="str">
        <f aca="false">IF(RAIDLog[[#This Row],[Title]]="","",RAIDLog[[#This Row],[Type]]&amp;" "&amp;RAIDLog[[#This Row],[Ref]]&amp;": "&amp;RAIDLog[[#This Row],[Title]])</f>
        <v/>
      </c>
      <c r="T73" s="32" t="str">
        <f aca="false">IF(AND(NOT(RAIDLog[[#This Row],[Title]]=""),RAIDLog[[#This Row],[Status]]&lt;&gt;"Closed"),RAIDLog[[#This Row],[Score]]+1-(ROW()-ROW(RAIDLog[[#Headers],[Ref]]))/100000,"")</f>
        <v/>
      </c>
    </row>
    <row r="74" customFormat="false" ht="15" hidden="false" customHeight="false" outlineLevel="0" collapsed="false">
      <c r="B74" s="46" t="n">
        <v>70</v>
      </c>
      <c r="C74" s="47"/>
      <c r="D74" s="47"/>
      <c r="E74" s="47"/>
      <c r="F74" s="88"/>
      <c r="G74" s="88"/>
      <c r="H74" s="46"/>
      <c r="I74" s="46"/>
      <c r="J74" s="46"/>
      <c r="K74" s="56" t="str">
        <f aca="false">IF(RAIDLog[[#This Row],[Title]]="","",IF(RAIDLog[[#This Row],[Type]]="Issue",5,N(RAIDLog[[#This Row],[Probability]]))*N(RAIDLog[[#This Row],[Impact]]))</f>
        <v/>
      </c>
      <c r="L74" s="45" t="str">
        <f aca="false">IF(RAIDLog[[#This Row],[Title]]="","",IF(RAIDLog[[#This Row],[Score]]&gt;=RAIDHighScore,"High",IF(RAIDLog[[#This Row],[Score]]&gt;=RAIDMediumScore,"Medium","Low")))</f>
        <v/>
      </c>
      <c r="M74" s="45" t="str">
        <f aca="false">IF(OR(RAIDLog[[#This Row],[Title]]="",N(RAIDLog[[#This Row],[Due]])=0),"",IF(AND(RAIDLog[[#This Row],[Status]]&lt;&gt;"Closed",RAIDLog[[#This Row],[Due]]&lt;StatusDate),"Overdue",""))</f>
        <v/>
      </c>
      <c r="N74" s="46"/>
      <c r="O74" s="24" t="str">
        <f aca="false">IF(N(RAIDLog[[#This Row],[Task UID]])=0,"",IFERROR(INDEX(tsk_Name,MATCH(RAIDLog[[#This Row],[Task UID]],tsk_UID,0)),"UID "&amp;RAIDLog[[#This Row],[Task UID]]&amp;" not found"))</f>
        <v/>
      </c>
      <c r="P74" s="25" t="str">
        <f aca="false">IF(N(RAIDLog[[#This Row],[Task UID]])=0,"",IFERROR(INDEX(tsk_FcFinish,MATCH(RAIDLog[[#This Row],[Task UID]],tsk_UID,0)),""))</f>
        <v/>
      </c>
      <c r="Q74" s="47"/>
      <c r="R74" s="47"/>
      <c r="S74" s="32" t="str">
        <f aca="false">IF(RAIDLog[[#This Row],[Title]]="","",RAIDLog[[#This Row],[Type]]&amp;" "&amp;RAIDLog[[#This Row],[Ref]]&amp;": "&amp;RAIDLog[[#This Row],[Title]])</f>
        <v/>
      </c>
      <c r="T74" s="32" t="str">
        <f aca="false">IF(AND(NOT(RAIDLog[[#This Row],[Title]]=""),RAIDLog[[#This Row],[Status]]&lt;&gt;"Closed"),RAIDLog[[#This Row],[Score]]+1-(ROW()-ROW(RAIDLog[[#Headers],[Ref]]))/100000,"")</f>
        <v/>
      </c>
    </row>
    <row r="75" customFormat="false" ht="15" hidden="false" customHeight="false" outlineLevel="0" collapsed="false">
      <c r="B75" s="46" t="n">
        <v>71</v>
      </c>
      <c r="C75" s="47"/>
      <c r="D75" s="47"/>
      <c r="E75" s="47"/>
      <c r="F75" s="88"/>
      <c r="G75" s="88"/>
      <c r="H75" s="46"/>
      <c r="I75" s="46"/>
      <c r="J75" s="46"/>
      <c r="K75" s="56" t="str">
        <f aca="false">IF(RAIDLog[[#This Row],[Title]]="","",IF(RAIDLog[[#This Row],[Type]]="Issue",5,N(RAIDLog[[#This Row],[Probability]]))*N(RAIDLog[[#This Row],[Impact]]))</f>
        <v/>
      </c>
      <c r="L75" s="45" t="str">
        <f aca="false">IF(RAIDLog[[#This Row],[Title]]="","",IF(RAIDLog[[#This Row],[Score]]&gt;=RAIDHighScore,"High",IF(RAIDLog[[#This Row],[Score]]&gt;=RAIDMediumScore,"Medium","Low")))</f>
        <v/>
      </c>
      <c r="M75" s="45" t="str">
        <f aca="false">IF(OR(RAIDLog[[#This Row],[Title]]="",N(RAIDLog[[#This Row],[Due]])=0),"",IF(AND(RAIDLog[[#This Row],[Status]]&lt;&gt;"Closed",RAIDLog[[#This Row],[Due]]&lt;StatusDate),"Overdue",""))</f>
        <v/>
      </c>
      <c r="N75" s="46"/>
      <c r="O75" s="24" t="str">
        <f aca="false">IF(N(RAIDLog[[#This Row],[Task UID]])=0,"",IFERROR(INDEX(tsk_Name,MATCH(RAIDLog[[#This Row],[Task UID]],tsk_UID,0)),"UID "&amp;RAIDLog[[#This Row],[Task UID]]&amp;" not found"))</f>
        <v/>
      </c>
      <c r="P75" s="25" t="str">
        <f aca="false">IF(N(RAIDLog[[#This Row],[Task UID]])=0,"",IFERROR(INDEX(tsk_FcFinish,MATCH(RAIDLog[[#This Row],[Task UID]],tsk_UID,0)),""))</f>
        <v/>
      </c>
      <c r="Q75" s="47"/>
      <c r="R75" s="47"/>
      <c r="S75" s="32" t="str">
        <f aca="false">IF(RAIDLog[[#This Row],[Title]]="","",RAIDLog[[#This Row],[Type]]&amp;" "&amp;RAIDLog[[#This Row],[Ref]]&amp;": "&amp;RAIDLog[[#This Row],[Title]])</f>
        <v/>
      </c>
      <c r="T75" s="32" t="str">
        <f aca="false">IF(AND(NOT(RAIDLog[[#This Row],[Title]]=""),RAIDLog[[#This Row],[Status]]&lt;&gt;"Closed"),RAIDLog[[#This Row],[Score]]+1-(ROW()-ROW(RAIDLog[[#Headers],[Ref]]))/100000,"")</f>
        <v/>
      </c>
    </row>
    <row r="76" customFormat="false" ht="15" hidden="false" customHeight="false" outlineLevel="0" collapsed="false">
      <c r="B76" s="46" t="n">
        <v>72</v>
      </c>
      <c r="C76" s="47"/>
      <c r="D76" s="47"/>
      <c r="E76" s="47"/>
      <c r="F76" s="88"/>
      <c r="G76" s="88"/>
      <c r="H76" s="46"/>
      <c r="I76" s="46"/>
      <c r="J76" s="46"/>
      <c r="K76" s="56" t="str">
        <f aca="false">IF(RAIDLog[[#This Row],[Title]]="","",IF(RAIDLog[[#This Row],[Type]]="Issue",5,N(RAIDLog[[#This Row],[Probability]]))*N(RAIDLog[[#This Row],[Impact]]))</f>
        <v/>
      </c>
      <c r="L76" s="45" t="str">
        <f aca="false">IF(RAIDLog[[#This Row],[Title]]="","",IF(RAIDLog[[#This Row],[Score]]&gt;=RAIDHighScore,"High",IF(RAIDLog[[#This Row],[Score]]&gt;=RAIDMediumScore,"Medium","Low")))</f>
        <v/>
      </c>
      <c r="M76" s="45" t="str">
        <f aca="false">IF(OR(RAIDLog[[#This Row],[Title]]="",N(RAIDLog[[#This Row],[Due]])=0),"",IF(AND(RAIDLog[[#This Row],[Status]]&lt;&gt;"Closed",RAIDLog[[#This Row],[Due]]&lt;StatusDate),"Overdue",""))</f>
        <v/>
      </c>
      <c r="N76" s="46"/>
      <c r="O76" s="24" t="str">
        <f aca="false">IF(N(RAIDLog[[#This Row],[Task UID]])=0,"",IFERROR(INDEX(tsk_Name,MATCH(RAIDLog[[#This Row],[Task UID]],tsk_UID,0)),"UID "&amp;RAIDLog[[#This Row],[Task UID]]&amp;" not found"))</f>
        <v/>
      </c>
      <c r="P76" s="25" t="str">
        <f aca="false">IF(N(RAIDLog[[#This Row],[Task UID]])=0,"",IFERROR(INDEX(tsk_FcFinish,MATCH(RAIDLog[[#This Row],[Task UID]],tsk_UID,0)),""))</f>
        <v/>
      </c>
      <c r="Q76" s="47"/>
      <c r="R76" s="47"/>
      <c r="S76" s="32" t="str">
        <f aca="false">IF(RAIDLog[[#This Row],[Title]]="","",RAIDLog[[#This Row],[Type]]&amp;" "&amp;RAIDLog[[#This Row],[Ref]]&amp;": "&amp;RAIDLog[[#This Row],[Title]])</f>
        <v/>
      </c>
      <c r="T76" s="32" t="str">
        <f aca="false">IF(AND(NOT(RAIDLog[[#This Row],[Title]]=""),RAIDLog[[#This Row],[Status]]&lt;&gt;"Closed"),RAIDLog[[#This Row],[Score]]+1-(ROW()-ROW(RAIDLog[[#Headers],[Ref]]))/100000,"")</f>
        <v/>
      </c>
    </row>
    <row r="77" customFormat="false" ht="15" hidden="false" customHeight="false" outlineLevel="0" collapsed="false">
      <c r="B77" s="46" t="n">
        <v>73</v>
      </c>
      <c r="C77" s="47"/>
      <c r="D77" s="47"/>
      <c r="E77" s="47"/>
      <c r="F77" s="88"/>
      <c r="G77" s="88"/>
      <c r="H77" s="46"/>
      <c r="I77" s="46"/>
      <c r="J77" s="46"/>
      <c r="K77" s="56" t="str">
        <f aca="false">IF(RAIDLog[[#This Row],[Title]]="","",IF(RAIDLog[[#This Row],[Type]]="Issue",5,N(RAIDLog[[#This Row],[Probability]]))*N(RAIDLog[[#This Row],[Impact]]))</f>
        <v/>
      </c>
      <c r="L77" s="45" t="str">
        <f aca="false">IF(RAIDLog[[#This Row],[Title]]="","",IF(RAIDLog[[#This Row],[Score]]&gt;=RAIDHighScore,"High",IF(RAIDLog[[#This Row],[Score]]&gt;=RAIDMediumScore,"Medium","Low")))</f>
        <v/>
      </c>
      <c r="M77" s="45" t="str">
        <f aca="false">IF(OR(RAIDLog[[#This Row],[Title]]="",N(RAIDLog[[#This Row],[Due]])=0),"",IF(AND(RAIDLog[[#This Row],[Status]]&lt;&gt;"Closed",RAIDLog[[#This Row],[Due]]&lt;StatusDate),"Overdue",""))</f>
        <v/>
      </c>
      <c r="N77" s="46"/>
      <c r="O77" s="24" t="str">
        <f aca="false">IF(N(RAIDLog[[#This Row],[Task UID]])=0,"",IFERROR(INDEX(tsk_Name,MATCH(RAIDLog[[#This Row],[Task UID]],tsk_UID,0)),"UID "&amp;RAIDLog[[#This Row],[Task UID]]&amp;" not found"))</f>
        <v/>
      </c>
      <c r="P77" s="25" t="str">
        <f aca="false">IF(N(RAIDLog[[#This Row],[Task UID]])=0,"",IFERROR(INDEX(tsk_FcFinish,MATCH(RAIDLog[[#This Row],[Task UID]],tsk_UID,0)),""))</f>
        <v/>
      </c>
      <c r="Q77" s="47"/>
      <c r="R77" s="47"/>
      <c r="S77" s="32" t="str">
        <f aca="false">IF(RAIDLog[[#This Row],[Title]]="","",RAIDLog[[#This Row],[Type]]&amp;" "&amp;RAIDLog[[#This Row],[Ref]]&amp;": "&amp;RAIDLog[[#This Row],[Title]])</f>
        <v/>
      </c>
      <c r="T77" s="32" t="str">
        <f aca="false">IF(AND(NOT(RAIDLog[[#This Row],[Title]]=""),RAIDLog[[#This Row],[Status]]&lt;&gt;"Closed"),RAIDLog[[#This Row],[Score]]+1-(ROW()-ROW(RAIDLog[[#Headers],[Ref]]))/100000,"")</f>
        <v/>
      </c>
    </row>
    <row r="78" customFormat="false" ht="15" hidden="false" customHeight="false" outlineLevel="0" collapsed="false">
      <c r="B78" s="46" t="n">
        <v>74</v>
      </c>
      <c r="C78" s="47"/>
      <c r="D78" s="47"/>
      <c r="E78" s="47"/>
      <c r="F78" s="88"/>
      <c r="G78" s="88"/>
      <c r="H78" s="46"/>
      <c r="I78" s="46"/>
      <c r="J78" s="46"/>
      <c r="K78" s="56" t="str">
        <f aca="false">IF(RAIDLog[[#This Row],[Title]]="","",IF(RAIDLog[[#This Row],[Type]]="Issue",5,N(RAIDLog[[#This Row],[Probability]]))*N(RAIDLog[[#This Row],[Impact]]))</f>
        <v/>
      </c>
      <c r="L78" s="45" t="str">
        <f aca="false">IF(RAIDLog[[#This Row],[Title]]="","",IF(RAIDLog[[#This Row],[Score]]&gt;=RAIDHighScore,"High",IF(RAIDLog[[#This Row],[Score]]&gt;=RAIDMediumScore,"Medium","Low")))</f>
        <v/>
      </c>
      <c r="M78" s="45" t="str">
        <f aca="false">IF(OR(RAIDLog[[#This Row],[Title]]="",N(RAIDLog[[#This Row],[Due]])=0),"",IF(AND(RAIDLog[[#This Row],[Status]]&lt;&gt;"Closed",RAIDLog[[#This Row],[Due]]&lt;StatusDate),"Overdue",""))</f>
        <v/>
      </c>
      <c r="N78" s="46"/>
      <c r="O78" s="24" t="str">
        <f aca="false">IF(N(RAIDLog[[#This Row],[Task UID]])=0,"",IFERROR(INDEX(tsk_Name,MATCH(RAIDLog[[#This Row],[Task UID]],tsk_UID,0)),"UID "&amp;RAIDLog[[#This Row],[Task UID]]&amp;" not found"))</f>
        <v/>
      </c>
      <c r="P78" s="25" t="str">
        <f aca="false">IF(N(RAIDLog[[#This Row],[Task UID]])=0,"",IFERROR(INDEX(tsk_FcFinish,MATCH(RAIDLog[[#This Row],[Task UID]],tsk_UID,0)),""))</f>
        <v/>
      </c>
      <c r="Q78" s="47"/>
      <c r="R78" s="47"/>
      <c r="S78" s="32" t="str">
        <f aca="false">IF(RAIDLog[[#This Row],[Title]]="","",RAIDLog[[#This Row],[Type]]&amp;" "&amp;RAIDLog[[#This Row],[Ref]]&amp;": "&amp;RAIDLog[[#This Row],[Title]])</f>
        <v/>
      </c>
      <c r="T78" s="32" t="str">
        <f aca="false">IF(AND(NOT(RAIDLog[[#This Row],[Title]]=""),RAIDLog[[#This Row],[Status]]&lt;&gt;"Closed"),RAIDLog[[#This Row],[Score]]+1-(ROW()-ROW(RAIDLog[[#Headers],[Ref]]))/100000,"")</f>
        <v/>
      </c>
    </row>
    <row r="79" customFormat="false" ht="15" hidden="false" customHeight="false" outlineLevel="0" collapsed="false">
      <c r="B79" s="46" t="n">
        <v>75</v>
      </c>
      <c r="C79" s="47"/>
      <c r="D79" s="47"/>
      <c r="E79" s="47"/>
      <c r="F79" s="88"/>
      <c r="G79" s="88"/>
      <c r="H79" s="46"/>
      <c r="I79" s="46"/>
      <c r="J79" s="46"/>
      <c r="K79" s="56" t="str">
        <f aca="false">IF(RAIDLog[[#This Row],[Title]]="","",IF(RAIDLog[[#This Row],[Type]]="Issue",5,N(RAIDLog[[#This Row],[Probability]]))*N(RAIDLog[[#This Row],[Impact]]))</f>
        <v/>
      </c>
      <c r="L79" s="45" t="str">
        <f aca="false">IF(RAIDLog[[#This Row],[Title]]="","",IF(RAIDLog[[#This Row],[Score]]&gt;=RAIDHighScore,"High",IF(RAIDLog[[#This Row],[Score]]&gt;=RAIDMediumScore,"Medium","Low")))</f>
        <v/>
      </c>
      <c r="M79" s="45" t="str">
        <f aca="false">IF(OR(RAIDLog[[#This Row],[Title]]="",N(RAIDLog[[#This Row],[Due]])=0),"",IF(AND(RAIDLog[[#This Row],[Status]]&lt;&gt;"Closed",RAIDLog[[#This Row],[Due]]&lt;StatusDate),"Overdue",""))</f>
        <v/>
      </c>
      <c r="N79" s="46"/>
      <c r="O79" s="24" t="str">
        <f aca="false">IF(N(RAIDLog[[#This Row],[Task UID]])=0,"",IFERROR(INDEX(tsk_Name,MATCH(RAIDLog[[#This Row],[Task UID]],tsk_UID,0)),"UID "&amp;RAIDLog[[#This Row],[Task UID]]&amp;" not found"))</f>
        <v/>
      </c>
      <c r="P79" s="25" t="str">
        <f aca="false">IF(N(RAIDLog[[#This Row],[Task UID]])=0,"",IFERROR(INDEX(tsk_FcFinish,MATCH(RAIDLog[[#This Row],[Task UID]],tsk_UID,0)),""))</f>
        <v/>
      </c>
      <c r="Q79" s="47"/>
      <c r="R79" s="47"/>
      <c r="S79" s="32" t="str">
        <f aca="false">IF(RAIDLog[[#This Row],[Title]]="","",RAIDLog[[#This Row],[Type]]&amp;" "&amp;RAIDLog[[#This Row],[Ref]]&amp;": "&amp;RAIDLog[[#This Row],[Title]])</f>
        <v/>
      </c>
      <c r="T79" s="32" t="str">
        <f aca="false">IF(AND(NOT(RAIDLog[[#This Row],[Title]]=""),RAIDLog[[#This Row],[Status]]&lt;&gt;"Closed"),RAIDLog[[#This Row],[Score]]+1-(ROW()-ROW(RAIDLog[[#Headers],[Ref]]))/100000,"")</f>
        <v/>
      </c>
    </row>
    <row r="80" customFormat="false" ht="15" hidden="false" customHeight="false" outlineLevel="0" collapsed="false">
      <c r="B80" s="46" t="n">
        <v>76</v>
      </c>
      <c r="C80" s="47"/>
      <c r="D80" s="47"/>
      <c r="E80" s="47"/>
      <c r="F80" s="88"/>
      <c r="G80" s="88"/>
      <c r="H80" s="46"/>
      <c r="I80" s="46"/>
      <c r="J80" s="46"/>
      <c r="K80" s="56" t="str">
        <f aca="false">IF(RAIDLog[[#This Row],[Title]]="","",IF(RAIDLog[[#This Row],[Type]]="Issue",5,N(RAIDLog[[#This Row],[Probability]]))*N(RAIDLog[[#This Row],[Impact]]))</f>
        <v/>
      </c>
      <c r="L80" s="45" t="str">
        <f aca="false">IF(RAIDLog[[#This Row],[Title]]="","",IF(RAIDLog[[#This Row],[Score]]&gt;=RAIDHighScore,"High",IF(RAIDLog[[#This Row],[Score]]&gt;=RAIDMediumScore,"Medium","Low")))</f>
        <v/>
      </c>
      <c r="M80" s="45" t="str">
        <f aca="false">IF(OR(RAIDLog[[#This Row],[Title]]="",N(RAIDLog[[#This Row],[Due]])=0),"",IF(AND(RAIDLog[[#This Row],[Status]]&lt;&gt;"Closed",RAIDLog[[#This Row],[Due]]&lt;StatusDate),"Overdue",""))</f>
        <v/>
      </c>
      <c r="N80" s="46"/>
      <c r="O80" s="24" t="str">
        <f aca="false">IF(N(RAIDLog[[#This Row],[Task UID]])=0,"",IFERROR(INDEX(tsk_Name,MATCH(RAIDLog[[#This Row],[Task UID]],tsk_UID,0)),"UID "&amp;RAIDLog[[#This Row],[Task UID]]&amp;" not found"))</f>
        <v/>
      </c>
      <c r="P80" s="25" t="str">
        <f aca="false">IF(N(RAIDLog[[#This Row],[Task UID]])=0,"",IFERROR(INDEX(tsk_FcFinish,MATCH(RAIDLog[[#This Row],[Task UID]],tsk_UID,0)),""))</f>
        <v/>
      </c>
      <c r="Q80" s="47"/>
      <c r="R80" s="47"/>
      <c r="S80" s="32" t="str">
        <f aca="false">IF(RAIDLog[[#This Row],[Title]]="","",RAIDLog[[#This Row],[Type]]&amp;" "&amp;RAIDLog[[#This Row],[Ref]]&amp;": "&amp;RAIDLog[[#This Row],[Title]])</f>
        <v/>
      </c>
      <c r="T80" s="32" t="str">
        <f aca="false">IF(AND(NOT(RAIDLog[[#This Row],[Title]]=""),RAIDLog[[#This Row],[Status]]&lt;&gt;"Closed"),RAIDLog[[#This Row],[Score]]+1-(ROW()-ROW(RAIDLog[[#Headers],[Ref]]))/100000,"")</f>
        <v/>
      </c>
    </row>
    <row r="81" customFormat="false" ht="15" hidden="false" customHeight="false" outlineLevel="0" collapsed="false">
      <c r="B81" s="46" t="n">
        <v>77</v>
      </c>
      <c r="C81" s="47"/>
      <c r="D81" s="47"/>
      <c r="E81" s="47"/>
      <c r="F81" s="88"/>
      <c r="G81" s="88"/>
      <c r="H81" s="46"/>
      <c r="I81" s="46"/>
      <c r="J81" s="46"/>
      <c r="K81" s="56" t="str">
        <f aca="false">IF(RAIDLog[[#This Row],[Title]]="","",IF(RAIDLog[[#This Row],[Type]]="Issue",5,N(RAIDLog[[#This Row],[Probability]]))*N(RAIDLog[[#This Row],[Impact]]))</f>
        <v/>
      </c>
      <c r="L81" s="45" t="str">
        <f aca="false">IF(RAIDLog[[#This Row],[Title]]="","",IF(RAIDLog[[#This Row],[Score]]&gt;=RAIDHighScore,"High",IF(RAIDLog[[#This Row],[Score]]&gt;=RAIDMediumScore,"Medium","Low")))</f>
        <v/>
      </c>
      <c r="M81" s="45" t="str">
        <f aca="false">IF(OR(RAIDLog[[#This Row],[Title]]="",N(RAIDLog[[#This Row],[Due]])=0),"",IF(AND(RAIDLog[[#This Row],[Status]]&lt;&gt;"Closed",RAIDLog[[#This Row],[Due]]&lt;StatusDate),"Overdue",""))</f>
        <v/>
      </c>
      <c r="N81" s="46"/>
      <c r="O81" s="24" t="str">
        <f aca="false">IF(N(RAIDLog[[#This Row],[Task UID]])=0,"",IFERROR(INDEX(tsk_Name,MATCH(RAIDLog[[#This Row],[Task UID]],tsk_UID,0)),"UID "&amp;RAIDLog[[#This Row],[Task UID]]&amp;" not found"))</f>
        <v/>
      </c>
      <c r="P81" s="25" t="str">
        <f aca="false">IF(N(RAIDLog[[#This Row],[Task UID]])=0,"",IFERROR(INDEX(tsk_FcFinish,MATCH(RAIDLog[[#This Row],[Task UID]],tsk_UID,0)),""))</f>
        <v/>
      </c>
      <c r="Q81" s="47"/>
      <c r="R81" s="47"/>
      <c r="S81" s="32" t="str">
        <f aca="false">IF(RAIDLog[[#This Row],[Title]]="","",RAIDLog[[#This Row],[Type]]&amp;" "&amp;RAIDLog[[#This Row],[Ref]]&amp;": "&amp;RAIDLog[[#This Row],[Title]])</f>
        <v/>
      </c>
      <c r="T81" s="32" t="str">
        <f aca="false">IF(AND(NOT(RAIDLog[[#This Row],[Title]]=""),RAIDLog[[#This Row],[Status]]&lt;&gt;"Closed"),RAIDLog[[#This Row],[Score]]+1-(ROW()-ROW(RAIDLog[[#Headers],[Ref]]))/100000,"")</f>
        <v/>
      </c>
    </row>
    <row r="82" customFormat="false" ht="15" hidden="false" customHeight="false" outlineLevel="0" collapsed="false">
      <c r="B82" s="46" t="n">
        <v>78</v>
      </c>
      <c r="C82" s="47"/>
      <c r="D82" s="47"/>
      <c r="E82" s="47"/>
      <c r="F82" s="88"/>
      <c r="G82" s="88"/>
      <c r="H82" s="46"/>
      <c r="I82" s="46"/>
      <c r="J82" s="46"/>
      <c r="K82" s="56" t="str">
        <f aca="false">IF(RAIDLog[[#This Row],[Title]]="","",IF(RAIDLog[[#This Row],[Type]]="Issue",5,N(RAIDLog[[#This Row],[Probability]]))*N(RAIDLog[[#This Row],[Impact]]))</f>
        <v/>
      </c>
      <c r="L82" s="45" t="str">
        <f aca="false">IF(RAIDLog[[#This Row],[Title]]="","",IF(RAIDLog[[#This Row],[Score]]&gt;=RAIDHighScore,"High",IF(RAIDLog[[#This Row],[Score]]&gt;=RAIDMediumScore,"Medium","Low")))</f>
        <v/>
      </c>
      <c r="M82" s="45" t="str">
        <f aca="false">IF(OR(RAIDLog[[#This Row],[Title]]="",N(RAIDLog[[#This Row],[Due]])=0),"",IF(AND(RAIDLog[[#This Row],[Status]]&lt;&gt;"Closed",RAIDLog[[#This Row],[Due]]&lt;StatusDate),"Overdue",""))</f>
        <v/>
      </c>
      <c r="N82" s="46"/>
      <c r="O82" s="24" t="str">
        <f aca="false">IF(N(RAIDLog[[#This Row],[Task UID]])=0,"",IFERROR(INDEX(tsk_Name,MATCH(RAIDLog[[#This Row],[Task UID]],tsk_UID,0)),"UID "&amp;RAIDLog[[#This Row],[Task UID]]&amp;" not found"))</f>
        <v/>
      </c>
      <c r="P82" s="25" t="str">
        <f aca="false">IF(N(RAIDLog[[#This Row],[Task UID]])=0,"",IFERROR(INDEX(tsk_FcFinish,MATCH(RAIDLog[[#This Row],[Task UID]],tsk_UID,0)),""))</f>
        <v/>
      </c>
      <c r="Q82" s="47"/>
      <c r="R82" s="47"/>
      <c r="S82" s="32" t="str">
        <f aca="false">IF(RAIDLog[[#This Row],[Title]]="","",RAIDLog[[#This Row],[Type]]&amp;" "&amp;RAIDLog[[#This Row],[Ref]]&amp;": "&amp;RAIDLog[[#This Row],[Title]])</f>
        <v/>
      </c>
      <c r="T82" s="32" t="str">
        <f aca="false">IF(AND(NOT(RAIDLog[[#This Row],[Title]]=""),RAIDLog[[#This Row],[Status]]&lt;&gt;"Closed"),RAIDLog[[#This Row],[Score]]+1-(ROW()-ROW(RAIDLog[[#Headers],[Ref]]))/100000,"")</f>
        <v/>
      </c>
    </row>
    <row r="83" customFormat="false" ht="15" hidden="false" customHeight="false" outlineLevel="0" collapsed="false">
      <c r="B83" s="46" t="n">
        <v>79</v>
      </c>
      <c r="C83" s="47"/>
      <c r="D83" s="47"/>
      <c r="E83" s="47"/>
      <c r="F83" s="88"/>
      <c r="G83" s="88"/>
      <c r="H83" s="46"/>
      <c r="I83" s="46"/>
      <c r="J83" s="46"/>
      <c r="K83" s="56" t="str">
        <f aca="false">IF(RAIDLog[[#This Row],[Title]]="","",IF(RAIDLog[[#This Row],[Type]]="Issue",5,N(RAIDLog[[#This Row],[Probability]]))*N(RAIDLog[[#This Row],[Impact]]))</f>
        <v/>
      </c>
      <c r="L83" s="45" t="str">
        <f aca="false">IF(RAIDLog[[#This Row],[Title]]="","",IF(RAIDLog[[#This Row],[Score]]&gt;=RAIDHighScore,"High",IF(RAIDLog[[#This Row],[Score]]&gt;=RAIDMediumScore,"Medium","Low")))</f>
        <v/>
      </c>
      <c r="M83" s="45" t="str">
        <f aca="false">IF(OR(RAIDLog[[#This Row],[Title]]="",N(RAIDLog[[#This Row],[Due]])=0),"",IF(AND(RAIDLog[[#This Row],[Status]]&lt;&gt;"Closed",RAIDLog[[#This Row],[Due]]&lt;StatusDate),"Overdue",""))</f>
        <v/>
      </c>
      <c r="N83" s="46"/>
      <c r="O83" s="24" t="str">
        <f aca="false">IF(N(RAIDLog[[#This Row],[Task UID]])=0,"",IFERROR(INDEX(tsk_Name,MATCH(RAIDLog[[#This Row],[Task UID]],tsk_UID,0)),"UID "&amp;RAIDLog[[#This Row],[Task UID]]&amp;" not found"))</f>
        <v/>
      </c>
      <c r="P83" s="25" t="str">
        <f aca="false">IF(N(RAIDLog[[#This Row],[Task UID]])=0,"",IFERROR(INDEX(tsk_FcFinish,MATCH(RAIDLog[[#This Row],[Task UID]],tsk_UID,0)),""))</f>
        <v/>
      </c>
      <c r="Q83" s="47"/>
      <c r="R83" s="47"/>
      <c r="S83" s="32" t="str">
        <f aca="false">IF(RAIDLog[[#This Row],[Title]]="","",RAIDLog[[#This Row],[Type]]&amp;" "&amp;RAIDLog[[#This Row],[Ref]]&amp;": "&amp;RAIDLog[[#This Row],[Title]])</f>
        <v/>
      </c>
      <c r="T83" s="32" t="str">
        <f aca="false">IF(AND(NOT(RAIDLog[[#This Row],[Title]]=""),RAIDLog[[#This Row],[Status]]&lt;&gt;"Closed"),RAIDLog[[#This Row],[Score]]+1-(ROW()-ROW(RAIDLog[[#Headers],[Ref]]))/100000,"")</f>
        <v/>
      </c>
    </row>
    <row r="84" customFormat="false" ht="15" hidden="false" customHeight="false" outlineLevel="0" collapsed="false">
      <c r="B84" s="46" t="n">
        <v>80</v>
      </c>
      <c r="C84" s="47"/>
      <c r="D84" s="47"/>
      <c r="E84" s="47"/>
      <c r="F84" s="88"/>
      <c r="G84" s="88"/>
      <c r="H84" s="46"/>
      <c r="I84" s="46"/>
      <c r="J84" s="46"/>
      <c r="K84" s="56" t="str">
        <f aca="false">IF(RAIDLog[[#This Row],[Title]]="","",IF(RAIDLog[[#This Row],[Type]]="Issue",5,N(RAIDLog[[#This Row],[Probability]]))*N(RAIDLog[[#This Row],[Impact]]))</f>
        <v/>
      </c>
      <c r="L84" s="45" t="str">
        <f aca="false">IF(RAIDLog[[#This Row],[Title]]="","",IF(RAIDLog[[#This Row],[Score]]&gt;=RAIDHighScore,"High",IF(RAIDLog[[#This Row],[Score]]&gt;=RAIDMediumScore,"Medium","Low")))</f>
        <v/>
      </c>
      <c r="M84" s="45" t="str">
        <f aca="false">IF(OR(RAIDLog[[#This Row],[Title]]="",N(RAIDLog[[#This Row],[Due]])=0),"",IF(AND(RAIDLog[[#This Row],[Status]]&lt;&gt;"Closed",RAIDLog[[#This Row],[Due]]&lt;StatusDate),"Overdue",""))</f>
        <v/>
      </c>
      <c r="N84" s="46"/>
      <c r="O84" s="24" t="str">
        <f aca="false">IF(N(RAIDLog[[#This Row],[Task UID]])=0,"",IFERROR(INDEX(tsk_Name,MATCH(RAIDLog[[#This Row],[Task UID]],tsk_UID,0)),"UID "&amp;RAIDLog[[#This Row],[Task UID]]&amp;" not found"))</f>
        <v/>
      </c>
      <c r="P84" s="25" t="str">
        <f aca="false">IF(N(RAIDLog[[#This Row],[Task UID]])=0,"",IFERROR(INDEX(tsk_FcFinish,MATCH(RAIDLog[[#This Row],[Task UID]],tsk_UID,0)),""))</f>
        <v/>
      </c>
      <c r="Q84" s="47"/>
      <c r="R84" s="47"/>
      <c r="S84" s="32" t="str">
        <f aca="false">IF(RAIDLog[[#This Row],[Title]]="","",RAIDLog[[#This Row],[Type]]&amp;" "&amp;RAIDLog[[#This Row],[Ref]]&amp;": "&amp;RAIDLog[[#This Row],[Title]])</f>
        <v/>
      </c>
      <c r="T84" s="32" t="str">
        <f aca="false">IF(AND(NOT(RAIDLog[[#This Row],[Title]]=""),RAIDLog[[#This Row],[Status]]&lt;&gt;"Closed"),RAIDLog[[#This Row],[Score]]+1-(ROW()-ROW(RAIDLog[[#Headers],[Ref]]))/100000,"")</f>
        <v/>
      </c>
    </row>
    <row r="85" customFormat="false" ht="15" hidden="false" customHeight="false" outlineLevel="0" collapsed="false">
      <c r="B85" s="46" t="n">
        <v>81</v>
      </c>
      <c r="C85" s="47"/>
      <c r="D85" s="47"/>
      <c r="E85" s="47"/>
      <c r="F85" s="88"/>
      <c r="G85" s="88"/>
      <c r="H85" s="46"/>
      <c r="I85" s="46"/>
      <c r="J85" s="46"/>
      <c r="K85" s="56" t="str">
        <f aca="false">IF(RAIDLog[[#This Row],[Title]]="","",IF(RAIDLog[[#This Row],[Type]]="Issue",5,N(RAIDLog[[#This Row],[Probability]]))*N(RAIDLog[[#This Row],[Impact]]))</f>
        <v/>
      </c>
      <c r="L85" s="45" t="str">
        <f aca="false">IF(RAIDLog[[#This Row],[Title]]="","",IF(RAIDLog[[#This Row],[Score]]&gt;=RAIDHighScore,"High",IF(RAIDLog[[#This Row],[Score]]&gt;=RAIDMediumScore,"Medium","Low")))</f>
        <v/>
      </c>
      <c r="M85" s="45" t="str">
        <f aca="false">IF(OR(RAIDLog[[#This Row],[Title]]="",N(RAIDLog[[#This Row],[Due]])=0),"",IF(AND(RAIDLog[[#This Row],[Status]]&lt;&gt;"Closed",RAIDLog[[#This Row],[Due]]&lt;StatusDate),"Overdue",""))</f>
        <v/>
      </c>
      <c r="N85" s="46"/>
      <c r="O85" s="24" t="str">
        <f aca="false">IF(N(RAIDLog[[#This Row],[Task UID]])=0,"",IFERROR(INDEX(tsk_Name,MATCH(RAIDLog[[#This Row],[Task UID]],tsk_UID,0)),"UID "&amp;RAIDLog[[#This Row],[Task UID]]&amp;" not found"))</f>
        <v/>
      </c>
      <c r="P85" s="25" t="str">
        <f aca="false">IF(N(RAIDLog[[#This Row],[Task UID]])=0,"",IFERROR(INDEX(tsk_FcFinish,MATCH(RAIDLog[[#This Row],[Task UID]],tsk_UID,0)),""))</f>
        <v/>
      </c>
      <c r="Q85" s="47"/>
      <c r="R85" s="47"/>
      <c r="S85" s="32" t="str">
        <f aca="false">IF(RAIDLog[[#This Row],[Title]]="","",RAIDLog[[#This Row],[Type]]&amp;" "&amp;RAIDLog[[#This Row],[Ref]]&amp;": "&amp;RAIDLog[[#This Row],[Title]])</f>
        <v/>
      </c>
      <c r="T85" s="32" t="str">
        <f aca="false">IF(AND(NOT(RAIDLog[[#This Row],[Title]]=""),RAIDLog[[#This Row],[Status]]&lt;&gt;"Closed"),RAIDLog[[#This Row],[Score]]+1-(ROW()-ROW(RAIDLog[[#Headers],[Ref]]))/100000,"")</f>
        <v/>
      </c>
    </row>
    <row r="86" customFormat="false" ht="15" hidden="false" customHeight="false" outlineLevel="0" collapsed="false">
      <c r="B86" s="46" t="n">
        <v>82</v>
      </c>
      <c r="C86" s="47"/>
      <c r="D86" s="47"/>
      <c r="E86" s="47"/>
      <c r="F86" s="88"/>
      <c r="G86" s="88"/>
      <c r="H86" s="46"/>
      <c r="I86" s="46"/>
      <c r="J86" s="46"/>
      <c r="K86" s="56" t="str">
        <f aca="false">IF(RAIDLog[[#This Row],[Title]]="","",IF(RAIDLog[[#This Row],[Type]]="Issue",5,N(RAIDLog[[#This Row],[Probability]]))*N(RAIDLog[[#This Row],[Impact]]))</f>
        <v/>
      </c>
      <c r="L86" s="45" t="str">
        <f aca="false">IF(RAIDLog[[#This Row],[Title]]="","",IF(RAIDLog[[#This Row],[Score]]&gt;=RAIDHighScore,"High",IF(RAIDLog[[#This Row],[Score]]&gt;=RAIDMediumScore,"Medium","Low")))</f>
        <v/>
      </c>
      <c r="M86" s="45" t="str">
        <f aca="false">IF(OR(RAIDLog[[#This Row],[Title]]="",N(RAIDLog[[#This Row],[Due]])=0),"",IF(AND(RAIDLog[[#This Row],[Status]]&lt;&gt;"Closed",RAIDLog[[#This Row],[Due]]&lt;StatusDate),"Overdue",""))</f>
        <v/>
      </c>
      <c r="N86" s="46"/>
      <c r="O86" s="24" t="str">
        <f aca="false">IF(N(RAIDLog[[#This Row],[Task UID]])=0,"",IFERROR(INDEX(tsk_Name,MATCH(RAIDLog[[#This Row],[Task UID]],tsk_UID,0)),"UID "&amp;RAIDLog[[#This Row],[Task UID]]&amp;" not found"))</f>
        <v/>
      </c>
      <c r="P86" s="25" t="str">
        <f aca="false">IF(N(RAIDLog[[#This Row],[Task UID]])=0,"",IFERROR(INDEX(tsk_FcFinish,MATCH(RAIDLog[[#This Row],[Task UID]],tsk_UID,0)),""))</f>
        <v/>
      </c>
      <c r="Q86" s="47"/>
      <c r="R86" s="47"/>
      <c r="S86" s="32" t="str">
        <f aca="false">IF(RAIDLog[[#This Row],[Title]]="","",RAIDLog[[#This Row],[Type]]&amp;" "&amp;RAIDLog[[#This Row],[Ref]]&amp;": "&amp;RAIDLog[[#This Row],[Title]])</f>
        <v/>
      </c>
      <c r="T86" s="32" t="str">
        <f aca="false">IF(AND(NOT(RAIDLog[[#This Row],[Title]]=""),RAIDLog[[#This Row],[Status]]&lt;&gt;"Closed"),RAIDLog[[#This Row],[Score]]+1-(ROW()-ROW(RAIDLog[[#Headers],[Ref]]))/100000,"")</f>
        <v/>
      </c>
    </row>
    <row r="87" customFormat="false" ht="15" hidden="false" customHeight="false" outlineLevel="0" collapsed="false">
      <c r="B87" s="46" t="n">
        <v>83</v>
      </c>
      <c r="C87" s="47"/>
      <c r="D87" s="47"/>
      <c r="E87" s="47"/>
      <c r="F87" s="88"/>
      <c r="G87" s="88"/>
      <c r="H87" s="46"/>
      <c r="I87" s="46"/>
      <c r="J87" s="46"/>
      <c r="K87" s="56" t="str">
        <f aca="false">IF(RAIDLog[[#This Row],[Title]]="","",IF(RAIDLog[[#This Row],[Type]]="Issue",5,N(RAIDLog[[#This Row],[Probability]]))*N(RAIDLog[[#This Row],[Impact]]))</f>
        <v/>
      </c>
      <c r="L87" s="45" t="str">
        <f aca="false">IF(RAIDLog[[#This Row],[Title]]="","",IF(RAIDLog[[#This Row],[Score]]&gt;=RAIDHighScore,"High",IF(RAIDLog[[#This Row],[Score]]&gt;=RAIDMediumScore,"Medium","Low")))</f>
        <v/>
      </c>
      <c r="M87" s="45" t="str">
        <f aca="false">IF(OR(RAIDLog[[#This Row],[Title]]="",N(RAIDLog[[#This Row],[Due]])=0),"",IF(AND(RAIDLog[[#This Row],[Status]]&lt;&gt;"Closed",RAIDLog[[#This Row],[Due]]&lt;StatusDate),"Overdue",""))</f>
        <v/>
      </c>
      <c r="N87" s="46"/>
      <c r="O87" s="24" t="str">
        <f aca="false">IF(N(RAIDLog[[#This Row],[Task UID]])=0,"",IFERROR(INDEX(tsk_Name,MATCH(RAIDLog[[#This Row],[Task UID]],tsk_UID,0)),"UID "&amp;RAIDLog[[#This Row],[Task UID]]&amp;" not found"))</f>
        <v/>
      </c>
      <c r="P87" s="25" t="str">
        <f aca="false">IF(N(RAIDLog[[#This Row],[Task UID]])=0,"",IFERROR(INDEX(tsk_FcFinish,MATCH(RAIDLog[[#This Row],[Task UID]],tsk_UID,0)),""))</f>
        <v/>
      </c>
      <c r="Q87" s="47"/>
      <c r="R87" s="47"/>
      <c r="S87" s="32" t="str">
        <f aca="false">IF(RAIDLog[[#This Row],[Title]]="","",RAIDLog[[#This Row],[Type]]&amp;" "&amp;RAIDLog[[#This Row],[Ref]]&amp;": "&amp;RAIDLog[[#This Row],[Title]])</f>
        <v/>
      </c>
      <c r="T87" s="32" t="str">
        <f aca="false">IF(AND(NOT(RAIDLog[[#This Row],[Title]]=""),RAIDLog[[#This Row],[Status]]&lt;&gt;"Closed"),RAIDLog[[#This Row],[Score]]+1-(ROW()-ROW(RAIDLog[[#Headers],[Ref]]))/100000,"")</f>
        <v/>
      </c>
    </row>
    <row r="88" customFormat="false" ht="15" hidden="false" customHeight="false" outlineLevel="0" collapsed="false">
      <c r="B88" s="46" t="n">
        <v>84</v>
      </c>
      <c r="C88" s="47"/>
      <c r="D88" s="47"/>
      <c r="E88" s="47"/>
      <c r="F88" s="88"/>
      <c r="G88" s="88"/>
      <c r="H88" s="46"/>
      <c r="I88" s="46"/>
      <c r="J88" s="46"/>
      <c r="K88" s="56" t="str">
        <f aca="false">IF(RAIDLog[[#This Row],[Title]]="","",IF(RAIDLog[[#This Row],[Type]]="Issue",5,N(RAIDLog[[#This Row],[Probability]]))*N(RAIDLog[[#This Row],[Impact]]))</f>
        <v/>
      </c>
      <c r="L88" s="45" t="str">
        <f aca="false">IF(RAIDLog[[#This Row],[Title]]="","",IF(RAIDLog[[#This Row],[Score]]&gt;=RAIDHighScore,"High",IF(RAIDLog[[#This Row],[Score]]&gt;=RAIDMediumScore,"Medium","Low")))</f>
        <v/>
      </c>
      <c r="M88" s="45" t="str">
        <f aca="false">IF(OR(RAIDLog[[#This Row],[Title]]="",N(RAIDLog[[#This Row],[Due]])=0),"",IF(AND(RAIDLog[[#This Row],[Status]]&lt;&gt;"Closed",RAIDLog[[#This Row],[Due]]&lt;StatusDate),"Overdue",""))</f>
        <v/>
      </c>
      <c r="N88" s="46"/>
      <c r="O88" s="24" t="str">
        <f aca="false">IF(N(RAIDLog[[#This Row],[Task UID]])=0,"",IFERROR(INDEX(tsk_Name,MATCH(RAIDLog[[#This Row],[Task UID]],tsk_UID,0)),"UID "&amp;RAIDLog[[#This Row],[Task UID]]&amp;" not found"))</f>
        <v/>
      </c>
      <c r="P88" s="25" t="str">
        <f aca="false">IF(N(RAIDLog[[#This Row],[Task UID]])=0,"",IFERROR(INDEX(tsk_FcFinish,MATCH(RAIDLog[[#This Row],[Task UID]],tsk_UID,0)),""))</f>
        <v/>
      </c>
      <c r="Q88" s="47"/>
      <c r="R88" s="47"/>
      <c r="S88" s="32" t="str">
        <f aca="false">IF(RAIDLog[[#This Row],[Title]]="","",RAIDLog[[#This Row],[Type]]&amp;" "&amp;RAIDLog[[#This Row],[Ref]]&amp;": "&amp;RAIDLog[[#This Row],[Title]])</f>
        <v/>
      </c>
      <c r="T88" s="32" t="str">
        <f aca="false">IF(AND(NOT(RAIDLog[[#This Row],[Title]]=""),RAIDLog[[#This Row],[Status]]&lt;&gt;"Closed"),RAIDLog[[#This Row],[Score]]+1-(ROW()-ROW(RAIDLog[[#Headers],[Ref]]))/100000,"")</f>
        <v/>
      </c>
    </row>
    <row r="89" customFormat="false" ht="15" hidden="false" customHeight="false" outlineLevel="0" collapsed="false">
      <c r="B89" s="46" t="n">
        <v>85</v>
      </c>
      <c r="C89" s="47"/>
      <c r="D89" s="47"/>
      <c r="E89" s="47"/>
      <c r="F89" s="88"/>
      <c r="G89" s="88"/>
      <c r="H89" s="46"/>
      <c r="I89" s="46"/>
      <c r="J89" s="46"/>
      <c r="K89" s="56" t="str">
        <f aca="false">IF(RAIDLog[[#This Row],[Title]]="","",IF(RAIDLog[[#This Row],[Type]]="Issue",5,N(RAIDLog[[#This Row],[Probability]]))*N(RAIDLog[[#This Row],[Impact]]))</f>
        <v/>
      </c>
      <c r="L89" s="45" t="str">
        <f aca="false">IF(RAIDLog[[#This Row],[Title]]="","",IF(RAIDLog[[#This Row],[Score]]&gt;=RAIDHighScore,"High",IF(RAIDLog[[#This Row],[Score]]&gt;=RAIDMediumScore,"Medium","Low")))</f>
        <v/>
      </c>
      <c r="M89" s="45" t="str">
        <f aca="false">IF(OR(RAIDLog[[#This Row],[Title]]="",N(RAIDLog[[#This Row],[Due]])=0),"",IF(AND(RAIDLog[[#This Row],[Status]]&lt;&gt;"Closed",RAIDLog[[#This Row],[Due]]&lt;StatusDate),"Overdue",""))</f>
        <v/>
      </c>
      <c r="N89" s="46"/>
      <c r="O89" s="24" t="str">
        <f aca="false">IF(N(RAIDLog[[#This Row],[Task UID]])=0,"",IFERROR(INDEX(tsk_Name,MATCH(RAIDLog[[#This Row],[Task UID]],tsk_UID,0)),"UID "&amp;RAIDLog[[#This Row],[Task UID]]&amp;" not found"))</f>
        <v/>
      </c>
      <c r="P89" s="25" t="str">
        <f aca="false">IF(N(RAIDLog[[#This Row],[Task UID]])=0,"",IFERROR(INDEX(tsk_FcFinish,MATCH(RAIDLog[[#This Row],[Task UID]],tsk_UID,0)),""))</f>
        <v/>
      </c>
      <c r="Q89" s="47"/>
      <c r="R89" s="47"/>
      <c r="S89" s="32" t="str">
        <f aca="false">IF(RAIDLog[[#This Row],[Title]]="","",RAIDLog[[#This Row],[Type]]&amp;" "&amp;RAIDLog[[#This Row],[Ref]]&amp;": "&amp;RAIDLog[[#This Row],[Title]])</f>
        <v/>
      </c>
      <c r="T89" s="32" t="str">
        <f aca="false">IF(AND(NOT(RAIDLog[[#This Row],[Title]]=""),RAIDLog[[#This Row],[Status]]&lt;&gt;"Closed"),RAIDLog[[#This Row],[Score]]+1-(ROW()-ROW(RAIDLog[[#Headers],[Ref]]))/100000,"")</f>
        <v/>
      </c>
    </row>
    <row r="90" customFormat="false" ht="15" hidden="false" customHeight="false" outlineLevel="0" collapsed="false">
      <c r="B90" s="46" t="n">
        <v>86</v>
      </c>
      <c r="C90" s="47"/>
      <c r="D90" s="47"/>
      <c r="E90" s="47"/>
      <c r="F90" s="88"/>
      <c r="G90" s="88"/>
      <c r="H90" s="46"/>
      <c r="I90" s="46"/>
      <c r="J90" s="46"/>
      <c r="K90" s="56" t="str">
        <f aca="false">IF(RAIDLog[[#This Row],[Title]]="","",IF(RAIDLog[[#This Row],[Type]]="Issue",5,N(RAIDLog[[#This Row],[Probability]]))*N(RAIDLog[[#This Row],[Impact]]))</f>
        <v/>
      </c>
      <c r="L90" s="45" t="str">
        <f aca="false">IF(RAIDLog[[#This Row],[Title]]="","",IF(RAIDLog[[#This Row],[Score]]&gt;=RAIDHighScore,"High",IF(RAIDLog[[#This Row],[Score]]&gt;=RAIDMediumScore,"Medium","Low")))</f>
        <v/>
      </c>
      <c r="M90" s="45" t="str">
        <f aca="false">IF(OR(RAIDLog[[#This Row],[Title]]="",N(RAIDLog[[#This Row],[Due]])=0),"",IF(AND(RAIDLog[[#This Row],[Status]]&lt;&gt;"Closed",RAIDLog[[#This Row],[Due]]&lt;StatusDate),"Overdue",""))</f>
        <v/>
      </c>
      <c r="N90" s="46"/>
      <c r="O90" s="24" t="str">
        <f aca="false">IF(N(RAIDLog[[#This Row],[Task UID]])=0,"",IFERROR(INDEX(tsk_Name,MATCH(RAIDLog[[#This Row],[Task UID]],tsk_UID,0)),"UID "&amp;RAIDLog[[#This Row],[Task UID]]&amp;" not found"))</f>
        <v/>
      </c>
      <c r="P90" s="25" t="str">
        <f aca="false">IF(N(RAIDLog[[#This Row],[Task UID]])=0,"",IFERROR(INDEX(tsk_FcFinish,MATCH(RAIDLog[[#This Row],[Task UID]],tsk_UID,0)),""))</f>
        <v/>
      </c>
      <c r="Q90" s="47"/>
      <c r="R90" s="47"/>
      <c r="S90" s="32" t="str">
        <f aca="false">IF(RAIDLog[[#This Row],[Title]]="","",RAIDLog[[#This Row],[Type]]&amp;" "&amp;RAIDLog[[#This Row],[Ref]]&amp;": "&amp;RAIDLog[[#This Row],[Title]])</f>
        <v/>
      </c>
      <c r="T90" s="32" t="str">
        <f aca="false">IF(AND(NOT(RAIDLog[[#This Row],[Title]]=""),RAIDLog[[#This Row],[Status]]&lt;&gt;"Closed"),RAIDLog[[#This Row],[Score]]+1-(ROW()-ROW(RAIDLog[[#Headers],[Ref]]))/100000,"")</f>
        <v/>
      </c>
    </row>
    <row r="91" customFormat="false" ht="15" hidden="false" customHeight="false" outlineLevel="0" collapsed="false">
      <c r="B91" s="46" t="n">
        <v>87</v>
      </c>
      <c r="C91" s="47"/>
      <c r="D91" s="47"/>
      <c r="E91" s="47"/>
      <c r="F91" s="88"/>
      <c r="G91" s="88"/>
      <c r="H91" s="46"/>
      <c r="I91" s="46"/>
      <c r="J91" s="46"/>
      <c r="K91" s="56" t="str">
        <f aca="false">IF(RAIDLog[[#This Row],[Title]]="","",IF(RAIDLog[[#This Row],[Type]]="Issue",5,N(RAIDLog[[#This Row],[Probability]]))*N(RAIDLog[[#This Row],[Impact]]))</f>
        <v/>
      </c>
      <c r="L91" s="45" t="str">
        <f aca="false">IF(RAIDLog[[#This Row],[Title]]="","",IF(RAIDLog[[#This Row],[Score]]&gt;=RAIDHighScore,"High",IF(RAIDLog[[#This Row],[Score]]&gt;=RAIDMediumScore,"Medium","Low")))</f>
        <v/>
      </c>
      <c r="M91" s="45" t="str">
        <f aca="false">IF(OR(RAIDLog[[#This Row],[Title]]="",N(RAIDLog[[#This Row],[Due]])=0),"",IF(AND(RAIDLog[[#This Row],[Status]]&lt;&gt;"Closed",RAIDLog[[#This Row],[Due]]&lt;StatusDate),"Overdue",""))</f>
        <v/>
      </c>
      <c r="N91" s="46"/>
      <c r="O91" s="24" t="str">
        <f aca="false">IF(N(RAIDLog[[#This Row],[Task UID]])=0,"",IFERROR(INDEX(tsk_Name,MATCH(RAIDLog[[#This Row],[Task UID]],tsk_UID,0)),"UID "&amp;RAIDLog[[#This Row],[Task UID]]&amp;" not found"))</f>
        <v/>
      </c>
      <c r="P91" s="25" t="str">
        <f aca="false">IF(N(RAIDLog[[#This Row],[Task UID]])=0,"",IFERROR(INDEX(tsk_FcFinish,MATCH(RAIDLog[[#This Row],[Task UID]],tsk_UID,0)),""))</f>
        <v/>
      </c>
      <c r="Q91" s="47"/>
      <c r="R91" s="47"/>
      <c r="S91" s="32" t="str">
        <f aca="false">IF(RAIDLog[[#This Row],[Title]]="","",RAIDLog[[#This Row],[Type]]&amp;" "&amp;RAIDLog[[#This Row],[Ref]]&amp;": "&amp;RAIDLog[[#This Row],[Title]])</f>
        <v/>
      </c>
      <c r="T91" s="32" t="str">
        <f aca="false">IF(AND(NOT(RAIDLog[[#This Row],[Title]]=""),RAIDLog[[#This Row],[Status]]&lt;&gt;"Closed"),RAIDLog[[#This Row],[Score]]+1-(ROW()-ROW(RAIDLog[[#Headers],[Ref]]))/100000,"")</f>
        <v/>
      </c>
    </row>
    <row r="92" customFormat="false" ht="15" hidden="false" customHeight="false" outlineLevel="0" collapsed="false">
      <c r="B92" s="46" t="n">
        <v>88</v>
      </c>
      <c r="C92" s="47"/>
      <c r="D92" s="47"/>
      <c r="E92" s="47"/>
      <c r="F92" s="88"/>
      <c r="G92" s="88"/>
      <c r="H92" s="46"/>
      <c r="I92" s="46"/>
      <c r="J92" s="46"/>
      <c r="K92" s="56" t="str">
        <f aca="false">IF(RAIDLog[[#This Row],[Title]]="","",IF(RAIDLog[[#This Row],[Type]]="Issue",5,N(RAIDLog[[#This Row],[Probability]]))*N(RAIDLog[[#This Row],[Impact]]))</f>
        <v/>
      </c>
      <c r="L92" s="45" t="str">
        <f aca="false">IF(RAIDLog[[#This Row],[Title]]="","",IF(RAIDLog[[#This Row],[Score]]&gt;=RAIDHighScore,"High",IF(RAIDLog[[#This Row],[Score]]&gt;=RAIDMediumScore,"Medium","Low")))</f>
        <v/>
      </c>
      <c r="M92" s="45" t="str">
        <f aca="false">IF(OR(RAIDLog[[#This Row],[Title]]="",N(RAIDLog[[#This Row],[Due]])=0),"",IF(AND(RAIDLog[[#This Row],[Status]]&lt;&gt;"Closed",RAIDLog[[#This Row],[Due]]&lt;StatusDate),"Overdue",""))</f>
        <v/>
      </c>
      <c r="N92" s="46"/>
      <c r="O92" s="24" t="str">
        <f aca="false">IF(N(RAIDLog[[#This Row],[Task UID]])=0,"",IFERROR(INDEX(tsk_Name,MATCH(RAIDLog[[#This Row],[Task UID]],tsk_UID,0)),"UID "&amp;RAIDLog[[#This Row],[Task UID]]&amp;" not found"))</f>
        <v/>
      </c>
      <c r="P92" s="25" t="str">
        <f aca="false">IF(N(RAIDLog[[#This Row],[Task UID]])=0,"",IFERROR(INDEX(tsk_FcFinish,MATCH(RAIDLog[[#This Row],[Task UID]],tsk_UID,0)),""))</f>
        <v/>
      </c>
      <c r="Q92" s="47"/>
      <c r="R92" s="47"/>
      <c r="S92" s="32" t="str">
        <f aca="false">IF(RAIDLog[[#This Row],[Title]]="","",RAIDLog[[#This Row],[Type]]&amp;" "&amp;RAIDLog[[#This Row],[Ref]]&amp;": "&amp;RAIDLog[[#This Row],[Title]])</f>
        <v/>
      </c>
      <c r="T92" s="32" t="str">
        <f aca="false">IF(AND(NOT(RAIDLog[[#This Row],[Title]]=""),RAIDLog[[#This Row],[Status]]&lt;&gt;"Closed"),RAIDLog[[#This Row],[Score]]+1-(ROW()-ROW(RAIDLog[[#Headers],[Ref]]))/100000,"")</f>
        <v/>
      </c>
    </row>
    <row r="93" customFormat="false" ht="15" hidden="false" customHeight="false" outlineLevel="0" collapsed="false">
      <c r="B93" s="46" t="n">
        <v>89</v>
      </c>
      <c r="C93" s="47"/>
      <c r="D93" s="47"/>
      <c r="E93" s="47"/>
      <c r="F93" s="88"/>
      <c r="G93" s="88"/>
      <c r="H93" s="46"/>
      <c r="I93" s="46"/>
      <c r="J93" s="46"/>
      <c r="K93" s="56" t="str">
        <f aca="false">IF(RAIDLog[[#This Row],[Title]]="","",IF(RAIDLog[[#This Row],[Type]]="Issue",5,N(RAIDLog[[#This Row],[Probability]]))*N(RAIDLog[[#This Row],[Impact]]))</f>
        <v/>
      </c>
      <c r="L93" s="45" t="str">
        <f aca="false">IF(RAIDLog[[#This Row],[Title]]="","",IF(RAIDLog[[#This Row],[Score]]&gt;=RAIDHighScore,"High",IF(RAIDLog[[#This Row],[Score]]&gt;=RAIDMediumScore,"Medium","Low")))</f>
        <v/>
      </c>
      <c r="M93" s="45" t="str">
        <f aca="false">IF(OR(RAIDLog[[#This Row],[Title]]="",N(RAIDLog[[#This Row],[Due]])=0),"",IF(AND(RAIDLog[[#This Row],[Status]]&lt;&gt;"Closed",RAIDLog[[#This Row],[Due]]&lt;StatusDate),"Overdue",""))</f>
        <v/>
      </c>
      <c r="N93" s="46"/>
      <c r="O93" s="24" t="str">
        <f aca="false">IF(N(RAIDLog[[#This Row],[Task UID]])=0,"",IFERROR(INDEX(tsk_Name,MATCH(RAIDLog[[#This Row],[Task UID]],tsk_UID,0)),"UID "&amp;RAIDLog[[#This Row],[Task UID]]&amp;" not found"))</f>
        <v/>
      </c>
      <c r="P93" s="25" t="str">
        <f aca="false">IF(N(RAIDLog[[#This Row],[Task UID]])=0,"",IFERROR(INDEX(tsk_FcFinish,MATCH(RAIDLog[[#This Row],[Task UID]],tsk_UID,0)),""))</f>
        <v/>
      </c>
      <c r="Q93" s="47"/>
      <c r="R93" s="47"/>
      <c r="S93" s="32" t="str">
        <f aca="false">IF(RAIDLog[[#This Row],[Title]]="","",RAIDLog[[#This Row],[Type]]&amp;" "&amp;RAIDLog[[#This Row],[Ref]]&amp;": "&amp;RAIDLog[[#This Row],[Title]])</f>
        <v/>
      </c>
      <c r="T93" s="32" t="str">
        <f aca="false">IF(AND(NOT(RAIDLog[[#This Row],[Title]]=""),RAIDLog[[#This Row],[Status]]&lt;&gt;"Closed"),RAIDLog[[#This Row],[Score]]+1-(ROW()-ROW(RAIDLog[[#Headers],[Ref]]))/100000,"")</f>
        <v/>
      </c>
    </row>
    <row r="94" customFormat="false" ht="15" hidden="false" customHeight="false" outlineLevel="0" collapsed="false">
      <c r="B94" s="46" t="n">
        <v>90</v>
      </c>
      <c r="C94" s="47"/>
      <c r="D94" s="47"/>
      <c r="E94" s="47"/>
      <c r="F94" s="88"/>
      <c r="G94" s="88"/>
      <c r="H94" s="46"/>
      <c r="I94" s="46"/>
      <c r="J94" s="46"/>
      <c r="K94" s="56" t="str">
        <f aca="false">IF(RAIDLog[[#This Row],[Title]]="","",IF(RAIDLog[[#This Row],[Type]]="Issue",5,N(RAIDLog[[#This Row],[Probability]]))*N(RAIDLog[[#This Row],[Impact]]))</f>
        <v/>
      </c>
      <c r="L94" s="45" t="str">
        <f aca="false">IF(RAIDLog[[#This Row],[Title]]="","",IF(RAIDLog[[#This Row],[Score]]&gt;=RAIDHighScore,"High",IF(RAIDLog[[#This Row],[Score]]&gt;=RAIDMediumScore,"Medium","Low")))</f>
        <v/>
      </c>
      <c r="M94" s="45" t="str">
        <f aca="false">IF(OR(RAIDLog[[#This Row],[Title]]="",N(RAIDLog[[#This Row],[Due]])=0),"",IF(AND(RAIDLog[[#This Row],[Status]]&lt;&gt;"Closed",RAIDLog[[#This Row],[Due]]&lt;StatusDate),"Overdue",""))</f>
        <v/>
      </c>
      <c r="N94" s="46"/>
      <c r="O94" s="24" t="str">
        <f aca="false">IF(N(RAIDLog[[#This Row],[Task UID]])=0,"",IFERROR(INDEX(tsk_Name,MATCH(RAIDLog[[#This Row],[Task UID]],tsk_UID,0)),"UID "&amp;RAIDLog[[#This Row],[Task UID]]&amp;" not found"))</f>
        <v/>
      </c>
      <c r="P94" s="25" t="str">
        <f aca="false">IF(N(RAIDLog[[#This Row],[Task UID]])=0,"",IFERROR(INDEX(tsk_FcFinish,MATCH(RAIDLog[[#This Row],[Task UID]],tsk_UID,0)),""))</f>
        <v/>
      </c>
      <c r="Q94" s="47"/>
      <c r="R94" s="47"/>
      <c r="S94" s="32" t="str">
        <f aca="false">IF(RAIDLog[[#This Row],[Title]]="","",RAIDLog[[#This Row],[Type]]&amp;" "&amp;RAIDLog[[#This Row],[Ref]]&amp;": "&amp;RAIDLog[[#This Row],[Title]])</f>
        <v/>
      </c>
      <c r="T94" s="32" t="str">
        <f aca="false">IF(AND(NOT(RAIDLog[[#This Row],[Title]]=""),RAIDLog[[#This Row],[Status]]&lt;&gt;"Closed"),RAIDLog[[#This Row],[Score]]+1-(ROW()-ROW(RAIDLog[[#Headers],[Ref]]))/100000,"")</f>
        <v/>
      </c>
    </row>
    <row r="95" customFormat="false" ht="15" hidden="false" customHeight="false" outlineLevel="0" collapsed="false">
      <c r="B95" s="46" t="n">
        <v>91</v>
      </c>
      <c r="C95" s="47"/>
      <c r="D95" s="47"/>
      <c r="E95" s="47"/>
      <c r="F95" s="88"/>
      <c r="G95" s="88"/>
      <c r="H95" s="46"/>
      <c r="I95" s="46"/>
      <c r="J95" s="46"/>
      <c r="K95" s="56" t="str">
        <f aca="false">IF(RAIDLog[[#This Row],[Title]]="","",IF(RAIDLog[[#This Row],[Type]]="Issue",5,N(RAIDLog[[#This Row],[Probability]]))*N(RAIDLog[[#This Row],[Impact]]))</f>
        <v/>
      </c>
      <c r="L95" s="45" t="str">
        <f aca="false">IF(RAIDLog[[#This Row],[Title]]="","",IF(RAIDLog[[#This Row],[Score]]&gt;=RAIDHighScore,"High",IF(RAIDLog[[#This Row],[Score]]&gt;=RAIDMediumScore,"Medium","Low")))</f>
        <v/>
      </c>
      <c r="M95" s="45" t="str">
        <f aca="false">IF(OR(RAIDLog[[#This Row],[Title]]="",N(RAIDLog[[#This Row],[Due]])=0),"",IF(AND(RAIDLog[[#This Row],[Status]]&lt;&gt;"Closed",RAIDLog[[#This Row],[Due]]&lt;StatusDate),"Overdue",""))</f>
        <v/>
      </c>
      <c r="N95" s="46"/>
      <c r="O95" s="24" t="str">
        <f aca="false">IF(N(RAIDLog[[#This Row],[Task UID]])=0,"",IFERROR(INDEX(tsk_Name,MATCH(RAIDLog[[#This Row],[Task UID]],tsk_UID,0)),"UID "&amp;RAIDLog[[#This Row],[Task UID]]&amp;" not found"))</f>
        <v/>
      </c>
      <c r="P95" s="25" t="str">
        <f aca="false">IF(N(RAIDLog[[#This Row],[Task UID]])=0,"",IFERROR(INDEX(tsk_FcFinish,MATCH(RAIDLog[[#This Row],[Task UID]],tsk_UID,0)),""))</f>
        <v/>
      </c>
      <c r="Q95" s="47"/>
      <c r="R95" s="47"/>
      <c r="S95" s="32" t="str">
        <f aca="false">IF(RAIDLog[[#This Row],[Title]]="","",RAIDLog[[#This Row],[Type]]&amp;" "&amp;RAIDLog[[#This Row],[Ref]]&amp;": "&amp;RAIDLog[[#This Row],[Title]])</f>
        <v/>
      </c>
      <c r="T95" s="32" t="str">
        <f aca="false">IF(AND(NOT(RAIDLog[[#This Row],[Title]]=""),RAIDLog[[#This Row],[Status]]&lt;&gt;"Closed"),RAIDLog[[#This Row],[Score]]+1-(ROW()-ROW(RAIDLog[[#Headers],[Ref]]))/100000,"")</f>
        <v/>
      </c>
    </row>
    <row r="96" customFormat="false" ht="15" hidden="false" customHeight="false" outlineLevel="0" collapsed="false">
      <c r="B96" s="46" t="n">
        <v>92</v>
      </c>
      <c r="C96" s="47"/>
      <c r="D96" s="47"/>
      <c r="E96" s="47"/>
      <c r="F96" s="88"/>
      <c r="G96" s="88"/>
      <c r="H96" s="46"/>
      <c r="I96" s="46"/>
      <c r="J96" s="46"/>
      <c r="K96" s="56" t="str">
        <f aca="false">IF(RAIDLog[[#This Row],[Title]]="","",IF(RAIDLog[[#This Row],[Type]]="Issue",5,N(RAIDLog[[#This Row],[Probability]]))*N(RAIDLog[[#This Row],[Impact]]))</f>
        <v/>
      </c>
      <c r="L96" s="45" t="str">
        <f aca="false">IF(RAIDLog[[#This Row],[Title]]="","",IF(RAIDLog[[#This Row],[Score]]&gt;=RAIDHighScore,"High",IF(RAIDLog[[#This Row],[Score]]&gt;=RAIDMediumScore,"Medium","Low")))</f>
        <v/>
      </c>
      <c r="M96" s="45" t="str">
        <f aca="false">IF(OR(RAIDLog[[#This Row],[Title]]="",N(RAIDLog[[#This Row],[Due]])=0),"",IF(AND(RAIDLog[[#This Row],[Status]]&lt;&gt;"Closed",RAIDLog[[#This Row],[Due]]&lt;StatusDate),"Overdue",""))</f>
        <v/>
      </c>
      <c r="N96" s="46"/>
      <c r="O96" s="24" t="str">
        <f aca="false">IF(N(RAIDLog[[#This Row],[Task UID]])=0,"",IFERROR(INDEX(tsk_Name,MATCH(RAIDLog[[#This Row],[Task UID]],tsk_UID,0)),"UID "&amp;RAIDLog[[#This Row],[Task UID]]&amp;" not found"))</f>
        <v/>
      </c>
      <c r="P96" s="25" t="str">
        <f aca="false">IF(N(RAIDLog[[#This Row],[Task UID]])=0,"",IFERROR(INDEX(tsk_FcFinish,MATCH(RAIDLog[[#This Row],[Task UID]],tsk_UID,0)),""))</f>
        <v/>
      </c>
      <c r="Q96" s="47"/>
      <c r="R96" s="47"/>
      <c r="S96" s="32" t="str">
        <f aca="false">IF(RAIDLog[[#This Row],[Title]]="","",RAIDLog[[#This Row],[Type]]&amp;" "&amp;RAIDLog[[#This Row],[Ref]]&amp;": "&amp;RAIDLog[[#This Row],[Title]])</f>
        <v/>
      </c>
      <c r="T96" s="32" t="str">
        <f aca="false">IF(AND(NOT(RAIDLog[[#This Row],[Title]]=""),RAIDLog[[#This Row],[Status]]&lt;&gt;"Closed"),RAIDLog[[#This Row],[Score]]+1-(ROW()-ROW(RAIDLog[[#Headers],[Ref]]))/100000,"")</f>
        <v/>
      </c>
    </row>
    <row r="97" customFormat="false" ht="15" hidden="false" customHeight="false" outlineLevel="0" collapsed="false">
      <c r="B97" s="46" t="n">
        <v>93</v>
      </c>
      <c r="C97" s="47"/>
      <c r="D97" s="47"/>
      <c r="E97" s="47"/>
      <c r="F97" s="88"/>
      <c r="G97" s="88"/>
      <c r="H97" s="46"/>
      <c r="I97" s="46"/>
      <c r="J97" s="46"/>
      <c r="K97" s="56" t="str">
        <f aca="false">IF(RAIDLog[[#This Row],[Title]]="","",IF(RAIDLog[[#This Row],[Type]]="Issue",5,N(RAIDLog[[#This Row],[Probability]]))*N(RAIDLog[[#This Row],[Impact]]))</f>
        <v/>
      </c>
      <c r="L97" s="45" t="str">
        <f aca="false">IF(RAIDLog[[#This Row],[Title]]="","",IF(RAIDLog[[#This Row],[Score]]&gt;=RAIDHighScore,"High",IF(RAIDLog[[#This Row],[Score]]&gt;=RAIDMediumScore,"Medium","Low")))</f>
        <v/>
      </c>
      <c r="M97" s="45" t="str">
        <f aca="false">IF(OR(RAIDLog[[#This Row],[Title]]="",N(RAIDLog[[#This Row],[Due]])=0),"",IF(AND(RAIDLog[[#This Row],[Status]]&lt;&gt;"Closed",RAIDLog[[#This Row],[Due]]&lt;StatusDate),"Overdue",""))</f>
        <v/>
      </c>
      <c r="N97" s="46"/>
      <c r="O97" s="24" t="str">
        <f aca="false">IF(N(RAIDLog[[#This Row],[Task UID]])=0,"",IFERROR(INDEX(tsk_Name,MATCH(RAIDLog[[#This Row],[Task UID]],tsk_UID,0)),"UID "&amp;RAIDLog[[#This Row],[Task UID]]&amp;" not found"))</f>
        <v/>
      </c>
      <c r="P97" s="25" t="str">
        <f aca="false">IF(N(RAIDLog[[#This Row],[Task UID]])=0,"",IFERROR(INDEX(tsk_FcFinish,MATCH(RAIDLog[[#This Row],[Task UID]],tsk_UID,0)),""))</f>
        <v/>
      </c>
      <c r="Q97" s="47"/>
      <c r="R97" s="47"/>
      <c r="S97" s="32" t="str">
        <f aca="false">IF(RAIDLog[[#This Row],[Title]]="","",RAIDLog[[#This Row],[Type]]&amp;" "&amp;RAIDLog[[#This Row],[Ref]]&amp;": "&amp;RAIDLog[[#This Row],[Title]])</f>
        <v/>
      </c>
      <c r="T97" s="32" t="str">
        <f aca="false">IF(AND(NOT(RAIDLog[[#This Row],[Title]]=""),RAIDLog[[#This Row],[Status]]&lt;&gt;"Closed"),RAIDLog[[#This Row],[Score]]+1-(ROW()-ROW(RAIDLog[[#Headers],[Ref]]))/100000,"")</f>
        <v/>
      </c>
    </row>
    <row r="98" customFormat="false" ht="15" hidden="false" customHeight="false" outlineLevel="0" collapsed="false">
      <c r="B98" s="46" t="n">
        <v>94</v>
      </c>
      <c r="C98" s="47"/>
      <c r="D98" s="47"/>
      <c r="E98" s="47"/>
      <c r="F98" s="88"/>
      <c r="G98" s="88"/>
      <c r="H98" s="46"/>
      <c r="I98" s="46"/>
      <c r="J98" s="46"/>
      <c r="K98" s="56" t="str">
        <f aca="false">IF(RAIDLog[[#This Row],[Title]]="","",IF(RAIDLog[[#This Row],[Type]]="Issue",5,N(RAIDLog[[#This Row],[Probability]]))*N(RAIDLog[[#This Row],[Impact]]))</f>
        <v/>
      </c>
      <c r="L98" s="45" t="str">
        <f aca="false">IF(RAIDLog[[#This Row],[Title]]="","",IF(RAIDLog[[#This Row],[Score]]&gt;=RAIDHighScore,"High",IF(RAIDLog[[#This Row],[Score]]&gt;=RAIDMediumScore,"Medium","Low")))</f>
        <v/>
      </c>
      <c r="M98" s="45" t="str">
        <f aca="false">IF(OR(RAIDLog[[#This Row],[Title]]="",N(RAIDLog[[#This Row],[Due]])=0),"",IF(AND(RAIDLog[[#This Row],[Status]]&lt;&gt;"Closed",RAIDLog[[#This Row],[Due]]&lt;StatusDate),"Overdue",""))</f>
        <v/>
      </c>
      <c r="N98" s="46"/>
      <c r="O98" s="24" t="str">
        <f aca="false">IF(N(RAIDLog[[#This Row],[Task UID]])=0,"",IFERROR(INDEX(tsk_Name,MATCH(RAIDLog[[#This Row],[Task UID]],tsk_UID,0)),"UID "&amp;RAIDLog[[#This Row],[Task UID]]&amp;" not found"))</f>
        <v/>
      </c>
      <c r="P98" s="25" t="str">
        <f aca="false">IF(N(RAIDLog[[#This Row],[Task UID]])=0,"",IFERROR(INDEX(tsk_FcFinish,MATCH(RAIDLog[[#This Row],[Task UID]],tsk_UID,0)),""))</f>
        <v/>
      </c>
      <c r="Q98" s="47"/>
      <c r="R98" s="47"/>
      <c r="S98" s="32" t="str">
        <f aca="false">IF(RAIDLog[[#This Row],[Title]]="","",RAIDLog[[#This Row],[Type]]&amp;" "&amp;RAIDLog[[#This Row],[Ref]]&amp;": "&amp;RAIDLog[[#This Row],[Title]])</f>
        <v/>
      </c>
      <c r="T98" s="32" t="str">
        <f aca="false">IF(AND(NOT(RAIDLog[[#This Row],[Title]]=""),RAIDLog[[#This Row],[Status]]&lt;&gt;"Closed"),RAIDLog[[#This Row],[Score]]+1-(ROW()-ROW(RAIDLog[[#Headers],[Ref]]))/100000,"")</f>
        <v/>
      </c>
    </row>
    <row r="99" customFormat="false" ht="15" hidden="false" customHeight="false" outlineLevel="0" collapsed="false">
      <c r="B99" s="46" t="n">
        <v>95</v>
      </c>
      <c r="C99" s="47"/>
      <c r="D99" s="47"/>
      <c r="E99" s="47"/>
      <c r="F99" s="88"/>
      <c r="G99" s="88"/>
      <c r="H99" s="46"/>
      <c r="I99" s="46"/>
      <c r="J99" s="46"/>
      <c r="K99" s="56" t="str">
        <f aca="false">IF(RAIDLog[[#This Row],[Title]]="","",IF(RAIDLog[[#This Row],[Type]]="Issue",5,N(RAIDLog[[#This Row],[Probability]]))*N(RAIDLog[[#This Row],[Impact]]))</f>
        <v/>
      </c>
      <c r="L99" s="45" t="str">
        <f aca="false">IF(RAIDLog[[#This Row],[Title]]="","",IF(RAIDLog[[#This Row],[Score]]&gt;=RAIDHighScore,"High",IF(RAIDLog[[#This Row],[Score]]&gt;=RAIDMediumScore,"Medium","Low")))</f>
        <v/>
      </c>
      <c r="M99" s="45" t="str">
        <f aca="false">IF(OR(RAIDLog[[#This Row],[Title]]="",N(RAIDLog[[#This Row],[Due]])=0),"",IF(AND(RAIDLog[[#This Row],[Status]]&lt;&gt;"Closed",RAIDLog[[#This Row],[Due]]&lt;StatusDate),"Overdue",""))</f>
        <v/>
      </c>
      <c r="N99" s="46"/>
      <c r="O99" s="24" t="str">
        <f aca="false">IF(N(RAIDLog[[#This Row],[Task UID]])=0,"",IFERROR(INDEX(tsk_Name,MATCH(RAIDLog[[#This Row],[Task UID]],tsk_UID,0)),"UID "&amp;RAIDLog[[#This Row],[Task UID]]&amp;" not found"))</f>
        <v/>
      </c>
      <c r="P99" s="25" t="str">
        <f aca="false">IF(N(RAIDLog[[#This Row],[Task UID]])=0,"",IFERROR(INDEX(tsk_FcFinish,MATCH(RAIDLog[[#This Row],[Task UID]],tsk_UID,0)),""))</f>
        <v/>
      </c>
      <c r="Q99" s="47"/>
      <c r="R99" s="47"/>
      <c r="S99" s="32" t="str">
        <f aca="false">IF(RAIDLog[[#This Row],[Title]]="","",RAIDLog[[#This Row],[Type]]&amp;" "&amp;RAIDLog[[#This Row],[Ref]]&amp;": "&amp;RAIDLog[[#This Row],[Title]])</f>
        <v/>
      </c>
      <c r="T99" s="32" t="str">
        <f aca="false">IF(AND(NOT(RAIDLog[[#This Row],[Title]]=""),RAIDLog[[#This Row],[Status]]&lt;&gt;"Closed"),RAIDLog[[#This Row],[Score]]+1-(ROW()-ROW(RAIDLog[[#Headers],[Ref]]))/100000,"")</f>
        <v/>
      </c>
    </row>
    <row r="100" customFormat="false" ht="15" hidden="false" customHeight="false" outlineLevel="0" collapsed="false">
      <c r="B100" s="46" t="n">
        <v>96</v>
      </c>
      <c r="C100" s="47"/>
      <c r="D100" s="47"/>
      <c r="E100" s="47"/>
      <c r="F100" s="88"/>
      <c r="G100" s="88"/>
      <c r="H100" s="46"/>
      <c r="I100" s="46"/>
      <c r="J100" s="46"/>
      <c r="K100" s="56" t="str">
        <f aca="false">IF(RAIDLog[[#This Row],[Title]]="","",IF(RAIDLog[[#This Row],[Type]]="Issue",5,N(RAIDLog[[#This Row],[Probability]]))*N(RAIDLog[[#This Row],[Impact]]))</f>
        <v/>
      </c>
      <c r="L100" s="45" t="str">
        <f aca="false">IF(RAIDLog[[#This Row],[Title]]="","",IF(RAIDLog[[#This Row],[Score]]&gt;=RAIDHighScore,"High",IF(RAIDLog[[#This Row],[Score]]&gt;=RAIDMediumScore,"Medium","Low")))</f>
        <v/>
      </c>
      <c r="M100" s="45" t="str">
        <f aca="false">IF(OR(RAIDLog[[#This Row],[Title]]="",N(RAIDLog[[#This Row],[Due]])=0),"",IF(AND(RAIDLog[[#This Row],[Status]]&lt;&gt;"Closed",RAIDLog[[#This Row],[Due]]&lt;StatusDate),"Overdue",""))</f>
        <v/>
      </c>
      <c r="N100" s="46"/>
      <c r="O100" s="24" t="str">
        <f aca="false">IF(N(RAIDLog[[#This Row],[Task UID]])=0,"",IFERROR(INDEX(tsk_Name,MATCH(RAIDLog[[#This Row],[Task UID]],tsk_UID,0)),"UID "&amp;RAIDLog[[#This Row],[Task UID]]&amp;" not found"))</f>
        <v/>
      </c>
      <c r="P100" s="25" t="str">
        <f aca="false">IF(N(RAIDLog[[#This Row],[Task UID]])=0,"",IFERROR(INDEX(tsk_FcFinish,MATCH(RAIDLog[[#This Row],[Task UID]],tsk_UID,0)),""))</f>
        <v/>
      </c>
      <c r="Q100" s="47"/>
      <c r="R100" s="47"/>
      <c r="S100" s="32" t="str">
        <f aca="false">IF(RAIDLog[[#This Row],[Title]]="","",RAIDLog[[#This Row],[Type]]&amp;" "&amp;RAIDLog[[#This Row],[Ref]]&amp;": "&amp;RAIDLog[[#This Row],[Title]])</f>
        <v/>
      </c>
      <c r="T100" s="32" t="str">
        <f aca="false">IF(AND(NOT(RAIDLog[[#This Row],[Title]]=""),RAIDLog[[#This Row],[Status]]&lt;&gt;"Closed"),RAIDLog[[#This Row],[Score]]+1-(ROW()-ROW(RAIDLog[[#Headers],[Ref]]))/100000,"")</f>
        <v/>
      </c>
    </row>
    <row r="101" customFormat="false" ht="15" hidden="false" customHeight="false" outlineLevel="0" collapsed="false">
      <c r="B101" s="46" t="n">
        <v>97</v>
      </c>
      <c r="C101" s="47"/>
      <c r="D101" s="47"/>
      <c r="E101" s="47"/>
      <c r="F101" s="88"/>
      <c r="G101" s="88"/>
      <c r="H101" s="46"/>
      <c r="I101" s="46"/>
      <c r="J101" s="46"/>
      <c r="K101" s="56" t="str">
        <f aca="false">IF(RAIDLog[[#This Row],[Title]]="","",IF(RAIDLog[[#This Row],[Type]]="Issue",5,N(RAIDLog[[#This Row],[Probability]]))*N(RAIDLog[[#This Row],[Impact]]))</f>
        <v/>
      </c>
      <c r="L101" s="45" t="str">
        <f aca="false">IF(RAIDLog[[#This Row],[Title]]="","",IF(RAIDLog[[#This Row],[Score]]&gt;=RAIDHighScore,"High",IF(RAIDLog[[#This Row],[Score]]&gt;=RAIDMediumScore,"Medium","Low")))</f>
        <v/>
      </c>
      <c r="M101" s="45" t="str">
        <f aca="false">IF(OR(RAIDLog[[#This Row],[Title]]="",N(RAIDLog[[#This Row],[Due]])=0),"",IF(AND(RAIDLog[[#This Row],[Status]]&lt;&gt;"Closed",RAIDLog[[#This Row],[Due]]&lt;StatusDate),"Overdue",""))</f>
        <v/>
      </c>
      <c r="N101" s="46"/>
      <c r="O101" s="24" t="str">
        <f aca="false">IF(N(RAIDLog[[#This Row],[Task UID]])=0,"",IFERROR(INDEX(tsk_Name,MATCH(RAIDLog[[#This Row],[Task UID]],tsk_UID,0)),"UID "&amp;RAIDLog[[#This Row],[Task UID]]&amp;" not found"))</f>
        <v/>
      </c>
      <c r="P101" s="25" t="str">
        <f aca="false">IF(N(RAIDLog[[#This Row],[Task UID]])=0,"",IFERROR(INDEX(tsk_FcFinish,MATCH(RAIDLog[[#This Row],[Task UID]],tsk_UID,0)),""))</f>
        <v/>
      </c>
      <c r="Q101" s="47"/>
      <c r="R101" s="47"/>
      <c r="S101" s="32" t="str">
        <f aca="false">IF(RAIDLog[[#This Row],[Title]]="","",RAIDLog[[#This Row],[Type]]&amp;" "&amp;RAIDLog[[#This Row],[Ref]]&amp;": "&amp;RAIDLog[[#This Row],[Title]])</f>
        <v/>
      </c>
      <c r="T101" s="32" t="str">
        <f aca="false">IF(AND(NOT(RAIDLog[[#This Row],[Title]]=""),RAIDLog[[#This Row],[Status]]&lt;&gt;"Closed"),RAIDLog[[#This Row],[Score]]+1-(ROW()-ROW(RAIDLog[[#Headers],[Ref]]))/100000,"")</f>
        <v/>
      </c>
    </row>
    <row r="102" customFormat="false" ht="15" hidden="false" customHeight="false" outlineLevel="0" collapsed="false">
      <c r="B102" s="46" t="n">
        <v>98</v>
      </c>
      <c r="C102" s="47"/>
      <c r="D102" s="47"/>
      <c r="E102" s="47"/>
      <c r="F102" s="88"/>
      <c r="G102" s="88"/>
      <c r="H102" s="46"/>
      <c r="I102" s="46"/>
      <c r="J102" s="46"/>
      <c r="K102" s="56" t="str">
        <f aca="false">IF(RAIDLog[[#This Row],[Title]]="","",IF(RAIDLog[[#This Row],[Type]]="Issue",5,N(RAIDLog[[#This Row],[Probability]]))*N(RAIDLog[[#This Row],[Impact]]))</f>
        <v/>
      </c>
      <c r="L102" s="45" t="str">
        <f aca="false">IF(RAIDLog[[#This Row],[Title]]="","",IF(RAIDLog[[#This Row],[Score]]&gt;=RAIDHighScore,"High",IF(RAIDLog[[#This Row],[Score]]&gt;=RAIDMediumScore,"Medium","Low")))</f>
        <v/>
      </c>
      <c r="M102" s="45" t="str">
        <f aca="false">IF(OR(RAIDLog[[#This Row],[Title]]="",N(RAIDLog[[#This Row],[Due]])=0),"",IF(AND(RAIDLog[[#This Row],[Status]]&lt;&gt;"Closed",RAIDLog[[#This Row],[Due]]&lt;StatusDate),"Overdue",""))</f>
        <v/>
      </c>
      <c r="N102" s="46"/>
      <c r="O102" s="24" t="str">
        <f aca="false">IF(N(RAIDLog[[#This Row],[Task UID]])=0,"",IFERROR(INDEX(tsk_Name,MATCH(RAIDLog[[#This Row],[Task UID]],tsk_UID,0)),"UID "&amp;RAIDLog[[#This Row],[Task UID]]&amp;" not found"))</f>
        <v/>
      </c>
      <c r="P102" s="25" t="str">
        <f aca="false">IF(N(RAIDLog[[#This Row],[Task UID]])=0,"",IFERROR(INDEX(tsk_FcFinish,MATCH(RAIDLog[[#This Row],[Task UID]],tsk_UID,0)),""))</f>
        <v/>
      </c>
      <c r="Q102" s="47"/>
      <c r="R102" s="47"/>
      <c r="S102" s="32" t="str">
        <f aca="false">IF(RAIDLog[[#This Row],[Title]]="","",RAIDLog[[#This Row],[Type]]&amp;" "&amp;RAIDLog[[#This Row],[Ref]]&amp;": "&amp;RAIDLog[[#This Row],[Title]])</f>
        <v/>
      </c>
      <c r="T102" s="32" t="str">
        <f aca="false">IF(AND(NOT(RAIDLog[[#This Row],[Title]]=""),RAIDLog[[#This Row],[Status]]&lt;&gt;"Closed"),RAIDLog[[#This Row],[Score]]+1-(ROW()-ROW(RAIDLog[[#Headers],[Ref]]))/100000,"")</f>
        <v/>
      </c>
    </row>
    <row r="103" customFormat="false" ht="15" hidden="false" customHeight="false" outlineLevel="0" collapsed="false">
      <c r="B103" s="46" t="n">
        <v>99</v>
      </c>
      <c r="C103" s="47"/>
      <c r="D103" s="47"/>
      <c r="E103" s="47"/>
      <c r="F103" s="88"/>
      <c r="G103" s="88"/>
      <c r="H103" s="46"/>
      <c r="I103" s="46"/>
      <c r="J103" s="46"/>
      <c r="K103" s="56" t="str">
        <f aca="false">IF(RAIDLog[[#This Row],[Title]]="","",IF(RAIDLog[[#This Row],[Type]]="Issue",5,N(RAIDLog[[#This Row],[Probability]]))*N(RAIDLog[[#This Row],[Impact]]))</f>
        <v/>
      </c>
      <c r="L103" s="45" t="str">
        <f aca="false">IF(RAIDLog[[#This Row],[Title]]="","",IF(RAIDLog[[#This Row],[Score]]&gt;=RAIDHighScore,"High",IF(RAIDLog[[#This Row],[Score]]&gt;=RAIDMediumScore,"Medium","Low")))</f>
        <v/>
      </c>
      <c r="M103" s="45" t="str">
        <f aca="false">IF(OR(RAIDLog[[#This Row],[Title]]="",N(RAIDLog[[#This Row],[Due]])=0),"",IF(AND(RAIDLog[[#This Row],[Status]]&lt;&gt;"Closed",RAIDLog[[#This Row],[Due]]&lt;StatusDate),"Overdue",""))</f>
        <v/>
      </c>
      <c r="N103" s="46"/>
      <c r="O103" s="24" t="str">
        <f aca="false">IF(N(RAIDLog[[#This Row],[Task UID]])=0,"",IFERROR(INDEX(tsk_Name,MATCH(RAIDLog[[#This Row],[Task UID]],tsk_UID,0)),"UID "&amp;RAIDLog[[#This Row],[Task UID]]&amp;" not found"))</f>
        <v/>
      </c>
      <c r="P103" s="25" t="str">
        <f aca="false">IF(N(RAIDLog[[#This Row],[Task UID]])=0,"",IFERROR(INDEX(tsk_FcFinish,MATCH(RAIDLog[[#This Row],[Task UID]],tsk_UID,0)),""))</f>
        <v/>
      </c>
      <c r="Q103" s="47"/>
      <c r="R103" s="47"/>
      <c r="S103" s="32" t="str">
        <f aca="false">IF(RAIDLog[[#This Row],[Title]]="","",RAIDLog[[#This Row],[Type]]&amp;" "&amp;RAIDLog[[#This Row],[Ref]]&amp;": "&amp;RAIDLog[[#This Row],[Title]])</f>
        <v/>
      </c>
      <c r="T103" s="32" t="str">
        <f aca="false">IF(AND(NOT(RAIDLog[[#This Row],[Title]]=""),RAIDLog[[#This Row],[Status]]&lt;&gt;"Closed"),RAIDLog[[#This Row],[Score]]+1-(ROW()-ROW(RAIDLog[[#Headers],[Ref]]))/100000,"")</f>
        <v/>
      </c>
    </row>
    <row r="104" customFormat="false" ht="15" hidden="false" customHeight="false" outlineLevel="0" collapsed="false">
      <c r="B104" s="46" t="n">
        <v>100</v>
      </c>
      <c r="C104" s="47"/>
      <c r="D104" s="47"/>
      <c r="E104" s="47"/>
      <c r="F104" s="88"/>
      <c r="G104" s="88"/>
      <c r="H104" s="46"/>
      <c r="I104" s="46"/>
      <c r="J104" s="46"/>
      <c r="K104" s="56" t="str">
        <f aca="false">IF(RAIDLog[[#This Row],[Title]]="","",IF(RAIDLog[[#This Row],[Type]]="Issue",5,N(RAIDLog[[#This Row],[Probability]]))*N(RAIDLog[[#This Row],[Impact]]))</f>
        <v/>
      </c>
      <c r="L104" s="45" t="str">
        <f aca="false">IF(RAIDLog[[#This Row],[Title]]="","",IF(RAIDLog[[#This Row],[Score]]&gt;=RAIDHighScore,"High",IF(RAIDLog[[#This Row],[Score]]&gt;=RAIDMediumScore,"Medium","Low")))</f>
        <v/>
      </c>
      <c r="M104" s="45" t="str">
        <f aca="false">IF(OR(RAIDLog[[#This Row],[Title]]="",N(RAIDLog[[#This Row],[Due]])=0),"",IF(AND(RAIDLog[[#This Row],[Status]]&lt;&gt;"Closed",RAIDLog[[#This Row],[Due]]&lt;StatusDate),"Overdue",""))</f>
        <v/>
      </c>
      <c r="N104" s="46"/>
      <c r="O104" s="24" t="str">
        <f aca="false">IF(N(RAIDLog[[#This Row],[Task UID]])=0,"",IFERROR(INDEX(tsk_Name,MATCH(RAIDLog[[#This Row],[Task UID]],tsk_UID,0)),"UID "&amp;RAIDLog[[#This Row],[Task UID]]&amp;" not found"))</f>
        <v/>
      </c>
      <c r="P104" s="25" t="str">
        <f aca="false">IF(N(RAIDLog[[#This Row],[Task UID]])=0,"",IFERROR(INDEX(tsk_FcFinish,MATCH(RAIDLog[[#This Row],[Task UID]],tsk_UID,0)),""))</f>
        <v/>
      </c>
      <c r="Q104" s="47"/>
      <c r="R104" s="47"/>
      <c r="S104" s="32" t="str">
        <f aca="false">IF(RAIDLog[[#This Row],[Title]]="","",RAIDLog[[#This Row],[Type]]&amp;" "&amp;RAIDLog[[#This Row],[Ref]]&amp;": "&amp;RAIDLog[[#This Row],[Title]])</f>
        <v/>
      </c>
      <c r="T104" s="32" t="str">
        <f aca="false">IF(AND(NOT(RAIDLog[[#This Row],[Title]]=""),RAIDLog[[#This Row],[Status]]&lt;&gt;"Closed"),RAIDLog[[#This Row],[Score]]+1-(ROW()-ROW(RAIDLog[[#Headers],[Ref]]))/100000,"")</f>
        <v/>
      </c>
    </row>
  </sheetData>
  <conditionalFormatting sqref="L5:L104">
    <cfRule type="expression" priority="2" aboveAverage="0" equalAverage="0" bottom="0" percent="0" rank="0" text="" dxfId="15">
      <formula>L5="High"</formula>
    </cfRule>
    <cfRule type="expression" priority="3" aboveAverage="0" equalAverage="0" bottom="0" percent="0" rank="0" text="" dxfId="14">
      <formula>L5="Medium"</formula>
    </cfRule>
    <cfRule type="expression" priority="4" aboveAverage="0" equalAverage="0" bottom="0" percent="0" rank="0" text="" dxfId="13">
      <formula>L5="Low"</formula>
    </cfRule>
  </conditionalFormatting>
  <conditionalFormatting sqref="M5:M104">
    <cfRule type="expression" priority="5" aboveAverage="0" equalAverage="0" bottom="0" percent="0" rank="0" text="" dxfId="26">
      <formula>M5="Overdue"</formula>
    </cfRule>
  </conditionalFormatting>
  <conditionalFormatting sqref="B5:R104">
    <cfRule type="expression" priority="6" aboveAverage="0" equalAverage="0" bottom="0" percent="0" rank="0" text="" dxfId="37">
      <formula>$H5="Closed"</formula>
    </cfRule>
  </conditionalFormatting>
  <dataValidations count="5">
    <dataValidation allowBlank="false" errorStyle="stop" operator="between" showDropDown="false" showErrorMessage="false" showInputMessage="false" sqref="C5:C104" type="list">
      <formula1>L_RAIDType</formula1>
      <formula2>0</formula2>
    </dataValidation>
    <dataValidation allowBlank="false" errorStyle="stop" operator="between" showDropDown="false" showErrorMessage="false" showInputMessage="false" sqref="H5:H104" type="list">
      <formula1>L_RAIDStatus</formula1>
      <formula2>0</formula2>
    </dataValidation>
    <dataValidation allowBlank="false" errorStyle="stop" operator="between" showDropDown="false" showErrorMessage="false" showInputMessage="false" sqref="I5:J104" type="whole">
      <formula1>1</formula1>
      <formula2>5</formula2>
    </dataValidation>
    <dataValidation allowBlank="false" errorStyle="stop" operator="greaterThan" showDropDown="false" showErrorMessage="false" showInputMessage="false" sqref="F5:G104" type="date">
      <formula1>1</formula1>
      <formula2>0</formula2>
    </dataValidation>
    <dataValidation allowBlank="false" errorStyle="stop" operator="between" showDropDown="false" showErrorMessage="false" showInputMessage="false" sqref="E5:E104" type="list">
      <formula1>res_Name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K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2"/>
    <col collapsed="false" customWidth="true" hidden="false" outlineLevel="0" max="4" min="4" style="0" width="44"/>
    <col collapsed="false" customWidth="true" hidden="false" outlineLevel="0" max="5" min="5" style="0" width="56"/>
    <col collapsed="false" customWidth="true" hidden="false" outlineLevel="0" max="6" min="6" style="0" width="18"/>
    <col collapsed="false" customWidth="true" hidden="false" outlineLevel="0" max="7" min="7" style="0" width="11"/>
    <col collapsed="false" customWidth="true" hidden="false" outlineLevel="0" max="8" min="8" style="0" width="9"/>
    <col collapsed="false" customWidth="true" hidden="false" outlineLevel="0" max="9" min="9" style="0" width="8"/>
    <col collapsed="false" customWidth="true" hidden="false" outlineLevel="0" max="10" min="10" style="0" width="28"/>
    <col collapsed="false" customWidth="true" hidden="false" outlineLevel="0" max="11" min="11" style="0" width="8"/>
  </cols>
  <sheetData>
    <row r="1" customFormat="false" ht="19.7" hidden="false" customHeight="false" outlineLevel="0" collapsed="false">
      <c r="A1" s="26" t="s">
        <v>324</v>
      </c>
    </row>
    <row r="2" customFormat="false" ht="15" hidden="false" customHeight="false" outlineLevel="0" collapsed="false">
      <c r="A2" s="8" t="s">
        <v>325</v>
      </c>
    </row>
    <row r="4" customFormat="false" ht="35.05" hidden="false" customHeight="false" outlineLevel="0" collapsed="false">
      <c r="B4" s="44" t="s">
        <v>285</v>
      </c>
      <c r="C4" s="44" t="s">
        <v>326</v>
      </c>
      <c r="D4" s="44" t="s">
        <v>327</v>
      </c>
      <c r="E4" s="44" t="s">
        <v>328</v>
      </c>
      <c r="F4" s="44" t="s">
        <v>329</v>
      </c>
      <c r="G4" s="44" t="s">
        <v>99</v>
      </c>
      <c r="H4" s="9" t="s">
        <v>330</v>
      </c>
      <c r="I4" s="44" t="s">
        <v>292</v>
      </c>
      <c r="J4" s="9" t="s">
        <v>208</v>
      </c>
      <c r="K4" s="44" t="s">
        <v>331</v>
      </c>
    </row>
    <row r="5" customFormat="false" ht="15" hidden="false" customHeight="false" outlineLevel="0" collapsed="false">
      <c r="B5" s="46" t="n">
        <v>1</v>
      </c>
      <c r="C5" s="88" t="n">
        <v>46279</v>
      </c>
      <c r="D5" s="47" t="s">
        <v>332</v>
      </c>
      <c r="E5" s="47" t="s">
        <v>333</v>
      </c>
      <c r="F5" s="47" t="s">
        <v>334</v>
      </c>
      <c r="G5" s="46" t="s">
        <v>335</v>
      </c>
      <c r="H5" s="56" t="str">
        <f aca="false">IF(OR(DecisionLog[[#This Row],[Decision]]="",DecisionLog[[#This Row],[Status]]&lt;&gt;"Proposed",N(DecisionLog[[#This Row],[Date]])=0),"",MAX(0,StatusDate-DecisionLog[[#This Row],[Date]]))</f>
        <v/>
      </c>
      <c r="I5" s="46" t="n">
        <v>12</v>
      </c>
      <c r="J5" s="24" t="str">
        <f aca="false">IF(N(DecisionLog[[#This Row],[Task UID]])=0,"",IFERROR(INDEX(tsk_Name,MATCH(DecisionLog[[#This Row],[Task UID]],tsk_UID,0)),"UID "&amp;DecisionLog[[#This Row],[Task UID]]&amp;" not found"))</f>
        <v>Data model &amp; database setup</v>
      </c>
      <c r="K5" s="46"/>
    </row>
    <row r="6" customFormat="false" ht="15" hidden="false" customHeight="false" outlineLevel="0" collapsed="false">
      <c r="B6" s="46" t="n">
        <v>2</v>
      </c>
      <c r="C6" s="88" t="n">
        <v>46304</v>
      </c>
      <c r="D6" s="47" t="s">
        <v>336</v>
      </c>
      <c r="E6" s="47" t="s">
        <v>337</v>
      </c>
      <c r="F6" s="47" t="s">
        <v>338</v>
      </c>
      <c r="G6" s="46" t="s">
        <v>335</v>
      </c>
      <c r="H6" s="56" t="str">
        <f aca="false">IF(OR(DecisionLog[[#This Row],[Decision]]="",DecisionLog[[#This Row],[Status]]&lt;&gt;"Proposed",N(DecisionLog[[#This Row],[Date]])=0),"",MAX(0,StatusDate-DecisionLog[[#This Row],[Date]]))</f>
        <v/>
      </c>
      <c r="I6" s="46" t="n">
        <v>17</v>
      </c>
      <c r="J6" s="24" t="str">
        <f aca="false">IF(N(DecisionLog[[#This Row],[Task UID]])=0,"",IFERROR(INDEX(tsk_Name,MATCH(DecisionLog[[#This Row],[Task UID]],tsk_UID,0)),"UID "&amp;DecisionLog[[#This Row],[Task UID]]&amp;" not found"))</f>
        <v>Feature screens</v>
      </c>
      <c r="K6" s="46" t="n">
        <v>6</v>
      </c>
    </row>
    <row r="7" customFormat="false" ht="15" hidden="false" customHeight="false" outlineLevel="0" collapsed="false">
      <c r="B7" s="46" t="n">
        <v>3</v>
      </c>
      <c r="C7" s="88" t="n">
        <v>46317</v>
      </c>
      <c r="D7" s="47" t="s">
        <v>339</v>
      </c>
      <c r="E7" s="47" t="s">
        <v>340</v>
      </c>
      <c r="F7" s="47" t="s">
        <v>338</v>
      </c>
      <c r="G7" s="46" t="s">
        <v>341</v>
      </c>
      <c r="H7" s="56" t="n">
        <f aca="false">IF(OR(DecisionLog[[#This Row],[Decision]]="",DecisionLog[[#This Row],[Status]]&lt;&gt;"Proposed",N(DecisionLog[[#This Row],[Date]])=0),"",MAX(0,StatusDate-DecisionLog[[#This Row],[Date]]))</f>
        <v>3</v>
      </c>
      <c r="I7" s="46" t="n">
        <v>13</v>
      </c>
      <c r="J7" s="24" t="str">
        <f aca="false">IF(N(DecisionLog[[#This Row],[Task UID]])=0,"",IFERROR(INDEX(tsk_Name,MATCH(DecisionLog[[#This Row],[Task UID]],tsk_UID,0)),"UID "&amp;DecisionLog[[#This Row],[Task UID]]&amp;" not found"))</f>
        <v>Core API endpoints</v>
      </c>
      <c r="K7" s="46" t="n">
        <v>3</v>
      </c>
    </row>
    <row r="8" customFormat="false" ht="15" hidden="false" customHeight="false" outlineLevel="0" collapsed="false">
      <c r="B8" s="46" t="n">
        <v>4</v>
      </c>
      <c r="C8" s="88"/>
      <c r="D8" s="47"/>
      <c r="E8" s="47"/>
      <c r="F8" s="47"/>
      <c r="G8" s="46"/>
      <c r="H8" s="56" t="str">
        <f aca="false">IF(OR(DecisionLog[[#This Row],[Decision]]="",DecisionLog[[#This Row],[Status]]&lt;&gt;"Proposed",N(DecisionLog[[#This Row],[Date]])=0),"",MAX(0,StatusDate-DecisionLog[[#This Row],[Date]]))</f>
        <v/>
      </c>
      <c r="I8" s="46"/>
      <c r="J8" s="24" t="str">
        <f aca="false">IF(N(DecisionLog[[#This Row],[Task UID]])=0,"",IFERROR(INDEX(tsk_Name,MATCH(DecisionLog[[#This Row],[Task UID]],tsk_UID,0)),"UID "&amp;DecisionLog[[#This Row],[Task UID]]&amp;" not found"))</f>
        <v/>
      </c>
      <c r="K8" s="46"/>
    </row>
    <row r="9" customFormat="false" ht="15" hidden="false" customHeight="false" outlineLevel="0" collapsed="false">
      <c r="B9" s="46" t="n">
        <v>5</v>
      </c>
      <c r="C9" s="88"/>
      <c r="D9" s="47"/>
      <c r="E9" s="47"/>
      <c r="F9" s="47"/>
      <c r="G9" s="46"/>
      <c r="H9" s="56" t="str">
        <f aca="false">IF(OR(DecisionLog[[#This Row],[Decision]]="",DecisionLog[[#This Row],[Status]]&lt;&gt;"Proposed",N(DecisionLog[[#This Row],[Date]])=0),"",MAX(0,StatusDate-DecisionLog[[#This Row],[Date]]))</f>
        <v/>
      </c>
      <c r="I9" s="46"/>
      <c r="J9" s="24" t="str">
        <f aca="false">IF(N(DecisionLog[[#This Row],[Task UID]])=0,"",IFERROR(INDEX(tsk_Name,MATCH(DecisionLog[[#This Row],[Task UID]],tsk_UID,0)),"UID "&amp;DecisionLog[[#This Row],[Task UID]]&amp;" not found"))</f>
        <v/>
      </c>
      <c r="K9" s="46"/>
    </row>
    <row r="10" customFormat="false" ht="15" hidden="false" customHeight="false" outlineLevel="0" collapsed="false">
      <c r="B10" s="46" t="n">
        <v>6</v>
      </c>
      <c r="C10" s="88"/>
      <c r="D10" s="47"/>
      <c r="E10" s="47"/>
      <c r="F10" s="47"/>
      <c r="G10" s="46"/>
      <c r="H10" s="56" t="str">
        <f aca="false">IF(OR(DecisionLog[[#This Row],[Decision]]="",DecisionLog[[#This Row],[Status]]&lt;&gt;"Proposed",N(DecisionLog[[#This Row],[Date]])=0),"",MAX(0,StatusDate-DecisionLog[[#This Row],[Date]]))</f>
        <v/>
      </c>
      <c r="I10" s="46"/>
      <c r="J10" s="24" t="str">
        <f aca="false">IF(N(DecisionLog[[#This Row],[Task UID]])=0,"",IFERROR(INDEX(tsk_Name,MATCH(DecisionLog[[#This Row],[Task UID]],tsk_UID,0)),"UID "&amp;DecisionLog[[#This Row],[Task UID]]&amp;" not found"))</f>
        <v/>
      </c>
      <c r="K10" s="46"/>
    </row>
    <row r="11" customFormat="false" ht="15" hidden="false" customHeight="false" outlineLevel="0" collapsed="false">
      <c r="B11" s="46" t="n">
        <v>7</v>
      </c>
      <c r="C11" s="88"/>
      <c r="D11" s="47"/>
      <c r="E11" s="47"/>
      <c r="F11" s="47"/>
      <c r="G11" s="46"/>
      <c r="H11" s="56" t="str">
        <f aca="false">IF(OR(DecisionLog[[#This Row],[Decision]]="",DecisionLog[[#This Row],[Status]]&lt;&gt;"Proposed",N(DecisionLog[[#This Row],[Date]])=0),"",MAX(0,StatusDate-DecisionLog[[#This Row],[Date]]))</f>
        <v/>
      </c>
      <c r="I11" s="46"/>
      <c r="J11" s="24" t="str">
        <f aca="false">IF(N(DecisionLog[[#This Row],[Task UID]])=0,"",IFERROR(INDEX(tsk_Name,MATCH(DecisionLog[[#This Row],[Task UID]],tsk_UID,0)),"UID "&amp;DecisionLog[[#This Row],[Task UID]]&amp;" not found"))</f>
        <v/>
      </c>
      <c r="K11" s="46"/>
    </row>
    <row r="12" customFormat="false" ht="15" hidden="false" customHeight="false" outlineLevel="0" collapsed="false">
      <c r="B12" s="46" t="n">
        <v>8</v>
      </c>
      <c r="C12" s="88"/>
      <c r="D12" s="47"/>
      <c r="E12" s="47"/>
      <c r="F12" s="47"/>
      <c r="G12" s="46"/>
      <c r="H12" s="56" t="str">
        <f aca="false">IF(OR(DecisionLog[[#This Row],[Decision]]="",DecisionLog[[#This Row],[Status]]&lt;&gt;"Proposed",N(DecisionLog[[#This Row],[Date]])=0),"",MAX(0,StatusDate-DecisionLog[[#This Row],[Date]]))</f>
        <v/>
      </c>
      <c r="I12" s="46"/>
      <c r="J12" s="24" t="str">
        <f aca="false">IF(N(DecisionLog[[#This Row],[Task UID]])=0,"",IFERROR(INDEX(tsk_Name,MATCH(DecisionLog[[#This Row],[Task UID]],tsk_UID,0)),"UID "&amp;DecisionLog[[#This Row],[Task UID]]&amp;" not found"))</f>
        <v/>
      </c>
      <c r="K12" s="46"/>
    </row>
    <row r="13" customFormat="false" ht="15" hidden="false" customHeight="false" outlineLevel="0" collapsed="false">
      <c r="B13" s="46" t="n">
        <v>9</v>
      </c>
      <c r="C13" s="88"/>
      <c r="D13" s="47"/>
      <c r="E13" s="47"/>
      <c r="F13" s="47"/>
      <c r="G13" s="46"/>
      <c r="H13" s="56" t="str">
        <f aca="false">IF(OR(DecisionLog[[#This Row],[Decision]]="",DecisionLog[[#This Row],[Status]]&lt;&gt;"Proposed",N(DecisionLog[[#This Row],[Date]])=0),"",MAX(0,StatusDate-DecisionLog[[#This Row],[Date]]))</f>
        <v/>
      </c>
      <c r="I13" s="46"/>
      <c r="J13" s="24" t="str">
        <f aca="false">IF(N(DecisionLog[[#This Row],[Task UID]])=0,"",IFERROR(INDEX(tsk_Name,MATCH(DecisionLog[[#This Row],[Task UID]],tsk_UID,0)),"UID "&amp;DecisionLog[[#This Row],[Task UID]]&amp;" not found"))</f>
        <v/>
      </c>
      <c r="K13" s="46"/>
    </row>
    <row r="14" customFormat="false" ht="15" hidden="false" customHeight="false" outlineLevel="0" collapsed="false">
      <c r="B14" s="46" t="n">
        <v>10</v>
      </c>
      <c r="C14" s="88"/>
      <c r="D14" s="47"/>
      <c r="E14" s="47"/>
      <c r="F14" s="47"/>
      <c r="G14" s="46"/>
      <c r="H14" s="56" t="str">
        <f aca="false">IF(OR(DecisionLog[[#This Row],[Decision]]="",DecisionLog[[#This Row],[Status]]&lt;&gt;"Proposed",N(DecisionLog[[#This Row],[Date]])=0),"",MAX(0,StatusDate-DecisionLog[[#This Row],[Date]]))</f>
        <v/>
      </c>
      <c r="I14" s="46"/>
      <c r="J14" s="24" t="str">
        <f aca="false">IF(N(DecisionLog[[#This Row],[Task UID]])=0,"",IFERROR(INDEX(tsk_Name,MATCH(DecisionLog[[#This Row],[Task UID]],tsk_UID,0)),"UID "&amp;DecisionLog[[#This Row],[Task UID]]&amp;" not found"))</f>
        <v/>
      </c>
      <c r="K14" s="46"/>
    </row>
    <row r="15" customFormat="false" ht="15" hidden="false" customHeight="false" outlineLevel="0" collapsed="false">
      <c r="B15" s="46" t="n">
        <v>11</v>
      </c>
      <c r="C15" s="88"/>
      <c r="D15" s="47"/>
      <c r="E15" s="47"/>
      <c r="F15" s="47"/>
      <c r="G15" s="46"/>
      <c r="H15" s="56" t="str">
        <f aca="false">IF(OR(DecisionLog[[#This Row],[Decision]]="",DecisionLog[[#This Row],[Status]]&lt;&gt;"Proposed",N(DecisionLog[[#This Row],[Date]])=0),"",MAX(0,StatusDate-DecisionLog[[#This Row],[Date]]))</f>
        <v/>
      </c>
      <c r="I15" s="46"/>
      <c r="J15" s="24" t="str">
        <f aca="false">IF(N(DecisionLog[[#This Row],[Task UID]])=0,"",IFERROR(INDEX(tsk_Name,MATCH(DecisionLog[[#This Row],[Task UID]],tsk_UID,0)),"UID "&amp;DecisionLog[[#This Row],[Task UID]]&amp;" not found"))</f>
        <v/>
      </c>
      <c r="K15" s="46"/>
    </row>
    <row r="16" customFormat="false" ht="15" hidden="false" customHeight="false" outlineLevel="0" collapsed="false">
      <c r="B16" s="46" t="n">
        <v>12</v>
      </c>
      <c r="C16" s="88"/>
      <c r="D16" s="47"/>
      <c r="E16" s="47"/>
      <c r="F16" s="47"/>
      <c r="G16" s="46"/>
      <c r="H16" s="56" t="str">
        <f aca="false">IF(OR(DecisionLog[[#This Row],[Decision]]="",DecisionLog[[#This Row],[Status]]&lt;&gt;"Proposed",N(DecisionLog[[#This Row],[Date]])=0),"",MAX(0,StatusDate-DecisionLog[[#This Row],[Date]]))</f>
        <v/>
      </c>
      <c r="I16" s="46"/>
      <c r="J16" s="24" t="str">
        <f aca="false">IF(N(DecisionLog[[#This Row],[Task UID]])=0,"",IFERROR(INDEX(tsk_Name,MATCH(DecisionLog[[#This Row],[Task UID]],tsk_UID,0)),"UID "&amp;DecisionLog[[#This Row],[Task UID]]&amp;" not found"))</f>
        <v/>
      </c>
      <c r="K16" s="46"/>
    </row>
    <row r="17" customFormat="false" ht="15" hidden="false" customHeight="false" outlineLevel="0" collapsed="false">
      <c r="B17" s="46" t="n">
        <v>13</v>
      </c>
      <c r="C17" s="88"/>
      <c r="D17" s="47"/>
      <c r="E17" s="47"/>
      <c r="F17" s="47"/>
      <c r="G17" s="46"/>
      <c r="H17" s="56" t="str">
        <f aca="false">IF(OR(DecisionLog[[#This Row],[Decision]]="",DecisionLog[[#This Row],[Status]]&lt;&gt;"Proposed",N(DecisionLog[[#This Row],[Date]])=0),"",MAX(0,StatusDate-DecisionLog[[#This Row],[Date]]))</f>
        <v/>
      </c>
      <c r="I17" s="46"/>
      <c r="J17" s="24" t="str">
        <f aca="false">IF(N(DecisionLog[[#This Row],[Task UID]])=0,"",IFERROR(INDEX(tsk_Name,MATCH(DecisionLog[[#This Row],[Task UID]],tsk_UID,0)),"UID "&amp;DecisionLog[[#This Row],[Task UID]]&amp;" not found"))</f>
        <v/>
      </c>
      <c r="K17" s="46"/>
    </row>
    <row r="18" customFormat="false" ht="15" hidden="false" customHeight="false" outlineLevel="0" collapsed="false">
      <c r="B18" s="46" t="n">
        <v>14</v>
      </c>
      <c r="C18" s="88"/>
      <c r="D18" s="47"/>
      <c r="E18" s="47"/>
      <c r="F18" s="47"/>
      <c r="G18" s="46"/>
      <c r="H18" s="56" t="str">
        <f aca="false">IF(OR(DecisionLog[[#This Row],[Decision]]="",DecisionLog[[#This Row],[Status]]&lt;&gt;"Proposed",N(DecisionLog[[#This Row],[Date]])=0),"",MAX(0,StatusDate-DecisionLog[[#This Row],[Date]]))</f>
        <v/>
      </c>
      <c r="I18" s="46"/>
      <c r="J18" s="24" t="str">
        <f aca="false">IF(N(DecisionLog[[#This Row],[Task UID]])=0,"",IFERROR(INDEX(tsk_Name,MATCH(DecisionLog[[#This Row],[Task UID]],tsk_UID,0)),"UID "&amp;DecisionLog[[#This Row],[Task UID]]&amp;" not found"))</f>
        <v/>
      </c>
      <c r="K18" s="46"/>
    </row>
    <row r="19" customFormat="false" ht="15" hidden="false" customHeight="false" outlineLevel="0" collapsed="false">
      <c r="B19" s="46" t="n">
        <v>15</v>
      </c>
      <c r="C19" s="88"/>
      <c r="D19" s="47"/>
      <c r="E19" s="47"/>
      <c r="F19" s="47"/>
      <c r="G19" s="46"/>
      <c r="H19" s="56" t="str">
        <f aca="false">IF(OR(DecisionLog[[#This Row],[Decision]]="",DecisionLog[[#This Row],[Status]]&lt;&gt;"Proposed",N(DecisionLog[[#This Row],[Date]])=0),"",MAX(0,StatusDate-DecisionLog[[#This Row],[Date]]))</f>
        <v/>
      </c>
      <c r="I19" s="46"/>
      <c r="J19" s="24" t="str">
        <f aca="false">IF(N(DecisionLog[[#This Row],[Task UID]])=0,"",IFERROR(INDEX(tsk_Name,MATCH(DecisionLog[[#This Row],[Task UID]],tsk_UID,0)),"UID "&amp;DecisionLog[[#This Row],[Task UID]]&amp;" not found"))</f>
        <v/>
      </c>
      <c r="K19" s="46"/>
    </row>
    <row r="20" customFormat="false" ht="15" hidden="false" customHeight="false" outlineLevel="0" collapsed="false">
      <c r="B20" s="46" t="n">
        <v>16</v>
      </c>
      <c r="C20" s="88"/>
      <c r="D20" s="47"/>
      <c r="E20" s="47"/>
      <c r="F20" s="47"/>
      <c r="G20" s="46"/>
      <c r="H20" s="56" t="str">
        <f aca="false">IF(OR(DecisionLog[[#This Row],[Decision]]="",DecisionLog[[#This Row],[Status]]&lt;&gt;"Proposed",N(DecisionLog[[#This Row],[Date]])=0),"",MAX(0,StatusDate-DecisionLog[[#This Row],[Date]]))</f>
        <v/>
      </c>
      <c r="I20" s="46"/>
      <c r="J20" s="24" t="str">
        <f aca="false">IF(N(DecisionLog[[#This Row],[Task UID]])=0,"",IFERROR(INDEX(tsk_Name,MATCH(DecisionLog[[#This Row],[Task UID]],tsk_UID,0)),"UID "&amp;DecisionLog[[#This Row],[Task UID]]&amp;" not found"))</f>
        <v/>
      </c>
      <c r="K20" s="46"/>
    </row>
    <row r="21" customFormat="false" ht="15" hidden="false" customHeight="false" outlineLevel="0" collapsed="false">
      <c r="B21" s="46" t="n">
        <v>17</v>
      </c>
      <c r="C21" s="88"/>
      <c r="D21" s="47"/>
      <c r="E21" s="47"/>
      <c r="F21" s="47"/>
      <c r="G21" s="46"/>
      <c r="H21" s="56" t="str">
        <f aca="false">IF(OR(DecisionLog[[#This Row],[Decision]]="",DecisionLog[[#This Row],[Status]]&lt;&gt;"Proposed",N(DecisionLog[[#This Row],[Date]])=0),"",MAX(0,StatusDate-DecisionLog[[#This Row],[Date]]))</f>
        <v/>
      </c>
      <c r="I21" s="46"/>
      <c r="J21" s="24" t="str">
        <f aca="false">IF(N(DecisionLog[[#This Row],[Task UID]])=0,"",IFERROR(INDEX(tsk_Name,MATCH(DecisionLog[[#This Row],[Task UID]],tsk_UID,0)),"UID "&amp;DecisionLog[[#This Row],[Task UID]]&amp;" not found"))</f>
        <v/>
      </c>
      <c r="K21" s="46"/>
    </row>
    <row r="22" customFormat="false" ht="15" hidden="false" customHeight="false" outlineLevel="0" collapsed="false">
      <c r="B22" s="46" t="n">
        <v>18</v>
      </c>
      <c r="C22" s="88"/>
      <c r="D22" s="47"/>
      <c r="E22" s="47"/>
      <c r="F22" s="47"/>
      <c r="G22" s="46"/>
      <c r="H22" s="56" t="str">
        <f aca="false">IF(OR(DecisionLog[[#This Row],[Decision]]="",DecisionLog[[#This Row],[Status]]&lt;&gt;"Proposed",N(DecisionLog[[#This Row],[Date]])=0),"",MAX(0,StatusDate-DecisionLog[[#This Row],[Date]]))</f>
        <v/>
      </c>
      <c r="I22" s="46"/>
      <c r="J22" s="24" t="str">
        <f aca="false">IF(N(DecisionLog[[#This Row],[Task UID]])=0,"",IFERROR(INDEX(tsk_Name,MATCH(DecisionLog[[#This Row],[Task UID]],tsk_UID,0)),"UID "&amp;DecisionLog[[#This Row],[Task UID]]&amp;" not found"))</f>
        <v/>
      </c>
      <c r="K22" s="46"/>
    </row>
    <row r="23" customFormat="false" ht="15" hidden="false" customHeight="false" outlineLevel="0" collapsed="false">
      <c r="B23" s="46" t="n">
        <v>19</v>
      </c>
      <c r="C23" s="88"/>
      <c r="D23" s="47"/>
      <c r="E23" s="47"/>
      <c r="F23" s="47"/>
      <c r="G23" s="46"/>
      <c r="H23" s="56" t="str">
        <f aca="false">IF(OR(DecisionLog[[#This Row],[Decision]]="",DecisionLog[[#This Row],[Status]]&lt;&gt;"Proposed",N(DecisionLog[[#This Row],[Date]])=0),"",MAX(0,StatusDate-DecisionLog[[#This Row],[Date]]))</f>
        <v/>
      </c>
      <c r="I23" s="46"/>
      <c r="J23" s="24" t="str">
        <f aca="false">IF(N(DecisionLog[[#This Row],[Task UID]])=0,"",IFERROR(INDEX(tsk_Name,MATCH(DecisionLog[[#This Row],[Task UID]],tsk_UID,0)),"UID "&amp;DecisionLog[[#This Row],[Task UID]]&amp;" not found"))</f>
        <v/>
      </c>
      <c r="K23" s="46"/>
    </row>
    <row r="24" customFormat="false" ht="15" hidden="false" customHeight="false" outlineLevel="0" collapsed="false">
      <c r="B24" s="46" t="n">
        <v>20</v>
      </c>
      <c r="C24" s="88"/>
      <c r="D24" s="47"/>
      <c r="E24" s="47"/>
      <c r="F24" s="47"/>
      <c r="G24" s="46"/>
      <c r="H24" s="56" t="str">
        <f aca="false">IF(OR(DecisionLog[[#This Row],[Decision]]="",DecisionLog[[#This Row],[Status]]&lt;&gt;"Proposed",N(DecisionLog[[#This Row],[Date]])=0),"",MAX(0,StatusDate-DecisionLog[[#This Row],[Date]]))</f>
        <v/>
      </c>
      <c r="I24" s="46"/>
      <c r="J24" s="24" t="str">
        <f aca="false">IF(N(DecisionLog[[#This Row],[Task UID]])=0,"",IFERROR(INDEX(tsk_Name,MATCH(DecisionLog[[#This Row],[Task UID]],tsk_UID,0)),"UID "&amp;DecisionLog[[#This Row],[Task UID]]&amp;" not found"))</f>
        <v/>
      </c>
      <c r="K24" s="46"/>
    </row>
    <row r="25" customFormat="false" ht="15" hidden="false" customHeight="false" outlineLevel="0" collapsed="false">
      <c r="B25" s="46" t="n">
        <v>21</v>
      </c>
      <c r="C25" s="88"/>
      <c r="D25" s="47"/>
      <c r="E25" s="47"/>
      <c r="F25" s="47"/>
      <c r="G25" s="46"/>
      <c r="H25" s="56" t="str">
        <f aca="false">IF(OR(DecisionLog[[#This Row],[Decision]]="",DecisionLog[[#This Row],[Status]]&lt;&gt;"Proposed",N(DecisionLog[[#This Row],[Date]])=0),"",MAX(0,StatusDate-DecisionLog[[#This Row],[Date]]))</f>
        <v/>
      </c>
      <c r="I25" s="46"/>
      <c r="J25" s="24" t="str">
        <f aca="false">IF(N(DecisionLog[[#This Row],[Task UID]])=0,"",IFERROR(INDEX(tsk_Name,MATCH(DecisionLog[[#This Row],[Task UID]],tsk_UID,0)),"UID "&amp;DecisionLog[[#This Row],[Task UID]]&amp;" not found"))</f>
        <v/>
      </c>
      <c r="K25" s="46"/>
    </row>
    <row r="26" customFormat="false" ht="15" hidden="false" customHeight="false" outlineLevel="0" collapsed="false">
      <c r="B26" s="46" t="n">
        <v>22</v>
      </c>
      <c r="C26" s="88"/>
      <c r="D26" s="47"/>
      <c r="E26" s="47"/>
      <c r="F26" s="47"/>
      <c r="G26" s="46"/>
      <c r="H26" s="56" t="str">
        <f aca="false">IF(OR(DecisionLog[[#This Row],[Decision]]="",DecisionLog[[#This Row],[Status]]&lt;&gt;"Proposed",N(DecisionLog[[#This Row],[Date]])=0),"",MAX(0,StatusDate-DecisionLog[[#This Row],[Date]]))</f>
        <v/>
      </c>
      <c r="I26" s="46"/>
      <c r="J26" s="24" t="str">
        <f aca="false">IF(N(DecisionLog[[#This Row],[Task UID]])=0,"",IFERROR(INDEX(tsk_Name,MATCH(DecisionLog[[#This Row],[Task UID]],tsk_UID,0)),"UID "&amp;DecisionLog[[#This Row],[Task UID]]&amp;" not found"))</f>
        <v/>
      </c>
      <c r="K26" s="46"/>
    </row>
    <row r="27" customFormat="false" ht="15" hidden="false" customHeight="false" outlineLevel="0" collapsed="false">
      <c r="B27" s="46" t="n">
        <v>23</v>
      </c>
      <c r="C27" s="88"/>
      <c r="D27" s="47"/>
      <c r="E27" s="47"/>
      <c r="F27" s="47"/>
      <c r="G27" s="46"/>
      <c r="H27" s="56" t="str">
        <f aca="false">IF(OR(DecisionLog[[#This Row],[Decision]]="",DecisionLog[[#This Row],[Status]]&lt;&gt;"Proposed",N(DecisionLog[[#This Row],[Date]])=0),"",MAX(0,StatusDate-DecisionLog[[#This Row],[Date]]))</f>
        <v/>
      </c>
      <c r="I27" s="46"/>
      <c r="J27" s="24" t="str">
        <f aca="false">IF(N(DecisionLog[[#This Row],[Task UID]])=0,"",IFERROR(INDEX(tsk_Name,MATCH(DecisionLog[[#This Row],[Task UID]],tsk_UID,0)),"UID "&amp;DecisionLog[[#This Row],[Task UID]]&amp;" not found"))</f>
        <v/>
      </c>
      <c r="K27" s="46"/>
    </row>
    <row r="28" customFormat="false" ht="15" hidden="false" customHeight="false" outlineLevel="0" collapsed="false">
      <c r="B28" s="46" t="n">
        <v>24</v>
      </c>
      <c r="C28" s="88"/>
      <c r="D28" s="47"/>
      <c r="E28" s="47"/>
      <c r="F28" s="47"/>
      <c r="G28" s="46"/>
      <c r="H28" s="56" t="str">
        <f aca="false">IF(OR(DecisionLog[[#This Row],[Decision]]="",DecisionLog[[#This Row],[Status]]&lt;&gt;"Proposed",N(DecisionLog[[#This Row],[Date]])=0),"",MAX(0,StatusDate-DecisionLog[[#This Row],[Date]]))</f>
        <v/>
      </c>
      <c r="I28" s="46"/>
      <c r="J28" s="24" t="str">
        <f aca="false">IF(N(DecisionLog[[#This Row],[Task UID]])=0,"",IFERROR(INDEX(tsk_Name,MATCH(DecisionLog[[#This Row],[Task UID]],tsk_UID,0)),"UID "&amp;DecisionLog[[#This Row],[Task UID]]&amp;" not found"))</f>
        <v/>
      </c>
      <c r="K28" s="46"/>
    </row>
    <row r="29" customFormat="false" ht="15" hidden="false" customHeight="false" outlineLevel="0" collapsed="false">
      <c r="B29" s="46" t="n">
        <v>25</v>
      </c>
      <c r="C29" s="88"/>
      <c r="D29" s="47"/>
      <c r="E29" s="47"/>
      <c r="F29" s="47"/>
      <c r="G29" s="46"/>
      <c r="H29" s="56" t="str">
        <f aca="false">IF(OR(DecisionLog[[#This Row],[Decision]]="",DecisionLog[[#This Row],[Status]]&lt;&gt;"Proposed",N(DecisionLog[[#This Row],[Date]])=0),"",MAX(0,StatusDate-DecisionLog[[#This Row],[Date]]))</f>
        <v/>
      </c>
      <c r="I29" s="46"/>
      <c r="J29" s="24" t="str">
        <f aca="false">IF(N(DecisionLog[[#This Row],[Task UID]])=0,"",IFERROR(INDEX(tsk_Name,MATCH(DecisionLog[[#This Row],[Task UID]],tsk_UID,0)),"UID "&amp;DecisionLog[[#This Row],[Task UID]]&amp;" not found"))</f>
        <v/>
      </c>
      <c r="K29" s="46"/>
    </row>
    <row r="30" customFormat="false" ht="15" hidden="false" customHeight="false" outlineLevel="0" collapsed="false">
      <c r="B30" s="46" t="n">
        <v>26</v>
      </c>
      <c r="C30" s="88"/>
      <c r="D30" s="47"/>
      <c r="E30" s="47"/>
      <c r="F30" s="47"/>
      <c r="G30" s="46"/>
      <c r="H30" s="56" t="str">
        <f aca="false">IF(OR(DecisionLog[[#This Row],[Decision]]="",DecisionLog[[#This Row],[Status]]&lt;&gt;"Proposed",N(DecisionLog[[#This Row],[Date]])=0),"",MAX(0,StatusDate-DecisionLog[[#This Row],[Date]]))</f>
        <v/>
      </c>
      <c r="I30" s="46"/>
      <c r="J30" s="24" t="str">
        <f aca="false">IF(N(DecisionLog[[#This Row],[Task UID]])=0,"",IFERROR(INDEX(tsk_Name,MATCH(DecisionLog[[#This Row],[Task UID]],tsk_UID,0)),"UID "&amp;DecisionLog[[#This Row],[Task UID]]&amp;" not found"))</f>
        <v/>
      </c>
      <c r="K30" s="46"/>
    </row>
    <row r="31" customFormat="false" ht="15" hidden="false" customHeight="false" outlineLevel="0" collapsed="false">
      <c r="B31" s="46" t="n">
        <v>27</v>
      </c>
      <c r="C31" s="88"/>
      <c r="D31" s="47"/>
      <c r="E31" s="47"/>
      <c r="F31" s="47"/>
      <c r="G31" s="46"/>
      <c r="H31" s="56" t="str">
        <f aca="false">IF(OR(DecisionLog[[#This Row],[Decision]]="",DecisionLog[[#This Row],[Status]]&lt;&gt;"Proposed",N(DecisionLog[[#This Row],[Date]])=0),"",MAX(0,StatusDate-DecisionLog[[#This Row],[Date]]))</f>
        <v/>
      </c>
      <c r="I31" s="46"/>
      <c r="J31" s="24" t="str">
        <f aca="false">IF(N(DecisionLog[[#This Row],[Task UID]])=0,"",IFERROR(INDEX(tsk_Name,MATCH(DecisionLog[[#This Row],[Task UID]],tsk_UID,0)),"UID "&amp;DecisionLog[[#This Row],[Task UID]]&amp;" not found"))</f>
        <v/>
      </c>
      <c r="K31" s="46"/>
    </row>
    <row r="32" customFormat="false" ht="15" hidden="false" customHeight="false" outlineLevel="0" collapsed="false">
      <c r="B32" s="46" t="n">
        <v>28</v>
      </c>
      <c r="C32" s="88"/>
      <c r="D32" s="47"/>
      <c r="E32" s="47"/>
      <c r="F32" s="47"/>
      <c r="G32" s="46"/>
      <c r="H32" s="56" t="str">
        <f aca="false">IF(OR(DecisionLog[[#This Row],[Decision]]="",DecisionLog[[#This Row],[Status]]&lt;&gt;"Proposed",N(DecisionLog[[#This Row],[Date]])=0),"",MAX(0,StatusDate-DecisionLog[[#This Row],[Date]]))</f>
        <v/>
      </c>
      <c r="I32" s="46"/>
      <c r="J32" s="24" t="str">
        <f aca="false">IF(N(DecisionLog[[#This Row],[Task UID]])=0,"",IFERROR(INDEX(tsk_Name,MATCH(DecisionLog[[#This Row],[Task UID]],tsk_UID,0)),"UID "&amp;DecisionLog[[#This Row],[Task UID]]&amp;" not found"))</f>
        <v/>
      </c>
      <c r="K32" s="46"/>
    </row>
    <row r="33" customFormat="false" ht="15" hidden="false" customHeight="false" outlineLevel="0" collapsed="false">
      <c r="B33" s="46" t="n">
        <v>29</v>
      </c>
      <c r="C33" s="88"/>
      <c r="D33" s="47"/>
      <c r="E33" s="47"/>
      <c r="F33" s="47"/>
      <c r="G33" s="46"/>
      <c r="H33" s="56" t="str">
        <f aca="false">IF(OR(DecisionLog[[#This Row],[Decision]]="",DecisionLog[[#This Row],[Status]]&lt;&gt;"Proposed",N(DecisionLog[[#This Row],[Date]])=0),"",MAX(0,StatusDate-DecisionLog[[#This Row],[Date]]))</f>
        <v/>
      </c>
      <c r="I33" s="46"/>
      <c r="J33" s="24" t="str">
        <f aca="false">IF(N(DecisionLog[[#This Row],[Task UID]])=0,"",IFERROR(INDEX(tsk_Name,MATCH(DecisionLog[[#This Row],[Task UID]],tsk_UID,0)),"UID "&amp;DecisionLog[[#This Row],[Task UID]]&amp;" not found"))</f>
        <v/>
      </c>
      <c r="K33" s="46"/>
    </row>
    <row r="34" customFormat="false" ht="15" hidden="false" customHeight="false" outlineLevel="0" collapsed="false">
      <c r="B34" s="46" t="n">
        <v>30</v>
      </c>
      <c r="C34" s="88"/>
      <c r="D34" s="47"/>
      <c r="E34" s="47"/>
      <c r="F34" s="47"/>
      <c r="G34" s="46"/>
      <c r="H34" s="56" t="str">
        <f aca="false">IF(OR(DecisionLog[[#This Row],[Decision]]="",DecisionLog[[#This Row],[Status]]&lt;&gt;"Proposed",N(DecisionLog[[#This Row],[Date]])=0),"",MAX(0,StatusDate-DecisionLog[[#This Row],[Date]]))</f>
        <v/>
      </c>
      <c r="I34" s="46"/>
      <c r="J34" s="24" t="str">
        <f aca="false">IF(N(DecisionLog[[#This Row],[Task UID]])=0,"",IFERROR(INDEX(tsk_Name,MATCH(DecisionLog[[#This Row],[Task UID]],tsk_UID,0)),"UID "&amp;DecisionLog[[#This Row],[Task UID]]&amp;" not found"))</f>
        <v/>
      </c>
      <c r="K34" s="46"/>
    </row>
    <row r="35" customFormat="false" ht="15" hidden="false" customHeight="false" outlineLevel="0" collapsed="false">
      <c r="B35" s="46" t="n">
        <v>31</v>
      </c>
      <c r="C35" s="88"/>
      <c r="D35" s="47"/>
      <c r="E35" s="47"/>
      <c r="F35" s="47"/>
      <c r="G35" s="46"/>
      <c r="H35" s="56" t="str">
        <f aca="false">IF(OR(DecisionLog[[#This Row],[Decision]]="",DecisionLog[[#This Row],[Status]]&lt;&gt;"Proposed",N(DecisionLog[[#This Row],[Date]])=0),"",MAX(0,StatusDate-DecisionLog[[#This Row],[Date]]))</f>
        <v/>
      </c>
      <c r="I35" s="46"/>
      <c r="J35" s="24" t="str">
        <f aca="false">IF(N(DecisionLog[[#This Row],[Task UID]])=0,"",IFERROR(INDEX(tsk_Name,MATCH(DecisionLog[[#This Row],[Task UID]],tsk_UID,0)),"UID "&amp;DecisionLog[[#This Row],[Task UID]]&amp;" not found"))</f>
        <v/>
      </c>
      <c r="K35" s="46"/>
    </row>
    <row r="36" customFormat="false" ht="15" hidden="false" customHeight="false" outlineLevel="0" collapsed="false">
      <c r="B36" s="46" t="n">
        <v>32</v>
      </c>
      <c r="C36" s="88"/>
      <c r="D36" s="47"/>
      <c r="E36" s="47"/>
      <c r="F36" s="47"/>
      <c r="G36" s="46"/>
      <c r="H36" s="56" t="str">
        <f aca="false">IF(OR(DecisionLog[[#This Row],[Decision]]="",DecisionLog[[#This Row],[Status]]&lt;&gt;"Proposed",N(DecisionLog[[#This Row],[Date]])=0),"",MAX(0,StatusDate-DecisionLog[[#This Row],[Date]]))</f>
        <v/>
      </c>
      <c r="I36" s="46"/>
      <c r="J36" s="24" t="str">
        <f aca="false">IF(N(DecisionLog[[#This Row],[Task UID]])=0,"",IFERROR(INDEX(tsk_Name,MATCH(DecisionLog[[#This Row],[Task UID]],tsk_UID,0)),"UID "&amp;DecisionLog[[#This Row],[Task UID]]&amp;" not found"))</f>
        <v/>
      </c>
      <c r="K36" s="46"/>
    </row>
    <row r="37" customFormat="false" ht="15" hidden="false" customHeight="false" outlineLevel="0" collapsed="false">
      <c r="B37" s="46" t="n">
        <v>33</v>
      </c>
      <c r="C37" s="88"/>
      <c r="D37" s="47"/>
      <c r="E37" s="47"/>
      <c r="F37" s="47"/>
      <c r="G37" s="46"/>
      <c r="H37" s="56" t="str">
        <f aca="false">IF(OR(DecisionLog[[#This Row],[Decision]]="",DecisionLog[[#This Row],[Status]]&lt;&gt;"Proposed",N(DecisionLog[[#This Row],[Date]])=0),"",MAX(0,StatusDate-DecisionLog[[#This Row],[Date]]))</f>
        <v/>
      </c>
      <c r="I37" s="46"/>
      <c r="J37" s="24" t="str">
        <f aca="false">IF(N(DecisionLog[[#This Row],[Task UID]])=0,"",IFERROR(INDEX(tsk_Name,MATCH(DecisionLog[[#This Row],[Task UID]],tsk_UID,0)),"UID "&amp;DecisionLog[[#This Row],[Task UID]]&amp;" not found"))</f>
        <v/>
      </c>
      <c r="K37" s="46"/>
    </row>
    <row r="38" customFormat="false" ht="15" hidden="false" customHeight="false" outlineLevel="0" collapsed="false">
      <c r="B38" s="46" t="n">
        <v>34</v>
      </c>
      <c r="C38" s="88"/>
      <c r="D38" s="47"/>
      <c r="E38" s="47"/>
      <c r="F38" s="47"/>
      <c r="G38" s="46"/>
      <c r="H38" s="56" t="str">
        <f aca="false">IF(OR(DecisionLog[[#This Row],[Decision]]="",DecisionLog[[#This Row],[Status]]&lt;&gt;"Proposed",N(DecisionLog[[#This Row],[Date]])=0),"",MAX(0,StatusDate-DecisionLog[[#This Row],[Date]]))</f>
        <v/>
      </c>
      <c r="I38" s="46"/>
      <c r="J38" s="24" t="str">
        <f aca="false">IF(N(DecisionLog[[#This Row],[Task UID]])=0,"",IFERROR(INDEX(tsk_Name,MATCH(DecisionLog[[#This Row],[Task UID]],tsk_UID,0)),"UID "&amp;DecisionLog[[#This Row],[Task UID]]&amp;" not found"))</f>
        <v/>
      </c>
      <c r="K38" s="46"/>
    </row>
    <row r="39" customFormat="false" ht="15" hidden="false" customHeight="false" outlineLevel="0" collapsed="false">
      <c r="B39" s="46" t="n">
        <v>35</v>
      </c>
      <c r="C39" s="88"/>
      <c r="D39" s="47"/>
      <c r="E39" s="47"/>
      <c r="F39" s="47"/>
      <c r="G39" s="46"/>
      <c r="H39" s="56" t="str">
        <f aca="false">IF(OR(DecisionLog[[#This Row],[Decision]]="",DecisionLog[[#This Row],[Status]]&lt;&gt;"Proposed",N(DecisionLog[[#This Row],[Date]])=0),"",MAX(0,StatusDate-DecisionLog[[#This Row],[Date]]))</f>
        <v/>
      </c>
      <c r="I39" s="46"/>
      <c r="J39" s="24" t="str">
        <f aca="false">IF(N(DecisionLog[[#This Row],[Task UID]])=0,"",IFERROR(INDEX(tsk_Name,MATCH(DecisionLog[[#This Row],[Task UID]],tsk_UID,0)),"UID "&amp;DecisionLog[[#This Row],[Task UID]]&amp;" not found"))</f>
        <v/>
      </c>
      <c r="K39" s="46"/>
    </row>
    <row r="40" customFormat="false" ht="15" hidden="false" customHeight="false" outlineLevel="0" collapsed="false">
      <c r="B40" s="46" t="n">
        <v>36</v>
      </c>
      <c r="C40" s="88"/>
      <c r="D40" s="47"/>
      <c r="E40" s="47"/>
      <c r="F40" s="47"/>
      <c r="G40" s="46"/>
      <c r="H40" s="56" t="str">
        <f aca="false">IF(OR(DecisionLog[[#This Row],[Decision]]="",DecisionLog[[#This Row],[Status]]&lt;&gt;"Proposed",N(DecisionLog[[#This Row],[Date]])=0),"",MAX(0,StatusDate-DecisionLog[[#This Row],[Date]]))</f>
        <v/>
      </c>
      <c r="I40" s="46"/>
      <c r="J40" s="24" t="str">
        <f aca="false">IF(N(DecisionLog[[#This Row],[Task UID]])=0,"",IFERROR(INDEX(tsk_Name,MATCH(DecisionLog[[#This Row],[Task UID]],tsk_UID,0)),"UID "&amp;DecisionLog[[#This Row],[Task UID]]&amp;" not found"))</f>
        <v/>
      </c>
      <c r="K40" s="46"/>
    </row>
    <row r="41" customFormat="false" ht="15" hidden="false" customHeight="false" outlineLevel="0" collapsed="false">
      <c r="B41" s="46" t="n">
        <v>37</v>
      </c>
      <c r="C41" s="88"/>
      <c r="D41" s="47"/>
      <c r="E41" s="47"/>
      <c r="F41" s="47"/>
      <c r="G41" s="46"/>
      <c r="H41" s="56" t="str">
        <f aca="false">IF(OR(DecisionLog[[#This Row],[Decision]]="",DecisionLog[[#This Row],[Status]]&lt;&gt;"Proposed",N(DecisionLog[[#This Row],[Date]])=0),"",MAX(0,StatusDate-DecisionLog[[#This Row],[Date]]))</f>
        <v/>
      </c>
      <c r="I41" s="46"/>
      <c r="J41" s="24" t="str">
        <f aca="false">IF(N(DecisionLog[[#This Row],[Task UID]])=0,"",IFERROR(INDEX(tsk_Name,MATCH(DecisionLog[[#This Row],[Task UID]],tsk_UID,0)),"UID "&amp;DecisionLog[[#This Row],[Task UID]]&amp;" not found"))</f>
        <v/>
      </c>
      <c r="K41" s="46"/>
    </row>
    <row r="42" customFormat="false" ht="15" hidden="false" customHeight="false" outlineLevel="0" collapsed="false">
      <c r="B42" s="46" t="n">
        <v>38</v>
      </c>
      <c r="C42" s="88"/>
      <c r="D42" s="47"/>
      <c r="E42" s="47"/>
      <c r="F42" s="47"/>
      <c r="G42" s="46"/>
      <c r="H42" s="56" t="str">
        <f aca="false">IF(OR(DecisionLog[[#This Row],[Decision]]="",DecisionLog[[#This Row],[Status]]&lt;&gt;"Proposed",N(DecisionLog[[#This Row],[Date]])=0),"",MAX(0,StatusDate-DecisionLog[[#This Row],[Date]]))</f>
        <v/>
      </c>
      <c r="I42" s="46"/>
      <c r="J42" s="24" t="str">
        <f aca="false">IF(N(DecisionLog[[#This Row],[Task UID]])=0,"",IFERROR(INDEX(tsk_Name,MATCH(DecisionLog[[#This Row],[Task UID]],tsk_UID,0)),"UID "&amp;DecisionLog[[#This Row],[Task UID]]&amp;" not found"))</f>
        <v/>
      </c>
      <c r="K42" s="46"/>
    </row>
    <row r="43" customFormat="false" ht="15" hidden="false" customHeight="false" outlineLevel="0" collapsed="false">
      <c r="B43" s="46" t="n">
        <v>39</v>
      </c>
      <c r="C43" s="88"/>
      <c r="D43" s="47"/>
      <c r="E43" s="47"/>
      <c r="F43" s="47"/>
      <c r="G43" s="46"/>
      <c r="H43" s="56" t="str">
        <f aca="false">IF(OR(DecisionLog[[#This Row],[Decision]]="",DecisionLog[[#This Row],[Status]]&lt;&gt;"Proposed",N(DecisionLog[[#This Row],[Date]])=0),"",MAX(0,StatusDate-DecisionLog[[#This Row],[Date]]))</f>
        <v/>
      </c>
      <c r="I43" s="46"/>
      <c r="J43" s="24" t="str">
        <f aca="false">IF(N(DecisionLog[[#This Row],[Task UID]])=0,"",IFERROR(INDEX(tsk_Name,MATCH(DecisionLog[[#This Row],[Task UID]],tsk_UID,0)),"UID "&amp;DecisionLog[[#This Row],[Task UID]]&amp;" not found"))</f>
        <v/>
      </c>
      <c r="K43" s="46"/>
    </row>
    <row r="44" customFormat="false" ht="15" hidden="false" customHeight="false" outlineLevel="0" collapsed="false">
      <c r="B44" s="46" t="n">
        <v>40</v>
      </c>
      <c r="C44" s="88"/>
      <c r="D44" s="47"/>
      <c r="E44" s="47"/>
      <c r="F44" s="47"/>
      <c r="G44" s="46"/>
      <c r="H44" s="56" t="str">
        <f aca="false">IF(OR(DecisionLog[[#This Row],[Decision]]="",DecisionLog[[#This Row],[Status]]&lt;&gt;"Proposed",N(DecisionLog[[#This Row],[Date]])=0),"",MAX(0,StatusDate-DecisionLog[[#This Row],[Date]]))</f>
        <v/>
      </c>
      <c r="I44" s="46"/>
      <c r="J44" s="24" t="str">
        <f aca="false">IF(N(DecisionLog[[#This Row],[Task UID]])=0,"",IFERROR(INDEX(tsk_Name,MATCH(DecisionLog[[#This Row],[Task UID]],tsk_UID,0)),"UID "&amp;DecisionLog[[#This Row],[Task UID]]&amp;" not found"))</f>
        <v/>
      </c>
      <c r="K44" s="46"/>
    </row>
    <row r="45" customFormat="false" ht="15" hidden="false" customHeight="false" outlineLevel="0" collapsed="false">
      <c r="B45" s="46" t="n">
        <v>41</v>
      </c>
      <c r="C45" s="88"/>
      <c r="D45" s="47"/>
      <c r="E45" s="47"/>
      <c r="F45" s="47"/>
      <c r="G45" s="46"/>
      <c r="H45" s="56" t="str">
        <f aca="false">IF(OR(DecisionLog[[#This Row],[Decision]]="",DecisionLog[[#This Row],[Status]]&lt;&gt;"Proposed",N(DecisionLog[[#This Row],[Date]])=0),"",MAX(0,StatusDate-DecisionLog[[#This Row],[Date]]))</f>
        <v/>
      </c>
      <c r="I45" s="46"/>
      <c r="J45" s="24" t="str">
        <f aca="false">IF(N(DecisionLog[[#This Row],[Task UID]])=0,"",IFERROR(INDEX(tsk_Name,MATCH(DecisionLog[[#This Row],[Task UID]],tsk_UID,0)),"UID "&amp;DecisionLog[[#This Row],[Task UID]]&amp;" not found"))</f>
        <v/>
      </c>
      <c r="K45" s="46"/>
    </row>
    <row r="46" customFormat="false" ht="15" hidden="false" customHeight="false" outlineLevel="0" collapsed="false">
      <c r="B46" s="46" t="n">
        <v>42</v>
      </c>
      <c r="C46" s="88"/>
      <c r="D46" s="47"/>
      <c r="E46" s="47"/>
      <c r="F46" s="47"/>
      <c r="G46" s="46"/>
      <c r="H46" s="56" t="str">
        <f aca="false">IF(OR(DecisionLog[[#This Row],[Decision]]="",DecisionLog[[#This Row],[Status]]&lt;&gt;"Proposed",N(DecisionLog[[#This Row],[Date]])=0),"",MAX(0,StatusDate-DecisionLog[[#This Row],[Date]]))</f>
        <v/>
      </c>
      <c r="I46" s="46"/>
      <c r="J46" s="24" t="str">
        <f aca="false">IF(N(DecisionLog[[#This Row],[Task UID]])=0,"",IFERROR(INDEX(tsk_Name,MATCH(DecisionLog[[#This Row],[Task UID]],tsk_UID,0)),"UID "&amp;DecisionLog[[#This Row],[Task UID]]&amp;" not found"))</f>
        <v/>
      </c>
      <c r="K46" s="46"/>
    </row>
    <row r="47" customFormat="false" ht="15" hidden="false" customHeight="false" outlineLevel="0" collapsed="false">
      <c r="B47" s="46" t="n">
        <v>43</v>
      </c>
      <c r="C47" s="88"/>
      <c r="D47" s="47"/>
      <c r="E47" s="47"/>
      <c r="F47" s="47"/>
      <c r="G47" s="46"/>
      <c r="H47" s="56" t="str">
        <f aca="false">IF(OR(DecisionLog[[#This Row],[Decision]]="",DecisionLog[[#This Row],[Status]]&lt;&gt;"Proposed",N(DecisionLog[[#This Row],[Date]])=0),"",MAX(0,StatusDate-DecisionLog[[#This Row],[Date]]))</f>
        <v/>
      </c>
      <c r="I47" s="46"/>
      <c r="J47" s="24" t="str">
        <f aca="false">IF(N(DecisionLog[[#This Row],[Task UID]])=0,"",IFERROR(INDEX(tsk_Name,MATCH(DecisionLog[[#This Row],[Task UID]],tsk_UID,0)),"UID "&amp;DecisionLog[[#This Row],[Task UID]]&amp;" not found"))</f>
        <v/>
      </c>
      <c r="K47" s="46"/>
    </row>
    <row r="48" customFormat="false" ht="15" hidden="false" customHeight="false" outlineLevel="0" collapsed="false">
      <c r="B48" s="46" t="n">
        <v>44</v>
      </c>
      <c r="C48" s="88"/>
      <c r="D48" s="47"/>
      <c r="E48" s="47"/>
      <c r="F48" s="47"/>
      <c r="G48" s="46"/>
      <c r="H48" s="56" t="str">
        <f aca="false">IF(OR(DecisionLog[[#This Row],[Decision]]="",DecisionLog[[#This Row],[Status]]&lt;&gt;"Proposed",N(DecisionLog[[#This Row],[Date]])=0),"",MAX(0,StatusDate-DecisionLog[[#This Row],[Date]]))</f>
        <v/>
      </c>
      <c r="I48" s="46"/>
      <c r="J48" s="24" t="str">
        <f aca="false">IF(N(DecisionLog[[#This Row],[Task UID]])=0,"",IFERROR(INDEX(tsk_Name,MATCH(DecisionLog[[#This Row],[Task UID]],tsk_UID,0)),"UID "&amp;DecisionLog[[#This Row],[Task UID]]&amp;" not found"))</f>
        <v/>
      </c>
      <c r="K48" s="46"/>
    </row>
    <row r="49" customFormat="false" ht="15" hidden="false" customHeight="false" outlineLevel="0" collapsed="false">
      <c r="B49" s="46" t="n">
        <v>45</v>
      </c>
      <c r="C49" s="88"/>
      <c r="D49" s="47"/>
      <c r="E49" s="47"/>
      <c r="F49" s="47"/>
      <c r="G49" s="46"/>
      <c r="H49" s="56" t="str">
        <f aca="false">IF(OR(DecisionLog[[#This Row],[Decision]]="",DecisionLog[[#This Row],[Status]]&lt;&gt;"Proposed",N(DecisionLog[[#This Row],[Date]])=0),"",MAX(0,StatusDate-DecisionLog[[#This Row],[Date]]))</f>
        <v/>
      </c>
      <c r="I49" s="46"/>
      <c r="J49" s="24" t="str">
        <f aca="false">IF(N(DecisionLog[[#This Row],[Task UID]])=0,"",IFERROR(INDEX(tsk_Name,MATCH(DecisionLog[[#This Row],[Task UID]],tsk_UID,0)),"UID "&amp;DecisionLog[[#This Row],[Task UID]]&amp;" not found"))</f>
        <v/>
      </c>
      <c r="K49" s="46"/>
    </row>
    <row r="50" customFormat="false" ht="15" hidden="false" customHeight="false" outlineLevel="0" collapsed="false">
      <c r="B50" s="46" t="n">
        <v>46</v>
      </c>
      <c r="C50" s="88"/>
      <c r="D50" s="47"/>
      <c r="E50" s="47"/>
      <c r="F50" s="47"/>
      <c r="G50" s="46"/>
      <c r="H50" s="56" t="str">
        <f aca="false">IF(OR(DecisionLog[[#This Row],[Decision]]="",DecisionLog[[#This Row],[Status]]&lt;&gt;"Proposed",N(DecisionLog[[#This Row],[Date]])=0),"",MAX(0,StatusDate-DecisionLog[[#This Row],[Date]]))</f>
        <v/>
      </c>
      <c r="I50" s="46"/>
      <c r="J50" s="24" t="str">
        <f aca="false">IF(N(DecisionLog[[#This Row],[Task UID]])=0,"",IFERROR(INDEX(tsk_Name,MATCH(DecisionLog[[#This Row],[Task UID]],tsk_UID,0)),"UID "&amp;DecisionLog[[#This Row],[Task UID]]&amp;" not found"))</f>
        <v/>
      </c>
      <c r="K50" s="46"/>
    </row>
    <row r="51" customFormat="false" ht="15" hidden="false" customHeight="false" outlineLevel="0" collapsed="false">
      <c r="B51" s="46" t="n">
        <v>47</v>
      </c>
      <c r="C51" s="88"/>
      <c r="D51" s="47"/>
      <c r="E51" s="47"/>
      <c r="F51" s="47"/>
      <c r="G51" s="46"/>
      <c r="H51" s="56" t="str">
        <f aca="false">IF(OR(DecisionLog[[#This Row],[Decision]]="",DecisionLog[[#This Row],[Status]]&lt;&gt;"Proposed",N(DecisionLog[[#This Row],[Date]])=0),"",MAX(0,StatusDate-DecisionLog[[#This Row],[Date]]))</f>
        <v/>
      </c>
      <c r="I51" s="46"/>
      <c r="J51" s="24" t="str">
        <f aca="false">IF(N(DecisionLog[[#This Row],[Task UID]])=0,"",IFERROR(INDEX(tsk_Name,MATCH(DecisionLog[[#This Row],[Task UID]],tsk_UID,0)),"UID "&amp;DecisionLog[[#This Row],[Task UID]]&amp;" not found"))</f>
        <v/>
      </c>
      <c r="K51" s="46"/>
    </row>
    <row r="52" customFormat="false" ht="15" hidden="false" customHeight="false" outlineLevel="0" collapsed="false">
      <c r="B52" s="46" t="n">
        <v>48</v>
      </c>
      <c r="C52" s="88"/>
      <c r="D52" s="47"/>
      <c r="E52" s="47"/>
      <c r="F52" s="47"/>
      <c r="G52" s="46"/>
      <c r="H52" s="56" t="str">
        <f aca="false">IF(OR(DecisionLog[[#This Row],[Decision]]="",DecisionLog[[#This Row],[Status]]&lt;&gt;"Proposed",N(DecisionLog[[#This Row],[Date]])=0),"",MAX(0,StatusDate-DecisionLog[[#This Row],[Date]]))</f>
        <v/>
      </c>
      <c r="I52" s="46"/>
      <c r="J52" s="24" t="str">
        <f aca="false">IF(N(DecisionLog[[#This Row],[Task UID]])=0,"",IFERROR(INDEX(tsk_Name,MATCH(DecisionLog[[#This Row],[Task UID]],tsk_UID,0)),"UID "&amp;DecisionLog[[#This Row],[Task UID]]&amp;" not found"))</f>
        <v/>
      </c>
      <c r="K52" s="46"/>
    </row>
    <row r="53" customFormat="false" ht="15" hidden="false" customHeight="false" outlineLevel="0" collapsed="false">
      <c r="B53" s="46" t="n">
        <v>49</v>
      </c>
      <c r="C53" s="88"/>
      <c r="D53" s="47"/>
      <c r="E53" s="47"/>
      <c r="F53" s="47"/>
      <c r="G53" s="46"/>
      <c r="H53" s="56" t="str">
        <f aca="false">IF(OR(DecisionLog[[#This Row],[Decision]]="",DecisionLog[[#This Row],[Status]]&lt;&gt;"Proposed",N(DecisionLog[[#This Row],[Date]])=0),"",MAX(0,StatusDate-DecisionLog[[#This Row],[Date]]))</f>
        <v/>
      </c>
      <c r="I53" s="46"/>
      <c r="J53" s="24" t="str">
        <f aca="false">IF(N(DecisionLog[[#This Row],[Task UID]])=0,"",IFERROR(INDEX(tsk_Name,MATCH(DecisionLog[[#This Row],[Task UID]],tsk_UID,0)),"UID "&amp;DecisionLog[[#This Row],[Task UID]]&amp;" not found"))</f>
        <v/>
      </c>
      <c r="K53" s="46"/>
    </row>
    <row r="54" customFormat="false" ht="15" hidden="false" customHeight="false" outlineLevel="0" collapsed="false">
      <c r="B54" s="46" t="n">
        <v>50</v>
      </c>
      <c r="C54" s="88"/>
      <c r="D54" s="47"/>
      <c r="E54" s="47"/>
      <c r="F54" s="47"/>
      <c r="G54" s="46"/>
      <c r="H54" s="56" t="str">
        <f aca="false">IF(OR(DecisionLog[[#This Row],[Decision]]="",DecisionLog[[#This Row],[Status]]&lt;&gt;"Proposed",N(DecisionLog[[#This Row],[Date]])=0),"",MAX(0,StatusDate-DecisionLog[[#This Row],[Date]]))</f>
        <v/>
      </c>
      <c r="I54" s="46"/>
      <c r="J54" s="24" t="str">
        <f aca="false">IF(N(DecisionLog[[#This Row],[Task UID]])=0,"",IFERROR(INDEX(tsk_Name,MATCH(DecisionLog[[#This Row],[Task UID]],tsk_UID,0)),"UID "&amp;DecisionLog[[#This Row],[Task UID]]&amp;" not found"))</f>
        <v/>
      </c>
      <c r="K54" s="46"/>
    </row>
    <row r="55" customFormat="false" ht="15" hidden="false" customHeight="false" outlineLevel="0" collapsed="false">
      <c r="B55" s="46" t="n">
        <v>51</v>
      </c>
      <c r="C55" s="88"/>
      <c r="D55" s="47"/>
      <c r="E55" s="47"/>
      <c r="F55" s="47"/>
      <c r="G55" s="46"/>
      <c r="H55" s="56" t="str">
        <f aca="false">IF(OR(DecisionLog[[#This Row],[Decision]]="",DecisionLog[[#This Row],[Status]]&lt;&gt;"Proposed",N(DecisionLog[[#This Row],[Date]])=0),"",MAX(0,StatusDate-DecisionLog[[#This Row],[Date]]))</f>
        <v/>
      </c>
      <c r="I55" s="46"/>
      <c r="J55" s="24" t="str">
        <f aca="false">IF(N(DecisionLog[[#This Row],[Task UID]])=0,"",IFERROR(INDEX(tsk_Name,MATCH(DecisionLog[[#This Row],[Task UID]],tsk_UID,0)),"UID "&amp;DecisionLog[[#This Row],[Task UID]]&amp;" not found"))</f>
        <v/>
      </c>
      <c r="K55" s="46"/>
    </row>
    <row r="56" customFormat="false" ht="15" hidden="false" customHeight="false" outlineLevel="0" collapsed="false">
      <c r="B56" s="46" t="n">
        <v>52</v>
      </c>
      <c r="C56" s="88"/>
      <c r="D56" s="47"/>
      <c r="E56" s="47"/>
      <c r="F56" s="47"/>
      <c r="G56" s="46"/>
      <c r="H56" s="56" t="str">
        <f aca="false">IF(OR(DecisionLog[[#This Row],[Decision]]="",DecisionLog[[#This Row],[Status]]&lt;&gt;"Proposed",N(DecisionLog[[#This Row],[Date]])=0),"",MAX(0,StatusDate-DecisionLog[[#This Row],[Date]]))</f>
        <v/>
      </c>
      <c r="I56" s="46"/>
      <c r="J56" s="24" t="str">
        <f aca="false">IF(N(DecisionLog[[#This Row],[Task UID]])=0,"",IFERROR(INDEX(tsk_Name,MATCH(DecisionLog[[#This Row],[Task UID]],tsk_UID,0)),"UID "&amp;DecisionLog[[#This Row],[Task UID]]&amp;" not found"))</f>
        <v/>
      </c>
      <c r="K56" s="46"/>
    </row>
    <row r="57" customFormat="false" ht="15" hidden="false" customHeight="false" outlineLevel="0" collapsed="false">
      <c r="B57" s="46" t="n">
        <v>53</v>
      </c>
      <c r="C57" s="88"/>
      <c r="D57" s="47"/>
      <c r="E57" s="47"/>
      <c r="F57" s="47"/>
      <c r="G57" s="46"/>
      <c r="H57" s="56" t="str">
        <f aca="false">IF(OR(DecisionLog[[#This Row],[Decision]]="",DecisionLog[[#This Row],[Status]]&lt;&gt;"Proposed",N(DecisionLog[[#This Row],[Date]])=0),"",MAX(0,StatusDate-DecisionLog[[#This Row],[Date]]))</f>
        <v/>
      </c>
      <c r="I57" s="46"/>
      <c r="J57" s="24" t="str">
        <f aca="false">IF(N(DecisionLog[[#This Row],[Task UID]])=0,"",IFERROR(INDEX(tsk_Name,MATCH(DecisionLog[[#This Row],[Task UID]],tsk_UID,0)),"UID "&amp;DecisionLog[[#This Row],[Task UID]]&amp;" not found"))</f>
        <v/>
      </c>
      <c r="K57" s="46"/>
    </row>
    <row r="58" customFormat="false" ht="15" hidden="false" customHeight="false" outlineLevel="0" collapsed="false">
      <c r="B58" s="46" t="n">
        <v>54</v>
      </c>
      <c r="C58" s="88"/>
      <c r="D58" s="47"/>
      <c r="E58" s="47"/>
      <c r="F58" s="47"/>
      <c r="G58" s="46"/>
      <c r="H58" s="56" t="str">
        <f aca="false">IF(OR(DecisionLog[[#This Row],[Decision]]="",DecisionLog[[#This Row],[Status]]&lt;&gt;"Proposed",N(DecisionLog[[#This Row],[Date]])=0),"",MAX(0,StatusDate-DecisionLog[[#This Row],[Date]]))</f>
        <v/>
      </c>
      <c r="I58" s="46"/>
      <c r="J58" s="24" t="str">
        <f aca="false">IF(N(DecisionLog[[#This Row],[Task UID]])=0,"",IFERROR(INDEX(tsk_Name,MATCH(DecisionLog[[#This Row],[Task UID]],tsk_UID,0)),"UID "&amp;DecisionLog[[#This Row],[Task UID]]&amp;" not found"))</f>
        <v/>
      </c>
      <c r="K58" s="46"/>
    </row>
    <row r="59" customFormat="false" ht="15" hidden="false" customHeight="false" outlineLevel="0" collapsed="false">
      <c r="B59" s="46" t="n">
        <v>55</v>
      </c>
      <c r="C59" s="88"/>
      <c r="D59" s="47"/>
      <c r="E59" s="47"/>
      <c r="F59" s="47"/>
      <c r="G59" s="46"/>
      <c r="H59" s="56" t="str">
        <f aca="false">IF(OR(DecisionLog[[#This Row],[Decision]]="",DecisionLog[[#This Row],[Status]]&lt;&gt;"Proposed",N(DecisionLog[[#This Row],[Date]])=0),"",MAX(0,StatusDate-DecisionLog[[#This Row],[Date]]))</f>
        <v/>
      </c>
      <c r="I59" s="46"/>
      <c r="J59" s="24" t="str">
        <f aca="false">IF(N(DecisionLog[[#This Row],[Task UID]])=0,"",IFERROR(INDEX(tsk_Name,MATCH(DecisionLog[[#This Row],[Task UID]],tsk_UID,0)),"UID "&amp;DecisionLog[[#This Row],[Task UID]]&amp;" not found"))</f>
        <v/>
      </c>
      <c r="K59" s="46"/>
    </row>
    <row r="60" customFormat="false" ht="15" hidden="false" customHeight="false" outlineLevel="0" collapsed="false">
      <c r="B60" s="46" t="n">
        <v>56</v>
      </c>
      <c r="C60" s="88"/>
      <c r="D60" s="47"/>
      <c r="E60" s="47"/>
      <c r="F60" s="47"/>
      <c r="G60" s="46"/>
      <c r="H60" s="56" t="str">
        <f aca="false">IF(OR(DecisionLog[[#This Row],[Decision]]="",DecisionLog[[#This Row],[Status]]&lt;&gt;"Proposed",N(DecisionLog[[#This Row],[Date]])=0),"",MAX(0,StatusDate-DecisionLog[[#This Row],[Date]]))</f>
        <v/>
      </c>
      <c r="I60" s="46"/>
      <c r="J60" s="24" t="str">
        <f aca="false">IF(N(DecisionLog[[#This Row],[Task UID]])=0,"",IFERROR(INDEX(tsk_Name,MATCH(DecisionLog[[#This Row],[Task UID]],tsk_UID,0)),"UID "&amp;DecisionLog[[#This Row],[Task UID]]&amp;" not found"))</f>
        <v/>
      </c>
      <c r="K60" s="46"/>
    </row>
    <row r="61" customFormat="false" ht="15" hidden="false" customHeight="false" outlineLevel="0" collapsed="false">
      <c r="B61" s="46" t="n">
        <v>57</v>
      </c>
      <c r="C61" s="88"/>
      <c r="D61" s="47"/>
      <c r="E61" s="47"/>
      <c r="F61" s="47"/>
      <c r="G61" s="46"/>
      <c r="H61" s="56" t="str">
        <f aca="false">IF(OR(DecisionLog[[#This Row],[Decision]]="",DecisionLog[[#This Row],[Status]]&lt;&gt;"Proposed",N(DecisionLog[[#This Row],[Date]])=0),"",MAX(0,StatusDate-DecisionLog[[#This Row],[Date]]))</f>
        <v/>
      </c>
      <c r="I61" s="46"/>
      <c r="J61" s="24" t="str">
        <f aca="false">IF(N(DecisionLog[[#This Row],[Task UID]])=0,"",IFERROR(INDEX(tsk_Name,MATCH(DecisionLog[[#This Row],[Task UID]],tsk_UID,0)),"UID "&amp;DecisionLog[[#This Row],[Task UID]]&amp;" not found"))</f>
        <v/>
      </c>
      <c r="K61" s="46"/>
    </row>
    <row r="62" customFormat="false" ht="15" hidden="false" customHeight="false" outlineLevel="0" collapsed="false">
      <c r="B62" s="46" t="n">
        <v>58</v>
      </c>
      <c r="C62" s="88"/>
      <c r="D62" s="47"/>
      <c r="E62" s="47"/>
      <c r="F62" s="47"/>
      <c r="G62" s="46"/>
      <c r="H62" s="56" t="str">
        <f aca="false">IF(OR(DecisionLog[[#This Row],[Decision]]="",DecisionLog[[#This Row],[Status]]&lt;&gt;"Proposed",N(DecisionLog[[#This Row],[Date]])=0),"",MAX(0,StatusDate-DecisionLog[[#This Row],[Date]]))</f>
        <v/>
      </c>
      <c r="I62" s="46"/>
      <c r="J62" s="24" t="str">
        <f aca="false">IF(N(DecisionLog[[#This Row],[Task UID]])=0,"",IFERROR(INDEX(tsk_Name,MATCH(DecisionLog[[#This Row],[Task UID]],tsk_UID,0)),"UID "&amp;DecisionLog[[#This Row],[Task UID]]&amp;" not found"))</f>
        <v/>
      </c>
      <c r="K62" s="46"/>
    </row>
    <row r="63" customFormat="false" ht="15" hidden="false" customHeight="false" outlineLevel="0" collapsed="false">
      <c r="B63" s="46" t="n">
        <v>59</v>
      </c>
      <c r="C63" s="88"/>
      <c r="D63" s="47"/>
      <c r="E63" s="47"/>
      <c r="F63" s="47"/>
      <c r="G63" s="46"/>
      <c r="H63" s="56" t="str">
        <f aca="false">IF(OR(DecisionLog[[#This Row],[Decision]]="",DecisionLog[[#This Row],[Status]]&lt;&gt;"Proposed",N(DecisionLog[[#This Row],[Date]])=0),"",MAX(0,StatusDate-DecisionLog[[#This Row],[Date]]))</f>
        <v/>
      </c>
      <c r="I63" s="46"/>
      <c r="J63" s="24" t="str">
        <f aca="false">IF(N(DecisionLog[[#This Row],[Task UID]])=0,"",IFERROR(INDEX(tsk_Name,MATCH(DecisionLog[[#This Row],[Task UID]],tsk_UID,0)),"UID "&amp;DecisionLog[[#This Row],[Task UID]]&amp;" not found"))</f>
        <v/>
      </c>
      <c r="K63" s="46"/>
    </row>
    <row r="64" customFormat="false" ht="15" hidden="false" customHeight="false" outlineLevel="0" collapsed="false">
      <c r="B64" s="46" t="n">
        <v>60</v>
      </c>
      <c r="C64" s="88"/>
      <c r="D64" s="47"/>
      <c r="E64" s="47"/>
      <c r="F64" s="47"/>
      <c r="G64" s="46"/>
      <c r="H64" s="56" t="str">
        <f aca="false">IF(OR(DecisionLog[[#This Row],[Decision]]="",DecisionLog[[#This Row],[Status]]&lt;&gt;"Proposed",N(DecisionLog[[#This Row],[Date]])=0),"",MAX(0,StatusDate-DecisionLog[[#This Row],[Date]]))</f>
        <v/>
      </c>
      <c r="I64" s="46"/>
      <c r="J64" s="24" t="str">
        <f aca="false">IF(N(DecisionLog[[#This Row],[Task UID]])=0,"",IFERROR(INDEX(tsk_Name,MATCH(DecisionLog[[#This Row],[Task UID]],tsk_UID,0)),"UID "&amp;DecisionLog[[#This Row],[Task UID]]&amp;" not found"))</f>
        <v/>
      </c>
      <c r="K64" s="46"/>
    </row>
    <row r="65" customFormat="false" ht="15" hidden="false" customHeight="false" outlineLevel="0" collapsed="false">
      <c r="B65" s="46" t="n">
        <v>61</v>
      </c>
      <c r="C65" s="88"/>
      <c r="D65" s="47"/>
      <c r="E65" s="47"/>
      <c r="F65" s="47"/>
      <c r="G65" s="46"/>
      <c r="H65" s="56" t="str">
        <f aca="false">IF(OR(DecisionLog[[#This Row],[Decision]]="",DecisionLog[[#This Row],[Status]]&lt;&gt;"Proposed",N(DecisionLog[[#This Row],[Date]])=0),"",MAX(0,StatusDate-DecisionLog[[#This Row],[Date]]))</f>
        <v/>
      </c>
      <c r="I65" s="46"/>
      <c r="J65" s="24" t="str">
        <f aca="false">IF(N(DecisionLog[[#This Row],[Task UID]])=0,"",IFERROR(INDEX(tsk_Name,MATCH(DecisionLog[[#This Row],[Task UID]],tsk_UID,0)),"UID "&amp;DecisionLog[[#This Row],[Task UID]]&amp;" not found"))</f>
        <v/>
      </c>
      <c r="K65" s="46"/>
    </row>
    <row r="66" customFormat="false" ht="15" hidden="false" customHeight="false" outlineLevel="0" collapsed="false">
      <c r="B66" s="46" t="n">
        <v>62</v>
      </c>
      <c r="C66" s="88"/>
      <c r="D66" s="47"/>
      <c r="E66" s="47"/>
      <c r="F66" s="47"/>
      <c r="G66" s="46"/>
      <c r="H66" s="56" t="str">
        <f aca="false">IF(OR(DecisionLog[[#This Row],[Decision]]="",DecisionLog[[#This Row],[Status]]&lt;&gt;"Proposed",N(DecisionLog[[#This Row],[Date]])=0),"",MAX(0,StatusDate-DecisionLog[[#This Row],[Date]]))</f>
        <v/>
      </c>
      <c r="I66" s="46"/>
      <c r="J66" s="24" t="str">
        <f aca="false">IF(N(DecisionLog[[#This Row],[Task UID]])=0,"",IFERROR(INDEX(tsk_Name,MATCH(DecisionLog[[#This Row],[Task UID]],tsk_UID,0)),"UID "&amp;DecisionLog[[#This Row],[Task UID]]&amp;" not found"))</f>
        <v/>
      </c>
      <c r="K66" s="46"/>
    </row>
    <row r="67" customFormat="false" ht="15" hidden="false" customHeight="false" outlineLevel="0" collapsed="false">
      <c r="B67" s="46" t="n">
        <v>63</v>
      </c>
      <c r="C67" s="88"/>
      <c r="D67" s="47"/>
      <c r="E67" s="47"/>
      <c r="F67" s="47"/>
      <c r="G67" s="46"/>
      <c r="H67" s="56" t="str">
        <f aca="false">IF(OR(DecisionLog[[#This Row],[Decision]]="",DecisionLog[[#This Row],[Status]]&lt;&gt;"Proposed",N(DecisionLog[[#This Row],[Date]])=0),"",MAX(0,StatusDate-DecisionLog[[#This Row],[Date]]))</f>
        <v/>
      </c>
      <c r="I67" s="46"/>
      <c r="J67" s="24" t="str">
        <f aca="false">IF(N(DecisionLog[[#This Row],[Task UID]])=0,"",IFERROR(INDEX(tsk_Name,MATCH(DecisionLog[[#This Row],[Task UID]],tsk_UID,0)),"UID "&amp;DecisionLog[[#This Row],[Task UID]]&amp;" not found"))</f>
        <v/>
      </c>
      <c r="K67" s="46"/>
    </row>
    <row r="68" customFormat="false" ht="15" hidden="false" customHeight="false" outlineLevel="0" collapsed="false">
      <c r="B68" s="46" t="n">
        <v>64</v>
      </c>
      <c r="C68" s="88"/>
      <c r="D68" s="47"/>
      <c r="E68" s="47"/>
      <c r="F68" s="47"/>
      <c r="G68" s="46"/>
      <c r="H68" s="56" t="str">
        <f aca="false">IF(OR(DecisionLog[[#This Row],[Decision]]="",DecisionLog[[#This Row],[Status]]&lt;&gt;"Proposed",N(DecisionLog[[#This Row],[Date]])=0),"",MAX(0,StatusDate-DecisionLog[[#This Row],[Date]]))</f>
        <v/>
      </c>
      <c r="I68" s="46"/>
      <c r="J68" s="24" t="str">
        <f aca="false">IF(N(DecisionLog[[#This Row],[Task UID]])=0,"",IFERROR(INDEX(tsk_Name,MATCH(DecisionLog[[#This Row],[Task UID]],tsk_UID,0)),"UID "&amp;DecisionLog[[#This Row],[Task UID]]&amp;" not found"))</f>
        <v/>
      </c>
      <c r="K68" s="46"/>
    </row>
    <row r="69" customFormat="false" ht="15" hidden="false" customHeight="false" outlineLevel="0" collapsed="false">
      <c r="B69" s="46" t="n">
        <v>65</v>
      </c>
      <c r="C69" s="88"/>
      <c r="D69" s="47"/>
      <c r="E69" s="47"/>
      <c r="F69" s="47"/>
      <c r="G69" s="46"/>
      <c r="H69" s="56" t="str">
        <f aca="false">IF(OR(DecisionLog[[#This Row],[Decision]]="",DecisionLog[[#This Row],[Status]]&lt;&gt;"Proposed",N(DecisionLog[[#This Row],[Date]])=0),"",MAX(0,StatusDate-DecisionLog[[#This Row],[Date]]))</f>
        <v/>
      </c>
      <c r="I69" s="46"/>
      <c r="J69" s="24" t="str">
        <f aca="false">IF(N(DecisionLog[[#This Row],[Task UID]])=0,"",IFERROR(INDEX(tsk_Name,MATCH(DecisionLog[[#This Row],[Task UID]],tsk_UID,0)),"UID "&amp;DecisionLog[[#This Row],[Task UID]]&amp;" not found"))</f>
        <v/>
      </c>
      <c r="K69" s="46"/>
    </row>
    <row r="70" customFormat="false" ht="15" hidden="false" customHeight="false" outlineLevel="0" collapsed="false">
      <c r="B70" s="46" t="n">
        <v>66</v>
      </c>
      <c r="C70" s="88"/>
      <c r="D70" s="47"/>
      <c r="E70" s="47"/>
      <c r="F70" s="47"/>
      <c r="G70" s="46"/>
      <c r="H70" s="56" t="str">
        <f aca="false">IF(OR(DecisionLog[[#This Row],[Decision]]="",DecisionLog[[#This Row],[Status]]&lt;&gt;"Proposed",N(DecisionLog[[#This Row],[Date]])=0),"",MAX(0,StatusDate-DecisionLog[[#This Row],[Date]]))</f>
        <v/>
      </c>
      <c r="I70" s="46"/>
      <c r="J70" s="24" t="str">
        <f aca="false">IF(N(DecisionLog[[#This Row],[Task UID]])=0,"",IFERROR(INDEX(tsk_Name,MATCH(DecisionLog[[#This Row],[Task UID]],tsk_UID,0)),"UID "&amp;DecisionLog[[#This Row],[Task UID]]&amp;" not found"))</f>
        <v/>
      </c>
      <c r="K70" s="46"/>
    </row>
    <row r="71" customFormat="false" ht="15" hidden="false" customHeight="false" outlineLevel="0" collapsed="false">
      <c r="B71" s="46" t="n">
        <v>67</v>
      </c>
      <c r="C71" s="88"/>
      <c r="D71" s="47"/>
      <c r="E71" s="47"/>
      <c r="F71" s="47"/>
      <c r="G71" s="46"/>
      <c r="H71" s="56" t="str">
        <f aca="false">IF(OR(DecisionLog[[#This Row],[Decision]]="",DecisionLog[[#This Row],[Status]]&lt;&gt;"Proposed",N(DecisionLog[[#This Row],[Date]])=0),"",MAX(0,StatusDate-DecisionLog[[#This Row],[Date]]))</f>
        <v/>
      </c>
      <c r="I71" s="46"/>
      <c r="J71" s="24" t="str">
        <f aca="false">IF(N(DecisionLog[[#This Row],[Task UID]])=0,"",IFERROR(INDEX(tsk_Name,MATCH(DecisionLog[[#This Row],[Task UID]],tsk_UID,0)),"UID "&amp;DecisionLog[[#This Row],[Task UID]]&amp;" not found"))</f>
        <v/>
      </c>
      <c r="K71" s="46"/>
    </row>
    <row r="72" customFormat="false" ht="15" hidden="false" customHeight="false" outlineLevel="0" collapsed="false">
      <c r="B72" s="46" t="n">
        <v>68</v>
      </c>
      <c r="C72" s="88"/>
      <c r="D72" s="47"/>
      <c r="E72" s="47"/>
      <c r="F72" s="47"/>
      <c r="G72" s="46"/>
      <c r="H72" s="56" t="str">
        <f aca="false">IF(OR(DecisionLog[[#This Row],[Decision]]="",DecisionLog[[#This Row],[Status]]&lt;&gt;"Proposed",N(DecisionLog[[#This Row],[Date]])=0),"",MAX(0,StatusDate-DecisionLog[[#This Row],[Date]]))</f>
        <v/>
      </c>
      <c r="I72" s="46"/>
      <c r="J72" s="24" t="str">
        <f aca="false">IF(N(DecisionLog[[#This Row],[Task UID]])=0,"",IFERROR(INDEX(tsk_Name,MATCH(DecisionLog[[#This Row],[Task UID]],tsk_UID,0)),"UID "&amp;DecisionLog[[#This Row],[Task UID]]&amp;" not found"))</f>
        <v/>
      </c>
      <c r="K72" s="46"/>
    </row>
    <row r="73" customFormat="false" ht="15" hidden="false" customHeight="false" outlineLevel="0" collapsed="false">
      <c r="B73" s="46" t="n">
        <v>69</v>
      </c>
      <c r="C73" s="88"/>
      <c r="D73" s="47"/>
      <c r="E73" s="47"/>
      <c r="F73" s="47"/>
      <c r="G73" s="46"/>
      <c r="H73" s="56" t="str">
        <f aca="false">IF(OR(DecisionLog[[#This Row],[Decision]]="",DecisionLog[[#This Row],[Status]]&lt;&gt;"Proposed",N(DecisionLog[[#This Row],[Date]])=0),"",MAX(0,StatusDate-DecisionLog[[#This Row],[Date]]))</f>
        <v/>
      </c>
      <c r="I73" s="46"/>
      <c r="J73" s="24" t="str">
        <f aca="false">IF(N(DecisionLog[[#This Row],[Task UID]])=0,"",IFERROR(INDEX(tsk_Name,MATCH(DecisionLog[[#This Row],[Task UID]],tsk_UID,0)),"UID "&amp;DecisionLog[[#This Row],[Task UID]]&amp;" not found"))</f>
        <v/>
      </c>
      <c r="K73" s="46"/>
    </row>
    <row r="74" customFormat="false" ht="15" hidden="false" customHeight="false" outlineLevel="0" collapsed="false">
      <c r="B74" s="46" t="n">
        <v>70</v>
      </c>
      <c r="C74" s="88"/>
      <c r="D74" s="47"/>
      <c r="E74" s="47"/>
      <c r="F74" s="47"/>
      <c r="G74" s="46"/>
      <c r="H74" s="56" t="str">
        <f aca="false">IF(OR(DecisionLog[[#This Row],[Decision]]="",DecisionLog[[#This Row],[Status]]&lt;&gt;"Proposed",N(DecisionLog[[#This Row],[Date]])=0),"",MAX(0,StatusDate-DecisionLog[[#This Row],[Date]]))</f>
        <v/>
      </c>
      <c r="I74" s="46"/>
      <c r="J74" s="24" t="str">
        <f aca="false">IF(N(DecisionLog[[#This Row],[Task UID]])=0,"",IFERROR(INDEX(tsk_Name,MATCH(DecisionLog[[#This Row],[Task UID]],tsk_UID,0)),"UID "&amp;DecisionLog[[#This Row],[Task UID]]&amp;" not found"))</f>
        <v/>
      </c>
      <c r="K74" s="46"/>
    </row>
    <row r="75" customFormat="false" ht="15" hidden="false" customHeight="false" outlineLevel="0" collapsed="false">
      <c r="B75" s="46" t="n">
        <v>71</v>
      </c>
      <c r="C75" s="88"/>
      <c r="D75" s="47"/>
      <c r="E75" s="47"/>
      <c r="F75" s="47"/>
      <c r="G75" s="46"/>
      <c r="H75" s="56" t="str">
        <f aca="false">IF(OR(DecisionLog[[#This Row],[Decision]]="",DecisionLog[[#This Row],[Status]]&lt;&gt;"Proposed",N(DecisionLog[[#This Row],[Date]])=0),"",MAX(0,StatusDate-DecisionLog[[#This Row],[Date]]))</f>
        <v/>
      </c>
      <c r="I75" s="46"/>
      <c r="J75" s="24" t="str">
        <f aca="false">IF(N(DecisionLog[[#This Row],[Task UID]])=0,"",IFERROR(INDEX(tsk_Name,MATCH(DecisionLog[[#This Row],[Task UID]],tsk_UID,0)),"UID "&amp;DecisionLog[[#This Row],[Task UID]]&amp;" not found"))</f>
        <v/>
      </c>
      <c r="K75" s="46"/>
    </row>
    <row r="76" customFormat="false" ht="15" hidden="false" customHeight="false" outlineLevel="0" collapsed="false">
      <c r="B76" s="46" t="n">
        <v>72</v>
      </c>
      <c r="C76" s="88"/>
      <c r="D76" s="47"/>
      <c r="E76" s="47"/>
      <c r="F76" s="47"/>
      <c r="G76" s="46"/>
      <c r="H76" s="56" t="str">
        <f aca="false">IF(OR(DecisionLog[[#This Row],[Decision]]="",DecisionLog[[#This Row],[Status]]&lt;&gt;"Proposed",N(DecisionLog[[#This Row],[Date]])=0),"",MAX(0,StatusDate-DecisionLog[[#This Row],[Date]]))</f>
        <v/>
      </c>
      <c r="I76" s="46"/>
      <c r="J76" s="24" t="str">
        <f aca="false">IF(N(DecisionLog[[#This Row],[Task UID]])=0,"",IFERROR(INDEX(tsk_Name,MATCH(DecisionLog[[#This Row],[Task UID]],tsk_UID,0)),"UID "&amp;DecisionLog[[#This Row],[Task UID]]&amp;" not found"))</f>
        <v/>
      </c>
      <c r="K76" s="46"/>
    </row>
    <row r="77" customFormat="false" ht="15" hidden="false" customHeight="false" outlineLevel="0" collapsed="false">
      <c r="B77" s="46" t="n">
        <v>73</v>
      </c>
      <c r="C77" s="88"/>
      <c r="D77" s="47"/>
      <c r="E77" s="47"/>
      <c r="F77" s="47"/>
      <c r="G77" s="46"/>
      <c r="H77" s="56" t="str">
        <f aca="false">IF(OR(DecisionLog[[#This Row],[Decision]]="",DecisionLog[[#This Row],[Status]]&lt;&gt;"Proposed",N(DecisionLog[[#This Row],[Date]])=0),"",MAX(0,StatusDate-DecisionLog[[#This Row],[Date]]))</f>
        <v/>
      </c>
      <c r="I77" s="46"/>
      <c r="J77" s="24" t="str">
        <f aca="false">IF(N(DecisionLog[[#This Row],[Task UID]])=0,"",IFERROR(INDEX(tsk_Name,MATCH(DecisionLog[[#This Row],[Task UID]],tsk_UID,0)),"UID "&amp;DecisionLog[[#This Row],[Task UID]]&amp;" not found"))</f>
        <v/>
      </c>
      <c r="K77" s="46"/>
    </row>
    <row r="78" customFormat="false" ht="15" hidden="false" customHeight="false" outlineLevel="0" collapsed="false">
      <c r="B78" s="46" t="n">
        <v>74</v>
      </c>
      <c r="C78" s="88"/>
      <c r="D78" s="47"/>
      <c r="E78" s="47"/>
      <c r="F78" s="47"/>
      <c r="G78" s="46"/>
      <c r="H78" s="56" t="str">
        <f aca="false">IF(OR(DecisionLog[[#This Row],[Decision]]="",DecisionLog[[#This Row],[Status]]&lt;&gt;"Proposed",N(DecisionLog[[#This Row],[Date]])=0),"",MAX(0,StatusDate-DecisionLog[[#This Row],[Date]]))</f>
        <v/>
      </c>
      <c r="I78" s="46"/>
      <c r="J78" s="24" t="str">
        <f aca="false">IF(N(DecisionLog[[#This Row],[Task UID]])=0,"",IFERROR(INDEX(tsk_Name,MATCH(DecisionLog[[#This Row],[Task UID]],tsk_UID,0)),"UID "&amp;DecisionLog[[#This Row],[Task UID]]&amp;" not found"))</f>
        <v/>
      </c>
      <c r="K78" s="46"/>
    </row>
    <row r="79" customFormat="false" ht="15" hidden="false" customHeight="false" outlineLevel="0" collapsed="false">
      <c r="B79" s="46" t="n">
        <v>75</v>
      </c>
      <c r="C79" s="88"/>
      <c r="D79" s="47"/>
      <c r="E79" s="47"/>
      <c r="F79" s="47"/>
      <c r="G79" s="46"/>
      <c r="H79" s="56" t="str">
        <f aca="false">IF(OR(DecisionLog[[#This Row],[Decision]]="",DecisionLog[[#This Row],[Status]]&lt;&gt;"Proposed",N(DecisionLog[[#This Row],[Date]])=0),"",MAX(0,StatusDate-DecisionLog[[#This Row],[Date]]))</f>
        <v/>
      </c>
      <c r="I79" s="46"/>
      <c r="J79" s="24" t="str">
        <f aca="false">IF(N(DecisionLog[[#This Row],[Task UID]])=0,"",IFERROR(INDEX(tsk_Name,MATCH(DecisionLog[[#This Row],[Task UID]],tsk_UID,0)),"UID "&amp;DecisionLog[[#This Row],[Task UID]]&amp;" not found"))</f>
        <v/>
      </c>
      <c r="K79" s="46"/>
    </row>
    <row r="80" customFormat="false" ht="15" hidden="false" customHeight="false" outlineLevel="0" collapsed="false">
      <c r="B80" s="46" t="n">
        <v>76</v>
      </c>
      <c r="C80" s="88"/>
      <c r="D80" s="47"/>
      <c r="E80" s="47"/>
      <c r="F80" s="47"/>
      <c r="G80" s="46"/>
      <c r="H80" s="56" t="str">
        <f aca="false">IF(OR(DecisionLog[[#This Row],[Decision]]="",DecisionLog[[#This Row],[Status]]&lt;&gt;"Proposed",N(DecisionLog[[#This Row],[Date]])=0),"",MAX(0,StatusDate-DecisionLog[[#This Row],[Date]]))</f>
        <v/>
      </c>
      <c r="I80" s="46"/>
      <c r="J80" s="24" t="str">
        <f aca="false">IF(N(DecisionLog[[#This Row],[Task UID]])=0,"",IFERROR(INDEX(tsk_Name,MATCH(DecisionLog[[#This Row],[Task UID]],tsk_UID,0)),"UID "&amp;DecisionLog[[#This Row],[Task UID]]&amp;" not found"))</f>
        <v/>
      </c>
      <c r="K80" s="46"/>
    </row>
    <row r="81" customFormat="false" ht="15" hidden="false" customHeight="false" outlineLevel="0" collapsed="false">
      <c r="B81" s="46" t="n">
        <v>77</v>
      </c>
      <c r="C81" s="88"/>
      <c r="D81" s="47"/>
      <c r="E81" s="47"/>
      <c r="F81" s="47"/>
      <c r="G81" s="46"/>
      <c r="H81" s="56" t="str">
        <f aca="false">IF(OR(DecisionLog[[#This Row],[Decision]]="",DecisionLog[[#This Row],[Status]]&lt;&gt;"Proposed",N(DecisionLog[[#This Row],[Date]])=0),"",MAX(0,StatusDate-DecisionLog[[#This Row],[Date]]))</f>
        <v/>
      </c>
      <c r="I81" s="46"/>
      <c r="J81" s="24" t="str">
        <f aca="false">IF(N(DecisionLog[[#This Row],[Task UID]])=0,"",IFERROR(INDEX(tsk_Name,MATCH(DecisionLog[[#This Row],[Task UID]],tsk_UID,0)),"UID "&amp;DecisionLog[[#This Row],[Task UID]]&amp;" not found"))</f>
        <v/>
      </c>
      <c r="K81" s="46"/>
    </row>
    <row r="82" customFormat="false" ht="15" hidden="false" customHeight="false" outlineLevel="0" collapsed="false">
      <c r="B82" s="46" t="n">
        <v>78</v>
      </c>
      <c r="C82" s="88"/>
      <c r="D82" s="47"/>
      <c r="E82" s="47"/>
      <c r="F82" s="47"/>
      <c r="G82" s="46"/>
      <c r="H82" s="56" t="str">
        <f aca="false">IF(OR(DecisionLog[[#This Row],[Decision]]="",DecisionLog[[#This Row],[Status]]&lt;&gt;"Proposed",N(DecisionLog[[#This Row],[Date]])=0),"",MAX(0,StatusDate-DecisionLog[[#This Row],[Date]]))</f>
        <v/>
      </c>
      <c r="I82" s="46"/>
      <c r="J82" s="24" t="str">
        <f aca="false">IF(N(DecisionLog[[#This Row],[Task UID]])=0,"",IFERROR(INDEX(tsk_Name,MATCH(DecisionLog[[#This Row],[Task UID]],tsk_UID,0)),"UID "&amp;DecisionLog[[#This Row],[Task UID]]&amp;" not found"))</f>
        <v/>
      </c>
      <c r="K82" s="46"/>
    </row>
    <row r="83" customFormat="false" ht="15" hidden="false" customHeight="false" outlineLevel="0" collapsed="false">
      <c r="B83" s="46" t="n">
        <v>79</v>
      </c>
      <c r="C83" s="88"/>
      <c r="D83" s="47"/>
      <c r="E83" s="47"/>
      <c r="F83" s="47"/>
      <c r="G83" s="46"/>
      <c r="H83" s="56" t="str">
        <f aca="false">IF(OR(DecisionLog[[#This Row],[Decision]]="",DecisionLog[[#This Row],[Status]]&lt;&gt;"Proposed",N(DecisionLog[[#This Row],[Date]])=0),"",MAX(0,StatusDate-DecisionLog[[#This Row],[Date]]))</f>
        <v/>
      </c>
      <c r="I83" s="46"/>
      <c r="J83" s="24" t="str">
        <f aca="false">IF(N(DecisionLog[[#This Row],[Task UID]])=0,"",IFERROR(INDEX(tsk_Name,MATCH(DecisionLog[[#This Row],[Task UID]],tsk_UID,0)),"UID "&amp;DecisionLog[[#This Row],[Task UID]]&amp;" not found"))</f>
        <v/>
      </c>
      <c r="K83" s="46"/>
    </row>
    <row r="84" customFormat="false" ht="15" hidden="false" customHeight="false" outlineLevel="0" collapsed="false">
      <c r="B84" s="46" t="n">
        <v>80</v>
      </c>
      <c r="C84" s="88"/>
      <c r="D84" s="47"/>
      <c r="E84" s="47"/>
      <c r="F84" s="47"/>
      <c r="G84" s="46"/>
      <c r="H84" s="56" t="str">
        <f aca="false">IF(OR(DecisionLog[[#This Row],[Decision]]="",DecisionLog[[#This Row],[Status]]&lt;&gt;"Proposed",N(DecisionLog[[#This Row],[Date]])=0),"",MAX(0,StatusDate-DecisionLog[[#This Row],[Date]]))</f>
        <v/>
      </c>
      <c r="I84" s="46"/>
      <c r="J84" s="24" t="str">
        <f aca="false">IF(N(DecisionLog[[#This Row],[Task UID]])=0,"",IFERROR(INDEX(tsk_Name,MATCH(DecisionLog[[#This Row],[Task UID]],tsk_UID,0)),"UID "&amp;DecisionLog[[#This Row],[Task UID]]&amp;" not found"))</f>
        <v/>
      </c>
      <c r="K84" s="46"/>
    </row>
    <row r="85" customFormat="false" ht="15" hidden="false" customHeight="false" outlineLevel="0" collapsed="false">
      <c r="B85" s="46" t="n">
        <v>81</v>
      </c>
      <c r="C85" s="88"/>
      <c r="D85" s="47"/>
      <c r="E85" s="47"/>
      <c r="F85" s="47"/>
      <c r="G85" s="46"/>
      <c r="H85" s="56" t="str">
        <f aca="false">IF(OR(DecisionLog[[#This Row],[Decision]]="",DecisionLog[[#This Row],[Status]]&lt;&gt;"Proposed",N(DecisionLog[[#This Row],[Date]])=0),"",MAX(0,StatusDate-DecisionLog[[#This Row],[Date]]))</f>
        <v/>
      </c>
      <c r="I85" s="46"/>
      <c r="J85" s="24" t="str">
        <f aca="false">IF(N(DecisionLog[[#This Row],[Task UID]])=0,"",IFERROR(INDEX(tsk_Name,MATCH(DecisionLog[[#This Row],[Task UID]],tsk_UID,0)),"UID "&amp;DecisionLog[[#This Row],[Task UID]]&amp;" not found"))</f>
        <v/>
      </c>
      <c r="K85" s="46"/>
    </row>
    <row r="86" customFormat="false" ht="15" hidden="false" customHeight="false" outlineLevel="0" collapsed="false">
      <c r="B86" s="46" t="n">
        <v>82</v>
      </c>
      <c r="C86" s="88"/>
      <c r="D86" s="47"/>
      <c r="E86" s="47"/>
      <c r="F86" s="47"/>
      <c r="G86" s="46"/>
      <c r="H86" s="56" t="str">
        <f aca="false">IF(OR(DecisionLog[[#This Row],[Decision]]="",DecisionLog[[#This Row],[Status]]&lt;&gt;"Proposed",N(DecisionLog[[#This Row],[Date]])=0),"",MAX(0,StatusDate-DecisionLog[[#This Row],[Date]]))</f>
        <v/>
      </c>
      <c r="I86" s="46"/>
      <c r="J86" s="24" t="str">
        <f aca="false">IF(N(DecisionLog[[#This Row],[Task UID]])=0,"",IFERROR(INDEX(tsk_Name,MATCH(DecisionLog[[#This Row],[Task UID]],tsk_UID,0)),"UID "&amp;DecisionLog[[#This Row],[Task UID]]&amp;" not found"))</f>
        <v/>
      </c>
      <c r="K86" s="46"/>
    </row>
    <row r="87" customFormat="false" ht="15" hidden="false" customHeight="false" outlineLevel="0" collapsed="false">
      <c r="B87" s="46" t="n">
        <v>83</v>
      </c>
      <c r="C87" s="88"/>
      <c r="D87" s="47"/>
      <c r="E87" s="47"/>
      <c r="F87" s="47"/>
      <c r="G87" s="46"/>
      <c r="H87" s="56" t="str">
        <f aca="false">IF(OR(DecisionLog[[#This Row],[Decision]]="",DecisionLog[[#This Row],[Status]]&lt;&gt;"Proposed",N(DecisionLog[[#This Row],[Date]])=0),"",MAX(0,StatusDate-DecisionLog[[#This Row],[Date]]))</f>
        <v/>
      </c>
      <c r="I87" s="46"/>
      <c r="J87" s="24" t="str">
        <f aca="false">IF(N(DecisionLog[[#This Row],[Task UID]])=0,"",IFERROR(INDEX(tsk_Name,MATCH(DecisionLog[[#This Row],[Task UID]],tsk_UID,0)),"UID "&amp;DecisionLog[[#This Row],[Task UID]]&amp;" not found"))</f>
        <v/>
      </c>
      <c r="K87" s="46"/>
    </row>
    <row r="88" customFormat="false" ht="15" hidden="false" customHeight="false" outlineLevel="0" collapsed="false">
      <c r="B88" s="46" t="n">
        <v>84</v>
      </c>
      <c r="C88" s="88"/>
      <c r="D88" s="47"/>
      <c r="E88" s="47"/>
      <c r="F88" s="47"/>
      <c r="G88" s="46"/>
      <c r="H88" s="56" t="str">
        <f aca="false">IF(OR(DecisionLog[[#This Row],[Decision]]="",DecisionLog[[#This Row],[Status]]&lt;&gt;"Proposed",N(DecisionLog[[#This Row],[Date]])=0),"",MAX(0,StatusDate-DecisionLog[[#This Row],[Date]]))</f>
        <v/>
      </c>
      <c r="I88" s="46"/>
      <c r="J88" s="24" t="str">
        <f aca="false">IF(N(DecisionLog[[#This Row],[Task UID]])=0,"",IFERROR(INDEX(tsk_Name,MATCH(DecisionLog[[#This Row],[Task UID]],tsk_UID,0)),"UID "&amp;DecisionLog[[#This Row],[Task UID]]&amp;" not found"))</f>
        <v/>
      </c>
      <c r="K88" s="46"/>
    </row>
    <row r="89" customFormat="false" ht="15" hidden="false" customHeight="false" outlineLevel="0" collapsed="false">
      <c r="B89" s="46" t="n">
        <v>85</v>
      </c>
      <c r="C89" s="88"/>
      <c r="D89" s="47"/>
      <c r="E89" s="47"/>
      <c r="F89" s="47"/>
      <c r="G89" s="46"/>
      <c r="H89" s="56" t="str">
        <f aca="false">IF(OR(DecisionLog[[#This Row],[Decision]]="",DecisionLog[[#This Row],[Status]]&lt;&gt;"Proposed",N(DecisionLog[[#This Row],[Date]])=0),"",MAX(0,StatusDate-DecisionLog[[#This Row],[Date]]))</f>
        <v/>
      </c>
      <c r="I89" s="46"/>
      <c r="J89" s="24" t="str">
        <f aca="false">IF(N(DecisionLog[[#This Row],[Task UID]])=0,"",IFERROR(INDEX(tsk_Name,MATCH(DecisionLog[[#This Row],[Task UID]],tsk_UID,0)),"UID "&amp;DecisionLog[[#This Row],[Task UID]]&amp;" not found"))</f>
        <v/>
      </c>
      <c r="K89" s="46"/>
    </row>
    <row r="90" customFormat="false" ht="15" hidden="false" customHeight="false" outlineLevel="0" collapsed="false">
      <c r="B90" s="46" t="n">
        <v>86</v>
      </c>
      <c r="C90" s="88"/>
      <c r="D90" s="47"/>
      <c r="E90" s="47"/>
      <c r="F90" s="47"/>
      <c r="G90" s="46"/>
      <c r="H90" s="56" t="str">
        <f aca="false">IF(OR(DecisionLog[[#This Row],[Decision]]="",DecisionLog[[#This Row],[Status]]&lt;&gt;"Proposed",N(DecisionLog[[#This Row],[Date]])=0),"",MAX(0,StatusDate-DecisionLog[[#This Row],[Date]]))</f>
        <v/>
      </c>
      <c r="I90" s="46"/>
      <c r="J90" s="24" t="str">
        <f aca="false">IF(N(DecisionLog[[#This Row],[Task UID]])=0,"",IFERROR(INDEX(tsk_Name,MATCH(DecisionLog[[#This Row],[Task UID]],tsk_UID,0)),"UID "&amp;DecisionLog[[#This Row],[Task UID]]&amp;" not found"))</f>
        <v/>
      </c>
      <c r="K90" s="46"/>
    </row>
    <row r="91" customFormat="false" ht="15" hidden="false" customHeight="false" outlineLevel="0" collapsed="false">
      <c r="B91" s="46" t="n">
        <v>87</v>
      </c>
      <c r="C91" s="88"/>
      <c r="D91" s="47"/>
      <c r="E91" s="47"/>
      <c r="F91" s="47"/>
      <c r="G91" s="46"/>
      <c r="H91" s="56" t="str">
        <f aca="false">IF(OR(DecisionLog[[#This Row],[Decision]]="",DecisionLog[[#This Row],[Status]]&lt;&gt;"Proposed",N(DecisionLog[[#This Row],[Date]])=0),"",MAX(0,StatusDate-DecisionLog[[#This Row],[Date]]))</f>
        <v/>
      </c>
      <c r="I91" s="46"/>
      <c r="J91" s="24" t="str">
        <f aca="false">IF(N(DecisionLog[[#This Row],[Task UID]])=0,"",IFERROR(INDEX(tsk_Name,MATCH(DecisionLog[[#This Row],[Task UID]],tsk_UID,0)),"UID "&amp;DecisionLog[[#This Row],[Task UID]]&amp;" not found"))</f>
        <v/>
      </c>
      <c r="K91" s="46"/>
    </row>
    <row r="92" customFormat="false" ht="15" hidden="false" customHeight="false" outlineLevel="0" collapsed="false">
      <c r="B92" s="46" t="n">
        <v>88</v>
      </c>
      <c r="C92" s="88"/>
      <c r="D92" s="47"/>
      <c r="E92" s="47"/>
      <c r="F92" s="47"/>
      <c r="G92" s="46"/>
      <c r="H92" s="56" t="str">
        <f aca="false">IF(OR(DecisionLog[[#This Row],[Decision]]="",DecisionLog[[#This Row],[Status]]&lt;&gt;"Proposed",N(DecisionLog[[#This Row],[Date]])=0),"",MAX(0,StatusDate-DecisionLog[[#This Row],[Date]]))</f>
        <v/>
      </c>
      <c r="I92" s="46"/>
      <c r="J92" s="24" t="str">
        <f aca="false">IF(N(DecisionLog[[#This Row],[Task UID]])=0,"",IFERROR(INDEX(tsk_Name,MATCH(DecisionLog[[#This Row],[Task UID]],tsk_UID,0)),"UID "&amp;DecisionLog[[#This Row],[Task UID]]&amp;" not found"))</f>
        <v/>
      </c>
      <c r="K92" s="46"/>
    </row>
    <row r="93" customFormat="false" ht="15" hidden="false" customHeight="false" outlineLevel="0" collapsed="false">
      <c r="B93" s="46" t="n">
        <v>89</v>
      </c>
      <c r="C93" s="88"/>
      <c r="D93" s="47"/>
      <c r="E93" s="47"/>
      <c r="F93" s="47"/>
      <c r="G93" s="46"/>
      <c r="H93" s="56" t="str">
        <f aca="false">IF(OR(DecisionLog[[#This Row],[Decision]]="",DecisionLog[[#This Row],[Status]]&lt;&gt;"Proposed",N(DecisionLog[[#This Row],[Date]])=0),"",MAX(0,StatusDate-DecisionLog[[#This Row],[Date]]))</f>
        <v/>
      </c>
      <c r="I93" s="46"/>
      <c r="J93" s="24" t="str">
        <f aca="false">IF(N(DecisionLog[[#This Row],[Task UID]])=0,"",IFERROR(INDEX(tsk_Name,MATCH(DecisionLog[[#This Row],[Task UID]],tsk_UID,0)),"UID "&amp;DecisionLog[[#This Row],[Task UID]]&amp;" not found"))</f>
        <v/>
      </c>
      <c r="K93" s="46"/>
    </row>
    <row r="94" customFormat="false" ht="15" hidden="false" customHeight="false" outlineLevel="0" collapsed="false">
      <c r="B94" s="46" t="n">
        <v>90</v>
      </c>
      <c r="C94" s="88"/>
      <c r="D94" s="47"/>
      <c r="E94" s="47"/>
      <c r="F94" s="47"/>
      <c r="G94" s="46"/>
      <c r="H94" s="56" t="str">
        <f aca="false">IF(OR(DecisionLog[[#This Row],[Decision]]="",DecisionLog[[#This Row],[Status]]&lt;&gt;"Proposed",N(DecisionLog[[#This Row],[Date]])=0),"",MAX(0,StatusDate-DecisionLog[[#This Row],[Date]]))</f>
        <v/>
      </c>
      <c r="I94" s="46"/>
      <c r="J94" s="24" t="str">
        <f aca="false">IF(N(DecisionLog[[#This Row],[Task UID]])=0,"",IFERROR(INDEX(tsk_Name,MATCH(DecisionLog[[#This Row],[Task UID]],tsk_UID,0)),"UID "&amp;DecisionLog[[#This Row],[Task UID]]&amp;" not found"))</f>
        <v/>
      </c>
      <c r="K94" s="46"/>
    </row>
    <row r="95" customFormat="false" ht="15" hidden="false" customHeight="false" outlineLevel="0" collapsed="false">
      <c r="B95" s="46" t="n">
        <v>91</v>
      </c>
      <c r="C95" s="88"/>
      <c r="D95" s="47"/>
      <c r="E95" s="47"/>
      <c r="F95" s="47"/>
      <c r="G95" s="46"/>
      <c r="H95" s="56" t="str">
        <f aca="false">IF(OR(DecisionLog[[#This Row],[Decision]]="",DecisionLog[[#This Row],[Status]]&lt;&gt;"Proposed",N(DecisionLog[[#This Row],[Date]])=0),"",MAX(0,StatusDate-DecisionLog[[#This Row],[Date]]))</f>
        <v/>
      </c>
      <c r="I95" s="46"/>
      <c r="J95" s="24" t="str">
        <f aca="false">IF(N(DecisionLog[[#This Row],[Task UID]])=0,"",IFERROR(INDEX(tsk_Name,MATCH(DecisionLog[[#This Row],[Task UID]],tsk_UID,0)),"UID "&amp;DecisionLog[[#This Row],[Task UID]]&amp;" not found"))</f>
        <v/>
      </c>
      <c r="K95" s="46"/>
    </row>
    <row r="96" customFormat="false" ht="15" hidden="false" customHeight="false" outlineLevel="0" collapsed="false">
      <c r="B96" s="46" t="n">
        <v>92</v>
      </c>
      <c r="C96" s="88"/>
      <c r="D96" s="47"/>
      <c r="E96" s="47"/>
      <c r="F96" s="47"/>
      <c r="G96" s="46"/>
      <c r="H96" s="56" t="str">
        <f aca="false">IF(OR(DecisionLog[[#This Row],[Decision]]="",DecisionLog[[#This Row],[Status]]&lt;&gt;"Proposed",N(DecisionLog[[#This Row],[Date]])=0),"",MAX(0,StatusDate-DecisionLog[[#This Row],[Date]]))</f>
        <v/>
      </c>
      <c r="I96" s="46"/>
      <c r="J96" s="24" t="str">
        <f aca="false">IF(N(DecisionLog[[#This Row],[Task UID]])=0,"",IFERROR(INDEX(tsk_Name,MATCH(DecisionLog[[#This Row],[Task UID]],tsk_UID,0)),"UID "&amp;DecisionLog[[#This Row],[Task UID]]&amp;" not found"))</f>
        <v/>
      </c>
      <c r="K96" s="46"/>
    </row>
    <row r="97" customFormat="false" ht="15" hidden="false" customHeight="false" outlineLevel="0" collapsed="false">
      <c r="B97" s="46" t="n">
        <v>93</v>
      </c>
      <c r="C97" s="88"/>
      <c r="D97" s="47"/>
      <c r="E97" s="47"/>
      <c r="F97" s="47"/>
      <c r="G97" s="46"/>
      <c r="H97" s="56" t="str">
        <f aca="false">IF(OR(DecisionLog[[#This Row],[Decision]]="",DecisionLog[[#This Row],[Status]]&lt;&gt;"Proposed",N(DecisionLog[[#This Row],[Date]])=0),"",MAX(0,StatusDate-DecisionLog[[#This Row],[Date]]))</f>
        <v/>
      </c>
      <c r="I97" s="46"/>
      <c r="J97" s="24" t="str">
        <f aca="false">IF(N(DecisionLog[[#This Row],[Task UID]])=0,"",IFERROR(INDEX(tsk_Name,MATCH(DecisionLog[[#This Row],[Task UID]],tsk_UID,0)),"UID "&amp;DecisionLog[[#This Row],[Task UID]]&amp;" not found"))</f>
        <v/>
      </c>
      <c r="K97" s="46"/>
    </row>
    <row r="98" customFormat="false" ht="15" hidden="false" customHeight="false" outlineLevel="0" collapsed="false">
      <c r="B98" s="46" t="n">
        <v>94</v>
      </c>
      <c r="C98" s="88"/>
      <c r="D98" s="47"/>
      <c r="E98" s="47"/>
      <c r="F98" s="47"/>
      <c r="G98" s="46"/>
      <c r="H98" s="56" t="str">
        <f aca="false">IF(OR(DecisionLog[[#This Row],[Decision]]="",DecisionLog[[#This Row],[Status]]&lt;&gt;"Proposed",N(DecisionLog[[#This Row],[Date]])=0),"",MAX(0,StatusDate-DecisionLog[[#This Row],[Date]]))</f>
        <v/>
      </c>
      <c r="I98" s="46"/>
      <c r="J98" s="24" t="str">
        <f aca="false">IF(N(DecisionLog[[#This Row],[Task UID]])=0,"",IFERROR(INDEX(tsk_Name,MATCH(DecisionLog[[#This Row],[Task UID]],tsk_UID,0)),"UID "&amp;DecisionLog[[#This Row],[Task UID]]&amp;" not found"))</f>
        <v/>
      </c>
      <c r="K98" s="46"/>
    </row>
    <row r="99" customFormat="false" ht="15" hidden="false" customHeight="false" outlineLevel="0" collapsed="false">
      <c r="B99" s="46" t="n">
        <v>95</v>
      </c>
      <c r="C99" s="88"/>
      <c r="D99" s="47"/>
      <c r="E99" s="47"/>
      <c r="F99" s="47"/>
      <c r="G99" s="46"/>
      <c r="H99" s="56" t="str">
        <f aca="false">IF(OR(DecisionLog[[#This Row],[Decision]]="",DecisionLog[[#This Row],[Status]]&lt;&gt;"Proposed",N(DecisionLog[[#This Row],[Date]])=0),"",MAX(0,StatusDate-DecisionLog[[#This Row],[Date]]))</f>
        <v/>
      </c>
      <c r="I99" s="46"/>
      <c r="J99" s="24" t="str">
        <f aca="false">IF(N(DecisionLog[[#This Row],[Task UID]])=0,"",IFERROR(INDEX(tsk_Name,MATCH(DecisionLog[[#This Row],[Task UID]],tsk_UID,0)),"UID "&amp;DecisionLog[[#This Row],[Task UID]]&amp;" not found"))</f>
        <v/>
      </c>
      <c r="K99" s="46"/>
    </row>
    <row r="100" customFormat="false" ht="15" hidden="false" customHeight="false" outlineLevel="0" collapsed="false">
      <c r="B100" s="46" t="n">
        <v>96</v>
      </c>
      <c r="C100" s="88"/>
      <c r="D100" s="47"/>
      <c r="E100" s="47"/>
      <c r="F100" s="47"/>
      <c r="G100" s="46"/>
      <c r="H100" s="56" t="str">
        <f aca="false">IF(OR(DecisionLog[[#This Row],[Decision]]="",DecisionLog[[#This Row],[Status]]&lt;&gt;"Proposed",N(DecisionLog[[#This Row],[Date]])=0),"",MAX(0,StatusDate-DecisionLog[[#This Row],[Date]]))</f>
        <v/>
      </c>
      <c r="I100" s="46"/>
      <c r="J100" s="24" t="str">
        <f aca="false">IF(N(DecisionLog[[#This Row],[Task UID]])=0,"",IFERROR(INDEX(tsk_Name,MATCH(DecisionLog[[#This Row],[Task UID]],tsk_UID,0)),"UID "&amp;DecisionLog[[#This Row],[Task UID]]&amp;" not found"))</f>
        <v/>
      </c>
      <c r="K100" s="46"/>
    </row>
    <row r="101" customFormat="false" ht="15" hidden="false" customHeight="false" outlineLevel="0" collapsed="false">
      <c r="B101" s="46" t="n">
        <v>97</v>
      </c>
      <c r="C101" s="88"/>
      <c r="D101" s="47"/>
      <c r="E101" s="47"/>
      <c r="F101" s="47"/>
      <c r="G101" s="46"/>
      <c r="H101" s="56" t="str">
        <f aca="false">IF(OR(DecisionLog[[#This Row],[Decision]]="",DecisionLog[[#This Row],[Status]]&lt;&gt;"Proposed",N(DecisionLog[[#This Row],[Date]])=0),"",MAX(0,StatusDate-DecisionLog[[#This Row],[Date]]))</f>
        <v/>
      </c>
      <c r="I101" s="46"/>
      <c r="J101" s="24" t="str">
        <f aca="false">IF(N(DecisionLog[[#This Row],[Task UID]])=0,"",IFERROR(INDEX(tsk_Name,MATCH(DecisionLog[[#This Row],[Task UID]],tsk_UID,0)),"UID "&amp;DecisionLog[[#This Row],[Task UID]]&amp;" not found"))</f>
        <v/>
      </c>
      <c r="K101" s="46"/>
    </row>
    <row r="102" customFormat="false" ht="15" hidden="false" customHeight="false" outlineLevel="0" collapsed="false">
      <c r="B102" s="46" t="n">
        <v>98</v>
      </c>
      <c r="C102" s="88"/>
      <c r="D102" s="47"/>
      <c r="E102" s="47"/>
      <c r="F102" s="47"/>
      <c r="G102" s="46"/>
      <c r="H102" s="56" t="str">
        <f aca="false">IF(OR(DecisionLog[[#This Row],[Decision]]="",DecisionLog[[#This Row],[Status]]&lt;&gt;"Proposed",N(DecisionLog[[#This Row],[Date]])=0),"",MAX(0,StatusDate-DecisionLog[[#This Row],[Date]]))</f>
        <v/>
      </c>
      <c r="I102" s="46"/>
      <c r="J102" s="24" t="str">
        <f aca="false">IF(N(DecisionLog[[#This Row],[Task UID]])=0,"",IFERROR(INDEX(tsk_Name,MATCH(DecisionLog[[#This Row],[Task UID]],tsk_UID,0)),"UID "&amp;DecisionLog[[#This Row],[Task UID]]&amp;" not found"))</f>
        <v/>
      </c>
      <c r="K102" s="46"/>
    </row>
    <row r="103" customFormat="false" ht="15" hidden="false" customHeight="false" outlineLevel="0" collapsed="false">
      <c r="B103" s="46" t="n">
        <v>99</v>
      </c>
      <c r="C103" s="88"/>
      <c r="D103" s="47"/>
      <c r="E103" s="47"/>
      <c r="F103" s="47"/>
      <c r="G103" s="46"/>
      <c r="H103" s="56" t="str">
        <f aca="false">IF(OR(DecisionLog[[#This Row],[Decision]]="",DecisionLog[[#This Row],[Status]]&lt;&gt;"Proposed",N(DecisionLog[[#This Row],[Date]])=0),"",MAX(0,StatusDate-DecisionLog[[#This Row],[Date]]))</f>
        <v/>
      </c>
      <c r="I103" s="46"/>
      <c r="J103" s="24" t="str">
        <f aca="false">IF(N(DecisionLog[[#This Row],[Task UID]])=0,"",IFERROR(INDEX(tsk_Name,MATCH(DecisionLog[[#This Row],[Task UID]],tsk_UID,0)),"UID "&amp;DecisionLog[[#This Row],[Task UID]]&amp;" not found"))</f>
        <v/>
      </c>
      <c r="K103" s="46"/>
    </row>
    <row r="104" customFormat="false" ht="15" hidden="false" customHeight="false" outlineLevel="0" collapsed="false">
      <c r="B104" s="46" t="n">
        <v>100</v>
      </c>
      <c r="C104" s="88"/>
      <c r="D104" s="47"/>
      <c r="E104" s="47"/>
      <c r="F104" s="47"/>
      <c r="G104" s="46"/>
      <c r="H104" s="56" t="str">
        <f aca="false">IF(OR(DecisionLog[[#This Row],[Decision]]="",DecisionLog[[#This Row],[Status]]&lt;&gt;"Proposed",N(DecisionLog[[#This Row],[Date]])=0),"",MAX(0,StatusDate-DecisionLog[[#This Row],[Date]]))</f>
        <v/>
      </c>
      <c r="I104" s="46"/>
      <c r="J104" s="24" t="str">
        <f aca="false">IF(N(DecisionLog[[#This Row],[Task UID]])=0,"",IFERROR(INDEX(tsk_Name,MATCH(DecisionLog[[#This Row],[Task UID]],tsk_UID,0)),"UID "&amp;DecisionLog[[#This Row],[Task UID]]&amp;" not found"))</f>
        <v/>
      </c>
      <c r="K104" s="46"/>
    </row>
  </sheetData>
  <conditionalFormatting sqref="G5:G104">
    <cfRule type="expression" priority="2" aboveAverage="0" equalAverage="0" bottom="0" percent="0" rank="0" text="" dxfId="38">
      <formula>G5="Proposed"</formula>
    </cfRule>
  </conditionalFormatting>
  <dataValidations count="1">
    <dataValidation allowBlank="false" errorStyle="stop" operator="between" showDropDown="false" showErrorMessage="false" showInputMessage="false" sqref="G5:G104" type="list">
      <formula1>L_DecisionStatus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N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2"/>
    <col collapsed="false" customWidth="true" hidden="false" outlineLevel="0" max="4" min="4" style="0" width="16"/>
    <col collapsed="false" customWidth="true" hidden="false" outlineLevel="0" max="5" min="5" style="0" width="44"/>
    <col collapsed="false" customWidth="true" hidden="false" outlineLevel="0" max="6" min="6" style="0" width="40"/>
    <col collapsed="false" customWidth="true" hidden="false" outlineLevel="0" max="7" min="7" style="0" width="9"/>
    <col collapsed="false" customWidth="true" hidden="false" outlineLevel="0" max="8" min="8" style="0" width="11"/>
    <col collapsed="false" customWidth="true" hidden="false" outlineLevel="0" max="10" min="9" style="0" width="12"/>
    <col collapsed="false" customWidth="true" hidden="false" outlineLevel="0" max="11" min="11" style="0" width="16"/>
    <col collapsed="false" customWidth="true" hidden="false" outlineLevel="0" max="12" min="12" style="0" width="9"/>
    <col collapsed="false" customWidth="true" hidden="false" outlineLevel="0" max="13" min="13" style="0" width="8"/>
    <col collapsed="false" customWidth="true" hidden="false" outlineLevel="0" max="14" min="14" style="0" width="28"/>
  </cols>
  <sheetData>
    <row r="1" customFormat="false" ht="19.7" hidden="false" customHeight="false" outlineLevel="0" collapsed="false">
      <c r="A1" s="26" t="s">
        <v>342</v>
      </c>
    </row>
    <row r="2" customFormat="false" ht="15" hidden="false" customHeight="false" outlineLevel="0" collapsed="false">
      <c r="A2" s="8" t="s">
        <v>343</v>
      </c>
    </row>
    <row r="4" customFormat="false" ht="46.25" hidden="false" customHeight="false" outlineLevel="0" collapsed="false">
      <c r="B4" s="44" t="s">
        <v>285</v>
      </c>
      <c r="C4" s="44" t="s">
        <v>288</v>
      </c>
      <c r="D4" s="44" t="s">
        <v>344</v>
      </c>
      <c r="E4" s="44" t="s">
        <v>287</v>
      </c>
      <c r="F4" s="44" t="s">
        <v>345</v>
      </c>
      <c r="G4" s="44" t="s">
        <v>346</v>
      </c>
      <c r="H4" s="44" t="s">
        <v>347</v>
      </c>
      <c r="I4" s="44" t="s">
        <v>99</v>
      </c>
      <c r="J4" s="44" t="s">
        <v>348</v>
      </c>
      <c r="K4" s="44" t="s">
        <v>329</v>
      </c>
      <c r="L4" s="9" t="s">
        <v>330</v>
      </c>
      <c r="M4" s="44" t="s">
        <v>292</v>
      </c>
      <c r="N4" s="9" t="s">
        <v>208</v>
      </c>
    </row>
    <row r="5" customFormat="false" ht="15" hidden="false" customHeight="false" outlineLevel="0" collapsed="false">
      <c r="B5" s="46" t="n">
        <v>1</v>
      </c>
      <c r="C5" s="88" t="n">
        <v>46293</v>
      </c>
      <c r="D5" s="47" t="s">
        <v>349</v>
      </c>
      <c r="E5" s="47" t="s">
        <v>350</v>
      </c>
      <c r="F5" s="47" t="s">
        <v>351</v>
      </c>
      <c r="G5" s="89" t="n">
        <v>2</v>
      </c>
      <c r="H5" s="90" t="n">
        <v>1360</v>
      </c>
      <c r="I5" s="46" t="s">
        <v>335</v>
      </c>
      <c r="J5" s="88" t="n">
        <v>46297</v>
      </c>
      <c r="K5" s="47" t="s">
        <v>338</v>
      </c>
      <c r="L5" s="56" t="str">
        <f aca="false">IF(OR(ChangeLog[[#This Row],[Title]]="",N(ChangeLog[[#This Row],[Raised]])=0,AND(ChangeLog[[#This Row],[Status]]&lt;&gt;"Submitted",ChangeLog[[#This Row],[Status]]&lt;&gt;"Under Review")),"",MAX(0,StatusDate-ChangeLog[[#This Row],[Raised]]))</f>
        <v/>
      </c>
      <c r="M5" s="46" t="n">
        <v>17</v>
      </c>
      <c r="N5" s="24" t="str">
        <f aca="false">IF(N(ChangeLog[[#This Row],[Task UID]])=0,"",IFERROR(INDEX(tsk_Name,MATCH(ChangeLog[[#This Row],[Task UID]],tsk_UID,0)),"UID "&amp;ChangeLog[[#This Row],[Task UID]]&amp;" not found"))</f>
        <v>Feature screens</v>
      </c>
    </row>
    <row r="6" customFormat="false" ht="15" hidden="false" customHeight="false" outlineLevel="0" collapsed="false">
      <c r="B6" s="46" t="n">
        <v>2</v>
      </c>
      <c r="C6" s="88" t="n">
        <v>46317</v>
      </c>
      <c r="D6" s="47" t="s">
        <v>308</v>
      </c>
      <c r="E6" s="47" t="s">
        <v>352</v>
      </c>
      <c r="F6" s="47" t="s">
        <v>353</v>
      </c>
      <c r="G6" s="89" t="n">
        <v>-4</v>
      </c>
      <c r="H6" s="90" t="n">
        <v>6800</v>
      </c>
      <c r="I6" s="46" t="s">
        <v>354</v>
      </c>
      <c r="J6" s="88"/>
      <c r="K6" s="47"/>
      <c r="L6" s="56" t="n">
        <f aca="false">IF(OR(ChangeLog[[#This Row],[Title]]="",N(ChangeLog[[#This Row],[Raised]])=0,AND(ChangeLog[[#This Row],[Status]]&lt;&gt;"Submitted",ChangeLog[[#This Row],[Status]]&lt;&gt;"Under Review")),"",MAX(0,StatusDate-ChangeLog[[#This Row],[Raised]]))</f>
        <v>3</v>
      </c>
      <c r="M6" s="46" t="n">
        <v>13</v>
      </c>
      <c r="N6" s="24" t="str">
        <f aca="false">IF(N(ChangeLog[[#This Row],[Task UID]])=0,"",IFERROR(INDEX(tsk_Name,MATCH(ChangeLog[[#This Row],[Task UID]],tsk_UID,0)),"UID "&amp;ChangeLog[[#This Row],[Task UID]]&amp;" not found"))</f>
        <v>Core API endpoints</v>
      </c>
    </row>
    <row r="7" customFormat="false" ht="15" hidden="false" customHeight="false" outlineLevel="0" collapsed="false">
      <c r="B7" s="46" t="n">
        <v>3</v>
      </c>
      <c r="C7" s="88" t="n">
        <v>46307</v>
      </c>
      <c r="D7" s="47" t="s">
        <v>355</v>
      </c>
      <c r="E7" s="47" t="s">
        <v>356</v>
      </c>
      <c r="F7" s="47" t="s">
        <v>357</v>
      </c>
      <c r="G7" s="89" t="n">
        <v>8</v>
      </c>
      <c r="H7" s="90" t="n">
        <v>9600</v>
      </c>
      <c r="I7" s="46" t="s">
        <v>358</v>
      </c>
      <c r="J7" s="88" t="n">
        <v>46311</v>
      </c>
      <c r="K7" s="47" t="s">
        <v>334</v>
      </c>
      <c r="L7" s="56" t="str">
        <f aca="false">IF(OR(ChangeLog[[#This Row],[Title]]="",N(ChangeLog[[#This Row],[Raised]])=0,AND(ChangeLog[[#This Row],[Status]]&lt;&gt;"Submitted",ChangeLog[[#This Row],[Status]]&lt;&gt;"Under Review")),"",MAX(0,StatusDate-ChangeLog[[#This Row],[Raised]]))</f>
        <v/>
      </c>
      <c r="M7" s="46"/>
      <c r="N7" s="24" t="str">
        <f aca="false">IF(N(ChangeLog[[#This Row],[Task UID]])=0,"",IFERROR(INDEX(tsk_Name,MATCH(ChangeLog[[#This Row],[Task UID]],tsk_UID,0)),"UID "&amp;ChangeLog[[#This Row],[Task UID]]&amp;" not found"))</f>
        <v/>
      </c>
    </row>
    <row r="8" customFormat="false" ht="15" hidden="false" customHeight="false" outlineLevel="0" collapsed="false">
      <c r="B8" s="46" t="n">
        <v>4</v>
      </c>
      <c r="C8" s="88"/>
      <c r="D8" s="47"/>
      <c r="E8" s="47"/>
      <c r="F8" s="47"/>
      <c r="G8" s="89"/>
      <c r="H8" s="90"/>
      <c r="I8" s="46"/>
      <c r="J8" s="88"/>
      <c r="K8" s="47"/>
      <c r="L8" s="56" t="str">
        <f aca="false">IF(OR(ChangeLog[[#This Row],[Title]]="",N(ChangeLog[[#This Row],[Raised]])=0,AND(ChangeLog[[#This Row],[Status]]&lt;&gt;"Submitted",ChangeLog[[#This Row],[Status]]&lt;&gt;"Under Review")),"",MAX(0,StatusDate-ChangeLog[[#This Row],[Raised]]))</f>
        <v/>
      </c>
      <c r="M8" s="46"/>
      <c r="N8" s="24" t="str">
        <f aca="false">IF(N(ChangeLog[[#This Row],[Task UID]])=0,"",IFERROR(INDEX(tsk_Name,MATCH(ChangeLog[[#This Row],[Task UID]],tsk_UID,0)),"UID "&amp;ChangeLog[[#This Row],[Task UID]]&amp;" not found"))</f>
        <v/>
      </c>
    </row>
    <row r="9" customFormat="false" ht="15" hidden="false" customHeight="false" outlineLevel="0" collapsed="false">
      <c r="B9" s="46" t="n">
        <v>5</v>
      </c>
      <c r="C9" s="88"/>
      <c r="D9" s="47"/>
      <c r="E9" s="47"/>
      <c r="F9" s="47"/>
      <c r="G9" s="89"/>
      <c r="H9" s="90"/>
      <c r="I9" s="46"/>
      <c r="J9" s="88"/>
      <c r="K9" s="47"/>
      <c r="L9" s="56" t="str">
        <f aca="false">IF(OR(ChangeLog[[#This Row],[Title]]="",N(ChangeLog[[#This Row],[Raised]])=0,AND(ChangeLog[[#This Row],[Status]]&lt;&gt;"Submitted",ChangeLog[[#This Row],[Status]]&lt;&gt;"Under Review")),"",MAX(0,StatusDate-ChangeLog[[#This Row],[Raised]]))</f>
        <v/>
      </c>
      <c r="M9" s="46"/>
      <c r="N9" s="24" t="str">
        <f aca="false">IF(N(ChangeLog[[#This Row],[Task UID]])=0,"",IFERROR(INDEX(tsk_Name,MATCH(ChangeLog[[#This Row],[Task UID]],tsk_UID,0)),"UID "&amp;ChangeLog[[#This Row],[Task UID]]&amp;" not found"))</f>
        <v/>
      </c>
    </row>
    <row r="10" customFormat="false" ht="15" hidden="false" customHeight="false" outlineLevel="0" collapsed="false">
      <c r="B10" s="46" t="n">
        <v>6</v>
      </c>
      <c r="C10" s="88"/>
      <c r="D10" s="47"/>
      <c r="E10" s="47"/>
      <c r="F10" s="47"/>
      <c r="G10" s="89"/>
      <c r="H10" s="90"/>
      <c r="I10" s="46"/>
      <c r="J10" s="88"/>
      <c r="K10" s="47"/>
      <c r="L10" s="56" t="str">
        <f aca="false">IF(OR(ChangeLog[[#This Row],[Title]]="",N(ChangeLog[[#This Row],[Raised]])=0,AND(ChangeLog[[#This Row],[Status]]&lt;&gt;"Submitted",ChangeLog[[#This Row],[Status]]&lt;&gt;"Under Review")),"",MAX(0,StatusDate-ChangeLog[[#This Row],[Raised]]))</f>
        <v/>
      </c>
      <c r="M10" s="46"/>
      <c r="N10" s="24" t="str">
        <f aca="false">IF(N(ChangeLog[[#This Row],[Task UID]])=0,"",IFERROR(INDEX(tsk_Name,MATCH(ChangeLog[[#This Row],[Task UID]],tsk_UID,0)),"UID "&amp;ChangeLog[[#This Row],[Task UID]]&amp;" not found"))</f>
        <v/>
      </c>
    </row>
    <row r="11" customFormat="false" ht="15" hidden="false" customHeight="false" outlineLevel="0" collapsed="false">
      <c r="B11" s="46" t="n">
        <v>7</v>
      </c>
      <c r="C11" s="88"/>
      <c r="D11" s="47"/>
      <c r="E11" s="47"/>
      <c r="F11" s="47"/>
      <c r="G11" s="89"/>
      <c r="H11" s="90"/>
      <c r="I11" s="46"/>
      <c r="J11" s="88"/>
      <c r="K11" s="47"/>
      <c r="L11" s="56" t="str">
        <f aca="false">IF(OR(ChangeLog[[#This Row],[Title]]="",N(ChangeLog[[#This Row],[Raised]])=0,AND(ChangeLog[[#This Row],[Status]]&lt;&gt;"Submitted",ChangeLog[[#This Row],[Status]]&lt;&gt;"Under Review")),"",MAX(0,StatusDate-ChangeLog[[#This Row],[Raised]]))</f>
        <v/>
      </c>
      <c r="M11" s="46"/>
      <c r="N11" s="24" t="str">
        <f aca="false">IF(N(ChangeLog[[#This Row],[Task UID]])=0,"",IFERROR(INDEX(tsk_Name,MATCH(ChangeLog[[#This Row],[Task UID]],tsk_UID,0)),"UID "&amp;ChangeLog[[#This Row],[Task UID]]&amp;" not found"))</f>
        <v/>
      </c>
    </row>
    <row r="12" customFormat="false" ht="15" hidden="false" customHeight="false" outlineLevel="0" collapsed="false">
      <c r="B12" s="46" t="n">
        <v>8</v>
      </c>
      <c r="C12" s="88"/>
      <c r="D12" s="47"/>
      <c r="E12" s="47"/>
      <c r="F12" s="47"/>
      <c r="G12" s="89"/>
      <c r="H12" s="90"/>
      <c r="I12" s="46"/>
      <c r="J12" s="88"/>
      <c r="K12" s="47"/>
      <c r="L12" s="56" t="str">
        <f aca="false">IF(OR(ChangeLog[[#This Row],[Title]]="",N(ChangeLog[[#This Row],[Raised]])=0,AND(ChangeLog[[#This Row],[Status]]&lt;&gt;"Submitted",ChangeLog[[#This Row],[Status]]&lt;&gt;"Under Review")),"",MAX(0,StatusDate-ChangeLog[[#This Row],[Raised]]))</f>
        <v/>
      </c>
      <c r="M12" s="46"/>
      <c r="N12" s="24" t="str">
        <f aca="false">IF(N(ChangeLog[[#This Row],[Task UID]])=0,"",IFERROR(INDEX(tsk_Name,MATCH(ChangeLog[[#This Row],[Task UID]],tsk_UID,0)),"UID "&amp;ChangeLog[[#This Row],[Task UID]]&amp;" not found"))</f>
        <v/>
      </c>
    </row>
    <row r="13" customFormat="false" ht="15" hidden="false" customHeight="false" outlineLevel="0" collapsed="false">
      <c r="B13" s="46" t="n">
        <v>9</v>
      </c>
      <c r="C13" s="88"/>
      <c r="D13" s="47"/>
      <c r="E13" s="47"/>
      <c r="F13" s="47"/>
      <c r="G13" s="89"/>
      <c r="H13" s="90"/>
      <c r="I13" s="46"/>
      <c r="J13" s="88"/>
      <c r="K13" s="47"/>
      <c r="L13" s="56" t="str">
        <f aca="false">IF(OR(ChangeLog[[#This Row],[Title]]="",N(ChangeLog[[#This Row],[Raised]])=0,AND(ChangeLog[[#This Row],[Status]]&lt;&gt;"Submitted",ChangeLog[[#This Row],[Status]]&lt;&gt;"Under Review")),"",MAX(0,StatusDate-ChangeLog[[#This Row],[Raised]]))</f>
        <v/>
      </c>
      <c r="M13" s="46"/>
      <c r="N13" s="24" t="str">
        <f aca="false">IF(N(ChangeLog[[#This Row],[Task UID]])=0,"",IFERROR(INDEX(tsk_Name,MATCH(ChangeLog[[#This Row],[Task UID]],tsk_UID,0)),"UID "&amp;ChangeLog[[#This Row],[Task UID]]&amp;" not found"))</f>
        <v/>
      </c>
    </row>
    <row r="14" customFormat="false" ht="15" hidden="false" customHeight="false" outlineLevel="0" collapsed="false">
      <c r="B14" s="46" t="n">
        <v>10</v>
      </c>
      <c r="C14" s="88"/>
      <c r="D14" s="47"/>
      <c r="E14" s="47"/>
      <c r="F14" s="47"/>
      <c r="G14" s="89"/>
      <c r="H14" s="90"/>
      <c r="I14" s="46"/>
      <c r="J14" s="88"/>
      <c r="K14" s="47"/>
      <c r="L14" s="56" t="str">
        <f aca="false">IF(OR(ChangeLog[[#This Row],[Title]]="",N(ChangeLog[[#This Row],[Raised]])=0,AND(ChangeLog[[#This Row],[Status]]&lt;&gt;"Submitted",ChangeLog[[#This Row],[Status]]&lt;&gt;"Under Review")),"",MAX(0,StatusDate-ChangeLog[[#This Row],[Raised]]))</f>
        <v/>
      </c>
      <c r="M14" s="46"/>
      <c r="N14" s="24" t="str">
        <f aca="false">IF(N(ChangeLog[[#This Row],[Task UID]])=0,"",IFERROR(INDEX(tsk_Name,MATCH(ChangeLog[[#This Row],[Task UID]],tsk_UID,0)),"UID "&amp;ChangeLog[[#This Row],[Task UID]]&amp;" not found"))</f>
        <v/>
      </c>
    </row>
    <row r="15" customFormat="false" ht="15" hidden="false" customHeight="false" outlineLevel="0" collapsed="false">
      <c r="B15" s="46" t="n">
        <v>11</v>
      </c>
      <c r="C15" s="88"/>
      <c r="D15" s="47"/>
      <c r="E15" s="47"/>
      <c r="F15" s="47"/>
      <c r="G15" s="89"/>
      <c r="H15" s="90"/>
      <c r="I15" s="46"/>
      <c r="J15" s="88"/>
      <c r="K15" s="47"/>
      <c r="L15" s="56" t="str">
        <f aca="false">IF(OR(ChangeLog[[#This Row],[Title]]="",N(ChangeLog[[#This Row],[Raised]])=0,AND(ChangeLog[[#This Row],[Status]]&lt;&gt;"Submitted",ChangeLog[[#This Row],[Status]]&lt;&gt;"Under Review")),"",MAX(0,StatusDate-ChangeLog[[#This Row],[Raised]]))</f>
        <v/>
      </c>
      <c r="M15" s="46"/>
      <c r="N15" s="24" t="str">
        <f aca="false">IF(N(ChangeLog[[#This Row],[Task UID]])=0,"",IFERROR(INDEX(tsk_Name,MATCH(ChangeLog[[#This Row],[Task UID]],tsk_UID,0)),"UID "&amp;ChangeLog[[#This Row],[Task UID]]&amp;" not found"))</f>
        <v/>
      </c>
    </row>
    <row r="16" customFormat="false" ht="15" hidden="false" customHeight="false" outlineLevel="0" collapsed="false">
      <c r="B16" s="46" t="n">
        <v>12</v>
      </c>
      <c r="C16" s="88"/>
      <c r="D16" s="47"/>
      <c r="E16" s="47"/>
      <c r="F16" s="47"/>
      <c r="G16" s="89"/>
      <c r="H16" s="90"/>
      <c r="I16" s="46"/>
      <c r="J16" s="88"/>
      <c r="K16" s="47"/>
      <c r="L16" s="56" t="str">
        <f aca="false">IF(OR(ChangeLog[[#This Row],[Title]]="",N(ChangeLog[[#This Row],[Raised]])=0,AND(ChangeLog[[#This Row],[Status]]&lt;&gt;"Submitted",ChangeLog[[#This Row],[Status]]&lt;&gt;"Under Review")),"",MAX(0,StatusDate-ChangeLog[[#This Row],[Raised]]))</f>
        <v/>
      </c>
      <c r="M16" s="46"/>
      <c r="N16" s="24" t="str">
        <f aca="false">IF(N(ChangeLog[[#This Row],[Task UID]])=0,"",IFERROR(INDEX(tsk_Name,MATCH(ChangeLog[[#This Row],[Task UID]],tsk_UID,0)),"UID "&amp;ChangeLog[[#This Row],[Task UID]]&amp;" not found"))</f>
        <v/>
      </c>
    </row>
    <row r="17" customFormat="false" ht="15" hidden="false" customHeight="false" outlineLevel="0" collapsed="false">
      <c r="B17" s="46" t="n">
        <v>13</v>
      </c>
      <c r="C17" s="88"/>
      <c r="D17" s="47"/>
      <c r="E17" s="47"/>
      <c r="F17" s="47"/>
      <c r="G17" s="89"/>
      <c r="H17" s="90"/>
      <c r="I17" s="46"/>
      <c r="J17" s="88"/>
      <c r="K17" s="47"/>
      <c r="L17" s="56" t="str">
        <f aca="false">IF(OR(ChangeLog[[#This Row],[Title]]="",N(ChangeLog[[#This Row],[Raised]])=0,AND(ChangeLog[[#This Row],[Status]]&lt;&gt;"Submitted",ChangeLog[[#This Row],[Status]]&lt;&gt;"Under Review")),"",MAX(0,StatusDate-ChangeLog[[#This Row],[Raised]]))</f>
        <v/>
      </c>
      <c r="M17" s="46"/>
      <c r="N17" s="24" t="str">
        <f aca="false">IF(N(ChangeLog[[#This Row],[Task UID]])=0,"",IFERROR(INDEX(tsk_Name,MATCH(ChangeLog[[#This Row],[Task UID]],tsk_UID,0)),"UID "&amp;ChangeLog[[#This Row],[Task UID]]&amp;" not found"))</f>
        <v/>
      </c>
    </row>
    <row r="18" customFormat="false" ht="15" hidden="false" customHeight="false" outlineLevel="0" collapsed="false">
      <c r="B18" s="46" t="n">
        <v>14</v>
      </c>
      <c r="C18" s="88"/>
      <c r="D18" s="47"/>
      <c r="E18" s="47"/>
      <c r="F18" s="47"/>
      <c r="G18" s="89"/>
      <c r="H18" s="90"/>
      <c r="I18" s="46"/>
      <c r="J18" s="88"/>
      <c r="K18" s="47"/>
      <c r="L18" s="56" t="str">
        <f aca="false">IF(OR(ChangeLog[[#This Row],[Title]]="",N(ChangeLog[[#This Row],[Raised]])=0,AND(ChangeLog[[#This Row],[Status]]&lt;&gt;"Submitted",ChangeLog[[#This Row],[Status]]&lt;&gt;"Under Review")),"",MAX(0,StatusDate-ChangeLog[[#This Row],[Raised]]))</f>
        <v/>
      </c>
      <c r="M18" s="46"/>
      <c r="N18" s="24" t="str">
        <f aca="false">IF(N(ChangeLog[[#This Row],[Task UID]])=0,"",IFERROR(INDEX(tsk_Name,MATCH(ChangeLog[[#This Row],[Task UID]],tsk_UID,0)),"UID "&amp;ChangeLog[[#This Row],[Task UID]]&amp;" not found"))</f>
        <v/>
      </c>
    </row>
    <row r="19" customFormat="false" ht="15" hidden="false" customHeight="false" outlineLevel="0" collapsed="false">
      <c r="B19" s="46" t="n">
        <v>15</v>
      </c>
      <c r="C19" s="88"/>
      <c r="D19" s="47"/>
      <c r="E19" s="47"/>
      <c r="F19" s="47"/>
      <c r="G19" s="89"/>
      <c r="H19" s="90"/>
      <c r="I19" s="46"/>
      <c r="J19" s="88"/>
      <c r="K19" s="47"/>
      <c r="L19" s="56" t="str">
        <f aca="false">IF(OR(ChangeLog[[#This Row],[Title]]="",N(ChangeLog[[#This Row],[Raised]])=0,AND(ChangeLog[[#This Row],[Status]]&lt;&gt;"Submitted",ChangeLog[[#This Row],[Status]]&lt;&gt;"Under Review")),"",MAX(0,StatusDate-ChangeLog[[#This Row],[Raised]]))</f>
        <v/>
      </c>
      <c r="M19" s="46"/>
      <c r="N19" s="24" t="str">
        <f aca="false">IF(N(ChangeLog[[#This Row],[Task UID]])=0,"",IFERROR(INDEX(tsk_Name,MATCH(ChangeLog[[#This Row],[Task UID]],tsk_UID,0)),"UID "&amp;ChangeLog[[#This Row],[Task UID]]&amp;" not found"))</f>
        <v/>
      </c>
    </row>
    <row r="20" customFormat="false" ht="15" hidden="false" customHeight="false" outlineLevel="0" collapsed="false">
      <c r="B20" s="46" t="n">
        <v>16</v>
      </c>
      <c r="C20" s="88"/>
      <c r="D20" s="47"/>
      <c r="E20" s="47"/>
      <c r="F20" s="47"/>
      <c r="G20" s="89"/>
      <c r="H20" s="90"/>
      <c r="I20" s="46"/>
      <c r="J20" s="88"/>
      <c r="K20" s="47"/>
      <c r="L20" s="56" t="str">
        <f aca="false">IF(OR(ChangeLog[[#This Row],[Title]]="",N(ChangeLog[[#This Row],[Raised]])=0,AND(ChangeLog[[#This Row],[Status]]&lt;&gt;"Submitted",ChangeLog[[#This Row],[Status]]&lt;&gt;"Under Review")),"",MAX(0,StatusDate-ChangeLog[[#This Row],[Raised]]))</f>
        <v/>
      </c>
      <c r="M20" s="46"/>
      <c r="N20" s="24" t="str">
        <f aca="false">IF(N(ChangeLog[[#This Row],[Task UID]])=0,"",IFERROR(INDEX(tsk_Name,MATCH(ChangeLog[[#This Row],[Task UID]],tsk_UID,0)),"UID "&amp;ChangeLog[[#This Row],[Task UID]]&amp;" not found"))</f>
        <v/>
      </c>
    </row>
    <row r="21" customFormat="false" ht="15" hidden="false" customHeight="false" outlineLevel="0" collapsed="false">
      <c r="B21" s="46" t="n">
        <v>17</v>
      </c>
      <c r="C21" s="88"/>
      <c r="D21" s="47"/>
      <c r="E21" s="47"/>
      <c r="F21" s="47"/>
      <c r="G21" s="89"/>
      <c r="H21" s="90"/>
      <c r="I21" s="46"/>
      <c r="J21" s="88"/>
      <c r="K21" s="47"/>
      <c r="L21" s="56" t="str">
        <f aca="false">IF(OR(ChangeLog[[#This Row],[Title]]="",N(ChangeLog[[#This Row],[Raised]])=0,AND(ChangeLog[[#This Row],[Status]]&lt;&gt;"Submitted",ChangeLog[[#This Row],[Status]]&lt;&gt;"Under Review")),"",MAX(0,StatusDate-ChangeLog[[#This Row],[Raised]]))</f>
        <v/>
      </c>
      <c r="M21" s="46"/>
      <c r="N21" s="24" t="str">
        <f aca="false">IF(N(ChangeLog[[#This Row],[Task UID]])=0,"",IFERROR(INDEX(tsk_Name,MATCH(ChangeLog[[#This Row],[Task UID]],tsk_UID,0)),"UID "&amp;ChangeLog[[#This Row],[Task UID]]&amp;" not found"))</f>
        <v/>
      </c>
    </row>
    <row r="22" customFormat="false" ht="15" hidden="false" customHeight="false" outlineLevel="0" collapsed="false">
      <c r="B22" s="46" t="n">
        <v>18</v>
      </c>
      <c r="C22" s="88"/>
      <c r="D22" s="47"/>
      <c r="E22" s="47"/>
      <c r="F22" s="47"/>
      <c r="G22" s="89"/>
      <c r="H22" s="90"/>
      <c r="I22" s="46"/>
      <c r="J22" s="88"/>
      <c r="K22" s="47"/>
      <c r="L22" s="56" t="str">
        <f aca="false">IF(OR(ChangeLog[[#This Row],[Title]]="",N(ChangeLog[[#This Row],[Raised]])=0,AND(ChangeLog[[#This Row],[Status]]&lt;&gt;"Submitted",ChangeLog[[#This Row],[Status]]&lt;&gt;"Under Review")),"",MAX(0,StatusDate-ChangeLog[[#This Row],[Raised]]))</f>
        <v/>
      </c>
      <c r="M22" s="46"/>
      <c r="N22" s="24" t="str">
        <f aca="false">IF(N(ChangeLog[[#This Row],[Task UID]])=0,"",IFERROR(INDEX(tsk_Name,MATCH(ChangeLog[[#This Row],[Task UID]],tsk_UID,0)),"UID "&amp;ChangeLog[[#This Row],[Task UID]]&amp;" not found"))</f>
        <v/>
      </c>
    </row>
    <row r="23" customFormat="false" ht="15" hidden="false" customHeight="false" outlineLevel="0" collapsed="false">
      <c r="B23" s="46" t="n">
        <v>19</v>
      </c>
      <c r="C23" s="88"/>
      <c r="D23" s="47"/>
      <c r="E23" s="47"/>
      <c r="F23" s="47"/>
      <c r="G23" s="89"/>
      <c r="H23" s="90"/>
      <c r="I23" s="46"/>
      <c r="J23" s="88"/>
      <c r="K23" s="47"/>
      <c r="L23" s="56" t="str">
        <f aca="false">IF(OR(ChangeLog[[#This Row],[Title]]="",N(ChangeLog[[#This Row],[Raised]])=0,AND(ChangeLog[[#This Row],[Status]]&lt;&gt;"Submitted",ChangeLog[[#This Row],[Status]]&lt;&gt;"Under Review")),"",MAX(0,StatusDate-ChangeLog[[#This Row],[Raised]]))</f>
        <v/>
      </c>
      <c r="M23" s="46"/>
      <c r="N23" s="24" t="str">
        <f aca="false">IF(N(ChangeLog[[#This Row],[Task UID]])=0,"",IFERROR(INDEX(tsk_Name,MATCH(ChangeLog[[#This Row],[Task UID]],tsk_UID,0)),"UID "&amp;ChangeLog[[#This Row],[Task UID]]&amp;" not found"))</f>
        <v/>
      </c>
    </row>
    <row r="24" customFormat="false" ht="15" hidden="false" customHeight="false" outlineLevel="0" collapsed="false">
      <c r="B24" s="46" t="n">
        <v>20</v>
      </c>
      <c r="C24" s="88"/>
      <c r="D24" s="47"/>
      <c r="E24" s="47"/>
      <c r="F24" s="47"/>
      <c r="G24" s="89"/>
      <c r="H24" s="90"/>
      <c r="I24" s="46"/>
      <c r="J24" s="88"/>
      <c r="K24" s="47"/>
      <c r="L24" s="56" t="str">
        <f aca="false">IF(OR(ChangeLog[[#This Row],[Title]]="",N(ChangeLog[[#This Row],[Raised]])=0,AND(ChangeLog[[#This Row],[Status]]&lt;&gt;"Submitted",ChangeLog[[#This Row],[Status]]&lt;&gt;"Under Review")),"",MAX(0,StatusDate-ChangeLog[[#This Row],[Raised]]))</f>
        <v/>
      </c>
      <c r="M24" s="46"/>
      <c r="N24" s="24" t="str">
        <f aca="false">IF(N(ChangeLog[[#This Row],[Task UID]])=0,"",IFERROR(INDEX(tsk_Name,MATCH(ChangeLog[[#This Row],[Task UID]],tsk_UID,0)),"UID "&amp;ChangeLog[[#This Row],[Task UID]]&amp;" not found"))</f>
        <v/>
      </c>
    </row>
    <row r="25" customFormat="false" ht="15" hidden="false" customHeight="false" outlineLevel="0" collapsed="false">
      <c r="B25" s="46" t="n">
        <v>21</v>
      </c>
      <c r="C25" s="88"/>
      <c r="D25" s="47"/>
      <c r="E25" s="47"/>
      <c r="F25" s="47"/>
      <c r="G25" s="89"/>
      <c r="H25" s="90"/>
      <c r="I25" s="46"/>
      <c r="J25" s="88"/>
      <c r="K25" s="47"/>
      <c r="L25" s="56" t="str">
        <f aca="false">IF(OR(ChangeLog[[#This Row],[Title]]="",N(ChangeLog[[#This Row],[Raised]])=0,AND(ChangeLog[[#This Row],[Status]]&lt;&gt;"Submitted",ChangeLog[[#This Row],[Status]]&lt;&gt;"Under Review")),"",MAX(0,StatusDate-ChangeLog[[#This Row],[Raised]]))</f>
        <v/>
      </c>
      <c r="M25" s="46"/>
      <c r="N25" s="24" t="str">
        <f aca="false">IF(N(ChangeLog[[#This Row],[Task UID]])=0,"",IFERROR(INDEX(tsk_Name,MATCH(ChangeLog[[#This Row],[Task UID]],tsk_UID,0)),"UID "&amp;ChangeLog[[#This Row],[Task UID]]&amp;" not found"))</f>
        <v/>
      </c>
    </row>
    <row r="26" customFormat="false" ht="15" hidden="false" customHeight="false" outlineLevel="0" collapsed="false">
      <c r="B26" s="46" t="n">
        <v>22</v>
      </c>
      <c r="C26" s="88"/>
      <c r="D26" s="47"/>
      <c r="E26" s="47"/>
      <c r="F26" s="47"/>
      <c r="G26" s="89"/>
      <c r="H26" s="90"/>
      <c r="I26" s="46"/>
      <c r="J26" s="88"/>
      <c r="K26" s="47"/>
      <c r="L26" s="56" t="str">
        <f aca="false">IF(OR(ChangeLog[[#This Row],[Title]]="",N(ChangeLog[[#This Row],[Raised]])=0,AND(ChangeLog[[#This Row],[Status]]&lt;&gt;"Submitted",ChangeLog[[#This Row],[Status]]&lt;&gt;"Under Review")),"",MAX(0,StatusDate-ChangeLog[[#This Row],[Raised]]))</f>
        <v/>
      </c>
      <c r="M26" s="46"/>
      <c r="N26" s="24" t="str">
        <f aca="false">IF(N(ChangeLog[[#This Row],[Task UID]])=0,"",IFERROR(INDEX(tsk_Name,MATCH(ChangeLog[[#This Row],[Task UID]],tsk_UID,0)),"UID "&amp;ChangeLog[[#This Row],[Task UID]]&amp;" not found"))</f>
        <v/>
      </c>
    </row>
    <row r="27" customFormat="false" ht="15" hidden="false" customHeight="false" outlineLevel="0" collapsed="false">
      <c r="B27" s="46" t="n">
        <v>23</v>
      </c>
      <c r="C27" s="88"/>
      <c r="D27" s="47"/>
      <c r="E27" s="47"/>
      <c r="F27" s="47"/>
      <c r="G27" s="89"/>
      <c r="H27" s="90"/>
      <c r="I27" s="46"/>
      <c r="J27" s="88"/>
      <c r="K27" s="47"/>
      <c r="L27" s="56" t="str">
        <f aca="false">IF(OR(ChangeLog[[#This Row],[Title]]="",N(ChangeLog[[#This Row],[Raised]])=0,AND(ChangeLog[[#This Row],[Status]]&lt;&gt;"Submitted",ChangeLog[[#This Row],[Status]]&lt;&gt;"Under Review")),"",MAX(0,StatusDate-ChangeLog[[#This Row],[Raised]]))</f>
        <v/>
      </c>
      <c r="M27" s="46"/>
      <c r="N27" s="24" t="str">
        <f aca="false">IF(N(ChangeLog[[#This Row],[Task UID]])=0,"",IFERROR(INDEX(tsk_Name,MATCH(ChangeLog[[#This Row],[Task UID]],tsk_UID,0)),"UID "&amp;ChangeLog[[#This Row],[Task UID]]&amp;" not found"))</f>
        <v/>
      </c>
    </row>
    <row r="28" customFormat="false" ht="15" hidden="false" customHeight="false" outlineLevel="0" collapsed="false">
      <c r="B28" s="46" t="n">
        <v>24</v>
      </c>
      <c r="C28" s="88"/>
      <c r="D28" s="47"/>
      <c r="E28" s="47"/>
      <c r="F28" s="47"/>
      <c r="G28" s="89"/>
      <c r="H28" s="90"/>
      <c r="I28" s="46"/>
      <c r="J28" s="88"/>
      <c r="K28" s="47"/>
      <c r="L28" s="56" t="str">
        <f aca="false">IF(OR(ChangeLog[[#This Row],[Title]]="",N(ChangeLog[[#This Row],[Raised]])=0,AND(ChangeLog[[#This Row],[Status]]&lt;&gt;"Submitted",ChangeLog[[#This Row],[Status]]&lt;&gt;"Under Review")),"",MAX(0,StatusDate-ChangeLog[[#This Row],[Raised]]))</f>
        <v/>
      </c>
      <c r="M28" s="46"/>
      <c r="N28" s="24" t="str">
        <f aca="false">IF(N(ChangeLog[[#This Row],[Task UID]])=0,"",IFERROR(INDEX(tsk_Name,MATCH(ChangeLog[[#This Row],[Task UID]],tsk_UID,0)),"UID "&amp;ChangeLog[[#This Row],[Task UID]]&amp;" not found"))</f>
        <v/>
      </c>
    </row>
    <row r="29" customFormat="false" ht="15" hidden="false" customHeight="false" outlineLevel="0" collapsed="false">
      <c r="B29" s="46" t="n">
        <v>25</v>
      </c>
      <c r="C29" s="88"/>
      <c r="D29" s="47"/>
      <c r="E29" s="47"/>
      <c r="F29" s="47"/>
      <c r="G29" s="89"/>
      <c r="H29" s="90"/>
      <c r="I29" s="46"/>
      <c r="J29" s="88"/>
      <c r="K29" s="47"/>
      <c r="L29" s="56" t="str">
        <f aca="false">IF(OR(ChangeLog[[#This Row],[Title]]="",N(ChangeLog[[#This Row],[Raised]])=0,AND(ChangeLog[[#This Row],[Status]]&lt;&gt;"Submitted",ChangeLog[[#This Row],[Status]]&lt;&gt;"Under Review")),"",MAX(0,StatusDate-ChangeLog[[#This Row],[Raised]]))</f>
        <v/>
      </c>
      <c r="M29" s="46"/>
      <c r="N29" s="24" t="str">
        <f aca="false">IF(N(ChangeLog[[#This Row],[Task UID]])=0,"",IFERROR(INDEX(tsk_Name,MATCH(ChangeLog[[#This Row],[Task UID]],tsk_UID,0)),"UID "&amp;ChangeLog[[#This Row],[Task UID]]&amp;" not found"))</f>
        <v/>
      </c>
    </row>
    <row r="30" customFormat="false" ht="15" hidden="false" customHeight="false" outlineLevel="0" collapsed="false">
      <c r="B30" s="46" t="n">
        <v>26</v>
      </c>
      <c r="C30" s="88"/>
      <c r="D30" s="47"/>
      <c r="E30" s="47"/>
      <c r="F30" s="47"/>
      <c r="G30" s="89"/>
      <c r="H30" s="90"/>
      <c r="I30" s="46"/>
      <c r="J30" s="88"/>
      <c r="K30" s="47"/>
      <c r="L30" s="56" t="str">
        <f aca="false">IF(OR(ChangeLog[[#This Row],[Title]]="",N(ChangeLog[[#This Row],[Raised]])=0,AND(ChangeLog[[#This Row],[Status]]&lt;&gt;"Submitted",ChangeLog[[#This Row],[Status]]&lt;&gt;"Under Review")),"",MAX(0,StatusDate-ChangeLog[[#This Row],[Raised]]))</f>
        <v/>
      </c>
      <c r="M30" s="46"/>
      <c r="N30" s="24" t="str">
        <f aca="false">IF(N(ChangeLog[[#This Row],[Task UID]])=0,"",IFERROR(INDEX(tsk_Name,MATCH(ChangeLog[[#This Row],[Task UID]],tsk_UID,0)),"UID "&amp;ChangeLog[[#This Row],[Task UID]]&amp;" not found"))</f>
        <v/>
      </c>
    </row>
    <row r="31" customFormat="false" ht="15" hidden="false" customHeight="false" outlineLevel="0" collapsed="false">
      <c r="B31" s="46" t="n">
        <v>27</v>
      </c>
      <c r="C31" s="88"/>
      <c r="D31" s="47"/>
      <c r="E31" s="47"/>
      <c r="F31" s="47"/>
      <c r="G31" s="89"/>
      <c r="H31" s="90"/>
      <c r="I31" s="46"/>
      <c r="J31" s="88"/>
      <c r="K31" s="47"/>
      <c r="L31" s="56" t="str">
        <f aca="false">IF(OR(ChangeLog[[#This Row],[Title]]="",N(ChangeLog[[#This Row],[Raised]])=0,AND(ChangeLog[[#This Row],[Status]]&lt;&gt;"Submitted",ChangeLog[[#This Row],[Status]]&lt;&gt;"Under Review")),"",MAX(0,StatusDate-ChangeLog[[#This Row],[Raised]]))</f>
        <v/>
      </c>
      <c r="M31" s="46"/>
      <c r="N31" s="24" t="str">
        <f aca="false">IF(N(ChangeLog[[#This Row],[Task UID]])=0,"",IFERROR(INDEX(tsk_Name,MATCH(ChangeLog[[#This Row],[Task UID]],tsk_UID,0)),"UID "&amp;ChangeLog[[#This Row],[Task UID]]&amp;" not found"))</f>
        <v/>
      </c>
    </row>
    <row r="32" customFormat="false" ht="15" hidden="false" customHeight="false" outlineLevel="0" collapsed="false">
      <c r="B32" s="46" t="n">
        <v>28</v>
      </c>
      <c r="C32" s="88"/>
      <c r="D32" s="47"/>
      <c r="E32" s="47"/>
      <c r="F32" s="47"/>
      <c r="G32" s="89"/>
      <c r="H32" s="90"/>
      <c r="I32" s="46"/>
      <c r="J32" s="88"/>
      <c r="K32" s="47"/>
      <c r="L32" s="56" t="str">
        <f aca="false">IF(OR(ChangeLog[[#This Row],[Title]]="",N(ChangeLog[[#This Row],[Raised]])=0,AND(ChangeLog[[#This Row],[Status]]&lt;&gt;"Submitted",ChangeLog[[#This Row],[Status]]&lt;&gt;"Under Review")),"",MAX(0,StatusDate-ChangeLog[[#This Row],[Raised]]))</f>
        <v/>
      </c>
      <c r="M32" s="46"/>
      <c r="N32" s="24" t="str">
        <f aca="false">IF(N(ChangeLog[[#This Row],[Task UID]])=0,"",IFERROR(INDEX(tsk_Name,MATCH(ChangeLog[[#This Row],[Task UID]],tsk_UID,0)),"UID "&amp;ChangeLog[[#This Row],[Task UID]]&amp;" not found"))</f>
        <v/>
      </c>
    </row>
    <row r="33" customFormat="false" ht="15" hidden="false" customHeight="false" outlineLevel="0" collapsed="false">
      <c r="B33" s="46" t="n">
        <v>29</v>
      </c>
      <c r="C33" s="88"/>
      <c r="D33" s="47"/>
      <c r="E33" s="47"/>
      <c r="F33" s="47"/>
      <c r="G33" s="89"/>
      <c r="H33" s="90"/>
      <c r="I33" s="46"/>
      <c r="J33" s="88"/>
      <c r="K33" s="47"/>
      <c r="L33" s="56" t="str">
        <f aca="false">IF(OR(ChangeLog[[#This Row],[Title]]="",N(ChangeLog[[#This Row],[Raised]])=0,AND(ChangeLog[[#This Row],[Status]]&lt;&gt;"Submitted",ChangeLog[[#This Row],[Status]]&lt;&gt;"Under Review")),"",MAX(0,StatusDate-ChangeLog[[#This Row],[Raised]]))</f>
        <v/>
      </c>
      <c r="M33" s="46"/>
      <c r="N33" s="24" t="str">
        <f aca="false">IF(N(ChangeLog[[#This Row],[Task UID]])=0,"",IFERROR(INDEX(tsk_Name,MATCH(ChangeLog[[#This Row],[Task UID]],tsk_UID,0)),"UID "&amp;ChangeLog[[#This Row],[Task UID]]&amp;" not found"))</f>
        <v/>
      </c>
    </row>
    <row r="34" customFormat="false" ht="15" hidden="false" customHeight="false" outlineLevel="0" collapsed="false">
      <c r="B34" s="46" t="n">
        <v>30</v>
      </c>
      <c r="C34" s="88"/>
      <c r="D34" s="47"/>
      <c r="E34" s="47"/>
      <c r="F34" s="47"/>
      <c r="G34" s="89"/>
      <c r="H34" s="90"/>
      <c r="I34" s="46"/>
      <c r="J34" s="88"/>
      <c r="K34" s="47"/>
      <c r="L34" s="56" t="str">
        <f aca="false">IF(OR(ChangeLog[[#This Row],[Title]]="",N(ChangeLog[[#This Row],[Raised]])=0,AND(ChangeLog[[#This Row],[Status]]&lt;&gt;"Submitted",ChangeLog[[#This Row],[Status]]&lt;&gt;"Under Review")),"",MAX(0,StatusDate-ChangeLog[[#This Row],[Raised]]))</f>
        <v/>
      </c>
      <c r="M34" s="46"/>
      <c r="N34" s="24" t="str">
        <f aca="false">IF(N(ChangeLog[[#This Row],[Task UID]])=0,"",IFERROR(INDEX(tsk_Name,MATCH(ChangeLog[[#This Row],[Task UID]],tsk_UID,0)),"UID "&amp;ChangeLog[[#This Row],[Task UID]]&amp;" not found"))</f>
        <v/>
      </c>
    </row>
    <row r="35" customFormat="false" ht="15" hidden="false" customHeight="false" outlineLevel="0" collapsed="false">
      <c r="B35" s="46" t="n">
        <v>31</v>
      </c>
      <c r="C35" s="88"/>
      <c r="D35" s="47"/>
      <c r="E35" s="47"/>
      <c r="F35" s="47"/>
      <c r="G35" s="89"/>
      <c r="H35" s="90"/>
      <c r="I35" s="46"/>
      <c r="J35" s="88"/>
      <c r="K35" s="47"/>
      <c r="L35" s="56" t="str">
        <f aca="false">IF(OR(ChangeLog[[#This Row],[Title]]="",N(ChangeLog[[#This Row],[Raised]])=0,AND(ChangeLog[[#This Row],[Status]]&lt;&gt;"Submitted",ChangeLog[[#This Row],[Status]]&lt;&gt;"Under Review")),"",MAX(0,StatusDate-ChangeLog[[#This Row],[Raised]]))</f>
        <v/>
      </c>
      <c r="M35" s="46"/>
      <c r="N35" s="24" t="str">
        <f aca="false">IF(N(ChangeLog[[#This Row],[Task UID]])=0,"",IFERROR(INDEX(tsk_Name,MATCH(ChangeLog[[#This Row],[Task UID]],tsk_UID,0)),"UID "&amp;ChangeLog[[#This Row],[Task UID]]&amp;" not found"))</f>
        <v/>
      </c>
    </row>
    <row r="36" customFormat="false" ht="15" hidden="false" customHeight="false" outlineLevel="0" collapsed="false">
      <c r="B36" s="46" t="n">
        <v>32</v>
      </c>
      <c r="C36" s="88"/>
      <c r="D36" s="47"/>
      <c r="E36" s="47"/>
      <c r="F36" s="47"/>
      <c r="G36" s="89"/>
      <c r="H36" s="90"/>
      <c r="I36" s="46"/>
      <c r="J36" s="88"/>
      <c r="K36" s="47"/>
      <c r="L36" s="56" t="str">
        <f aca="false">IF(OR(ChangeLog[[#This Row],[Title]]="",N(ChangeLog[[#This Row],[Raised]])=0,AND(ChangeLog[[#This Row],[Status]]&lt;&gt;"Submitted",ChangeLog[[#This Row],[Status]]&lt;&gt;"Under Review")),"",MAX(0,StatusDate-ChangeLog[[#This Row],[Raised]]))</f>
        <v/>
      </c>
      <c r="M36" s="46"/>
      <c r="N36" s="24" t="str">
        <f aca="false">IF(N(ChangeLog[[#This Row],[Task UID]])=0,"",IFERROR(INDEX(tsk_Name,MATCH(ChangeLog[[#This Row],[Task UID]],tsk_UID,0)),"UID "&amp;ChangeLog[[#This Row],[Task UID]]&amp;" not found"))</f>
        <v/>
      </c>
    </row>
    <row r="37" customFormat="false" ht="15" hidden="false" customHeight="false" outlineLevel="0" collapsed="false">
      <c r="B37" s="46" t="n">
        <v>33</v>
      </c>
      <c r="C37" s="88"/>
      <c r="D37" s="47"/>
      <c r="E37" s="47"/>
      <c r="F37" s="47"/>
      <c r="G37" s="89"/>
      <c r="H37" s="90"/>
      <c r="I37" s="46"/>
      <c r="J37" s="88"/>
      <c r="K37" s="47"/>
      <c r="L37" s="56" t="str">
        <f aca="false">IF(OR(ChangeLog[[#This Row],[Title]]="",N(ChangeLog[[#This Row],[Raised]])=0,AND(ChangeLog[[#This Row],[Status]]&lt;&gt;"Submitted",ChangeLog[[#This Row],[Status]]&lt;&gt;"Under Review")),"",MAX(0,StatusDate-ChangeLog[[#This Row],[Raised]]))</f>
        <v/>
      </c>
      <c r="M37" s="46"/>
      <c r="N37" s="24" t="str">
        <f aca="false">IF(N(ChangeLog[[#This Row],[Task UID]])=0,"",IFERROR(INDEX(tsk_Name,MATCH(ChangeLog[[#This Row],[Task UID]],tsk_UID,0)),"UID "&amp;ChangeLog[[#This Row],[Task UID]]&amp;" not found"))</f>
        <v/>
      </c>
    </row>
    <row r="38" customFormat="false" ht="15" hidden="false" customHeight="false" outlineLevel="0" collapsed="false">
      <c r="B38" s="46" t="n">
        <v>34</v>
      </c>
      <c r="C38" s="88"/>
      <c r="D38" s="47"/>
      <c r="E38" s="47"/>
      <c r="F38" s="47"/>
      <c r="G38" s="89"/>
      <c r="H38" s="90"/>
      <c r="I38" s="46"/>
      <c r="J38" s="88"/>
      <c r="K38" s="47"/>
      <c r="L38" s="56" t="str">
        <f aca="false">IF(OR(ChangeLog[[#This Row],[Title]]="",N(ChangeLog[[#This Row],[Raised]])=0,AND(ChangeLog[[#This Row],[Status]]&lt;&gt;"Submitted",ChangeLog[[#This Row],[Status]]&lt;&gt;"Under Review")),"",MAX(0,StatusDate-ChangeLog[[#This Row],[Raised]]))</f>
        <v/>
      </c>
      <c r="M38" s="46"/>
      <c r="N38" s="24" t="str">
        <f aca="false">IF(N(ChangeLog[[#This Row],[Task UID]])=0,"",IFERROR(INDEX(tsk_Name,MATCH(ChangeLog[[#This Row],[Task UID]],tsk_UID,0)),"UID "&amp;ChangeLog[[#This Row],[Task UID]]&amp;" not found"))</f>
        <v/>
      </c>
    </row>
    <row r="39" customFormat="false" ht="15" hidden="false" customHeight="false" outlineLevel="0" collapsed="false">
      <c r="B39" s="46" t="n">
        <v>35</v>
      </c>
      <c r="C39" s="88"/>
      <c r="D39" s="47"/>
      <c r="E39" s="47"/>
      <c r="F39" s="47"/>
      <c r="G39" s="89"/>
      <c r="H39" s="90"/>
      <c r="I39" s="46"/>
      <c r="J39" s="88"/>
      <c r="K39" s="47"/>
      <c r="L39" s="56" t="str">
        <f aca="false">IF(OR(ChangeLog[[#This Row],[Title]]="",N(ChangeLog[[#This Row],[Raised]])=0,AND(ChangeLog[[#This Row],[Status]]&lt;&gt;"Submitted",ChangeLog[[#This Row],[Status]]&lt;&gt;"Under Review")),"",MAX(0,StatusDate-ChangeLog[[#This Row],[Raised]]))</f>
        <v/>
      </c>
      <c r="M39" s="46"/>
      <c r="N39" s="24" t="str">
        <f aca="false">IF(N(ChangeLog[[#This Row],[Task UID]])=0,"",IFERROR(INDEX(tsk_Name,MATCH(ChangeLog[[#This Row],[Task UID]],tsk_UID,0)),"UID "&amp;ChangeLog[[#This Row],[Task UID]]&amp;" not found"))</f>
        <v/>
      </c>
    </row>
    <row r="40" customFormat="false" ht="15" hidden="false" customHeight="false" outlineLevel="0" collapsed="false">
      <c r="B40" s="46" t="n">
        <v>36</v>
      </c>
      <c r="C40" s="88"/>
      <c r="D40" s="47"/>
      <c r="E40" s="47"/>
      <c r="F40" s="47"/>
      <c r="G40" s="89"/>
      <c r="H40" s="90"/>
      <c r="I40" s="46"/>
      <c r="J40" s="88"/>
      <c r="K40" s="47"/>
      <c r="L40" s="56" t="str">
        <f aca="false">IF(OR(ChangeLog[[#This Row],[Title]]="",N(ChangeLog[[#This Row],[Raised]])=0,AND(ChangeLog[[#This Row],[Status]]&lt;&gt;"Submitted",ChangeLog[[#This Row],[Status]]&lt;&gt;"Under Review")),"",MAX(0,StatusDate-ChangeLog[[#This Row],[Raised]]))</f>
        <v/>
      </c>
      <c r="M40" s="46"/>
      <c r="N40" s="24" t="str">
        <f aca="false">IF(N(ChangeLog[[#This Row],[Task UID]])=0,"",IFERROR(INDEX(tsk_Name,MATCH(ChangeLog[[#This Row],[Task UID]],tsk_UID,0)),"UID "&amp;ChangeLog[[#This Row],[Task UID]]&amp;" not found"))</f>
        <v/>
      </c>
    </row>
    <row r="41" customFormat="false" ht="15" hidden="false" customHeight="false" outlineLevel="0" collapsed="false">
      <c r="B41" s="46" t="n">
        <v>37</v>
      </c>
      <c r="C41" s="88"/>
      <c r="D41" s="47"/>
      <c r="E41" s="47"/>
      <c r="F41" s="47"/>
      <c r="G41" s="89"/>
      <c r="H41" s="90"/>
      <c r="I41" s="46"/>
      <c r="J41" s="88"/>
      <c r="K41" s="47"/>
      <c r="L41" s="56" t="str">
        <f aca="false">IF(OR(ChangeLog[[#This Row],[Title]]="",N(ChangeLog[[#This Row],[Raised]])=0,AND(ChangeLog[[#This Row],[Status]]&lt;&gt;"Submitted",ChangeLog[[#This Row],[Status]]&lt;&gt;"Under Review")),"",MAX(0,StatusDate-ChangeLog[[#This Row],[Raised]]))</f>
        <v/>
      </c>
      <c r="M41" s="46"/>
      <c r="N41" s="24" t="str">
        <f aca="false">IF(N(ChangeLog[[#This Row],[Task UID]])=0,"",IFERROR(INDEX(tsk_Name,MATCH(ChangeLog[[#This Row],[Task UID]],tsk_UID,0)),"UID "&amp;ChangeLog[[#This Row],[Task UID]]&amp;" not found"))</f>
        <v/>
      </c>
    </row>
    <row r="42" customFormat="false" ht="15" hidden="false" customHeight="false" outlineLevel="0" collapsed="false">
      <c r="B42" s="46" t="n">
        <v>38</v>
      </c>
      <c r="C42" s="88"/>
      <c r="D42" s="47"/>
      <c r="E42" s="47"/>
      <c r="F42" s="47"/>
      <c r="G42" s="89"/>
      <c r="H42" s="90"/>
      <c r="I42" s="46"/>
      <c r="J42" s="88"/>
      <c r="K42" s="47"/>
      <c r="L42" s="56" t="str">
        <f aca="false">IF(OR(ChangeLog[[#This Row],[Title]]="",N(ChangeLog[[#This Row],[Raised]])=0,AND(ChangeLog[[#This Row],[Status]]&lt;&gt;"Submitted",ChangeLog[[#This Row],[Status]]&lt;&gt;"Under Review")),"",MAX(0,StatusDate-ChangeLog[[#This Row],[Raised]]))</f>
        <v/>
      </c>
      <c r="M42" s="46"/>
      <c r="N42" s="24" t="str">
        <f aca="false">IF(N(ChangeLog[[#This Row],[Task UID]])=0,"",IFERROR(INDEX(tsk_Name,MATCH(ChangeLog[[#This Row],[Task UID]],tsk_UID,0)),"UID "&amp;ChangeLog[[#This Row],[Task UID]]&amp;" not found"))</f>
        <v/>
      </c>
    </row>
    <row r="43" customFormat="false" ht="15" hidden="false" customHeight="false" outlineLevel="0" collapsed="false">
      <c r="B43" s="46" t="n">
        <v>39</v>
      </c>
      <c r="C43" s="88"/>
      <c r="D43" s="47"/>
      <c r="E43" s="47"/>
      <c r="F43" s="47"/>
      <c r="G43" s="89"/>
      <c r="H43" s="90"/>
      <c r="I43" s="46"/>
      <c r="J43" s="88"/>
      <c r="K43" s="47"/>
      <c r="L43" s="56" t="str">
        <f aca="false">IF(OR(ChangeLog[[#This Row],[Title]]="",N(ChangeLog[[#This Row],[Raised]])=0,AND(ChangeLog[[#This Row],[Status]]&lt;&gt;"Submitted",ChangeLog[[#This Row],[Status]]&lt;&gt;"Under Review")),"",MAX(0,StatusDate-ChangeLog[[#This Row],[Raised]]))</f>
        <v/>
      </c>
      <c r="M43" s="46"/>
      <c r="N43" s="24" t="str">
        <f aca="false">IF(N(ChangeLog[[#This Row],[Task UID]])=0,"",IFERROR(INDEX(tsk_Name,MATCH(ChangeLog[[#This Row],[Task UID]],tsk_UID,0)),"UID "&amp;ChangeLog[[#This Row],[Task UID]]&amp;" not found"))</f>
        <v/>
      </c>
    </row>
    <row r="44" customFormat="false" ht="15" hidden="false" customHeight="false" outlineLevel="0" collapsed="false">
      <c r="B44" s="46" t="n">
        <v>40</v>
      </c>
      <c r="C44" s="88"/>
      <c r="D44" s="47"/>
      <c r="E44" s="47"/>
      <c r="F44" s="47"/>
      <c r="G44" s="89"/>
      <c r="H44" s="90"/>
      <c r="I44" s="46"/>
      <c r="J44" s="88"/>
      <c r="K44" s="47"/>
      <c r="L44" s="56" t="str">
        <f aca="false">IF(OR(ChangeLog[[#This Row],[Title]]="",N(ChangeLog[[#This Row],[Raised]])=0,AND(ChangeLog[[#This Row],[Status]]&lt;&gt;"Submitted",ChangeLog[[#This Row],[Status]]&lt;&gt;"Under Review")),"",MAX(0,StatusDate-ChangeLog[[#This Row],[Raised]]))</f>
        <v/>
      </c>
      <c r="M44" s="46"/>
      <c r="N44" s="24" t="str">
        <f aca="false">IF(N(ChangeLog[[#This Row],[Task UID]])=0,"",IFERROR(INDEX(tsk_Name,MATCH(ChangeLog[[#This Row],[Task UID]],tsk_UID,0)),"UID "&amp;ChangeLog[[#This Row],[Task UID]]&amp;" not found"))</f>
        <v/>
      </c>
    </row>
    <row r="45" customFormat="false" ht="15" hidden="false" customHeight="false" outlineLevel="0" collapsed="false">
      <c r="B45" s="46" t="n">
        <v>41</v>
      </c>
      <c r="C45" s="88"/>
      <c r="D45" s="47"/>
      <c r="E45" s="47"/>
      <c r="F45" s="47"/>
      <c r="G45" s="89"/>
      <c r="H45" s="90"/>
      <c r="I45" s="46"/>
      <c r="J45" s="88"/>
      <c r="K45" s="47"/>
      <c r="L45" s="56" t="str">
        <f aca="false">IF(OR(ChangeLog[[#This Row],[Title]]="",N(ChangeLog[[#This Row],[Raised]])=0,AND(ChangeLog[[#This Row],[Status]]&lt;&gt;"Submitted",ChangeLog[[#This Row],[Status]]&lt;&gt;"Under Review")),"",MAX(0,StatusDate-ChangeLog[[#This Row],[Raised]]))</f>
        <v/>
      </c>
      <c r="M45" s="46"/>
      <c r="N45" s="24" t="str">
        <f aca="false">IF(N(ChangeLog[[#This Row],[Task UID]])=0,"",IFERROR(INDEX(tsk_Name,MATCH(ChangeLog[[#This Row],[Task UID]],tsk_UID,0)),"UID "&amp;ChangeLog[[#This Row],[Task UID]]&amp;" not found"))</f>
        <v/>
      </c>
    </row>
    <row r="46" customFormat="false" ht="15" hidden="false" customHeight="false" outlineLevel="0" collapsed="false">
      <c r="B46" s="46" t="n">
        <v>42</v>
      </c>
      <c r="C46" s="88"/>
      <c r="D46" s="47"/>
      <c r="E46" s="47"/>
      <c r="F46" s="47"/>
      <c r="G46" s="89"/>
      <c r="H46" s="90"/>
      <c r="I46" s="46"/>
      <c r="J46" s="88"/>
      <c r="K46" s="47"/>
      <c r="L46" s="56" t="str">
        <f aca="false">IF(OR(ChangeLog[[#This Row],[Title]]="",N(ChangeLog[[#This Row],[Raised]])=0,AND(ChangeLog[[#This Row],[Status]]&lt;&gt;"Submitted",ChangeLog[[#This Row],[Status]]&lt;&gt;"Under Review")),"",MAX(0,StatusDate-ChangeLog[[#This Row],[Raised]]))</f>
        <v/>
      </c>
      <c r="M46" s="46"/>
      <c r="N46" s="24" t="str">
        <f aca="false">IF(N(ChangeLog[[#This Row],[Task UID]])=0,"",IFERROR(INDEX(tsk_Name,MATCH(ChangeLog[[#This Row],[Task UID]],tsk_UID,0)),"UID "&amp;ChangeLog[[#This Row],[Task UID]]&amp;" not found"))</f>
        <v/>
      </c>
    </row>
    <row r="47" customFormat="false" ht="15" hidden="false" customHeight="false" outlineLevel="0" collapsed="false">
      <c r="B47" s="46" t="n">
        <v>43</v>
      </c>
      <c r="C47" s="88"/>
      <c r="D47" s="47"/>
      <c r="E47" s="47"/>
      <c r="F47" s="47"/>
      <c r="G47" s="89"/>
      <c r="H47" s="90"/>
      <c r="I47" s="46"/>
      <c r="J47" s="88"/>
      <c r="K47" s="47"/>
      <c r="L47" s="56" t="str">
        <f aca="false">IF(OR(ChangeLog[[#This Row],[Title]]="",N(ChangeLog[[#This Row],[Raised]])=0,AND(ChangeLog[[#This Row],[Status]]&lt;&gt;"Submitted",ChangeLog[[#This Row],[Status]]&lt;&gt;"Under Review")),"",MAX(0,StatusDate-ChangeLog[[#This Row],[Raised]]))</f>
        <v/>
      </c>
      <c r="M47" s="46"/>
      <c r="N47" s="24" t="str">
        <f aca="false">IF(N(ChangeLog[[#This Row],[Task UID]])=0,"",IFERROR(INDEX(tsk_Name,MATCH(ChangeLog[[#This Row],[Task UID]],tsk_UID,0)),"UID "&amp;ChangeLog[[#This Row],[Task UID]]&amp;" not found"))</f>
        <v/>
      </c>
    </row>
    <row r="48" customFormat="false" ht="15" hidden="false" customHeight="false" outlineLevel="0" collapsed="false">
      <c r="B48" s="46" t="n">
        <v>44</v>
      </c>
      <c r="C48" s="88"/>
      <c r="D48" s="47"/>
      <c r="E48" s="47"/>
      <c r="F48" s="47"/>
      <c r="G48" s="89"/>
      <c r="H48" s="90"/>
      <c r="I48" s="46"/>
      <c r="J48" s="88"/>
      <c r="K48" s="47"/>
      <c r="L48" s="56" t="str">
        <f aca="false">IF(OR(ChangeLog[[#This Row],[Title]]="",N(ChangeLog[[#This Row],[Raised]])=0,AND(ChangeLog[[#This Row],[Status]]&lt;&gt;"Submitted",ChangeLog[[#This Row],[Status]]&lt;&gt;"Under Review")),"",MAX(0,StatusDate-ChangeLog[[#This Row],[Raised]]))</f>
        <v/>
      </c>
      <c r="M48" s="46"/>
      <c r="N48" s="24" t="str">
        <f aca="false">IF(N(ChangeLog[[#This Row],[Task UID]])=0,"",IFERROR(INDEX(tsk_Name,MATCH(ChangeLog[[#This Row],[Task UID]],tsk_UID,0)),"UID "&amp;ChangeLog[[#This Row],[Task UID]]&amp;" not found"))</f>
        <v/>
      </c>
    </row>
    <row r="49" customFormat="false" ht="15" hidden="false" customHeight="false" outlineLevel="0" collapsed="false">
      <c r="B49" s="46" t="n">
        <v>45</v>
      </c>
      <c r="C49" s="88"/>
      <c r="D49" s="47"/>
      <c r="E49" s="47"/>
      <c r="F49" s="47"/>
      <c r="G49" s="89"/>
      <c r="H49" s="90"/>
      <c r="I49" s="46"/>
      <c r="J49" s="88"/>
      <c r="K49" s="47"/>
      <c r="L49" s="56" t="str">
        <f aca="false">IF(OR(ChangeLog[[#This Row],[Title]]="",N(ChangeLog[[#This Row],[Raised]])=0,AND(ChangeLog[[#This Row],[Status]]&lt;&gt;"Submitted",ChangeLog[[#This Row],[Status]]&lt;&gt;"Under Review")),"",MAX(0,StatusDate-ChangeLog[[#This Row],[Raised]]))</f>
        <v/>
      </c>
      <c r="M49" s="46"/>
      <c r="N49" s="24" t="str">
        <f aca="false">IF(N(ChangeLog[[#This Row],[Task UID]])=0,"",IFERROR(INDEX(tsk_Name,MATCH(ChangeLog[[#This Row],[Task UID]],tsk_UID,0)),"UID "&amp;ChangeLog[[#This Row],[Task UID]]&amp;" not found"))</f>
        <v/>
      </c>
    </row>
    <row r="50" customFormat="false" ht="15" hidden="false" customHeight="false" outlineLevel="0" collapsed="false">
      <c r="B50" s="46" t="n">
        <v>46</v>
      </c>
      <c r="C50" s="88"/>
      <c r="D50" s="47"/>
      <c r="E50" s="47"/>
      <c r="F50" s="47"/>
      <c r="G50" s="89"/>
      <c r="H50" s="90"/>
      <c r="I50" s="46"/>
      <c r="J50" s="88"/>
      <c r="K50" s="47"/>
      <c r="L50" s="56" t="str">
        <f aca="false">IF(OR(ChangeLog[[#This Row],[Title]]="",N(ChangeLog[[#This Row],[Raised]])=0,AND(ChangeLog[[#This Row],[Status]]&lt;&gt;"Submitted",ChangeLog[[#This Row],[Status]]&lt;&gt;"Under Review")),"",MAX(0,StatusDate-ChangeLog[[#This Row],[Raised]]))</f>
        <v/>
      </c>
      <c r="M50" s="46"/>
      <c r="N50" s="24" t="str">
        <f aca="false">IF(N(ChangeLog[[#This Row],[Task UID]])=0,"",IFERROR(INDEX(tsk_Name,MATCH(ChangeLog[[#This Row],[Task UID]],tsk_UID,0)),"UID "&amp;ChangeLog[[#This Row],[Task UID]]&amp;" not found"))</f>
        <v/>
      </c>
    </row>
    <row r="51" customFormat="false" ht="15" hidden="false" customHeight="false" outlineLevel="0" collapsed="false">
      <c r="B51" s="46" t="n">
        <v>47</v>
      </c>
      <c r="C51" s="88"/>
      <c r="D51" s="47"/>
      <c r="E51" s="47"/>
      <c r="F51" s="47"/>
      <c r="G51" s="89"/>
      <c r="H51" s="90"/>
      <c r="I51" s="46"/>
      <c r="J51" s="88"/>
      <c r="K51" s="47"/>
      <c r="L51" s="56" t="str">
        <f aca="false">IF(OR(ChangeLog[[#This Row],[Title]]="",N(ChangeLog[[#This Row],[Raised]])=0,AND(ChangeLog[[#This Row],[Status]]&lt;&gt;"Submitted",ChangeLog[[#This Row],[Status]]&lt;&gt;"Under Review")),"",MAX(0,StatusDate-ChangeLog[[#This Row],[Raised]]))</f>
        <v/>
      </c>
      <c r="M51" s="46"/>
      <c r="N51" s="24" t="str">
        <f aca="false">IF(N(ChangeLog[[#This Row],[Task UID]])=0,"",IFERROR(INDEX(tsk_Name,MATCH(ChangeLog[[#This Row],[Task UID]],tsk_UID,0)),"UID "&amp;ChangeLog[[#This Row],[Task UID]]&amp;" not found"))</f>
        <v/>
      </c>
    </row>
    <row r="52" customFormat="false" ht="15" hidden="false" customHeight="false" outlineLevel="0" collapsed="false">
      <c r="B52" s="46" t="n">
        <v>48</v>
      </c>
      <c r="C52" s="88"/>
      <c r="D52" s="47"/>
      <c r="E52" s="47"/>
      <c r="F52" s="47"/>
      <c r="G52" s="89"/>
      <c r="H52" s="90"/>
      <c r="I52" s="46"/>
      <c r="J52" s="88"/>
      <c r="K52" s="47"/>
      <c r="L52" s="56" t="str">
        <f aca="false">IF(OR(ChangeLog[[#This Row],[Title]]="",N(ChangeLog[[#This Row],[Raised]])=0,AND(ChangeLog[[#This Row],[Status]]&lt;&gt;"Submitted",ChangeLog[[#This Row],[Status]]&lt;&gt;"Under Review")),"",MAX(0,StatusDate-ChangeLog[[#This Row],[Raised]]))</f>
        <v/>
      </c>
      <c r="M52" s="46"/>
      <c r="N52" s="24" t="str">
        <f aca="false">IF(N(ChangeLog[[#This Row],[Task UID]])=0,"",IFERROR(INDEX(tsk_Name,MATCH(ChangeLog[[#This Row],[Task UID]],tsk_UID,0)),"UID "&amp;ChangeLog[[#This Row],[Task UID]]&amp;" not found"))</f>
        <v/>
      </c>
    </row>
    <row r="53" customFormat="false" ht="15" hidden="false" customHeight="false" outlineLevel="0" collapsed="false">
      <c r="B53" s="46" t="n">
        <v>49</v>
      </c>
      <c r="C53" s="88"/>
      <c r="D53" s="47"/>
      <c r="E53" s="47"/>
      <c r="F53" s="47"/>
      <c r="G53" s="89"/>
      <c r="H53" s="90"/>
      <c r="I53" s="46"/>
      <c r="J53" s="88"/>
      <c r="K53" s="47"/>
      <c r="L53" s="56" t="str">
        <f aca="false">IF(OR(ChangeLog[[#This Row],[Title]]="",N(ChangeLog[[#This Row],[Raised]])=0,AND(ChangeLog[[#This Row],[Status]]&lt;&gt;"Submitted",ChangeLog[[#This Row],[Status]]&lt;&gt;"Under Review")),"",MAX(0,StatusDate-ChangeLog[[#This Row],[Raised]]))</f>
        <v/>
      </c>
      <c r="M53" s="46"/>
      <c r="N53" s="24" t="str">
        <f aca="false">IF(N(ChangeLog[[#This Row],[Task UID]])=0,"",IFERROR(INDEX(tsk_Name,MATCH(ChangeLog[[#This Row],[Task UID]],tsk_UID,0)),"UID "&amp;ChangeLog[[#This Row],[Task UID]]&amp;" not found"))</f>
        <v/>
      </c>
    </row>
    <row r="54" customFormat="false" ht="15" hidden="false" customHeight="false" outlineLevel="0" collapsed="false">
      <c r="B54" s="46" t="n">
        <v>50</v>
      </c>
      <c r="C54" s="88"/>
      <c r="D54" s="47"/>
      <c r="E54" s="47"/>
      <c r="F54" s="47"/>
      <c r="G54" s="89"/>
      <c r="H54" s="90"/>
      <c r="I54" s="46"/>
      <c r="J54" s="88"/>
      <c r="K54" s="47"/>
      <c r="L54" s="56" t="str">
        <f aca="false">IF(OR(ChangeLog[[#This Row],[Title]]="",N(ChangeLog[[#This Row],[Raised]])=0,AND(ChangeLog[[#This Row],[Status]]&lt;&gt;"Submitted",ChangeLog[[#This Row],[Status]]&lt;&gt;"Under Review")),"",MAX(0,StatusDate-ChangeLog[[#This Row],[Raised]]))</f>
        <v/>
      </c>
      <c r="M54" s="46"/>
      <c r="N54" s="24" t="str">
        <f aca="false">IF(N(ChangeLog[[#This Row],[Task UID]])=0,"",IFERROR(INDEX(tsk_Name,MATCH(ChangeLog[[#This Row],[Task UID]],tsk_UID,0)),"UID "&amp;ChangeLog[[#This Row],[Task UID]]&amp;" not found"))</f>
        <v/>
      </c>
    </row>
    <row r="55" customFormat="false" ht="15" hidden="false" customHeight="false" outlineLevel="0" collapsed="false">
      <c r="B55" s="46" t="n">
        <v>51</v>
      </c>
      <c r="C55" s="88"/>
      <c r="D55" s="47"/>
      <c r="E55" s="47"/>
      <c r="F55" s="47"/>
      <c r="G55" s="89"/>
      <c r="H55" s="90"/>
      <c r="I55" s="46"/>
      <c r="J55" s="88"/>
      <c r="K55" s="47"/>
      <c r="L55" s="56" t="str">
        <f aca="false">IF(OR(ChangeLog[[#This Row],[Title]]="",N(ChangeLog[[#This Row],[Raised]])=0,AND(ChangeLog[[#This Row],[Status]]&lt;&gt;"Submitted",ChangeLog[[#This Row],[Status]]&lt;&gt;"Under Review")),"",MAX(0,StatusDate-ChangeLog[[#This Row],[Raised]]))</f>
        <v/>
      </c>
      <c r="M55" s="46"/>
      <c r="N55" s="24" t="str">
        <f aca="false">IF(N(ChangeLog[[#This Row],[Task UID]])=0,"",IFERROR(INDEX(tsk_Name,MATCH(ChangeLog[[#This Row],[Task UID]],tsk_UID,0)),"UID "&amp;ChangeLog[[#This Row],[Task UID]]&amp;" not found"))</f>
        <v/>
      </c>
    </row>
    <row r="56" customFormat="false" ht="15" hidden="false" customHeight="false" outlineLevel="0" collapsed="false">
      <c r="B56" s="46" t="n">
        <v>52</v>
      </c>
      <c r="C56" s="88"/>
      <c r="D56" s="47"/>
      <c r="E56" s="47"/>
      <c r="F56" s="47"/>
      <c r="G56" s="89"/>
      <c r="H56" s="90"/>
      <c r="I56" s="46"/>
      <c r="J56" s="88"/>
      <c r="K56" s="47"/>
      <c r="L56" s="56" t="str">
        <f aca="false">IF(OR(ChangeLog[[#This Row],[Title]]="",N(ChangeLog[[#This Row],[Raised]])=0,AND(ChangeLog[[#This Row],[Status]]&lt;&gt;"Submitted",ChangeLog[[#This Row],[Status]]&lt;&gt;"Under Review")),"",MAX(0,StatusDate-ChangeLog[[#This Row],[Raised]]))</f>
        <v/>
      </c>
      <c r="M56" s="46"/>
      <c r="N56" s="24" t="str">
        <f aca="false">IF(N(ChangeLog[[#This Row],[Task UID]])=0,"",IFERROR(INDEX(tsk_Name,MATCH(ChangeLog[[#This Row],[Task UID]],tsk_UID,0)),"UID "&amp;ChangeLog[[#This Row],[Task UID]]&amp;" not found"))</f>
        <v/>
      </c>
    </row>
    <row r="57" customFormat="false" ht="15" hidden="false" customHeight="false" outlineLevel="0" collapsed="false">
      <c r="B57" s="46" t="n">
        <v>53</v>
      </c>
      <c r="C57" s="88"/>
      <c r="D57" s="47"/>
      <c r="E57" s="47"/>
      <c r="F57" s="47"/>
      <c r="G57" s="89"/>
      <c r="H57" s="90"/>
      <c r="I57" s="46"/>
      <c r="J57" s="88"/>
      <c r="K57" s="47"/>
      <c r="L57" s="56" t="str">
        <f aca="false">IF(OR(ChangeLog[[#This Row],[Title]]="",N(ChangeLog[[#This Row],[Raised]])=0,AND(ChangeLog[[#This Row],[Status]]&lt;&gt;"Submitted",ChangeLog[[#This Row],[Status]]&lt;&gt;"Under Review")),"",MAX(0,StatusDate-ChangeLog[[#This Row],[Raised]]))</f>
        <v/>
      </c>
      <c r="M57" s="46"/>
      <c r="N57" s="24" t="str">
        <f aca="false">IF(N(ChangeLog[[#This Row],[Task UID]])=0,"",IFERROR(INDEX(tsk_Name,MATCH(ChangeLog[[#This Row],[Task UID]],tsk_UID,0)),"UID "&amp;ChangeLog[[#This Row],[Task UID]]&amp;" not found"))</f>
        <v/>
      </c>
    </row>
    <row r="58" customFormat="false" ht="15" hidden="false" customHeight="false" outlineLevel="0" collapsed="false">
      <c r="B58" s="46" t="n">
        <v>54</v>
      </c>
      <c r="C58" s="88"/>
      <c r="D58" s="47"/>
      <c r="E58" s="47"/>
      <c r="F58" s="47"/>
      <c r="G58" s="89"/>
      <c r="H58" s="90"/>
      <c r="I58" s="46"/>
      <c r="J58" s="88"/>
      <c r="K58" s="47"/>
      <c r="L58" s="56" t="str">
        <f aca="false">IF(OR(ChangeLog[[#This Row],[Title]]="",N(ChangeLog[[#This Row],[Raised]])=0,AND(ChangeLog[[#This Row],[Status]]&lt;&gt;"Submitted",ChangeLog[[#This Row],[Status]]&lt;&gt;"Under Review")),"",MAX(0,StatusDate-ChangeLog[[#This Row],[Raised]]))</f>
        <v/>
      </c>
      <c r="M58" s="46"/>
      <c r="N58" s="24" t="str">
        <f aca="false">IF(N(ChangeLog[[#This Row],[Task UID]])=0,"",IFERROR(INDEX(tsk_Name,MATCH(ChangeLog[[#This Row],[Task UID]],tsk_UID,0)),"UID "&amp;ChangeLog[[#This Row],[Task UID]]&amp;" not found"))</f>
        <v/>
      </c>
    </row>
    <row r="59" customFormat="false" ht="15" hidden="false" customHeight="false" outlineLevel="0" collapsed="false">
      <c r="B59" s="46" t="n">
        <v>55</v>
      </c>
      <c r="C59" s="88"/>
      <c r="D59" s="47"/>
      <c r="E59" s="47"/>
      <c r="F59" s="47"/>
      <c r="G59" s="89"/>
      <c r="H59" s="90"/>
      <c r="I59" s="46"/>
      <c r="J59" s="88"/>
      <c r="K59" s="47"/>
      <c r="L59" s="56" t="str">
        <f aca="false">IF(OR(ChangeLog[[#This Row],[Title]]="",N(ChangeLog[[#This Row],[Raised]])=0,AND(ChangeLog[[#This Row],[Status]]&lt;&gt;"Submitted",ChangeLog[[#This Row],[Status]]&lt;&gt;"Under Review")),"",MAX(0,StatusDate-ChangeLog[[#This Row],[Raised]]))</f>
        <v/>
      </c>
      <c r="M59" s="46"/>
      <c r="N59" s="24" t="str">
        <f aca="false">IF(N(ChangeLog[[#This Row],[Task UID]])=0,"",IFERROR(INDEX(tsk_Name,MATCH(ChangeLog[[#This Row],[Task UID]],tsk_UID,0)),"UID "&amp;ChangeLog[[#This Row],[Task UID]]&amp;" not found"))</f>
        <v/>
      </c>
    </row>
    <row r="60" customFormat="false" ht="15" hidden="false" customHeight="false" outlineLevel="0" collapsed="false">
      <c r="B60" s="46" t="n">
        <v>56</v>
      </c>
      <c r="C60" s="88"/>
      <c r="D60" s="47"/>
      <c r="E60" s="47"/>
      <c r="F60" s="47"/>
      <c r="G60" s="89"/>
      <c r="H60" s="90"/>
      <c r="I60" s="46"/>
      <c r="J60" s="88"/>
      <c r="K60" s="47"/>
      <c r="L60" s="56" t="str">
        <f aca="false">IF(OR(ChangeLog[[#This Row],[Title]]="",N(ChangeLog[[#This Row],[Raised]])=0,AND(ChangeLog[[#This Row],[Status]]&lt;&gt;"Submitted",ChangeLog[[#This Row],[Status]]&lt;&gt;"Under Review")),"",MAX(0,StatusDate-ChangeLog[[#This Row],[Raised]]))</f>
        <v/>
      </c>
      <c r="M60" s="46"/>
      <c r="N60" s="24" t="str">
        <f aca="false">IF(N(ChangeLog[[#This Row],[Task UID]])=0,"",IFERROR(INDEX(tsk_Name,MATCH(ChangeLog[[#This Row],[Task UID]],tsk_UID,0)),"UID "&amp;ChangeLog[[#This Row],[Task UID]]&amp;" not found"))</f>
        <v/>
      </c>
    </row>
    <row r="61" customFormat="false" ht="15" hidden="false" customHeight="false" outlineLevel="0" collapsed="false">
      <c r="B61" s="46" t="n">
        <v>57</v>
      </c>
      <c r="C61" s="88"/>
      <c r="D61" s="47"/>
      <c r="E61" s="47"/>
      <c r="F61" s="47"/>
      <c r="G61" s="89"/>
      <c r="H61" s="90"/>
      <c r="I61" s="46"/>
      <c r="J61" s="88"/>
      <c r="K61" s="47"/>
      <c r="L61" s="56" t="str">
        <f aca="false">IF(OR(ChangeLog[[#This Row],[Title]]="",N(ChangeLog[[#This Row],[Raised]])=0,AND(ChangeLog[[#This Row],[Status]]&lt;&gt;"Submitted",ChangeLog[[#This Row],[Status]]&lt;&gt;"Under Review")),"",MAX(0,StatusDate-ChangeLog[[#This Row],[Raised]]))</f>
        <v/>
      </c>
      <c r="M61" s="46"/>
      <c r="N61" s="24" t="str">
        <f aca="false">IF(N(ChangeLog[[#This Row],[Task UID]])=0,"",IFERROR(INDEX(tsk_Name,MATCH(ChangeLog[[#This Row],[Task UID]],tsk_UID,0)),"UID "&amp;ChangeLog[[#This Row],[Task UID]]&amp;" not found"))</f>
        <v/>
      </c>
    </row>
    <row r="62" customFormat="false" ht="15" hidden="false" customHeight="false" outlineLevel="0" collapsed="false">
      <c r="B62" s="46" t="n">
        <v>58</v>
      </c>
      <c r="C62" s="88"/>
      <c r="D62" s="47"/>
      <c r="E62" s="47"/>
      <c r="F62" s="47"/>
      <c r="G62" s="89"/>
      <c r="H62" s="90"/>
      <c r="I62" s="46"/>
      <c r="J62" s="88"/>
      <c r="K62" s="47"/>
      <c r="L62" s="56" t="str">
        <f aca="false">IF(OR(ChangeLog[[#This Row],[Title]]="",N(ChangeLog[[#This Row],[Raised]])=0,AND(ChangeLog[[#This Row],[Status]]&lt;&gt;"Submitted",ChangeLog[[#This Row],[Status]]&lt;&gt;"Under Review")),"",MAX(0,StatusDate-ChangeLog[[#This Row],[Raised]]))</f>
        <v/>
      </c>
      <c r="M62" s="46"/>
      <c r="N62" s="24" t="str">
        <f aca="false">IF(N(ChangeLog[[#This Row],[Task UID]])=0,"",IFERROR(INDEX(tsk_Name,MATCH(ChangeLog[[#This Row],[Task UID]],tsk_UID,0)),"UID "&amp;ChangeLog[[#This Row],[Task UID]]&amp;" not found"))</f>
        <v/>
      </c>
    </row>
    <row r="63" customFormat="false" ht="15" hidden="false" customHeight="false" outlineLevel="0" collapsed="false">
      <c r="B63" s="46" t="n">
        <v>59</v>
      </c>
      <c r="C63" s="88"/>
      <c r="D63" s="47"/>
      <c r="E63" s="47"/>
      <c r="F63" s="47"/>
      <c r="G63" s="89"/>
      <c r="H63" s="90"/>
      <c r="I63" s="46"/>
      <c r="J63" s="88"/>
      <c r="K63" s="47"/>
      <c r="L63" s="56" t="str">
        <f aca="false">IF(OR(ChangeLog[[#This Row],[Title]]="",N(ChangeLog[[#This Row],[Raised]])=0,AND(ChangeLog[[#This Row],[Status]]&lt;&gt;"Submitted",ChangeLog[[#This Row],[Status]]&lt;&gt;"Under Review")),"",MAX(0,StatusDate-ChangeLog[[#This Row],[Raised]]))</f>
        <v/>
      </c>
      <c r="M63" s="46"/>
      <c r="N63" s="24" t="str">
        <f aca="false">IF(N(ChangeLog[[#This Row],[Task UID]])=0,"",IFERROR(INDEX(tsk_Name,MATCH(ChangeLog[[#This Row],[Task UID]],tsk_UID,0)),"UID "&amp;ChangeLog[[#This Row],[Task UID]]&amp;" not found"))</f>
        <v/>
      </c>
    </row>
    <row r="64" customFormat="false" ht="15" hidden="false" customHeight="false" outlineLevel="0" collapsed="false">
      <c r="B64" s="46" t="n">
        <v>60</v>
      </c>
      <c r="C64" s="88"/>
      <c r="D64" s="47"/>
      <c r="E64" s="47"/>
      <c r="F64" s="47"/>
      <c r="G64" s="89"/>
      <c r="H64" s="90"/>
      <c r="I64" s="46"/>
      <c r="J64" s="88"/>
      <c r="K64" s="47"/>
      <c r="L64" s="56" t="str">
        <f aca="false">IF(OR(ChangeLog[[#This Row],[Title]]="",N(ChangeLog[[#This Row],[Raised]])=0,AND(ChangeLog[[#This Row],[Status]]&lt;&gt;"Submitted",ChangeLog[[#This Row],[Status]]&lt;&gt;"Under Review")),"",MAX(0,StatusDate-ChangeLog[[#This Row],[Raised]]))</f>
        <v/>
      </c>
      <c r="M64" s="46"/>
      <c r="N64" s="24" t="str">
        <f aca="false">IF(N(ChangeLog[[#This Row],[Task UID]])=0,"",IFERROR(INDEX(tsk_Name,MATCH(ChangeLog[[#This Row],[Task UID]],tsk_UID,0)),"UID "&amp;ChangeLog[[#This Row],[Task UID]]&amp;" not found"))</f>
        <v/>
      </c>
    </row>
    <row r="65" customFormat="false" ht="15" hidden="false" customHeight="false" outlineLevel="0" collapsed="false">
      <c r="B65" s="46" t="n">
        <v>61</v>
      </c>
      <c r="C65" s="88"/>
      <c r="D65" s="47"/>
      <c r="E65" s="47"/>
      <c r="F65" s="47"/>
      <c r="G65" s="89"/>
      <c r="H65" s="90"/>
      <c r="I65" s="46"/>
      <c r="J65" s="88"/>
      <c r="K65" s="47"/>
      <c r="L65" s="56" t="str">
        <f aca="false">IF(OR(ChangeLog[[#This Row],[Title]]="",N(ChangeLog[[#This Row],[Raised]])=0,AND(ChangeLog[[#This Row],[Status]]&lt;&gt;"Submitted",ChangeLog[[#This Row],[Status]]&lt;&gt;"Under Review")),"",MAX(0,StatusDate-ChangeLog[[#This Row],[Raised]]))</f>
        <v/>
      </c>
      <c r="M65" s="46"/>
      <c r="N65" s="24" t="str">
        <f aca="false">IF(N(ChangeLog[[#This Row],[Task UID]])=0,"",IFERROR(INDEX(tsk_Name,MATCH(ChangeLog[[#This Row],[Task UID]],tsk_UID,0)),"UID "&amp;ChangeLog[[#This Row],[Task UID]]&amp;" not found"))</f>
        <v/>
      </c>
    </row>
    <row r="66" customFormat="false" ht="15" hidden="false" customHeight="false" outlineLevel="0" collapsed="false">
      <c r="B66" s="46" t="n">
        <v>62</v>
      </c>
      <c r="C66" s="88"/>
      <c r="D66" s="47"/>
      <c r="E66" s="47"/>
      <c r="F66" s="47"/>
      <c r="G66" s="89"/>
      <c r="H66" s="90"/>
      <c r="I66" s="46"/>
      <c r="J66" s="88"/>
      <c r="K66" s="47"/>
      <c r="L66" s="56" t="str">
        <f aca="false">IF(OR(ChangeLog[[#This Row],[Title]]="",N(ChangeLog[[#This Row],[Raised]])=0,AND(ChangeLog[[#This Row],[Status]]&lt;&gt;"Submitted",ChangeLog[[#This Row],[Status]]&lt;&gt;"Under Review")),"",MAX(0,StatusDate-ChangeLog[[#This Row],[Raised]]))</f>
        <v/>
      </c>
      <c r="M66" s="46"/>
      <c r="N66" s="24" t="str">
        <f aca="false">IF(N(ChangeLog[[#This Row],[Task UID]])=0,"",IFERROR(INDEX(tsk_Name,MATCH(ChangeLog[[#This Row],[Task UID]],tsk_UID,0)),"UID "&amp;ChangeLog[[#This Row],[Task UID]]&amp;" not found"))</f>
        <v/>
      </c>
    </row>
    <row r="67" customFormat="false" ht="15" hidden="false" customHeight="false" outlineLevel="0" collapsed="false">
      <c r="B67" s="46" t="n">
        <v>63</v>
      </c>
      <c r="C67" s="88"/>
      <c r="D67" s="47"/>
      <c r="E67" s="47"/>
      <c r="F67" s="47"/>
      <c r="G67" s="89"/>
      <c r="H67" s="90"/>
      <c r="I67" s="46"/>
      <c r="J67" s="88"/>
      <c r="K67" s="47"/>
      <c r="L67" s="56" t="str">
        <f aca="false">IF(OR(ChangeLog[[#This Row],[Title]]="",N(ChangeLog[[#This Row],[Raised]])=0,AND(ChangeLog[[#This Row],[Status]]&lt;&gt;"Submitted",ChangeLog[[#This Row],[Status]]&lt;&gt;"Under Review")),"",MAX(0,StatusDate-ChangeLog[[#This Row],[Raised]]))</f>
        <v/>
      </c>
      <c r="M67" s="46"/>
      <c r="N67" s="24" t="str">
        <f aca="false">IF(N(ChangeLog[[#This Row],[Task UID]])=0,"",IFERROR(INDEX(tsk_Name,MATCH(ChangeLog[[#This Row],[Task UID]],tsk_UID,0)),"UID "&amp;ChangeLog[[#This Row],[Task UID]]&amp;" not found"))</f>
        <v/>
      </c>
    </row>
    <row r="68" customFormat="false" ht="15" hidden="false" customHeight="false" outlineLevel="0" collapsed="false">
      <c r="B68" s="46" t="n">
        <v>64</v>
      </c>
      <c r="C68" s="88"/>
      <c r="D68" s="47"/>
      <c r="E68" s="47"/>
      <c r="F68" s="47"/>
      <c r="G68" s="89"/>
      <c r="H68" s="90"/>
      <c r="I68" s="46"/>
      <c r="J68" s="88"/>
      <c r="K68" s="47"/>
      <c r="L68" s="56" t="str">
        <f aca="false">IF(OR(ChangeLog[[#This Row],[Title]]="",N(ChangeLog[[#This Row],[Raised]])=0,AND(ChangeLog[[#This Row],[Status]]&lt;&gt;"Submitted",ChangeLog[[#This Row],[Status]]&lt;&gt;"Under Review")),"",MAX(0,StatusDate-ChangeLog[[#This Row],[Raised]]))</f>
        <v/>
      </c>
      <c r="M68" s="46"/>
      <c r="N68" s="24" t="str">
        <f aca="false">IF(N(ChangeLog[[#This Row],[Task UID]])=0,"",IFERROR(INDEX(tsk_Name,MATCH(ChangeLog[[#This Row],[Task UID]],tsk_UID,0)),"UID "&amp;ChangeLog[[#This Row],[Task UID]]&amp;" not found"))</f>
        <v/>
      </c>
    </row>
    <row r="69" customFormat="false" ht="15" hidden="false" customHeight="false" outlineLevel="0" collapsed="false">
      <c r="B69" s="46" t="n">
        <v>65</v>
      </c>
      <c r="C69" s="88"/>
      <c r="D69" s="47"/>
      <c r="E69" s="47"/>
      <c r="F69" s="47"/>
      <c r="G69" s="89"/>
      <c r="H69" s="90"/>
      <c r="I69" s="46"/>
      <c r="J69" s="88"/>
      <c r="K69" s="47"/>
      <c r="L69" s="56" t="str">
        <f aca="false">IF(OR(ChangeLog[[#This Row],[Title]]="",N(ChangeLog[[#This Row],[Raised]])=0,AND(ChangeLog[[#This Row],[Status]]&lt;&gt;"Submitted",ChangeLog[[#This Row],[Status]]&lt;&gt;"Under Review")),"",MAX(0,StatusDate-ChangeLog[[#This Row],[Raised]]))</f>
        <v/>
      </c>
      <c r="M69" s="46"/>
      <c r="N69" s="24" t="str">
        <f aca="false">IF(N(ChangeLog[[#This Row],[Task UID]])=0,"",IFERROR(INDEX(tsk_Name,MATCH(ChangeLog[[#This Row],[Task UID]],tsk_UID,0)),"UID "&amp;ChangeLog[[#This Row],[Task UID]]&amp;" not found"))</f>
        <v/>
      </c>
    </row>
    <row r="70" customFormat="false" ht="15" hidden="false" customHeight="false" outlineLevel="0" collapsed="false">
      <c r="B70" s="46" t="n">
        <v>66</v>
      </c>
      <c r="C70" s="88"/>
      <c r="D70" s="47"/>
      <c r="E70" s="47"/>
      <c r="F70" s="47"/>
      <c r="G70" s="89"/>
      <c r="H70" s="90"/>
      <c r="I70" s="46"/>
      <c r="J70" s="88"/>
      <c r="K70" s="47"/>
      <c r="L70" s="56" t="str">
        <f aca="false">IF(OR(ChangeLog[[#This Row],[Title]]="",N(ChangeLog[[#This Row],[Raised]])=0,AND(ChangeLog[[#This Row],[Status]]&lt;&gt;"Submitted",ChangeLog[[#This Row],[Status]]&lt;&gt;"Under Review")),"",MAX(0,StatusDate-ChangeLog[[#This Row],[Raised]]))</f>
        <v/>
      </c>
      <c r="M70" s="46"/>
      <c r="N70" s="24" t="str">
        <f aca="false">IF(N(ChangeLog[[#This Row],[Task UID]])=0,"",IFERROR(INDEX(tsk_Name,MATCH(ChangeLog[[#This Row],[Task UID]],tsk_UID,0)),"UID "&amp;ChangeLog[[#This Row],[Task UID]]&amp;" not found"))</f>
        <v/>
      </c>
    </row>
    <row r="71" customFormat="false" ht="15" hidden="false" customHeight="false" outlineLevel="0" collapsed="false">
      <c r="B71" s="46" t="n">
        <v>67</v>
      </c>
      <c r="C71" s="88"/>
      <c r="D71" s="47"/>
      <c r="E71" s="47"/>
      <c r="F71" s="47"/>
      <c r="G71" s="89"/>
      <c r="H71" s="90"/>
      <c r="I71" s="46"/>
      <c r="J71" s="88"/>
      <c r="K71" s="47"/>
      <c r="L71" s="56" t="str">
        <f aca="false">IF(OR(ChangeLog[[#This Row],[Title]]="",N(ChangeLog[[#This Row],[Raised]])=0,AND(ChangeLog[[#This Row],[Status]]&lt;&gt;"Submitted",ChangeLog[[#This Row],[Status]]&lt;&gt;"Under Review")),"",MAX(0,StatusDate-ChangeLog[[#This Row],[Raised]]))</f>
        <v/>
      </c>
      <c r="M71" s="46"/>
      <c r="N71" s="24" t="str">
        <f aca="false">IF(N(ChangeLog[[#This Row],[Task UID]])=0,"",IFERROR(INDEX(tsk_Name,MATCH(ChangeLog[[#This Row],[Task UID]],tsk_UID,0)),"UID "&amp;ChangeLog[[#This Row],[Task UID]]&amp;" not found"))</f>
        <v/>
      </c>
    </row>
    <row r="72" customFormat="false" ht="15" hidden="false" customHeight="false" outlineLevel="0" collapsed="false">
      <c r="B72" s="46" t="n">
        <v>68</v>
      </c>
      <c r="C72" s="88"/>
      <c r="D72" s="47"/>
      <c r="E72" s="47"/>
      <c r="F72" s="47"/>
      <c r="G72" s="89"/>
      <c r="H72" s="90"/>
      <c r="I72" s="46"/>
      <c r="J72" s="88"/>
      <c r="K72" s="47"/>
      <c r="L72" s="56" t="str">
        <f aca="false">IF(OR(ChangeLog[[#This Row],[Title]]="",N(ChangeLog[[#This Row],[Raised]])=0,AND(ChangeLog[[#This Row],[Status]]&lt;&gt;"Submitted",ChangeLog[[#This Row],[Status]]&lt;&gt;"Under Review")),"",MAX(0,StatusDate-ChangeLog[[#This Row],[Raised]]))</f>
        <v/>
      </c>
      <c r="M72" s="46"/>
      <c r="N72" s="24" t="str">
        <f aca="false">IF(N(ChangeLog[[#This Row],[Task UID]])=0,"",IFERROR(INDEX(tsk_Name,MATCH(ChangeLog[[#This Row],[Task UID]],tsk_UID,0)),"UID "&amp;ChangeLog[[#This Row],[Task UID]]&amp;" not found"))</f>
        <v/>
      </c>
    </row>
    <row r="73" customFormat="false" ht="15" hidden="false" customHeight="false" outlineLevel="0" collapsed="false">
      <c r="B73" s="46" t="n">
        <v>69</v>
      </c>
      <c r="C73" s="88"/>
      <c r="D73" s="47"/>
      <c r="E73" s="47"/>
      <c r="F73" s="47"/>
      <c r="G73" s="89"/>
      <c r="H73" s="90"/>
      <c r="I73" s="46"/>
      <c r="J73" s="88"/>
      <c r="K73" s="47"/>
      <c r="L73" s="56" t="str">
        <f aca="false">IF(OR(ChangeLog[[#This Row],[Title]]="",N(ChangeLog[[#This Row],[Raised]])=0,AND(ChangeLog[[#This Row],[Status]]&lt;&gt;"Submitted",ChangeLog[[#This Row],[Status]]&lt;&gt;"Under Review")),"",MAX(0,StatusDate-ChangeLog[[#This Row],[Raised]]))</f>
        <v/>
      </c>
      <c r="M73" s="46"/>
      <c r="N73" s="24" t="str">
        <f aca="false">IF(N(ChangeLog[[#This Row],[Task UID]])=0,"",IFERROR(INDEX(tsk_Name,MATCH(ChangeLog[[#This Row],[Task UID]],tsk_UID,0)),"UID "&amp;ChangeLog[[#This Row],[Task UID]]&amp;" not found"))</f>
        <v/>
      </c>
    </row>
    <row r="74" customFormat="false" ht="15" hidden="false" customHeight="false" outlineLevel="0" collapsed="false">
      <c r="B74" s="46" t="n">
        <v>70</v>
      </c>
      <c r="C74" s="88"/>
      <c r="D74" s="47"/>
      <c r="E74" s="47"/>
      <c r="F74" s="47"/>
      <c r="G74" s="89"/>
      <c r="H74" s="90"/>
      <c r="I74" s="46"/>
      <c r="J74" s="88"/>
      <c r="K74" s="47"/>
      <c r="L74" s="56" t="str">
        <f aca="false">IF(OR(ChangeLog[[#This Row],[Title]]="",N(ChangeLog[[#This Row],[Raised]])=0,AND(ChangeLog[[#This Row],[Status]]&lt;&gt;"Submitted",ChangeLog[[#This Row],[Status]]&lt;&gt;"Under Review")),"",MAX(0,StatusDate-ChangeLog[[#This Row],[Raised]]))</f>
        <v/>
      </c>
      <c r="M74" s="46"/>
      <c r="N74" s="24" t="str">
        <f aca="false">IF(N(ChangeLog[[#This Row],[Task UID]])=0,"",IFERROR(INDEX(tsk_Name,MATCH(ChangeLog[[#This Row],[Task UID]],tsk_UID,0)),"UID "&amp;ChangeLog[[#This Row],[Task UID]]&amp;" not found"))</f>
        <v/>
      </c>
    </row>
    <row r="75" customFormat="false" ht="15" hidden="false" customHeight="false" outlineLevel="0" collapsed="false">
      <c r="B75" s="46" t="n">
        <v>71</v>
      </c>
      <c r="C75" s="88"/>
      <c r="D75" s="47"/>
      <c r="E75" s="47"/>
      <c r="F75" s="47"/>
      <c r="G75" s="89"/>
      <c r="H75" s="90"/>
      <c r="I75" s="46"/>
      <c r="J75" s="88"/>
      <c r="K75" s="47"/>
      <c r="L75" s="56" t="str">
        <f aca="false">IF(OR(ChangeLog[[#This Row],[Title]]="",N(ChangeLog[[#This Row],[Raised]])=0,AND(ChangeLog[[#This Row],[Status]]&lt;&gt;"Submitted",ChangeLog[[#This Row],[Status]]&lt;&gt;"Under Review")),"",MAX(0,StatusDate-ChangeLog[[#This Row],[Raised]]))</f>
        <v/>
      </c>
      <c r="M75" s="46"/>
      <c r="N75" s="24" t="str">
        <f aca="false">IF(N(ChangeLog[[#This Row],[Task UID]])=0,"",IFERROR(INDEX(tsk_Name,MATCH(ChangeLog[[#This Row],[Task UID]],tsk_UID,0)),"UID "&amp;ChangeLog[[#This Row],[Task UID]]&amp;" not found"))</f>
        <v/>
      </c>
    </row>
    <row r="76" customFormat="false" ht="15" hidden="false" customHeight="false" outlineLevel="0" collapsed="false">
      <c r="B76" s="46" t="n">
        <v>72</v>
      </c>
      <c r="C76" s="88"/>
      <c r="D76" s="47"/>
      <c r="E76" s="47"/>
      <c r="F76" s="47"/>
      <c r="G76" s="89"/>
      <c r="H76" s="90"/>
      <c r="I76" s="46"/>
      <c r="J76" s="88"/>
      <c r="K76" s="47"/>
      <c r="L76" s="56" t="str">
        <f aca="false">IF(OR(ChangeLog[[#This Row],[Title]]="",N(ChangeLog[[#This Row],[Raised]])=0,AND(ChangeLog[[#This Row],[Status]]&lt;&gt;"Submitted",ChangeLog[[#This Row],[Status]]&lt;&gt;"Under Review")),"",MAX(0,StatusDate-ChangeLog[[#This Row],[Raised]]))</f>
        <v/>
      </c>
      <c r="M76" s="46"/>
      <c r="N76" s="24" t="str">
        <f aca="false">IF(N(ChangeLog[[#This Row],[Task UID]])=0,"",IFERROR(INDEX(tsk_Name,MATCH(ChangeLog[[#This Row],[Task UID]],tsk_UID,0)),"UID "&amp;ChangeLog[[#This Row],[Task UID]]&amp;" not found"))</f>
        <v/>
      </c>
    </row>
    <row r="77" customFormat="false" ht="15" hidden="false" customHeight="false" outlineLevel="0" collapsed="false">
      <c r="B77" s="46" t="n">
        <v>73</v>
      </c>
      <c r="C77" s="88"/>
      <c r="D77" s="47"/>
      <c r="E77" s="47"/>
      <c r="F77" s="47"/>
      <c r="G77" s="89"/>
      <c r="H77" s="90"/>
      <c r="I77" s="46"/>
      <c r="J77" s="88"/>
      <c r="K77" s="47"/>
      <c r="L77" s="56" t="str">
        <f aca="false">IF(OR(ChangeLog[[#This Row],[Title]]="",N(ChangeLog[[#This Row],[Raised]])=0,AND(ChangeLog[[#This Row],[Status]]&lt;&gt;"Submitted",ChangeLog[[#This Row],[Status]]&lt;&gt;"Under Review")),"",MAX(0,StatusDate-ChangeLog[[#This Row],[Raised]]))</f>
        <v/>
      </c>
      <c r="M77" s="46"/>
      <c r="N77" s="24" t="str">
        <f aca="false">IF(N(ChangeLog[[#This Row],[Task UID]])=0,"",IFERROR(INDEX(tsk_Name,MATCH(ChangeLog[[#This Row],[Task UID]],tsk_UID,0)),"UID "&amp;ChangeLog[[#This Row],[Task UID]]&amp;" not found"))</f>
        <v/>
      </c>
    </row>
    <row r="78" customFormat="false" ht="15" hidden="false" customHeight="false" outlineLevel="0" collapsed="false">
      <c r="B78" s="46" t="n">
        <v>74</v>
      </c>
      <c r="C78" s="88"/>
      <c r="D78" s="47"/>
      <c r="E78" s="47"/>
      <c r="F78" s="47"/>
      <c r="G78" s="89"/>
      <c r="H78" s="90"/>
      <c r="I78" s="46"/>
      <c r="J78" s="88"/>
      <c r="K78" s="47"/>
      <c r="L78" s="56" t="str">
        <f aca="false">IF(OR(ChangeLog[[#This Row],[Title]]="",N(ChangeLog[[#This Row],[Raised]])=0,AND(ChangeLog[[#This Row],[Status]]&lt;&gt;"Submitted",ChangeLog[[#This Row],[Status]]&lt;&gt;"Under Review")),"",MAX(0,StatusDate-ChangeLog[[#This Row],[Raised]]))</f>
        <v/>
      </c>
      <c r="M78" s="46"/>
      <c r="N78" s="24" t="str">
        <f aca="false">IF(N(ChangeLog[[#This Row],[Task UID]])=0,"",IFERROR(INDEX(tsk_Name,MATCH(ChangeLog[[#This Row],[Task UID]],tsk_UID,0)),"UID "&amp;ChangeLog[[#This Row],[Task UID]]&amp;" not found"))</f>
        <v/>
      </c>
    </row>
    <row r="79" customFormat="false" ht="15" hidden="false" customHeight="false" outlineLevel="0" collapsed="false">
      <c r="B79" s="46" t="n">
        <v>75</v>
      </c>
      <c r="C79" s="88"/>
      <c r="D79" s="47"/>
      <c r="E79" s="47"/>
      <c r="F79" s="47"/>
      <c r="G79" s="89"/>
      <c r="H79" s="90"/>
      <c r="I79" s="46"/>
      <c r="J79" s="88"/>
      <c r="K79" s="47"/>
      <c r="L79" s="56" t="str">
        <f aca="false">IF(OR(ChangeLog[[#This Row],[Title]]="",N(ChangeLog[[#This Row],[Raised]])=0,AND(ChangeLog[[#This Row],[Status]]&lt;&gt;"Submitted",ChangeLog[[#This Row],[Status]]&lt;&gt;"Under Review")),"",MAX(0,StatusDate-ChangeLog[[#This Row],[Raised]]))</f>
        <v/>
      </c>
      <c r="M79" s="46"/>
      <c r="N79" s="24" t="str">
        <f aca="false">IF(N(ChangeLog[[#This Row],[Task UID]])=0,"",IFERROR(INDEX(tsk_Name,MATCH(ChangeLog[[#This Row],[Task UID]],tsk_UID,0)),"UID "&amp;ChangeLog[[#This Row],[Task UID]]&amp;" not found"))</f>
        <v/>
      </c>
    </row>
    <row r="80" customFormat="false" ht="15" hidden="false" customHeight="false" outlineLevel="0" collapsed="false">
      <c r="B80" s="46" t="n">
        <v>76</v>
      </c>
      <c r="C80" s="88"/>
      <c r="D80" s="47"/>
      <c r="E80" s="47"/>
      <c r="F80" s="47"/>
      <c r="G80" s="89"/>
      <c r="H80" s="90"/>
      <c r="I80" s="46"/>
      <c r="J80" s="88"/>
      <c r="K80" s="47"/>
      <c r="L80" s="56" t="str">
        <f aca="false">IF(OR(ChangeLog[[#This Row],[Title]]="",N(ChangeLog[[#This Row],[Raised]])=0,AND(ChangeLog[[#This Row],[Status]]&lt;&gt;"Submitted",ChangeLog[[#This Row],[Status]]&lt;&gt;"Under Review")),"",MAX(0,StatusDate-ChangeLog[[#This Row],[Raised]]))</f>
        <v/>
      </c>
      <c r="M80" s="46"/>
      <c r="N80" s="24" t="str">
        <f aca="false">IF(N(ChangeLog[[#This Row],[Task UID]])=0,"",IFERROR(INDEX(tsk_Name,MATCH(ChangeLog[[#This Row],[Task UID]],tsk_UID,0)),"UID "&amp;ChangeLog[[#This Row],[Task UID]]&amp;" not found"))</f>
        <v/>
      </c>
    </row>
    <row r="81" customFormat="false" ht="15" hidden="false" customHeight="false" outlineLevel="0" collapsed="false">
      <c r="B81" s="46" t="n">
        <v>77</v>
      </c>
      <c r="C81" s="88"/>
      <c r="D81" s="47"/>
      <c r="E81" s="47"/>
      <c r="F81" s="47"/>
      <c r="G81" s="89"/>
      <c r="H81" s="90"/>
      <c r="I81" s="46"/>
      <c r="J81" s="88"/>
      <c r="K81" s="47"/>
      <c r="L81" s="56" t="str">
        <f aca="false">IF(OR(ChangeLog[[#This Row],[Title]]="",N(ChangeLog[[#This Row],[Raised]])=0,AND(ChangeLog[[#This Row],[Status]]&lt;&gt;"Submitted",ChangeLog[[#This Row],[Status]]&lt;&gt;"Under Review")),"",MAX(0,StatusDate-ChangeLog[[#This Row],[Raised]]))</f>
        <v/>
      </c>
      <c r="M81" s="46"/>
      <c r="N81" s="24" t="str">
        <f aca="false">IF(N(ChangeLog[[#This Row],[Task UID]])=0,"",IFERROR(INDEX(tsk_Name,MATCH(ChangeLog[[#This Row],[Task UID]],tsk_UID,0)),"UID "&amp;ChangeLog[[#This Row],[Task UID]]&amp;" not found"))</f>
        <v/>
      </c>
    </row>
    <row r="82" customFormat="false" ht="15" hidden="false" customHeight="false" outlineLevel="0" collapsed="false">
      <c r="B82" s="46" t="n">
        <v>78</v>
      </c>
      <c r="C82" s="88"/>
      <c r="D82" s="47"/>
      <c r="E82" s="47"/>
      <c r="F82" s="47"/>
      <c r="G82" s="89"/>
      <c r="H82" s="90"/>
      <c r="I82" s="46"/>
      <c r="J82" s="88"/>
      <c r="K82" s="47"/>
      <c r="L82" s="56" t="str">
        <f aca="false">IF(OR(ChangeLog[[#This Row],[Title]]="",N(ChangeLog[[#This Row],[Raised]])=0,AND(ChangeLog[[#This Row],[Status]]&lt;&gt;"Submitted",ChangeLog[[#This Row],[Status]]&lt;&gt;"Under Review")),"",MAX(0,StatusDate-ChangeLog[[#This Row],[Raised]]))</f>
        <v/>
      </c>
      <c r="M82" s="46"/>
      <c r="N82" s="24" t="str">
        <f aca="false">IF(N(ChangeLog[[#This Row],[Task UID]])=0,"",IFERROR(INDEX(tsk_Name,MATCH(ChangeLog[[#This Row],[Task UID]],tsk_UID,0)),"UID "&amp;ChangeLog[[#This Row],[Task UID]]&amp;" not found"))</f>
        <v/>
      </c>
    </row>
    <row r="83" customFormat="false" ht="15" hidden="false" customHeight="false" outlineLevel="0" collapsed="false">
      <c r="B83" s="46" t="n">
        <v>79</v>
      </c>
      <c r="C83" s="88"/>
      <c r="D83" s="47"/>
      <c r="E83" s="47"/>
      <c r="F83" s="47"/>
      <c r="G83" s="89"/>
      <c r="H83" s="90"/>
      <c r="I83" s="46"/>
      <c r="J83" s="88"/>
      <c r="K83" s="47"/>
      <c r="L83" s="56" t="str">
        <f aca="false">IF(OR(ChangeLog[[#This Row],[Title]]="",N(ChangeLog[[#This Row],[Raised]])=0,AND(ChangeLog[[#This Row],[Status]]&lt;&gt;"Submitted",ChangeLog[[#This Row],[Status]]&lt;&gt;"Under Review")),"",MAX(0,StatusDate-ChangeLog[[#This Row],[Raised]]))</f>
        <v/>
      </c>
      <c r="M83" s="46"/>
      <c r="N83" s="24" t="str">
        <f aca="false">IF(N(ChangeLog[[#This Row],[Task UID]])=0,"",IFERROR(INDEX(tsk_Name,MATCH(ChangeLog[[#This Row],[Task UID]],tsk_UID,0)),"UID "&amp;ChangeLog[[#This Row],[Task UID]]&amp;" not found"))</f>
        <v/>
      </c>
    </row>
    <row r="84" customFormat="false" ht="15" hidden="false" customHeight="false" outlineLevel="0" collapsed="false">
      <c r="B84" s="46" t="n">
        <v>80</v>
      </c>
      <c r="C84" s="88"/>
      <c r="D84" s="47"/>
      <c r="E84" s="47"/>
      <c r="F84" s="47"/>
      <c r="G84" s="89"/>
      <c r="H84" s="90"/>
      <c r="I84" s="46"/>
      <c r="J84" s="88"/>
      <c r="K84" s="47"/>
      <c r="L84" s="56" t="str">
        <f aca="false">IF(OR(ChangeLog[[#This Row],[Title]]="",N(ChangeLog[[#This Row],[Raised]])=0,AND(ChangeLog[[#This Row],[Status]]&lt;&gt;"Submitted",ChangeLog[[#This Row],[Status]]&lt;&gt;"Under Review")),"",MAX(0,StatusDate-ChangeLog[[#This Row],[Raised]]))</f>
        <v/>
      </c>
      <c r="M84" s="46"/>
      <c r="N84" s="24" t="str">
        <f aca="false">IF(N(ChangeLog[[#This Row],[Task UID]])=0,"",IFERROR(INDEX(tsk_Name,MATCH(ChangeLog[[#This Row],[Task UID]],tsk_UID,0)),"UID "&amp;ChangeLog[[#This Row],[Task UID]]&amp;" not found"))</f>
        <v/>
      </c>
    </row>
    <row r="85" customFormat="false" ht="15" hidden="false" customHeight="false" outlineLevel="0" collapsed="false">
      <c r="B85" s="46" t="n">
        <v>81</v>
      </c>
      <c r="C85" s="88"/>
      <c r="D85" s="47"/>
      <c r="E85" s="47"/>
      <c r="F85" s="47"/>
      <c r="G85" s="89"/>
      <c r="H85" s="90"/>
      <c r="I85" s="46"/>
      <c r="J85" s="88"/>
      <c r="K85" s="47"/>
      <c r="L85" s="56" t="str">
        <f aca="false">IF(OR(ChangeLog[[#This Row],[Title]]="",N(ChangeLog[[#This Row],[Raised]])=0,AND(ChangeLog[[#This Row],[Status]]&lt;&gt;"Submitted",ChangeLog[[#This Row],[Status]]&lt;&gt;"Under Review")),"",MAX(0,StatusDate-ChangeLog[[#This Row],[Raised]]))</f>
        <v/>
      </c>
      <c r="M85" s="46"/>
      <c r="N85" s="24" t="str">
        <f aca="false">IF(N(ChangeLog[[#This Row],[Task UID]])=0,"",IFERROR(INDEX(tsk_Name,MATCH(ChangeLog[[#This Row],[Task UID]],tsk_UID,0)),"UID "&amp;ChangeLog[[#This Row],[Task UID]]&amp;" not found"))</f>
        <v/>
      </c>
    </row>
    <row r="86" customFormat="false" ht="15" hidden="false" customHeight="false" outlineLevel="0" collapsed="false">
      <c r="B86" s="46" t="n">
        <v>82</v>
      </c>
      <c r="C86" s="88"/>
      <c r="D86" s="47"/>
      <c r="E86" s="47"/>
      <c r="F86" s="47"/>
      <c r="G86" s="89"/>
      <c r="H86" s="90"/>
      <c r="I86" s="46"/>
      <c r="J86" s="88"/>
      <c r="K86" s="47"/>
      <c r="L86" s="56" t="str">
        <f aca="false">IF(OR(ChangeLog[[#This Row],[Title]]="",N(ChangeLog[[#This Row],[Raised]])=0,AND(ChangeLog[[#This Row],[Status]]&lt;&gt;"Submitted",ChangeLog[[#This Row],[Status]]&lt;&gt;"Under Review")),"",MAX(0,StatusDate-ChangeLog[[#This Row],[Raised]]))</f>
        <v/>
      </c>
      <c r="M86" s="46"/>
      <c r="N86" s="24" t="str">
        <f aca="false">IF(N(ChangeLog[[#This Row],[Task UID]])=0,"",IFERROR(INDEX(tsk_Name,MATCH(ChangeLog[[#This Row],[Task UID]],tsk_UID,0)),"UID "&amp;ChangeLog[[#This Row],[Task UID]]&amp;" not found"))</f>
        <v/>
      </c>
    </row>
    <row r="87" customFormat="false" ht="15" hidden="false" customHeight="false" outlineLevel="0" collapsed="false">
      <c r="B87" s="46" t="n">
        <v>83</v>
      </c>
      <c r="C87" s="88"/>
      <c r="D87" s="47"/>
      <c r="E87" s="47"/>
      <c r="F87" s="47"/>
      <c r="G87" s="89"/>
      <c r="H87" s="90"/>
      <c r="I87" s="46"/>
      <c r="J87" s="88"/>
      <c r="K87" s="47"/>
      <c r="L87" s="56" t="str">
        <f aca="false">IF(OR(ChangeLog[[#This Row],[Title]]="",N(ChangeLog[[#This Row],[Raised]])=0,AND(ChangeLog[[#This Row],[Status]]&lt;&gt;"Submitted",ChangeLog[[#This Row],[Status]]&lt;&gt;"Under Review")),"",MAX(0,StatusDate-ChangeLog[[#This Row],[Raised]]))</f>
        <v/>
      </c>
      <c r="M87" s="46"/>
      <c r="N87" s="24" t="str">
        <f aca="false">IF(N(ChangeLog[[#This Row],[Task UID]])=0,"",IFERROR(INDEX(tsk_Name,MATCH(ChangeLog[[#This Row],[Task UID]],tsk_UID,0)),"UID "&amp;ChangeLog[[#This Row],[Task UID]]&amp;" not found"))</f>
        <v/>
      </c>
    </row>
    <row r="88" customFormat="false" ht="15" hidden="false" customHeight="false" outlineLevel="0" collapsed="false">
      <c r="B88" s="46" t="n">
        <v>84</v>
      </c>
      <c r="C88" s="88"/>
      <c r="D88" s="47"/>
      <c r="E88" s="47"/>
      <c r="F88" s="47"/>
      <c r="G88" s="89"/>
      <c r="H88" s="90"/>
      <c r="I88" s="46"/>
      <c r="J88" s="88"/>
      <c r="K88" s="47"/>
      <c r="L88" s="56" t="str">
        <f aca="false">IF(OR(ChangeLog[[#This Row],[Title]]="",N(ChangeLog[[#This Row],[Raised]])=0,AND(ChangeLog[[#This Row],[Status]]&lt;&gt;"Submitted",ChangeLog[[#This Row],[Status]]&lt;&gt;"Under Review")),"",MAX(0,StatusDate-ChangeLog[[#This Row],[Raised]]))</f>
        <v/>
      </c>
      <c r="M88" s="46"/>
      <c r="N88" s="24" t="str">
        <f aca="false">IF(N(ChangeLog[[#This Row],[Task UID]])=0,"",IFERROR(INDEX(tsk_Name,MATCH(ChangeLog[[#This Row],[Task UID]],tsk_UID,0)),"UID "&amp;ChangeLog[[#This Row],[Task UID]]&amp;" not found"))</f>
        <v/>
      </c>
    </row>
    <row r="89" customFormat="false" ht="15" hidden="false" customHeight="false" outlineLevel="0" collapsed="false">
      <c r="B89" s="46" t="n">
        <v>85</v>
      </c>
      <c r="C89" s="88"/>
      <c r="D89" s="47"/>
      <c r="E89" s="47"/>
      <c r="F89" s="47"/>
      <c r="G89" s="89"/>
      <c r="H89" s="90"/>
      <c r="I89" s="46"/>
      <c r="J89" s="88"/>
      <c r="K89" s="47"/>
      <c r="L89" s="56" t="str">
        <f aca="false">IF(OR(ChangeLog[[#This Row],[Title]]="",N(ChangeLog[[#This Row],[Raised]])=0,AND(ChangeLog[[#This Row],[Status]]&lt;&gt;"Submitted",ChangeLog[[#This Row],[Status]]&lt;&gt;"Under Review")),"",MAX(0,StatusDate-ChangeLog[[#This Row],[Raised]]))</f>
        <v/>
      </c>
      <c r="M89" s="46"/>
      <c r="N89" s="24" t="str">
        <f aca="false">IF(N(ChangeLog[[#This Row],[Task UID]])=0,"",IFERROR(INDEX(tsk_Name,MATCH(ChangeLog[[#This Row],[Task UID]],tsk_UID,0)),"UID "&amp;ChangeLog[[#This Row],[Task UID]]&amp;" not found"))</f>
        <v/>
      </c>
    </row>
    <row r="90" customFormat="false" ht="15" hidden="false" customHeight="false" outlineLevel="0" collapsed="false">
      <c r="B90" s="46" t="n">
        <v>86</v>
      </c>
      <c r="C90" s="88"/>
      <c r="D90" s="47"/>
      <c r="E90" s="47"/>
      <c r="F90" s="47"/>
      <c r="G90" s="89"/>
      <c r="H90" s="90"/>
      <c r="I90" s="46"/>
      <c r="J90" s="88"/>
      <c r="K90" s="47"/>
      <c r="L90" s="56" t="str">
        <f aca="false">IF(OR(ChangeLog[[#This Row],[Title]]="",N(ChangeLog[[#This Row],[Raised]])=0,AND(ChangeLog[[#This Row],[Status]]&lt;&gt;"Submitted",ChangeLog[[#This Row],[Status]]&lt;&gt;"Under Review")),"",MAX(0,StatusDate-ChangeLog[[#This Row],[Raised]]))</f>
        <v/>
      </c>
      <c r="M90" s="46"/>
      <c r="N90" s="24" t="str">
        <f aca="false">IF(N(ChangeLog[[#This Row],[Task UID]])=0,"",IFERROR(INDEX(tsk_Name,MATCH(ChangeLog[[#This Row],[Task UID]],tsk_UID,0)),"UID "&amp;ChangeLog[[#This Row],[Task UID]]&amp;" not found"))</f>
        <v/>
      </c>
    </row>
    <row r="91" customFormat="false" ht="15" hidden="false" customHeight="false" outlineLevel="0" collapsed="false">
      <c r="B91" s="46" t="n">
        <v>87</v>
      </c>
      <c r="C91" s="88"/>
      <c r="D91" s="47"/>
      <c r="E91" s="47"/>
      <c r="F91" s="47"/>
      <c r="G91" s="89"/>
      <c r="H91" s="90"/>
      <c r="I91" s="46"/>
      <c r="J91" s="88"/>
      <c r="K91" s="47"/>
      <c r="L91" s="56" t="str">
        <f aca="false">IF(OR(ChangeLog[[#This Row],[Title]]="",N(ChangeLog[[#This Row],[Raised]])=0,AND(ChangeLog[[#This Row],[Status]]&lt;&gt;"Submitted",ChangeLog[[#This Row],[Status]]&lt;&gt;"Under Review")),"",MAX(0,StatusDate-ChangeLog[[#This Row],[Raised]]))</f>
        <v/>
      </c>
      <c r="M91" s="46"/>
      <c r="N91" s="24" t="str">
        <f aca="false">IF(N(ChangeLog[[#This Row],[Task UID]])=0,"",IFERROR(INDEX(tsk_Name,MATCH(ChangeLog[[#This Row],[Task UID]],tsk_UID,0)),"UID "&amp;ChangeLog[[#This Row],[Task UID]]&amp;" not found"))</f>
        <v/>
      </c>
    </row>
    <row r="92" customFormat="false" ht="15" hidden="false" customHeight="false" outlineLevel="0" collapsed="false">
      <c r="B92" s="46" t="n">
        <v>88</v>
      </c>
      <c r="C92" s="88"/>
      <c r="D92" s="47"/>
      <c r="E92" s="47"/>
      <c r="F92" s="47"/>
      <c r="G92" s="89"/>
      <c r="H92" s="90"/>
      <c r="I92" s="46"/>
      <c r="J92" s="88"/>
      <c r="K92" s="47"/>
      <c r="L92" s="56" t="str">
        <f aca="false">IF(OR(ChangeLog[[#This Row],[Title]]="",N(ChangeLog[[#This Row],[Raised]])=0,AND(ChangeLog[[#This Row],[Status]]&lt;&gt;"Submitted",ChangeLog[[#This Row],[Status]]&lt;&gt;"Under Review")),"",MAX(0,StatusDate-ChangeLog[[#This Row],[Raised]]))</f>
        <v/>
      </c>
      <c r="M92" s="46"/>
      <c r="N92" s="24" t="str">
        <f aca="false">IF(N(ChangeLog[[#This Row],[Task UID]])=0,"",IFERROR(INDEX(tsk_Name,MATCH(ChangeLog[[#This Row],[Task UID]],tsk_UID,0)),"UID "&amp;ChangeLog[[#This Row],[Task UID]]&amp;" not found"))</f>
        <v/>
      </c>
    </row>
    <row r="93" customFormat="false" ht="15" hidden="false" customHeight="false" outlineLevel="0" collapsed="false">
      <c r="B93" s="46" t="n">
        <v>89</v>
      </c>
      <c r="C93" s="88"/>
      <c r="D93" s="47"/>
      <c r="E93" s="47"/>
      <c r="F93" s="47"/>
      <c r="G93" s="89"/>
      <c r="H93" s="90"/>
      <c r="I93" s="46"/>
      <c r="J93" s="88"/>
      <c r="K93" s="47"/>
      <c r="L93" s="56" t="str">
        <f aca="false">IF(OR(ChangeLog[[#This Row],[Title]]="",N(ChangeLog[[#This Row],[Raised]])=0,AND(ChangeLog[[#This Row],[Status]]&lt;&gt;"Submitted",ChangeLog[[#This Row],[Status]]&lt;&gt;"Under Review")),"",MAX(0,StatusDate-ChangeLog[[#This Row],[Raised]]))</f>
        <v/>
      </c>
      <c r="M93" s="46"/>
      <c r="N93" s="24" t="str">
        <f aca="false">IF(N(ChangeLog[[#This Row],[Task UID]])=0,"",IFERROR(INDEX(tsk_Name,MATCH(ChangeLog[[#This Row],[Task UID]],tsk_UID,0)),"UID "&amp;ChangeLog[[#This Row],[Task UID]]&amp;" not found"))</f>
        <v/>
      </c>
    </row>
    <row r="94" customFormat="false" ht="15" hidden="false" customHeight="false" outlineLevel="0" collapsed="false">
      <c r="B94" s="46" t="n">
        <v>90</v>
      </c>
      <c r="C94" s="88"/>
      <c r="D94" s="47"/>
      <c r="E94" s="47"/>
      <c r="F94" s="47"/>
      <c r="G94" s="89"/>
      <c r="H94" s="90"/>
      <c r="I94" s="46"/>
      <c r="J94" s="88"/>
      <c r="K94" s="47"/>
      <c r="L94" s="56" t="str">
        <f aca="false">IF(OR(ChangeLog[[#This Row],[Title]]="",N(ChangeLog[[#This Row],[Raised]])=0,AND(ChangeLog[[#This Row],[Status]]&lt;&gt;"Submitted",ChangeLog[[#This Row],[Status]]&lt;&gt;"Under Review")),"",MAX(0,StatusDate-ChangeLog[[#This Row],[Raised]]))</f>
        <v/>
      </c>
      <c r="M94" s="46"/>
      <c r="N94" s="24" t="str">
        <f aca="false">IF(N(ChangeLog[[#This Row],[Task UID]])=0,"",IFERROR(INDEX(tsk_Name,MATCH(ChangeLog[[#This Row],[Task UID]],tsk_UID,0)),"UID "&amp;ChangeLog[[#This Row],[Task UID]]&amp;" not found"))</f>
        <v/>
      </c>
    </row>
    <row r="95" customFormat="false" ht="15" hidden="false" customHeight="false" outlineLevel="0" collapsed="false">
      <c r="B95" s="46" t="n">
        <v>91</v>
      </c>
      <c r="C95" s="88"/>
      <c r="D95" s="47"/>
      <c r="E95" s="47"/>
      <c r="F95" s="47"/>
      <c r="G95" s="89"/>
      <c r="H95" s="90"/>
      <c r="I95" s="46"/>
      <c r="J95" s="88"/>
      <c r="K95" s="47"/>
      <c r="L95" s="56" t="str">
        <f aca="false">IF(OR(ChangeLog[[#This Row],[Title]]="",N(ChangeLog[[#This Row],[Raised]])=0,AND(ChangeLog[[#This Row],[Status]]&lt;&gt;"Submitted",ChangeLog[[#This Row],[Status]]&lt;&gt;"Under Review")),"",MAX(0,StatusDate-ChangeLog[[#This Row],[Raised]]))</f>
        <v/>
      </c>
      <c r="M95" s="46"/>
      <c r="N95" s="24" t="str">
        <f aca="false">IF(N(ChangeLog[[#This Row],[Task UID]])=0,"",IFERROR(INDEX(tsk_Name,MATCH(ChangeLog[[#This Row],[Task UID]],tsk_UID,0)),"UID "&amp;ChangeLog[[#This Row],[Task UID]]&amp;" not found"))</f>
        <v/>
      </c>
    </row>
    <row r="96" customFormat="false" ht="15" hidden="false" customHeight="false" outlineLevel="0" collapsed="false">
      <c r="B96" s="46" t="n">
        <v>92</v>
      </c>
      <c r="C96" s="88"/>
      <c r="D96" s="47"/>
      <c r="E96" s="47"/>
      <c r="F96" s="47"/>
      <c r="G96" s="89"/>
      <c r="H96" s="90"/>
      <c r="I96" s="46"/>
      <c r="J96" s="88"/>
      <c r="K96" s="47"/>
      <c r="L96" s="56" t="str">
        <f aca="false">IF(OR(ChangeLog[[#This Row],[Title]]="",N(ChangeLog[[#This Row],[Raised]])=0,AND(ChangeLog[[#This Row],[Status]]&lt;&gt;"Submitted",ChangeLog[[#This Row],[Status]]&lt;&gt;"Under Review")),"",MAX(0,StatusDate-ChangeLog[[#This Row],[Raised]]))</f>
        <v/>
      </c>
      <c r="M96" s="46"/>
      <c r="N96" s="24" t="str">
        <f aca="false">IF(N(ChangeLog[[#This Row],[Task UID]])=0,"",IFERROR(INDEX(tsk_Name,MATCH(ChangeLog[[#This Row],[Task UID]],tsk_UID,0)),"UID "&amp;ChangeLog[[#This Row],[Task UID]]&amp;" not found"))</f>
        <v/>
      </c>
    </row>
    <row r="97" customFormat="false" ht="15" hidden="false" customHeight="false" outlineLevel="0" collapsed="false">
      <c r="B97" s="46" t="n">
        <v>93</v>
      </c>
      <c r="C97" s="88"/>
      <c r="D97" s="47"/>
      <c r="E97" s="47"/>
      <c r="F97" s="47"/>
      <c r="G97" s="89"/>
      <c r="H97" s="90"/>
      <c r="I97" s="46"/>
      <c r="J97" s="88"/>
      <c r="K97" s="47"/>
      <c r="L97" s="56" t="str">
        <f aca="false">IF(OR(ChangeLog[[#This Row],[Title]]="",N(ChangeLog[[#This Row],[Raised]])=0,AND(ChangeLog[[#This Row],[Status]]&lt;&gt;"Submitted",ChangeLog[[#This Row],[Status]]&lt;&gt;"Under Review")),"",MAX(0,StatusDate-ChangeLog[[#This Row],[Raised]]))</f>
        <v/>
      </c>
      <c r="M97" s="46"/>
      <c r="N97" s="24" t="str">
        <f aca="false">IF(N(ChangeLog[[#This Row],[Task UID]])=0,"",IFERROR(INDEX(tsk_Name,MATCH(ChangeLog[[#This Row],[Task UID]],tsk_UID,0)),"UID "&amp;ChangeLog[[#This Row],[Task UID]]&amp;" not found"))</f>
        <v/>
      </c>
    </row>
    <row r="98" customFormat="false" ht="15" hidden="false" customHeight="false" outlineLevel="0" collapsed="false">
      <c r="B98" s="46" t="n">
        <v>94</v>
      </c>
      <c r="C98" s="88"/>
      <c r="D98" s="47"/>
      <c r="E98" s="47"/>
      <c r="F98" s="47"/>
      <c r="G98" s="89"/>
      <c r="H98" s="90"/>
      <c r="I98" s="46"/>
      <c r="J98" s="88"/>
      <c r="K98" s="47"/>
      <c r="L98" s="56" t="str">
        <f aca="false">IF(OR(ChangeLog[[#This Row],[Title]]="",N(ChangeLog[[#This Row],[Raised]])=0,AND(ChangeLog[[#This Row],[Status]]&lt;&gt;"Submitted",ChangeLog[[#This Row],[Status]]&lt;&gt;"Under Review")),"",MAX(0,StatusDate-ChangeLog[[#This Row],[Raised]]))</f>
        <v/>
      </c>
      <c r="M98" s="46"/>
      <c r="N98" s="24" t="str">
        <f aca="false">IF(N(ChangeLog[[#This Row],[Task UID]])=0,"",IFERROR(INDEX(tsk_Name,MATCH(ChangeLog[[#This Row],[Task UID]],tsk_UID,0)),"UID "&amp;ChangeLog[[#This Row],[Task UID]]&amp;" not found"))</f>
        <v/>
      </c>
    </row>
    <row r="99" customFormat="false" ht="15" hidden="false" customHeight="false" outlineLevel="0" collapsed="false">
      <c r="B99" s="46" t="n">
        <v>95</v>
      </c>
      <c r="C99" s="88"/>
      <c r="D99" s="47"/>
      <c r="E99" s="47"/>
      <c r="F99" s="47"/>
      <c r="G99" s="89"/>
      <c r="H99" s="90"/>
      <c r="I99" s="46"/>
      <c r="J99" s="88"/>
      <c r="K99" s="47"/>
      <c r="L99" s="56" t="str">
        <f aca="false">IF(OR(ChangeLog[[#This Row],[Title]]="",N(ChangeLog[[#This Row],[Raised]])=0,AND(ChangeLog[[#This Row],[Status]]&lt;&gt;"Submitted",ChangeLog[[#This Row],[Status]]&lt;&gt;"Under Review")),"",MAX(0,StatusDate-ChangeLog[[#This Row],[Raised]]))</f>
        <v/>
      </c>
      <c r="M99" s="46"/>
      <c r="N99" s="24" t="str">
        <f aca="false">IF(N(ChangeLog[[#This Row],[Task UID]])=0,"",IFERROR(INDEX(tsk_Name,MATCH(ChangeLog[[#This Row],[Task UID]],tsk_UID,0)),"UID "&amp;ChangeLog[[#This Row],[Task UID]]&amp;" not found"))</f>
        <v/>
      </c>
    </row>
    <row r="100" customFormat="false" ht="15" hidden="false" customHeight="false" outlineLevel="0" collapsed="false">
      <c r="B100" s="46" t="n">
        <v>96</v>
      </c>
      <c r="C100" s="88"/>
      <c r="D100" s="47"/>
      <c r="E100" s="47"/>
      <c r="F100" s="47"/>
      <c r="G100" s="89"/>
      <c r="H100" s="90"/>
      <c r="I100" s="46"/>
      <c r="J100" s="88"/>
      <c r="K100" s="47"/>
      <c r="L100" s="56" t="str">
        <f aca="false">IF(OR(ChangeLog[[#This Row],[Title]]="",N(ChangeLog[[#This Row],[Raised]])=0,AND(ChangeLog[[#This Row],[Status]]&lt;&gt;"Submitted",ChangeLog[[#This Row],[Status]]&lt;&gt;"Under Review")),"",MAX(0,StatusDate-ChangeLog[[#This Row],[Raised]]))</f>
        <v/>
      </c>
      <c r="M100" s="46"/>
      <c r="N100" s="24" t="str">
        <f aca="false">IF(N(ChangeLog[[#This Row],[Task UID]])=0,"",IFERROR(INDEX(tsk_Name,MATCH(ChangeLog[[#This Row],[Task UID]],tsk_UID,0)),"UID "&amp;ChangeLog[[#This Row],[Task UID]]&amp;" not found"))</f>
        <v/>
      </c>
    </row>
    <row r="101" customFormat="false" ht="15" hidden="false" customHeight="false" outlineLevel="0" collapsed="false">
      <c r="B101" s="46" t="n">
        <v>97</v>
      </c>
      <c r="C101" s="88"/>
      <c r="D101" s="47"/>
      <c r="E101" s="47"/>
      <c r="F101" s="47"/>
      <c r="G101" s="89"/>
      <c r="H101" s="90"/>
      <c r="I101" s="46"/>
      <c r="J101" s="88"/>
      <c r="K101" s="47"/>
      <c r="L101" s="56" t="str">
        <f aca="false">IF(OR(ChangeLog[[#This Row],[Title]]="",N(ChangeLog[[#This Row],[Raised]])=0,AND(ChangeLog[[#This Row],[Status]]&lt;&gt;"Submitted",ChangeLog[[#This Row],[Status]]&lt;&gt;"Under Review")),"",MAX(0,StatusDate-ChangeLog[[#This Row],[Raised]]))</f>
        <v/>
      </c>
      <c r="M101" s="46"/>
      <c r="N101" s="24" t="str">
        <f aca="false">IF(N(ChangeLog[[#This Row],[Task UID]])=0,"",IFERROR(INDEX(tsk_Name,MATCH(ChangeLog[[#This Row],[Task UID]],tsk_UID,0)),"UID "&amp;ChangeLog[[#This Row],[Task UID]]&amp;" not found"))</f>
        <v/>
      </c>
    </row>
    <row r="102" customFormat="false" ht="15" hidden="false" customHeight="false" outlineLevel="0" collapsed="false">
      <c r="B102" s="46" t="n">
        <v>98</v>
      </c>
      <c r="C102" s="88"/>
      <c r="D102" s="47"/>
      <c r="E102" s="47"/>
      <c r="F102" s="47"/>
      <c r="G102" s="89"/>
      <c r="H102" s="90"/>
      <c r="I102" s="46"/>
      <c r="J102" s="88"/>
      <c r="K102" s="47"/>
      <c r="L102" s="56" t="str">
        <f aca="false">IF(OR(ChangeLog[[#This Row],[Title]]="",N(ChangeLog[[#This Row],[Raised]])=0,AND(ChangeLog[[#This Row],[Status]]&lt;&gt;"Submitted",ChangeLog[[#This Row],[Status]]&lt;&gt;"Under Review")),"",MAX(0,StatusDate-ChangeLog[[#This Row],[Raised]]))</f>
        <v/>
      </c>
      <c r="M102" s="46"/>
      <c r="N102" s="24" t="str">
        <f aca="false">IF(N(ChangeLog[[#This Row],[Task UID]])=0,"",IFERROR(INDEX(tsk_Name,MATCH(ChangeLog[[#This Row],[Task UID]],tsk_UID,0)),"UID "&amp;ChangeLog[[#This Row],[Task UID]]&amp;" not found"))</f>
        <v/>
      </c>
    </row>
    <row r="103" customFormat="false" ht="15" hidden="false" customHeight="false" outlineLevel="0" collapsed="false">
      <c r="B103" s="46" t="n">
        <v>99</v>
      </c>
      <c r="C103" s="88"/>
      <c r="D103" s="47"/>
      <c r="E103" s="47"/>
      <c r="F103" s="47"/>
      <c r="G103" s="89"/>
      <c r="H103" s="90"/>
      <c r="I103" s="46"/>
      <c r="J103" s="88"/>
      <c r="K103" s="47"/>
      <c r="L103" s="56" t="str">
        <f aca="false">IF(OR(ChangeLog[[#This Row],[Title]]="",N(ChangeLog[[#This Row],[Raised]])=0,AND(ChangeLog[[#This Row],[Status]]&lt;&gt;"Submitted",ChangeLog[[#This Row],[Status]]&lt;&gt;"Under Review")),"",MAX(0,StatusDate-ChangeLog[[#This Row],[Raised]]))</f>
        <v/>
      </c>
      <c r="M103" s="46"/>
      <c r="N103" s="24" t="str">
        <f aca="false">IF(N(ChangeLog[[#This Row],[Task UID]])=0,"",IFERROR(INDEX(tsk_Name,MATCH(ChangeLog[[#This Row],[Task UID]],tsk_UID,0)),"UID "&amp;ChangeLog[[#This Row],[Task UID]]&amp;" not found"))</f>
        <v/>
      </c>
    </row>
    <row r="104" customFormat="false" ht="15" hidden="false" customHeight="false" outlineLevel="0" collapsed="false">
      <c r="B104" s="46" t="n">
        <v>100</v>
      </c>
      <c r="C104" s="88"/>
      <c r="D104" s="47"/>
      <c r="E104" s="47"/>
      <c r="F104" s="47"/>
      <c r="G104" s="89"/>
      <c r="H104" s="90"/>
      <c r="I104" s="46"/>
      <c r="J104" s="88"/>
      <c r="K104" s="47"/>
      <c r="L104" s="56" t="str">
        <f aca="false">IF(OR(ChangeLog[[#This Row],[Title]]="",N(ChangeLog[[#This Row],[Raised]])=0,AND(ChangeLog[[#This Row],[Status]]&lt;&gt;"Submitted",ChangeLog[[#This Row],[Status]]&lt;&gt;"Under Review")),"",MAX(0,StatusDate-ChangeLog[[#This Row],[Raised]]))</f>
        <v/>
      </c>
      <c r="M104" s="46"/>
      <c r="N104" s="24" t="str">
        <f aca="false">IF(N(ChangeLog[[#This Row],[Task UID]])=0,"",IFERROR(INDEX(tsk_Name,MATCH(ChangeLog[[#This Row],[Task UID]],tsk_UID,0)),"UID "&amp;ChangeLog[[#This Row],[Task UID]]&amp;" not found"))</f>
        <v/>
      </c>
    </row>
  </sheetData>
  <conditionalFormatting sqref="I5:I104">
    <cfRule type="expression" priority="2" aboveAverage="0" equalAverage="0" bottom="0" percent="0" rank="0" text="" dxfId="12">
      <formula>I5="Approved"</formula>
    </cfRule>
    <cfRule type="expression" priority="3" aboveAverage="0" equalAverage="0" bottom="0" percent="0" rank="0" text="" dxfId="12">
      <formula>I5="Implemented"</formula>
    </cfRule>
    <cfRule type="expression" priority="4" aboveAverage="0" equalAverage="0" bottom="0" percent="0" rank="0" text="" dxfId="39">
      <formula>I5="Rejected"</formula>
    </cfRule>
    <cfRule type="expression" priority="5" aboveAverage="0" equalAverage="0" bottom="0" percent="0" rank="0" text="" dxfId="38">
      <formula>I5="Submitted"</formula>
    </cfRule>
    <cfRule type="expression" priority="6" aboveAverage="0" equalAverage="0" bottom="0" percent="0" rank="0" text="" dxfId="38">
      <formula>I5="Under Review"</formula>
    </cfRule>
  </conditionalFormatting>
  <dataValidations count="1">
    <dataValidation allowBlank="false" errorStyle="stop" operator="between" showDropDown="false" showErrorMessage="false" showInputMessage="false" sqref="I5:I104" type="list">
      <formula1>L_ChangeStatus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T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4" min="2" style="0" width="13"/>
    <col collapsed="false" customWidth="true" hidden="false" outlineLevel="0" max="20" min="5" style="0" width="11"/>
  </cols>
  <sheetData>
    <row r="1" customFormat="false" ht="19.7" hidden="false" customHeight="false" outlineLevel="0" collapsed="false">
      <c r="A1" s="26" t="s">
        <v>359</v>
      </c>
    </row>
    <row r="2" customFormat="false" ht="15" hidden="false" customHeight="false" outlineLevel="0" collapsed="false">
      <c r="A2" s="8" t="s">
        <v>360</v>
      </c>
    </row>
    <row r="4" customFormat="false" ht="23.85" hidden="false" customHeight="false" outlineLevel="0" collapsed="false">
      <c r="B4" s="9" t="s">
        <v>361</v>
      </c>
      <c r="C4" s="9" t="s">
        <v>228</v>
      </c>
      <c r="D4" s="9" t="s">
        <v>135</v>
      </c>
      <c r="E4" s="9" t="s">
        <v>139</v>
      </c>
      <c r="F4" s="9" t="s">
        <v>362</v>
      </c>
      <c r="G4" s="9" t="s">
        <v>363</v>
      </c>
      <c r="H4" s="9" t="s">
        <v>364</v>
      </c>
      <c r="I4" s="9" t="s">
        <v>230</v>
      </c>
      <c r="J4" s="9" t="s">
        <v>231</v>
      </c>
      <c r="K4" s="9" t="s">
        <v>232</v>
      </c>
      <c r="L4" s="9" t="s">
        <v>233</v>
      </c>
      <c r="M4" s="9" t="s">
        <v>234</v>
      </c>
      <c r="N4" s="9" t="s">
        <v>365</v>
      </c>
      <c r="O4" s="9" t="s">
        <v>366</v>
      </c>
      <c r="P4" s="9" t="s">
        <v>367</v>
      </c>
      <c r="Q4" s="9" t="s">
        <v>368</v>
      </c>
      <c r="R4" s="9" t="s">
        <v>369</v>
      </c>
      <c r="S4" s="9" t="s">
        <v>370</v>
      </c>
      <c r="T4" s="9" t="s">
        <v>155</v>
      </c>
    </row>
    <row r="5" customFormat="false" ht="15" hidden="false" customHeight="false" outlineLevel="0" collapsed="false">
      <c r="B5" s="61" t="n">
        <f aca="false">StatusDate</f>
        <v>46320</v>
      </c>
      <c r="C5" s="61" t="n">
        <f aca="false">ProjectFinish</f>
        <v>46393</v>
      </c>
      <c r="D5" s="61" t="n">
        <f aca="false">PlannedFinish</f>
        <v>46393</v>
      </c>
      <c r="E5" s="35" t="n">
        <f aca="false">FinishVarianceDays</f>
        <v>0</v>
      </c>
      <c r="F5" s="34" t="n">
        <f aca="false">evm_PctEarned</f>
        <v>0.449724717473196</v>
      </c>
      <c r="G5" s="34" t="n">
        <f aca="false">evm_PctPlanned</f>
        <v>0.590553462764416</v>
      </c>
      <c r="H5" s="62" t="n">
        <f aca="false">evm_BAC</f>
        <v>69020</v>
      </c>
      <c r="I5" s="62" t="n">
        <f aca="false">evm_PV</f>
        <v>40760</v>
      </c>
      <c r="J5" s="62" t="n">
        <f aca="false">evm_EV</f>
        <v>31040</v>
      </c>
      <c r="K5" s="62" t="n">
        <f aca="false">evm_AC</f>
        <v>33040</v>
      </c>
      <c r="L5" s="63" t="n">
        <f aca="false">evm_SPI</f>
        <v>0.76153091265947</v>
      </c>
      <c r="M5" s="63" t="n">
        <f aca="false">evm_CPI</f>
        <v>0.939467312348668</v>
      </c>
      <c r="N5" s="62" t="n">
        <f aca="false">evm_EAC</f>
        <v>73467.1649484536</v>
      </c>
      <c r="O5" s="66" t="n">
        <f aca="false">agl_Done</f>
        <v>33</v>
      </c>
      <c r="P5" s="66" t="n">
        <f aca="false">TotalPoints</f>
        <v>82</v>
      </c>
      <c r="Q5" s="64" t="n">
        <f aca="false">COUNTIFS(raid_Type,"Risk",raid_Status,"&lt;&gt;Closed")</f>
        <v>2</v>
      </c>
      <c r="R5" s="64" t="n">
        <f aca="false">COUNTIFS(raid_Type,"Issue",raid_Status,"&lt;&gt;Closed")</f>
        <v>1</v>
      </c>
      <c r="S5" s="64" t="n">
        <f aca="false">COUNTIF(chg_Status,"Submitted")+COUNTIF(chg_Status,"Under Review")</f>
        <v>1</v>
      </c>
      <c r="T5" s="91" t="str">
        <f aca="false">ProjectRAG</f>
        <v>Red</v>
      </c>
    </row>
    <row r="7" customFormat="false" ht="15" hidden="false" customHeight="false" outlineLevel="0" collapsed="false">
      <c r="B7" s="30" t="s">
        <v>371</v>
      </c>
    </row>
    <row r="8" customFormat="false" ht="23.85" hidden="false" customHeight="false" outlineLevel="0" collapsed="false">
      <c r="B8" s="44" t="s">
        <v>361</v>
      </c>
      <c r="C8" s="44" t="s">
        <v>228</v>
      </c>
      <c r="D8" s="44" t="s">
        <v>135</v>
      </c>
      <c r="E8" s="44" t="s">
        <v>139</v>
      </c>
      <c r="F8" s="44" t="s">
        <v>362</v>
      </c>
      <c r="G8" s="44" t="s">
        <v>363</v>
      </c>
      <c r="H8" s="44" t="s">
        <v>364</v>
      </c>
      <c r="I8" s="44" t="s">
        <v>230</v>
      </c>
      <c r="J8" s="44" t="s">
        <v>231</v>
      </c>
      <c r="K8" s="44" t="s">
        <v>232</v>
      </c>
      <c r="L8" s="44" t="s">
        <v>233</v>
      </c>
      <c r="M8" s="44" t="s">
        <v>234</v>
      </c>
      <c r="N8" s="44" t="s">
        <v>365</v>
      </c>
      <c r="O8" s="44" t="s">
        <v>366</v>
      </c>
      <c r="P8" s="44" t="s">
        <v>367</v>
      </c>
      <c r="Q8" s="44" t="s">
        <v>368</v>
      </c>
      <c r="R8" s="44" t="s">
        <v>369</v>
      </c>
      <c r="S8" s="44" t="s">
        <v>370</v>
      </c>
      <c r="T8" s="44" t="s">
        <v>155</v>
      </c>
    </row>
    <row r="9" customFormat="false" ht="15" hidden="false" customHeight="false" outlineLevel="0" collapsed="false">
      <c r="B9" s="92" t="n">
        <v>46292</v>
      </c>
      <c r="C9" s="92" t="n">
        <v>46384</v>
      </c>
      <c r="D9" s="92" t="n">
        <v>46384</v>
      </c>
      <c r="E9" s="89" t="n">
        <v>0</v>
      </c>
      <c r="F9" s="93" t="n">
        <v>0.17</v>
      </c>
      <c r="G9" s="93" t="n">
        <v>0.19</v>
      </c>
      <c r="H9" s="94" t="n">
        <v>58040</v>
      </c>
      <c r="I9" s="94" t="n">
        <v>11028</v>
      </c>
      <c r="J9" s="94" t="n">
        <v>9867</v>
      </c>
      <c r="K9" s="94" t="n">
        <v>10064</v>
      </c>
      <c r="L9" s="95" t="n">
        <v>0.89</v>
      </c>
      <c r="M9" s="95" t="n">
        <v>0.98</v>
      </c>
      <c r="N9" s="94" t="n">
        <v>59199</v>
      </c>
      <c r="O9" s="96" t="n">
        <v>5</v>
      </c>
      <c r="P9" s="96" t="n">
        <v>76</v>
      </c>
      <c r="Q9" s="97" t="n">
        <v>2</v>
      </c>
      <c r="R9" s="97" t="n">
        <v>0</v>
      </c>
      <c r="S9" s="97" t="n">
        <v>0</v>
      </c>
      <c r="T9" s="98" t="s">
        <v>372</v>
      </c>
    </row>
    <row r="10" customFormat="false" ht="15" hidden="false" customHeight="false" outlineLevel="0" collapsed="false">
      <c r="B10" s="92" t="n">
        <v>46299</v>
      </c>
      <c r="C10" s="92" t="n">
        <v>46385</v>
      </c>
      <c r="D10" s="92" t="n">
        <v>46384</v>
      </c>
      <c r="E10" s="89" t="n">
        <v>1</v>
      </c>
      <c r="F10" s="93" t="n">
        <v>0.27</v>
      </c>
      <c r="G10" s="93" t="n">
        <v>0.31</v>
      </c>
      <c r="H10" s="94" t="n">
        <v>58040</v>
      </c>
      <c r="I10" s="94" t="n">
        <v>17992</v>
      </c>
      <c r="J10" s="94" t="n">
        <v>15671</v>
      </c>
      <c r="K10" s="94" t="n">
        <v>16298</v>
      </c>
      <c r="L10" s="95" t="n">
        <v>0.87</v>
      </c>
      <c r="M10" s="95" t="n">
        <v>0.96</v>
      </c>
      <c r="N10" s="94" t="n">
        <v>60362</v>
      </c>
      <c r="O10" s="96" t="n">
        <v>18</v>
      </c>
      <c r="P10" s="96" t="n">
        <v>78</v>
      </c>
      <c r="Q10" s="97" t="n">
        <v>3</v>
      </c>
      <c r="R10" s="97" t="n">
        <v>0</v>
      </c>
      <c r="S10" s="97" t="n">
        <v>1</v>
      </c>
      <c r="T10" s="98" t="s">
        <v>372</v>
      </c>
    </row>
    <row r="11" customFormat="false" ht="15" hidden="false" customHeight="false" outlineLevel="0" collapsed="false">
      <c r="B11" s="92" t="n">
        <v>46306</v>
      </c>
      <c r="C11" s="92" t="n">
        <v>46387</v>
      </c>
      <c r="D11" s="92" t="n">
        <v>46384</v>
      </c>
      <c r="E11" s="89" t="n">
        <v>3</v>
      </c>
      <c r="F11" s="93" t="n">
        <v>0.36</v>
      </c>
      <c r="G11" s="93" t="n">
        <v>0.43</v>
      </c>
      <c r="H11" s="94" t="n">
        <v>58040</v>
      </c>
      <c r="I11" s="94" t="n">
        <v>24957</v>
      </c>
      <c r="J11" s="94" t="n">
        <v>20894</v>
      </c>
      <c r="K11" s="94" t="n">
        <v>21939</v>
      </c>
      <c r="L11" s="95" t="n">
        <v>0.84</v>
      </c>
      <c r="M11" s="95" t="n">
        <v>0.95</v>
      </c>
      <c r="N11" s="94" t="n">
        <v>60943</v>
      </c>
      <c r="O11" s="96" t="n">
        <v>23</v>
      </c>
      <c r="P11" s="96" t="n">
        <v>82</v>
      </c>
      <c r="Q11" s="97" t="n">
        <v>3</v>
      </c>
      <c r="R11" s="97" t="n">
        <v>0</v>
      </c>
      <c r="S11" s="97" t="n">
        <v>0</v>
      </c>
      <c r="T11" s="98" t="s">
        <v>373</v>
      </c>
    </row>
    <row r="12" customFormat="false" ht="15" hidden="false" customHeight="false" outlineLevel="0" collapsed="false">
      <c r="B12" s="92" t="n">
        <v>46313</v>
      </c>
      <c r="C12" s="92" t="n">
        <v>46391</v>
      </c>
      <c r="D12" s="92" t="n">
        <v>46384</v>
      </c>
      <c r="E12" s="89" t="n">
        <v>5</v>
      </c>
      <c r="F12" s="93" t="n">
        <v>0.44</v>
      </c>
      <c r="G12" s="93" t="n">
        <v>0.54</v>
      </c>
      <c r="H12" s="94" t="n">
        <v>58040</v>
      </c>
      <c r="I12" s="94" t="n">
        <v>31342</v>
      </c>
      <c r="J12" s="94" t="n">
        <v>25538</v>
      </c>
      <c r="K12" s="94" t="n">
        <v>27070</v>
      </c>
      <c r="L12" s="95" t="n">
        <v>0.81</v>
      </c>
      <c r="M12" s="95" t="n">
        <v>0.94</v>
      </c>
      <c r="N12" s="94" t="n">
        <v>61522</v>
      </c>
      <c r="O12" s="96" t="n">
        <v>33</v>
      </c>
      <c r="P12" s="96" t="n">
        <v>82</v>
      </c>
      <c r="Q12" s="97" t="n">
        <v>4</v>
      </c>
      <c r="R12" s="97" t="n">
        <v>1</v>
      </c>
      <c r="S12" s="97" t="n">
        <v>0</v>
      </c>
      <c r="T12" s="98" t="s">
        <v>373</v>
      </c>
    </row>
    <row r="13" customFormat="false" ht="15" hidden="false" customHeight="false" outlineLevel="0" collapsed="false">
      <c r="B13" s="92"/>
      <c r="C13" s="92"/>
      <c r="D13" s="92"/>
      <c r="E13" s="89"/>
      <c r="F13" s="93"/>
      <c r="G13" s="93"/>
      <c r="H13" s="94"/>
      <c r="I13" s="94"/>
      <c r="J13" s="94"/>
      <c r="K13" s="94"/>
      <c r="L13" s="95"/>
      <c r="M13" s="95"/>
      <c r="N13" s="94"/>
      <c r="O13" s="96"/>
      <c r="P13" s="96"/>
      <c r="Q13" s="97"/>
      <c r="R13" s="97"/>
      <c r="S13" s="97"/>
      <c r="T13" s="98"/>
    </row>
    <row r="14" customFormat="false" ht="15" hidden="false" customHeight="false" outlineLevel="0" collapsed="false">
      <c r="B14" s="92"/>
      <c r="C14" s="92"/>
      <c r="D14" s="92"/>
      <c r="E14" s="89"/>
      <c r="F14" s="93"/>
      <c r="G14" s="93"/>
      <c r="H14" s="94"/>
      <c r="I14" s="94"/>
      <c r="J14" s="94"/>
      <c r="K14" s="94"/>
      <c r="L14" s="95"/>
      <c r="M14" s="95"/>
      <c r="N14" s="94"/>
      <c r="O14" s="96"/>
      <c r="P14" s="96"/>
      <c r="Q14" s="97"/>
      <c r="R14" s="97"/>
      <c r="S14" s="97"/>
      <c r="T14" s="98"/>
    </row>
    <row r="15" customFormat="false" ht="15" hidden="false" customHeight="false" outlineLevel="0" collapsed="false">
      <c r="B15" s="92"/>
      <c r="C15" s="92"/>
      <c r="D15" s="92"/>
      <c r="E15" s="89"/>
      <c r="F15" s="93"/>
      <c r="G15" s="93"/>
      <c r="H15" s="94"/>
      <c r="I15" s="94"/>
      <c r="J15" s="94"/>
      <c r="K15" s="94"/>
      <c r="L15" s="95"/>
      <c r="M15" s="95"/>
      <c r="N15" s="94"/>
      <c r="O15" s="96"/>
      <c r="P15" s="96"/>
      <c r="Q15" s="97"/>
      <c r="R15" s="97"/>
      <c r="S15" s="97"/>
      <c r="T15" s="98"/>
    </row>
    <row r="16" customFormat="false" ht="15" hidden="false" customHeight="false" outlineLevel="0" collapsed="false">
      <c r="B16" s="92"/>
      <c r="C16" s="92"/>
      <c r="D16" s="92"/>
      <c r="E16" s="89"/>
      <c r="F16" s="93"/>
      <c r="G16" s="93"/>
      <c r="H16" s="94"/>
      <c r="I16" s="94"/>
      <c r="J16" s="94"/>
      <c r="K16" s="94"/>
      <c r="L16" s="95"/>
      <c r="M16" s="95"/>
      <c r="N16" s="94"/>
      <c r="O16" s="96"/>
      <c r="P16" s="96"/>
      <c r="Q16" s="97"/>
      <c r="R16" s="97"/>
      <c r="S16" s="97"/>
      <c r="T16" s="98"/>
    </row>
    <row r="17" customFormat="false" ht="15" hidden="false" customHeight="false" outlineLevel="0" collapsed="false">
      <c r="B17" s="92"/>
      <c r="C17" s="92"/>
      <c r="D17" s="92"/>
      <c r="E17" s="89"/>
      <c r="F17" s="93"/>
      <c r="G17" s="93"/>
      <c r="H17" s="94"/>
      <c r="I17" s="94"/>
      <c r="J17" s="94"/>
      <c r="K17" s="94"/>
      <c r="L17" s="95"/>
      <c r="M17" s="95"/>
      <c r="N17" s="94"/>
      <c r="O17" s="96"/>
      <c r="P17" s="96"/>
      <c r="Q17" s="97"/>
      <c r="R17" s="97"/>
      <c r="S17" s="97"/>
      <c r="T17" s="98"/>
    </row>
    <row r="18" customFormat="false" ht="15" hidden="false" customHeight="false" outlineLevel="0" collapsed="false">
      <c r="B18" s="92"/>
      <c r="C18" s="92"/>
      <c r="D18" s="92"/>
      <c r="E18" s="89"/>
      <c r="F18" s="93"/>
      <c r="G18" s="93"/>
      <c r="H18" s="94"/>
      <c r="I18" s="94"/>
      <c r="J18" s="94"/>
      <c r="K18" s="94"/>
      <c r="L18" s="95"/>
      <c r="M18" s="95"/>
      <c r="N18" s="94"/>
      <c r="O18" s="96"/>
      <c r="P18" s="96"/>
      <c r="Q18" s="97"/>
      <c r="R18" s="97"/>
      <c r="S18" s="97"/>
      <c r="T18" s="98"/>
    </row>
    <row r="19" customFormat="false" ht="15" hidden="false" customHeight="false" outlineLevel="0" collapsed="false">
      <c r="B19" s="92"/>
      <c r="C19" s="92"/>
      <c r="D19" s="92"/>
      <c r="E19" s="89"/>
      <c r="F19" s="93"/>
      <c r="G19" s="93"/>
      <c r="H19" s="94"/>
      <c r="I19" s="94"/>
      <c r="J19" s="94"/>
      <c r="K19" s="94"/>
      <c r="L19" s="95"/>
      <c r="M19" s="95"/>
      <c r="N19" s="94"/>
      <c r="O19" s="96"/>
      <c r="P19" s="96"/>
      <c r="Q19" s="97"/>
      <c r="R19" s="97"/>
      <c r="S19" s="97"/>
      <c r="T19" s="98"/>
    </row>
    <row r="20" customFormat="false" ht="15" hidden="false" customHeight="false" outlineLevel="0" collapsed="false">
      <c r="B20" s="92"/>
      <c r="C20" s="92"/>
      <c r="D20" s="92"/>
      <c r="E20" s="89"/>
      <c r="F20" s="93"/>
      <c r="G20" s="93"/>
      <c r="H20" s="94"/>
      <c r="I20" s="94"/>
      <c r="J20" s="94"/>
      <c r="K20" s="94"/>
      <c r="L20" s="95"/>
      <c r="M20" s="95"/>
      <c r="N20" s="94"/>
      <c r="O20" s="96"/>
      <c r="P20" s="96"/>
      <c r="Q20" s="97"/>
      <c r="R20" s="97"/>
      <c r="S20" s="97"/>
      <c r="T20" s="98"/>
    </row>
    <row r="21" customFormat="false" ht="15" hidden="false" customHeight="false" outlineLevel="0" collapsed="false">
      <c r="B21" s="92"/>
      <c r="C21" s="92"/>
      <c r="D21" s="92"/>
      <c r="E21" s="89"/>
      <c r="F21" s="93"/>
      <c r="G21" s="93"/>
      <c r="H21" s="94"/>
      <c r="I21" s="94"/>
      <c r="J21" s="94"/>
      <c r="K21" s="94"/>
      <c r="L21" s="95"/>
      <c r="M21" s="95"/>
      <c r="N21" s="94"/>
      <c r="O21" s="96"/>
      <c r="P21" s="96"/>
      <c r="Q21" s="97"/>
      <c r="R21" s="97"/>
      <c r="S21" s="97"/>
      <c r="T21" s="98"/>
    </row>
    <row r="22" customFormat="false" ht="15" hidden="false" customHeight="false" outlineLevel="0" collapsed="false">
      <c r="B22" s="92"/>
      <c r="C22" s="92"/>
      <c r="D22" s="92"/>
      <c r="E22" s="89"/>
      <c r="F22" s="93"/>
      <c r="G22" s="93"/>
      <c r="H22" s="94"/>
      <c r="I22" s="94"/>
      <c r="J22" s="94"/>
      <c r="K22" s="94"/>
      <c r="L22" s="95"/>
      <c r="M22" s="95"/>
      <c r="N22" s="94"/>
      <c r="O22" s="96"/>
      <c r="P22" s="96"/>
      <c r="Q22" s="97"/>
      <c r="R22" s="97"/>
      <c r="S22" s="97"/>
      <c r="T22" s="98"/>
    </row>
    <row r="23" customFormat="false" ht="15" hidden="false" customHeight="false" outlineLevel="0" collapsed="false">
      <c r="B23" s="92"/>
      <c r="C23" s="92"/>
      <c r="D23" s="92"/>
      <c r="E23" s="89"/>
      <c r="F23" s="93"/>
      <c r="G23" s="93"/>
      <c r="H23" s="94"/>
      <c r="I23" s="94"/>
      <c r="J23" s="94"/>
      <c r="K23" s="94"/>
      <c r="L23" s="95"/>
      <c r="M23" s="95"/>
      <c r="N23" s="94"/>
      <c r="O23" s="96"/>
      <c r="P23" s="96"/>
      <c r="Q23" s="97"/>
      <c r="R23" s="97"/>
      <c r="S23" s="97"/>
      <c r="T23" s="98"/>
    </row>
    <row r="24" customFormat="false" ht="15" hidden="false" customHeight="false" outlineLevel="0" collapsed="false">
      <c r="B24" s="92"/>
      <c r="C24" s="92"/>
      <c r="D24" s="92"/>
      <c r="E24" s="89"/>
      <c r="F24" s="93"/>
      <c r="G24" s="93"/>
      <c r="H24" s="94"/>
      <c r="I24" s="94"/>
      <c r="J24" s="94"/>
      <c r="K24" s="94"/>
      <c r="L24" s="95"/>
      <c r="M24" s="95"/>
      <c r="N24" s="94"/>
      <c r="O24" s="96"/>
      <c r="P24" s="96"/>
      <c r="Q24" s="97"/>
      <c r="R24" s="97"/>
      <c r="S24" s="97"/>
      <c r="T24" s="98"/>
    </row>
    <row r="25" customFormat="false" ht="15" hidden="false" customHeight="false" outlineLevel="0" collapsed="false">
      <c r="B25" s="92"/>
      <c r="C25" s="92"/>
      <c r="D25" s="92"/>
      <c r="E25" s="89"/>
      <c r="F25" s="93"/>
      <c r="G25" s="93"/>
      <c r="H25" s="94"/>
      <c r="I25" s="94"/>
      <c r="J25" s="94"/>
      <c r="K25" s="94"/>
      <c r="L25" s="95"/>
      <c r="M25" s="95"/>
      <c r="N25" s="94"/>
      <c r="O25" s="96"/>
      <c r="P25" s="96"/>
      <c r="Q25" s="97"/>
      <c r="R25" s="97"/>
      <c r="S25" s="97"/>
      <c r="T25" s="98"/>
    </row>
    <row r="26" customFormat="false" ht="15" hidden="false" customHeight="false" outlineLevel="0" collapsed="false">
      <c r="B26" s="92"/>
      <c r="C26" s="92"/>
      <c r="D26" s="92"/>
      <c r="E26" s="89"/>
      <c r="F26" s="93"/>
      <c r="G26" s="93"/>
      <c r="H26" s="94"/>
      <c r="I26" s="94"/>
      <c r="J26" s="94"/>
      <c r="K26" s="94"/>
      <c r="L26" s="95"/>
      <c r="M26" s="95"/>
      <c r="N26" s="94"/>
      <c r="O26" s="96"/>
      <c r="P26" s="96"/>
      <c r="Q26" s="97"/>
      <c r="R26" s="97"/>
      <c r="S26" s="97"/>
      <c r="T26" s="98"/>
    </row>
    <row r="27" customFormat="false" ht="15" hidden="false" customHeight="false" outlineLevel="0" collapsed="false">
      <c r="B27" s="92"/>
      <c r="C27" s="92"/>
      <c r="D27" s="92"/>
      <c r="E27" s="89"/>
      <c r="F27" s="93"/>
      <c r="G27" s="93"/>
      <c r="H27" s="94"/>
      <c r="I27" s="94"/>
      <c r="J27" s="94"/>
      <c r="K27" s="94"/>
      <c r="L27" s="95"/>
      <c r="M27" s="95"/>
      <c r="N27" s="94"/>
      <c r="O27" s="96"/>
      <c r="P27" s="96"/>
      <c r="Q27" s="97"/>
      <c r="R27" s="97"/>
      <c r="S27" s="97"/>
      <c r="T27" s="98"/>
    </row>
    <row r="28" customFormat="false" ht="15" hidden="false" customHeight="false" outlineLevel="0" collapsed="false">
      <c r="B28" s="92"/>
      <c r="C28" s="92"/>
      <c r="D28" s="92"/>
      <c r="E28" s="89"/>
      <c r="F28" s="93"/>
      <c r="G28" s="93"/>
      <c r="H28" s="94"/>
      <c r="I28" s="94"/>
      <c r="J28" s="94"/>
      <c r="K28" s="94"/>
      <c r="L28" s="95"/>
      <c r="M28" s="95"/>
      <c r="N28" s="94"/>
      <c r="O28" s="96"/>
      <c r="P28" s="96"/>
      <c r="Q28" s="97"/>
      <c r="R28" s="97"/>
      <c r="S28" s="97"/>
      <c r="T28" s="98"/>
    </row>
    <row r="29" customFormat="false" ht="15" hidden="false" customHeight="false" outlineLevel="0" collapsed="false">
      <c r="B29" s="92"/>
      <c r="C29" s="92"/>
      <c r="D29" s="92"/>
      <c r="E29" s="89"/>
      <c r="F29" s="93"/>
      <c r="G29" s="93"/>
      <c r="H29" s="94"/>
      <c r="I29" s="94"/>
      <c r="J29" s="94"/>
      <c r="K29" s="94"/>
      <c r="L29" s="95"/>
      <c r="M29" s="95"/>
      <c r="N29" s="94"/>
      <c r="O29" s="96"/>
      <c r="P29" s="96"/>
      <c r="Q29" s="97"/>
      <c r="R29" s="97"/>
      <c r="S29" s="97"/>
      <c r="T29" s="98"/>
    </row>
    <row r="30" customFormat="false" ht="15" hidden="false" customHeight="false" outlineLevel="0" collapsed="false">
      <c r="B30" s="92"/>
      <c r="C30" s="92"/>
      <c r="D30" s="92"/>
      <c r="E30" s="89"/>
      <c r="F30" s="93"/>
      <c r="G30" s="93"/>
      <c r="H30" s="94"/>
      <c r="I30" s="94"/>
      <c r="J30" s="94"/>
      <c r="K30" s="94"/>
      <c r="L30" s="95"/>
      <c r="M30" s="95"/>
      <c r="N30" s="94"/>
      <c r="O30" s="96"/>
      <c r="P30" s="96"/>
      <c r="Q30" s="97"/>
      <c r="R30" s="97"/>
      <c r="S30" s="97"/>
      <c r="T30" s="98"/>
    </row>
    <row r="31" customFormat="false" ht="15" hidden="false" customHeight="false" outlineLevel="0" collapsed="false">
      <c r="B31" s="92"/>
      <c r="C31" s="92"/>
      <c r="D31" s="92"/>
      <c r="E31" s="89"/>
      <c r="F31" s="93"/>
      <c r="G31" s="93"/>
      <c r="H31" s="94"/>
      <c r="I31" s="94"/>
      <c r="J31" s="94"/>
      <c r="K31" s="94"/>
      <c r="L31" s="95"/>
      <c r="M31" s="95"/>
      <c r="N31" s="94"/>
      <c r="O31" s="96"/>
      <c r="P31" s="96"/>
      <c r="Q31" s="97"/>
      <c r="R31" s="97"/>
      <c r="S31" s="97"/>
      <c r="T31" s="98"/>
    </row>
    <row r="32" customFormat="false" ht="15" hidden="false" customHeight="false" outlineLevel="0" collapsed="false">
      <c r="B32" s="92"/>
      <c r="C32" s="92"/>
      <c r="D32" s="92"/>
      <c r="E32" s="89"/>
      <c r="F32" s="93"/>
      <c r="G32" s="93"/>
      <c r="H32" s="94"/>
      <c r="I32" s="94"/>
      <c r="J32" s="94"/>
      <c r="K32" s="94"/>
      <c r="L32" s="95"/>
      <c r="M32" s="95"/>
      <c r="N32" s="94"/>
      <c r="O32" s="96"/>
      <c r="P32" s="96"/>
      <c r="Q32" s="97"/>
      <c r="R32" s="97"/>
      <c r="S32" s="97"/>
      <c r="T32" s="98"/>
    </row>
    <row r="33" customFormat="false" ht="15" hidden="false" customHeight="false" outlineLevel="0" collapsed="false">
      <c r="B33" s="92"/>
      <c r="C33" s="92"/>
      <c r="D33" s="92"/>
      <c r="E33" s="89"/>
      <c r="F33" s="93"/>
      <c r="G33" s="93"/>
      <c r="H33" s="94"/>
      <c r="I33" s="94"/>
      <c r="J33" s="94"/>
      <c r="K33" s="94"/>
      <c r="L33" s="95"/>
      <c r="M33" s="95"/>
      <c r="N33" s="94"/>
      <c r="O33" s="96"/>
      <c r="P33" s="96"/>
      <c r="Q33" s="97"/>
      <c r="R33" s="97"/>
      <c r="S33" s="97"/>
      <c r="T33" s="98"/>
    </row>
    <row r="34" customFormat="false" ht="15" hidden="false" customHeight="false" outlineLevel="0" collapsed="false">
      <c r="B34" s="92"/>
      <c r="C34" s="92"/>
      <c r="D34" s="92"/>
      <c r="E34" s="89"/>
      <c r="F34" s="93"/>
      <c r="G34" s="93"/>
      <c r="H34" s="94"/>
      <c r="I34" s="94"/>
      <c r="J34" s="94"/>
      <c r="K34" s="94"/>
      <c r="L34" s="95"/>
      <c r="M34" s="95"/>
      <c r="N34" s="94"/>
      <c r="O34" s="96"/>
      <c r="P34" s="96"/>
      <c r="Q34" s="97"/>
      <c r="R34" s="97"/>
      <c r="S34" s="97"/>
      <c r="T34" s="98"/>
    </row>
    <row r="35" customFormat="false" ht="15" hidden="false" customHeight="false" outlineLevel="0" collapsed="false">
      <c r="B35" s="92"/>
      <c r="C35" s="92"/>
      <c r="D35" s="92"/>
      <c r="E35" s="89"/>
      <c r="F35" s="93"/>
      <c r="G35" s="93"/>
      <c r="H35" s="94"/>
      <c r="I35" s="94"/>
      <c r="J35" s="94"/>
      <c r="K35" s="94"/>
      <c r="L35" s="95"/>
      <c r="M35" s="95"/>
      <c r="N35" s="94"/>
      <c r="O35" s="96"/>
      <c r="P35" s="96"/>
      <c r="Q35" s="97"/>
      <c r="R35" s="97"/>
      <c r="S35" s="97"/>
      <c r="T35" s="98"/>
    </row>
    <row r="36" customFormat="false" ht="15" hidden="false" customHeight="false" outlineLevel="0" collapsed="false">
      <c r="B36" s="92"/>
      <c r="C36" s="92"/>
      <c r="D36" s="92"/>
      <c r="E36" s="89"/>
      <c r="F36" s="93"/>
      <c r="G36" s="93"/>
      <c r="H36" s="94"/>
      <c r="I36" s="94"/>
      <c r="J36" s="94"/>
      <c r="K36" s="94"/>
      <c r="L36" s="95"/>
      <c r="M36" s="95"/>
      <c r="N36" s="94"/>
      <c r="O36" s="96"/>
      <c r="P36" s="96"/>
      <c r="Q36" s="97"/>
      <c r="R36" s="97"/>
      <c r="S36" s="97"/>
      <c r="T36" s="98"/>
    </row>
    <row r="37" customFormat="false" ht="15" hidden="false" customHeight="false" outlineLevel="0" collapsed="false">
      <c r="B37" s="92"/>
      <c r="C37" s="92"/>
      <c r="D37" s="92"/>
      <c r="E37" s="89"/>
      <c r="F37" s="93"/>
      <c r="G37" s="93"/>
      <c r="H37" s="94"/>
      <c r="I37" s="94"/>
      <c r="J37" s="94"/>
      <c r="K37" s="94"/>
      <c r="L37" s="95"/>
      <c r="M37" s="95"/>
      <c r="N37" s="94"/>
      <c r="O37" s="96"/>
      <c r="P37" s="96"/>
      <c r="Q37" s="97"/>
      <c r="R37" s="97"/>
      <c r="S37" s="97"/>
      <c r="T37" s="98"/>
    </row>
    <row r="38" customFormat="false" ht="15" hidden="false" customHeight="false" outlineLevel="0" collapsed="false">
      <c r="B38" s="92"/>
      <c r="C38" s="92"/>
      <c r="D38" s="92"/>
      <c r="E38" s="89"/>
      <c r="F38" s="93"/>
      <c r="G38" s="93"/>
      <c r="H38" s="94"/>
      <c r="I38" s="94"/>
      <c r="J38" s="94"/>
      <c r="K38" s="94"/>
      <c r="L38" s="95"/>
      <c r="M38" s="95"/>
      <c r="N38" s="94"/>
      <c r="O38" s="96"/>
      <c r="P38" s="96"/>
      <c r="Q38" s="97"/>
      <c r="R38" s="97"/>
      <c r="S38" s="97"/>
      <c r="T38" s="98"/>
    </row>
    <row r="39" customFormat="false" ht="15" hidden="false" customHeight="false" outlineLevel="0" collapsed="false">
      <c r="B39" s="92"/>
      <c r="C39" s="92"/>
      <c r="D39" s="92"/>
      <c r="E39" s="89"/>
      <c r="F39" s="93"/>
      <c r="G39" s="93"/>
      <c r="H39" s="94"/>
      <c r="I39" s="94"/>
      <c r="J39" s="94"/>
      <c r="K39" s="94"/>
      <c r="L39" s="95"/>
      <c r="M39" s="95"/>
      <c r="N39" s="94"/>
      <c r="O39" s="96"/>
      <c r="P39" s="96"/>
      <c r="Q39" s="97"/>
      <c r="R39" s="97"/>
      <c r="S39" s="97"/>
      <c r="T39" s="98"/>
    </row>
    <row r="40" customFormat="false" ht="15" hidden="false" customHeight="false" outlineLevel="0" collapsed="false">
      <c r="B40" s="92"/>
      <c r="C40" s="92"/>
      <c r="D40" s="92"/>
      <c r="E40" s="89"/>
      <c r="F40" s="93"/>
      <c r="G40" s="93"/>
      <c r="H40" s="94"/>
      <c r="I40" s="94"/>
      <c r="J40" s="94"/>
      <c r="K40" s="94"/>
      <c r="L40" s="95"/>
      <c r="M40" s="95"/>
      <c r="N40" s="94"/>
      <c r="O40" s="96"/>
      <c r="P40" s="96"/>
      <c r="Q40" s="97"/>
      <c r="R40" s="97"/>
      <c r="S40" s="97"/>
      <c r="T40" s="98"/>
    </row>
    <row r="41" customFormat="false" ht="15" hidden="false" customHeight="false" outlineLevel="0" collapsed="false">
      <c r="B41" s="92"/>
      <c r="C41" s="92"/>
      <c r="D41" s="92"/>
      <c r="E41" s="89"/>
      <c r="F41" s="93"/>
      <c r="G41" s="93"/>
      <c r="H41" s="94"/>
      <c r="I41" s="94"/>
      <c r="J41" s="94"/>
      <c r="K41" s="94"/>
      <c r="L41" s="95"/>
      <c r="M41" s="95"/>
      <c r="N41" s="94"/>
      <c r="O41" s="96"/>
      <c r="P41" s="96"/>
      <c r="Q41" s="97"/>
      <c r="R41" s="97"/>
      <c r="S41" s="97"/>
      <c r="T41" s="98"/>
    </row>
    <row r="42" customFormat="false" ht="15" hidden="false" customHeight="false" outlineLevel="0" collapsed="false">
      <c r="B42" s="92"/>
      <c r="C42" s="92"/>
      <c r="D42" s="92"/>
      <c r="E42" s="89"/>
      <c r="F42" s="93"/>
      <c r="G42" s="93"/>
      <c r="H42" s="94"/>
      <c r="I42" s="94"/>
      <c r="J42" s="94"/>
      <c r="K42" s="94"/>
      <c r="L42" s="95"/>
      <c r="M42" s="95"/>
      <c r="N42" s="94"/>
      <c r="O42" s="96"/>
      <c r="P42" s="96"/>
      <c r="Q42" s="97"/>
      <c r="R42" s="97"/>
      <c r="S42" s="97"/>
      <c r="T42" s="98"/>
    </row>
    <row r="43" customFormat="false" ht="15" hidden="false" customHeight="false" outlineLevel="0" collapsed="false">
      <c r="B43" s="92"/>
      <c r="C43" s="92"/>
      <c r="D43" s="92"/>
      <c r="E43" s="89"/>
      <c r="F43" s="93"/>
      <c r="G43" s="93"/>
      <c r="H43" s="94"/>
      <c r="I43" s="94"/>
      <c r="J43" s="94"/>
      <c r="K43" s="94"/>
      <c r="L43" s="95"/>
      <c r="M43" s="95"/>
      <c r="N43" s="94"/>
      <c r="O43" s="96"/>
      <c r="P43" s="96"/>
      <c r="Q43" s="97"/>
      <c r="R43" s="97"/>
      <c r="S43" s="97"/>
      <c r="T43" s="98"/>
    </row>
    <row r="44" customFormat="false" ht="15" hidden="false" customHeight="false" outlineLevel="0" collapsed="false">
      <c r="B44" s="92"/>
      <c r="C44" s="92"/>
      <c r="D44" s="92"/>
      <c r="E44" s="89"/>
      <c r="F44" s="93"/>
      <c r="G44" s="93"/>
      <c r="H44" s="94"/>
      <c r="I44" s="94"/>
      <c r="J44" s="94"/>
      <c r="K44" s="94"/>
      <c r="L44" s="95"/>
      <c r="M44" s="95"/>
      <c r="N44" s="94"/>
      <c r="O44" s="96"/>
      <c r="P44" s="96"/>
      <c r="Q44" s="97"/>
      <c r="R44" s="97"/>
      <c r="S44" s="97"/>
      <c r="T44" s="98"/>
    </row>
    <row r="45" customFormat="false" ht="15" hidden="false" customHeight="false" outlineLevel="0" collapsed="false">
      <c r="B45" s="92"/>
      <c r="C45" s="92"/>
      <c r="D45" s="92"/>
      <c r="E45" s="89"/>
      <c r="F45" s="93"/>
      <c r="G45" s="93"/>
      <c r="H45" s="94"/>
      <c r="I45" s="94"/>
      <c r="J45" s="94"/>
      <c r="K45" s="94"/>
      <c r="L45" s="95"/>
      <c r="M45" s="95"/>
      <c r="N45" s="94"/>
      <c r="O45" s="96"/>
      <c r="P45" s="96"/>
      <c r="Q45" s="97"/>
      <c r="R45" s="97"/>
      <c r="S45" s="97"/>
      <c r="T45" s="98"/>
    </row>
    <row r="46" customFormat="false" ht="15" hidden="false" customHeight="false" outlineLevel="0" collapsed="false">
      <c r="B46" s="92"/>
      <c r="C46" s="92"/>
      <c r="D46" s="92"/>
      <c r="E46" s="89"/>
      <c r="F46" s="93"/>
      <c r="G46" s="93"/>
      <c r="H46" s="94"/>
      <c r="I46" s="94"/>
      <c r="J46" s="94"/>
      <c r="K46" s="94"/>
      <c r="L46" s="95"/>
      <c r="M46" s="95"/>
      <c r="N46" s="94"/>
      <c r="O46" s="96"/>
      <c r="P46" s="96"/>
      <c r="Q46" s="97"/>
      <c r="R46" s="97"/>
      <c r="S46" s="97"/>
      <c r="T46" s="98"/>
    </row>
    <row r="47" customFormat="false" ht="15" hidden="false" customHeight="false" outlineLevel="0" collapsed="false">
      <c r="B47" s="92"/>
      <c r="C47" s="92"/>
      <c r="D47" s="92"/>
      <c r="E47" s="89"/>
      <c r="F47" s="93"/>
      <c r="G47" s="93"/>
      <c r="H47" s="94"/>
      <c r="I47" s="94"/>
      <c r="J47" s="94"/>
      <c r="K47" s="94"/>
      <c r="L47" s="95"/>
      <c r="M47" s="95"/>
      <c r="N47" s="94"/>
      <c r="O47" s="96"/>
      <c r="P47" s="96"/>
      <c r="Q47" s="97"/>
      <c r="R47" s="97"/>
      <c r="S47" s="97"/>
      <c r="T47" s="98"/>
    </row>
    <row r="48" customFormat="false" ht="15" hidden="false" customHeight="false" outlineLevel="0" collapsed="false">
      <c r="B48" s="92"/>
      <c r="C48" s="92"/>
      <c r="D48" s="92"/>
      <c r="E48" s="89"/>
      <c r="F48" s="93"/>
      <c r="G48" s="93"/>
      <c r="H48" s="94"/>
      <c r="I48" s="94"/>
      <c r="J48" s="94"/>
      <c r="K48" s="94"/>
      <c r="L48" s="95"/>
      <c r="M48" s="95"/>
      <c r="N48" s="94"/>
      <c r="O48" s="96"/>
      <c r="P48" s="96"/>
      <c r="Q48" s="97"/>
      <c r="R48" s="97"/>
      <c r="S48" s="97"/>
      <c r="T48" s="98"/>
    </row>
    <row r="49" customFormat="false" ht="15" hidden="false" customHeight="false" outlineLevel="0" collapsed="false">
      <c r="B49" s="92"/>
      <c r="C49" s="92"/>
      <c r="D49" s="92"/>
      <c r="E49" s="89"/>
      <c r="F49" s="93"/>
      <c r="G49" s="93"/>
      <c r="H49" s="94"/>
      <c r="I49" s="94"/>
      <c r="J49" s="94"/>
      <c r="K49" s="94"/>
      <c r="L49" s="95"/>
      <c r="M49" s="95"/>
      <c r="N49" s="94"/>
      <c r="O49" s="96"/>
      <c r="P49" s="96"/>
      <c r="Q49" s="97"/>
      <c r="R49" s="97"/>
      <c r="S49" s="97"/>
      <c r="T49" s="98"/>
    </row>
    <row r="50" customFormat="false" ht="15" hidden="false" customHeight="false" outlineLevel="0" collapsed="false">
      <c r="B50" s="92"/>
      <c r="C50" s="92"/>
      <c r="D50" s="92"/>
      <c r="E50" s="89"/>
      <c r="F50" s="93"/>
      <c r="G50" s="93"/>
      <c r="H50" s="94"/>
      <c r="I50" s="94"/>
      <c r="J50" s="94"/>
      <c r="K50" s="94"/>
      <c r="L50" s="95"/>
      <c r="M50" s="95"/>
      <c r="N50" s="94"/>
      <c r="O50" s="96"/>
      <c r="P50" s="96"/>
      <c r="Q50" s="97"/>
      <c r="R50" s="97"/>
      <c r="S50" s="97"/>
      <c r="T50" s="98"/>
    </row>
    <row r="51" customFormat="false" ht="15" hidden="false" customHeight="false" outlineLevel="0" collapsed="false">
      <c r="B51" s="92"/>
      <c r="C51" s="92"/>
      <c r="D51" s="92"/>
      <c r="E51" s="89"/>
      <c r="F51" s="93"/>
      <c r="G51" s="93"/>
      <c r="H51" s="94"/>
      <c r="I51" s="94"/>
      <c r="J51" s="94"/>
      <c r="K51" s="94"/>
      <c r="L51" s="95"/>
      <c r="M51" s="95"/>
      <c r="N51" s="94"/>
      <c r="O51" s="96"/>
      <c r="P51" s="96"/>
      <c r="Q51" s="97"/>
      <c r="R51" s="97"/>
      <c r="S51" s="97"/>
      <c r="T51" s="98"/>
    </row>
    <row r="52" customFormat="false" ht="15" hidden="false" customHeight="false" outlineLevel="0" collapsed="false">
      <c r="B52" s="92"/>
      <c r="C52" s="92"/>
      <c r="D52" s="92"/>
      <c r="E52" s="89"/>
      <c r="F52" s="93"/>
      <c r="G52" s="93"/>
      <c r="H52" s="94"/>
      <c r="I52" s="94"/>
      <c r="J52" s="94"/>
      <c r="K52" s="94"/>
      <c r="L52" s="95"/>
      <c r="M52" s="95"/>
      <c r="N52" s="94"/>
      <c r="O52" s="96"/>
      <c r="P52" s="96"/>
      <c r="Q52" s="97"/>
      <c r="R52" s="97"/>
      <c r="S52" s="97"/>
      <c r="T52" s="98"/>
    </row>
    <row r="53" customFormat="false" ht="15" hidden="false" customHeight="false" outlineLevel="0" collapsed="false">
      <c r="B53" s="92"/>
      <c r="C53" s="92"/>
      <c r="D53" s="92"/>
      <c r="E53" s="89"/>
      <c r="F53" s="93"/>
      <c r="G53" s="93"/>
      <c r="H53" s="94"/>
      <c r="I53" s="94"/>
      <c r="J53" s="94"/>
      <c r="K53" s="94"/>
      <c r="L53" s="95"/>
      <c r="M53" s="95"/>
      <c r="N53" s="94"/>
      <c r="O53" s="96"/>
      <c r="P53" s="96"/>
      <c r="Q53" s="97"/>
      <c r="R53" s="97"/>
      <c r="S53" s="97"/>
      <c r="T53" s="98"/>
    </row>
    <row r="54" customFormat="false" ht="15" hidden="false" customHeight="false" outlineLevel="0" collapsed="false">
      <c r="B54" s="92"/>
      <c r="C54" s="92"/>
      <c r="D54" s="92"/>
      <c r="E54" s="89"/>
      <c r="F54" s="93"/>
      <c r="G54" s="93"/>
      <c r="H54" s="94"/>
      <c r="I54" s="94"/>
      <c r="J54" s="94"/>
      <c r="K54" s="94"/>
      <c r="L54" s="95"/>
      <c r="M54" s="95"/>
      <c r="N54" s="94"/>
      <c r="O54" s="96"/>
      <c r="P54" s="96"/>
      <c r="Q54" s="97"/>
      <c r="R54" s="97"/>
      <c r="S54" s="97"/>
      <c r="T54" s="98"/>
    </row>
    <row r="55" customFormat="false" ht="15" hidden="false" customHeight="false" outlineLevel="0" collapsed="false">
      <c r="B55" s="92"/>
      <c r="C55" s="92"/>
      <c r="D55" s="92"/>
      <c r="E55" s="89"/>
      <c r="F55" s="93"/>
      <c r="G55" s="93"/>
      <c r="H55" s="94"/>
      <c r="I55" s="94"/>
      <c r="J55" s="94"/>
      <c r="K55" s="94"/>
      <c r="L55" s="95"/>
      <c r="M55" s="95"/>
      <c r="N55" s="94"/>
      <c r="O55" s="96"/>
      <c r="P55" s="96"/>
      <c r="Q55" s="97"/>
      <c r="R55" s="97"/>
      <c r="S55" s="97"/>
      <c r="T55" s="98"/>
    </row>
    <row r="56" customFormat="false" ht="15" hidden="false" customHeight="false" outlineLevel="0" collapsed="false">
      <c r="B56" s="92"/>
      <c r="C56" s="92"/>
      <c r="D56" s="92"/>
      <c r="E56" s="89"/>
      <c r="F56" s="93"/>
      <c r="G56" s="93"/>
      <c r="H56" s="94"/>
      <c r="I56" s="94"/>
      <c r="J56" s="94"/>
      <c r="K56" s="94"/>
      <c r="L56" s="95"/>
      <c r="M56" s="95"/>
      <c r="N56" s="94"/>
      <c r="O56" s="96"/>
      <c r="P56" s="96"/>
      <c r="Q56" s="97"/>
      <c r="R56" s="97"/>
      <c r="S56" s="97"/>
      <c r="T56" s="98"/>
    </row>
    <row r="57" customFormat="false" ht="15" hidden="false" customHeight="false" outlineLevel="0" collapsed="false">
      <c r="B57" s="92"/>
      <c r="C57" s="92"/>
      <c r="D57" s="92"/>
      <c r="E57" s="89"/>
      <c r="F57" s="93"/>
      <c r="G57" s="93"/>
      <c r="H57" s="94"/>
      <c r="I57" s="94"/>
      <c r="J57" s="94"/>
      <c r="K57" s="94"/>
      <c r="L57" s="95"/>
      <c r="M57" s="95"/>
      <c r="N57" s="94"/>
      <c r="O57" s="96"/>
      <c r="P57" s="96"/>
      <c r="Q57" s="97"/>
      <c r="R57" s="97"/>
      <c r="S57" s="97"/>
      <c r="T57" s="98"/>
    </row>
    <row r="58" customFormat="false" ht="15" hidden="false" customHeight="false" outlineLevel="0" collapsed="false">
      <c r="B58" s="92"/>
      <c r="C58" s="92"/>
      <c r="D58" s="92"/>
      <c r="E58" s="89"/>
      <c r="F58" s="93"/>
      <c r="G58" s="93"/>
      <c r="H58" s="94"/>
      <c r="I58" s="94"/>
      <c r="J58" s="94"/>
      <c r="K58" s="94"/>
      <c r="L58" s="95"/>
      <c r="M58" s="95"/>
      <c r="N58" s="94"/>
      <c r="O58" s="96"/>
      <c r="P58" s="96"/>
      <c r="Q58" s="97"/>
      <c r="R58" s="97"/>
      <c r="S58" s="97"/>
      <c r="T58" s="98"/>
    </row>
    <row r="59" customFormat="false" ht="15" hidden="false" customHeight="false" outlineLevel="0" collapsed="false">
      <c r="B59" s="92"/>
      <c r="C59" s="92"/>
      <c r="D59" s="92"/>
      <c r="E59" s="89"/>
      <c r="F59" s="93"/>
      <c r="G59" s="93"/>
      <c r="H59" s="94"/>
      <c r="I59" s="94"/>
      <c r="J59" s="94"/>
      <c r="K59" s="94"/>
      <c r="L59" s="95"/>
      <c r="M59" s="95"/>
      <c r="N59" s="94"/>
      <c r="O59" s="96"/>
      <c r="P59" s="96"/>
      <c r="Q59" s="97"/>
      <c r="R59" s="97"/>
      <c r="S59" s="97"/>
      <c r="T59" s="98"/>
    </row>
    <row r="60" customFormat="false" ht="15" hidden="false" customHeight="false" outlineLevel="0" collapsed="false">
      <c r="B60" s="92"/>
      <c r="C60" s="92"/>
      <c r="D60" s="92"/>
      <c r="E60" s="89"/>
      <c r="F60" s="93"/>
      <c r="G60" s="93"/>
      <c r="H60" s="94"/>
      <c r="I60" s="94"/>
      <c r="J60" s="94"/>
      <c r="K60" s="94"/>
      <c r="L60" s="95"/>
      <c r="M60" s="95"/>
      <c r="N60" s="94"/>
      <c r="O60" s="96"/>
      <c r="P60" s="96"/>
      <c r="Q60" s="97"/>
      <c r="R60" s="97"/>
      <c r="S60" s="97"/>
      <c r="T60" s="98"/>
    </row>
    <row r="61" customFormat="false" ht="15" hidden="false" customHeight="false" outlineLevel="0" collapsed="false">
      <c r="B61" s="92"/>
      <c r="C61" s="92"/>
      <c r="D61" s="92"/>
      <c r="E61" s="89"/>
      <c r="F61" s="93"/>
      <c r="G61" s="93"/>
      <c r="H61" s="94"/>
      <c r="I61" s="94"/>
      <c r="J61" s="94"/>
      <c r="K61" s="94"/>
      <c r="L61" s="95"/>
      <c r="M61" s="95"/>
      <c r="N61" s="94"/>
      <c r="O61" s="96"/>
      <c r="P61" s="96"/>
      <c r="Q61" s="97"/>
      <c r="R61" s="97"/>
      <c r="S61" s="97"/>
      <c r="T61" s="98"/>
    </row>
    <row r="62" customFormat="false" ht="15" hidden="false" customHeight="false" outlineLevel="0" collapsed="false">
      <c r="B62" s="92"/>
      <c r="C62" s="92"/>
      <c r="D62" s="92"/>
      <c r="E62" s="89"/>
      <c r="F62" s="93"/>
      <c r="G62" s="93"/>
      <c r="H62" s="94"/>
      <c r="I62" s="94"/>
      <c r="J62" s="94"/>
      <c r="K62" s="94"/>
      <c r="L62" s="95"/>
      <c r="M62" s="95"/>
      <c r="N62" s="94"/>
      <c r="O62" s="96"/>
      <c r="P62" s="96"/>
      <c r="Q62" s="97"/>
      <c r="R62" s="97"/>
      <c r="S62" s="97"/>
      <c r="T62" s="98"/>
    </row>
    <row r="63" customFormat="false" ht="15" hidden="false" customHeight="false" outlineLevel="0" collapsed="false">
      <c r="B63" s="92"/>
      <c r="C63" s="92"/>
      <c r="D63" s="92"/>
      <c r="E63" s="89"/>
      <c r="F63" s="93"/>
      <c r="G63" s="93"/>
      <c r="H63" s="94"/>
      <c r="I63" s="94"/>
      <c r="J63" s="94"/>
      <c r="K63" s="94"/>
      <c r="L63" s="95"/>
      <c r="M63" s="95"/>
      <c r="N63" s="94"/>
      <c r="O63" s="96"/>
      <c r="P63" s="96"/>
      <c r="Q63" s="97"/>
      <c r="R63" s="97"/>
      <c r="S63" s="97"/>
      <c r="T63" s="98"/>
    </row>
    <row r="64" customFormat="false" ht="15" hidden="false" customHeight="false" outlineLevel="0" collapsed="false">
      <c r="B64" s="92"/>
      <c r="C64" s="92"/>
      <c r="D64" s="92"/>
      <c r="E64" s="89"/>
      <c r="F64" s="93"/>
      <c r="G64" s="93"/>
      <c r="H64" s="94"/>
      <c r="I64" s="94"/>
      <c r="J64" s="94"/>
      <c r="K64" s="94"/>
      <c r="L64" s="95"/>
      <c r="M64" s="95"/>
      <c r="N64" s="94"/>
      <c r="O64" s="96"/>
      <c r="P64" s="96"/>
      <c r="Q64" s="97"/>
      <c r="R64" s="97"/>
      <c r="S64" s="97"/>
      <c r="T64" s="98"/>
    </row>
    <row r="65" customFormat="false" ht="15" hidden="false" customHeight="false" outlineLevel="0" collapsed="false">
      <c r="B65" s="92"/>
      <c r="C65" s="92"/>
      <c r="D65" s="92"/>
      <c r="E65" s="89"/>
      <c r="F65" s="93"/>
      <c r="G65" s="93"/>
      <c r="H65" s="94"/>
      <c r="I65" s="94"/>
      <c r="J65" s="94"/>
      <c r="K65" s="94"/>
      <c r="L65" s="95"/>
      <c r="M65" s="95"/>
      <c r="N65" s="94"/>
      <c r="O65" s="96"/>
      <c r="P65" s="96"/>
      <c r="Q65" s="97"/>
      <c r="R65" s="97"/>
      <c r="S65" s="97"/>
      <c r="T65" s="98"/>
    </row>
    <row r="66" customFormat="false" ht="15" hidden="false" customHeight="false" outlineLevel="0" collapsed="false">
      <c r="B66" s="92"/>
      <c r="C66" s="92"/>
      <c r="D66" s="92"/>
      <c r="E66" s="89"/>
      <c r="F66" s="93"/>
      <c r="G66" s="93"/>
      <c r="H66" s="94"/>
      <c r="I66" s="94"/>
      <c r="J66" s="94"/>
      <c r="K66" s="94"/>
      <c r="L66" s="95"/>
      <c r="M66" s="95"/>
      <c r="N66" s="94"/>
      <c r="O66" s="96"/>
      <c r="P66" s="96"/>
      <c r="Q66" s="97"/>
      <c r="R66" s="97"/>
      <c r="S66" s="97"/>
      <c r="T66" s="98"/>
    </row>
    <row r="67" customFormat="false" ht="15" hidden="false" customHeight="false" outlineLevel="0" collapsed="false">
      <c r="B67" s="92"/>
      <c r="C67" s="92"/>
      <c r="D67" s="92"/>
      <c r="E67" s="89"/>
      <c r="F67" s="93"/>
      <c r="G67" s="93"/>
      <c r="H67" s="94"/>
      <c r="I67" s="94"/>
      <c r="J67" s="94"/>
      <c r="K67" s="94"/>
      <c r="L67" s="95"/>
      <c r="M67" s="95"/>
      <c r="N67" s="94"/>
      <c r="O67" s="96"/>
      <c r="P67" s="96"/>
      <c r="Q67" s="97"/>
      <c r="R67" s="97"/>
      <c r="S67" s="97"/>
      <c r="T67" s="98"/>
    </row>
    <row r="68" customFormat="false" ht="15" hidden="false" customHeight="false" outlineLevel="0" collapsed="false">
      <c r="B68" s="92"/>
      <c r="C68" s="92"/>
      <c r="D68" s="92"/>
      <c r="E68" s="89"/>
      <c r="F68" s="93"/>
      <c r="G68" s="93"/>
      <c r="H68" s="94"/>
      <c r="I68" s="94"/>
      <c r="J68" s="94"/>
      <c r="K68" s="94"/>
      <c r="L68" s="95"/>
      <c r="M68" s="95"/>
      <c r="N68" s="94"/>
      <c r="O68" s="96"/>
      <c r="P68" s="96"/>
      <c r="Q68" s="97"/>
      <c r="R68" s="97"/>
      <c r="S68" s="97"/>
      <c r="T68" s="9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24"/>
    <col collapsed="false" customWidth="true" hidden="false" outlineLevel="0" max="5" min="5" style="0" width="80"/>
  </cols>
  <sheetData>
    <row r="1" customFormat="false" ht="19.7" hidden="false" customHeight="false" outlineLevel="0" collapsed="false">
      <c r="A1" s="26" t="s">
        <v>374</v>
      </c>
    </row>
    <row r="2" customFormat="false" ht="15" hidden="false" customHeight="false" outlineLevel="0" collapsed="false">
      <c r="A2" s="8" t="s">
        <v>375</v>
      </c>
    </row>
    <row r="4" customFormat="false" ht="15" hidden="false" customHeight="false" outlineLevel="0" collapsed="false">
      <c r="B4" s="9" t="s">
        <v>376</v>
      </c>
      <c r="C4" s="9" t="s">
        <v>98</v>
      </c>
      <c r="D4" s="9" t="s">
        <v>377</v>
      </c>
      <c r="E4" s="9" t="s">
        <v>221</v>
      </c>
    </row>
    <row r="5" customFormat="false" ht="15" hidden="false" customHeight="false" outlineLevel="0" collapsed="false">
      <c r="B5" s="79" t="s">
        <v>378</v>
      </c>
      <c r="C5" s="99" t="s">
        <v>379</v>
      </c>
      <c r="D5" s="100" t="s">
        <v>380</v>
      </c>
      <c r="E5" s="8" t="s">
        <v>381</v>
      </c>
    </row>
    <row r="6" customFormat="false" ht="15" hidden="false" customHeight="false" outlineLevel="0" collapsed="false">
      <c r="B6" s="79" t="s">
        <v>382</v>
      </c>
      <c r="C6" s="99" t="s">
        <v>308</v>
      </c>
      <c r="D6" s="100" t="s">
        <v>383</v>
      </c>
      <c r="E6" s="8"/>
    </row>
    <row r="7" customFormat="false" ht="15" hidden="false" customHeight="false" outlineLevel="0" collapsed="false">
      <c r="B7" s="79" t="s">
        <v>384</v>
      </c>
      <c r="C7" s="88" t="n">
        <v>46272</v>
      </c>
      <c r="D7" s="100" t="s">
        <v>385</v>
      </c>
      <c r="E7" s="8" t="s">
        <v>386</v>
      </c>
    </row>
    <row r="8" customFormat="false" ht="15" hidden="false" customHeight="false" outlineLevel="0" collapsed="false">
      <c r="B8" s="79" t="s">
        <v>387</v>
      </c>
      <c r="C8" s="25" t="n">
        <f aca="false">MAX(1,N(ProjectStartDate))</f>
        <v>46272</v>
      </c>
      <c r="D8" s="100" t="s">
        <v>388</v>
      </c>
      <c r="E8" s="8" t="s">
        <v>389</v>
      </c>
    </row>
    <row r="9" customFormat="false" ht="15" hidden="false" customHeight="false" outlineLevel="0" collapsed="false">
      <c r="B9" s="79" t="s">
        <v>390</v>
      </c>
      <c r="C9" s="88" t="n">
        <v>46320</v>
      </c>
      <c r="D9" s="100" t="s">
        <v>391</v>
      </c>
      <c r="E9" s="8" t="s">
        <v>392</v>
      </c>
    </row>
    <row r="10" customFormat="false" ht="15" hidden="false" customHeight="false" outlineLevel="0" collapsed="false">
      <c r="B10" s="79" t="s">
        <v>393</v>
      </c>
      <c r="C10" s="25" t="n">
        <f aca="false">IF(N(StatusDateInput)&gt;0,StatusDateInput,ProjectStart)</f>
        <v>46320</v>
      </c>
      <c r="D10" s="100" t="s">
        <v>394</v>
      </c>
      <c r="E10" s="8" t="s">
        <v>395</v>
      </c>
    </row>
    <row r="11" customFormat="false" ht="15" hidden="false" customHeight="false" outlineLevel="0" collapsed="false">
      <c r="B11" s="79" t="s">
        <v>396</v>
      </c>
      <c r="C11" s="25" t="n">
        <f aca="false">WORKDAY.INTL(StatusDate-1,1,WorkWeek,Holidays)</f>
        <v>46321</v>
      </c>
      <c r="D11" s="100" t="s">
        <v>397</v>
      </c>
      <c r="E11" s="8"/>
    </row>
    <row r="12" customFormat="false" ht="15" hidden="false" customHeight="false" outlineLevel="0" collapsed="false">
      <c r="B12" s="79" t="s">
        <v>398</v>
      </c>
      <c r="C12" s="99" t="s">
        <v>399</v>
      </c>
      <c r="D12" s="100" t="s">
        <v>400</v>
      </c>
      <c r="E12" s="8" t="s">
        <v>401</v>
      </c>
    </row>
    <row r="13" customFormat="false" ht="15" hidden="false" customHeight="false" outlineLevel="0" collapsed="false">
      <c r="B13" s="79" t="s">
        <v>402</v>
      </c>
      <c r="C13" s="101" t="n">
        <v>8</v>
      </c>
      <c r="D13" s="100" t="s">
        <v>403</v>
      </c>
      <c r="E13" s="8" t="s">
        <v>404</v>
      </c>
    </row>
    <row r="14" customFormat="false" ht="15" hidden="false" customHeight="false" outlineLevel="0" collapsed="false">
      <c r="B14" s="79" t="s">
        <v>405</v>
      </c>
      <c r="C14" s="102" t="n">
        <v>1</v>
      </c>
      <c r="D14" s="100" t="s">
        <v>406</v>
      </c>
      <c r="E14" s="8" t="s">
        <v>407</v>
      </c>
    </row>
    <row r="15" customFormat="false" ht="15" hidden="false" customHeight="false" outlineLevel="0" collapsed="false">
      <c r="B15" s="79" t="s">
        <v>408</v>
      </c>
      <c r="C15" s="99" t="s">
        <v>399</v>
      </c>
      <c r="D15" s="100" t="s">
        <v>409</v>
      </c>
      <c r="E15" s="8" t="s">
        <v>410</v>
      </c>
    </row>
    <row r="16" customFormat="false" ht="15" hidden="false" customHeight="false" outlineLevel="0" collapsed="false">
      <c r="B16" s="79" t="s">
        <v>411</v>
      </c>
      <c r="C16" s="99" t="s">
        <v>399</v>
      </c>
      <c r="D16" s="100" t="s">
        <v>412</v>
      </c>
      <c r="E16" s="8"/>
    </row>
    <row r="17" customFormat="false" ht="15" hidden="false" customHeight="false" outlineLevel="0" collapsed="false">
      <c r="B17" s="79" t="s">
        <v>413</v>
      </c>
      <c r="C17" s="99" t="s">
        <v>399</v>
      </c>
      <c r="D17" s="100" t="s">
        <v>414</v>
      </c>
      <c r="E17" s="8"/>
    </row>
    <row r="18" customFormat="false" ht="15" hidden="false" customHeight="false" outlineLevel="0" collapsed="false">
      <c r="B18" s="79" t="s">
        <v>415</v>
      </c>
      <c r="C18" s="99" t="s">
        <v>399</v>
      </c>
      <c r="D18" s="100" t="s">
        <v>416</v>
      </c>
      <c r="E18" s="8"/>
    </row>
    <row r="19" customFormat="false" ht="15" hidden="false" customHeight="false" outlineLevel="0" collapsed="false">
      <c r="B19" s="79" t="s">
        <v>417</v>
      </c>
      <c r="C19" s="99" t="s">
        <v>399</v>
      </c>
      <c r="D19" s="100" t="s">
        <v>418</v>
      </c>
      <c r="E19" s="8"/>
    </row>
    <row r="20" customFormat="false" ht="15" hidden="false" customHeight="false" outlineLevel="0" collapsed="false">
      <c r="B20" s="79" t="s">
        <v>419</v>
      </c>
      <c r="C20" s="99" t="s">
        <v>420</v>
      </c>
      <c r="D20" s="100" t="s">
        <v>421</v>
      </c>
      <c r="E20" s="8"/>
    </row>
    <row r="21" customFormat="false" ht="15" hidden="false" customHeight="false" outlineLevel="0" collapsed="false">
      <c r="B21" s="79" t="s">
        <v>422</v>
      </c>
      <c r="C21" s="99" t="s">
        <v>420</v>
      </c>
      <c r="D21" s="100" t="s">
        <v>423</v>
      </c>
      <c r="E21" s="8"/>
    </row>
    <row r="22" customFormat="false" ht="15" hidden="false" customHeight="false" outlineLevel="0" collapsed="false">
      <c r="B22" s="79" t="s">
        <v>424</v>
      </c>
      <c r="C22" s="103" t="str">
        <f aca="false">IF(WorkMon="Yes","0","1")&amp;IF(WorkTue="Yes","0","1")&amp;IF(WorkWed="Yes","0","1")&amp;IF(WorkThu="Yes","0","1")&amp;IF(WorkFri="Yes","0","1")&amp;IF(WorkSat="Yes","0","1")&amp;IF(WorkSun="Yes","0","1")</f>
        <v>0000011</v>
      </c>
      <c r="D22" s="100" t="s">
        <v>425</v>
      </c>
      <c r="E22" s="8" t="s">
        <v>426</v>
      </c>
    </row>
    <row r="23" customFormat="false" ht="15" hidden="false" customHeight="false" outlineLevel="0" collapsed="false">
      <c r="B23" s="79" t="s">
        <v>427</v>
      </c>
      <c r="C23" s="88" t="n">
        <f aca="false">ProjectStart-WEEKDAY(ProjectStart,3)</f>
        <v>46272</v>
      </c>
      <c r="D23" s="100" t="s">
        <v>428</v>
      </c>
      <c r="E23" s="8" t="s">
        <v>429</v>
      </c>
    </row>
    <row r="24" customFormat="false" ht="15" hidden="false" customHeight="false" outlineLevel="0" collapsed="false">
      <c r="B24" s="79" t="s">
        <v>430</v>
      </c>
      <c r="C24" s="104" t="n">
        <v>1</v>
      </c>
      <c r="D24" s="100" t="s">
        <v>431</v>
      </c>
      <c r="E24" s="8" t="s">
        <v>432</v>
      </c>
    </row>
    <row r="25" customFormat="false" ht="15" hidden="false" customHeight="false" outlineLevel="0" collapsed="false">
      <c r="B25" s="79" t="s">
        <v>433</v>
      </c>
      <c r="C25" s="104" t="n">
        <v>9</v>
      </c>
      <c r="D25" s="100" t="s">
        <v>434</v>
      </c>
      <c r="E25" s="8" t="s">
        <v>435</v>
      </c>
    </row>
    <row r="26" customFormat="false" ht="15" hidden="false" customHeight="false" outlineLevel="0" collapsed="false">
      <c r="B26" s="79" t="s">
        <v>436</v>
      </c>
      <c r="C26" s="105" t="n">
        <f aca="false">DATE(YEAR(ProjectStart),MONTH(ProjectStart),1)</f>
        <v>46266</v>
      </c>
      <c r="D26" s="100" t="s">
        <v>437</v>
      </c>
      <c r="E26" s="8" t="s">
        <v>438</v>
      </c>
    </row>
    <row r="27" customFormat="false" ht="15" hidden="false" customHeight="false" outlineLevel="0" collapsed="false">
      <c r="B27" s="79" t="s">
        <v>439</v>
      </c>
      <c r="C27" s="88" t="n">
        <f aca="false">ProjectStart</f>
        <v>46272</v>
      </c>
      <c r="D27" s="100" t="s">
        <v>440</v>
      </c>
      <c r="E27" s="8" t="s">
        <v>441</v>
      </c>
    </row>
    <row r="28" customFormat="false" ht="15" hidden="false" customHeight="false" outlineLevel="0" collapsed="false">
      <c r="B28" s="79" t="s">
        <v>442</v>
      </c>
      <c r="C28" s="104" t="n">
        <v>14</v>
      </c>
      <c r="D28" s="100" t="s">
        <v>443</v>
      </c>
      <c r="E28" s="8" t="s">
        <v>444</v>
      </c>
    </row>
    <row r="29" customFormat="false" ht="15" hidden="false" customHeight="false" outlineLevel="0" collapsed="false">
      <c r="B29" s="79" t="s">
        <v>445</v>
      </c>
      <c r="C29" s="104" t="n">
        <v>12</v>
      </c>
      <c r="D29" s="100" t="s">
        <v>446</v>
      </c>
      <c r="E29" s="8" t="s">
        <v>447</v>
      </c>
    </row>
    <row r="30" customFormat="false" ht="15" hidden="false" customHeight="false" outlineLevel="0" collapsed="false">
      <c r="B30" s="79" t="s">
        <v>448</v>
      </c>
      <c r="C30" s="99" t="s">
        <v>449</v>
      </c>
      <c r="D30" s="100" t="s">
        <v>450</v>
      </c>
      <c r="E30" s="8" t="s">
        <v>451</v>
      </c>
    </row>
    <row r="31" customFormat="false" ht="15" hidden="false" customHeight="false" outlineLevel="0" collapsed="false">
      <c r="B31" s="79" t="s">
        <v>452</v>
      </c>
      <c r="C31" s="25" t="n">
        <f aca="false">INDEX(spr_End,SprintCount)</f>
        <v>46439</v>
      </c>
      <c r="D31" s="100" t="s">
        <v>453</v>
      </c>
      <c r="E31" s="8"/>
    </row>
    <row r="32" customFormat="false" ht="15" hidden="false" customHeight="false" outlineLevel="0" collapsed="false">
      <c r="B32" s="79" t="s">
        <v>454</v>
      </c>
      <c r="C32" s="103" t="str">
        <f aca="false">IF(OR(StatusDate&lt;Sprint1Start,StatusDate&gt;SprintLastEnd),"",INDEX(spr_Name,MATCH(StatusDate,spr_Start,1)))</f>
        <v>Sprint 4</v>
      </c>
      <c r="D32" s="100" t="s">
        <v>455</v>
      </c>
      <c r="E32" s="8" t="s">
        <v>456</v>
      </c>
    </row>
    <row r="33" customFormat="false" ht="15" hidden="false" customHeight="false" outlineLevel="0" collapsed="false">
      <c r="B33" s="79" t="s">
        <v>457</v>
      </c>
      <c r="C33" s="25" t="n">
        <f aca="false">IF(CurrentSprint="","",INDEX(spr_Start,MATCH(CurrentSprint,spr_Name,0)))</f>
        <v>46314</v>
      </c>
      <c r="D33" s="100" t="s">
        <v>458</v>
      </c>
      <c r="E33" s="8"/>
    </row>
    <row r="34" customFormat="false" ht="15" hidden="false" customHeight="false" outlineLevel="0" collapsed="false">
      <c r="B34" s="79" t="s">
        <v>459</v>
      </c>
      <c r="C34" s="25" t="n">
        <f aca="false">IF(CurrentSprint="","",INDEX(spr_End,MATCH(CurrentSprint,spr_Name,0)))</f>
        <v>46327</v>
      </c>
      <c r="D34" s="100" t="s">
        <v>460</v>
      </c>
      <c r="E34" s="8"/>
    </row>
    <row r="35" customFormat="false" ht="15" hidden="false" customHeight="false" outlineLevel="0" collapsed="false">
      <c r="B35" s="79" t="s">
        <v>461</v>
      </c>
      <c r="C35" s="85" t="n">
        <f aca="false">SUM(tsk_LeafPoints)</f>
        <v>82</v>
      </c>
      <c r="D35" s="100" t="s">
        <v>462</v>
      </c>
      <c r="E35" s="8" t="s">
        <v>463</v>
      </c>
    </row>
    <row r="36" customFormat="false" ht="15" hidden="false" customHeight="false" outlineLevel="0" collapsed="false">
      <c r="B36" s="79" t="s">
        <v>464</v>
      </c>
      <c r="C36" s="104" t="n">
        <v>0</v>
      </c>
      <c r="D36" s="100" t="s">
        <v>465</v>
      </c>
      <c r="E36" s="8" t="s">
        <v>466</v>
      </c>
    </row>
    <row r="37" customFormat="false" ht="15" hidden="false" customHeight="false" outlineLevel="0" collapsed="false">
      <c r="B37" s="79" t="s">
        <v>467</v>
      </c>
      <c r="C37" s="25" t="n">
        <f aca="false">MAX(tsk_LeafFcstFinish)</f>
        <v>46393</v>
      </c>
      <c r="D37" s="100" t="s">
        <v>468</v>
      </c>
      <c r="E37" s="8" t="s">
        <v>469</v>
      </c>
    </row>
    <row r="38" customFormat="false" ht="15" hidden="false" customHeight="false" outlineLevel="0" collapsed="false">
      <c r="B38" s="79" t="s">
        <v>470</v>
      </c>
      <c r="C38" s="25" t="n">
        <f aca="false">MAX(tsk_PlanFinish)</f>
        <v>46393</v>
      </c>
      <c r="D38" s="100" t="s">
        <v>471</v>
      </c>
      <c r="E38" s="8" t="s">
        <v>472</v>
      </c>
    </row>
    <row r="39" customFormat="false" ht="15" hidden="false" customHeight="false" outlineLevel="0" collapsed="false">
      <c r="B39" s="79" t="s">
        <v>473</v>
      </c>
      <c r="C39" s="106" t="n">
        <f aca="false">IF(ProjectFinish&gt;=PlannedFinish,NETWORKDAYS.INTL(PlannedFinish,ProjectFinish,WorkWeek,Holidays)-1,1-NETWORKDAYS.INTL(ProjectFinish,PlannedFinish,WorkWeek,Holidays))</f>
        <v>0</v>
      </c>
      <c r="D39" s="100" t="s">
        <v>474</v>
      </c>
      <c r="E39" s="8" t="s">
        <v>475</v>
      </c>
    </row>
    <row r="40" customFormat="false" ht="15" hidden="false" customHeight="false" outlineLevel="0" collapsed="false">
      <c r="B40" s="79" t="s">
        <v>476</v>
      </c>
      <c r="C40" s="104" t="n">
        <v>10</v>
      </c>
      <c r="D40" s="100" t="s">
        <v>477</v>
      </c>
      <c r="E40" s="8" t="s">
        <v>478</v>
      </c>
    </row>
    <row r="41" customFormat="false" ht="15" hidden="false" customHeight="false" outlineLevel="0" collapsed="false">
      <c r="B41" s="79" t="s">
        <v>479</v>
      </c>
      <c r="C41" s="25" t="n">
        <f aca="false">WORKDAY.INTL(StatusDate-1,LookaheadDays,WorkWeek,Holidays)</f>
        <v>46332</v>
      </c>
      <c r="D41" s="100" t="s">
        <v>480</v>
      </c>
      <c r="E41" s="8"/>
    </row>
    <row r="42" customFormat="false" ht="15" hidden="false" customHeight="false" outlineLevel="0" collapsed="false">
      <c r="B42" s="79" t="s">
        <v>481</v>
      </c>
      <c r="C42" s="104" t="n">
        <v>3</v>
      </c>
      <c r="D42" s="100" t="s">
        <v>482</v>
      </c>
      <c r="E42" s="8" t="s">
        <v>483</v>
      </c>
    </row>
    <row r="43" customFormat="false" ht="15" hidden="false" customHeight="false" outlineLevel="0" collapsed="false">
      <c r="B43" s="79" t="s">
        <v>484</v>
      </c>
      <c r="C43" s="104" t="n">
        <v>10</v>
      </c>
      <c r="D43" s="100" t="s">
        <v>485</v>
      </c>
      <c r="E43" s="8"/>
    </row>
    <row r="44" customFormat="false" ht="15" hidden="false" customHeight="false" outlineLevel="0" collapsed="false">
      <c r="B44" s="79" t="s">
        <v>486</v>
      </c>
      <c r="C44" s="107" t="n">
        <v>0.95</v>
      </c>
      <c r="D44" s="100" t="s">
        <v>487</v>
      </c>
      <c r="E44" s="8" t="s">
        <v>488</v>
      </c>
    </row>
    <row r="45" customFormat="false" ht="15" hidden="false" customHeight="false" outlineLevel="0" collapsed="false">
      <c r="B45" s="79" t="s">
        <v>489</v>
      </c>
      <c r="C45" s="107" t="n">
        <v>0.85</v>
      </c>
      <c r="D45" s="100" t="s">
        <v>490</v>
      </c>
      <c r="E45" s="8"/>
    </row>
    <row r="46" customFormat="false" ht="15" hidden="false" customHeight="false" outlineLevel="0" collapsed="false">
      <c r="B46" s="79" t="s">
        <v>491</v>
      </c>
      <c r="C46" s="104" t="n">
        <v>15</v>
      </c>
      <c r="D46" s="100" t="s">
        <v>492</v>
      </c>
      <c r="E46" s="8" t="s">
        <v>493</v>
      </c>
    </row>
    <row r="47" customFormat="false" ht="15" hidden="false" customHeight="false" outlineLevel="0" collapsed="false">
      <c r="B47" s="79" t="s">
        <v>494</v>
      </c>
      <c r="C47" s="104" t="n">
        <v>8</v>
      </c>
      <c r="D47" s="100" t="s">
        <v>495</v>
      </c>
      <c r="E47" s="8"/>
    </row>
    <row r="48" customFormat="false" ht="15" hidden="false" customHeight="false" outlineLevel="0" collapsed="false">
      <c r="B48" s="79" t="s">
        <v>496</v>
      </c>
      <c r="C48" s="88" t="n">
        <f aca="false">MAX(2,StatusDate-WEEKDAY(StatusDate,3)-14)</f>
        <v>46300</v>
      </c>
      <c r="D48" s="100" t="s">
        <v>497</v>
      </c>
      <c r="E48" s="8" t="s">
        <v>498</v>
      </c>
    </row>
    <row r="49" customFormat="false" ht="15" hidden="false" customHeight="false" outlineLevel="0" collapsed="false">
      <c r="B49" s="79" t="s">
        <v>499</v>
      </c>
      <c r="C49" s="108" t="n">
        <f aca="false">MAX(tsk_UID)+1</f>
        <v>201</v>
      </c>
      <c r="D49" s="100" t="s">
        <v>500</v>
      </c>
      <c r="E49" s="8" t="s">
        <v>501</v>
      </c>
    </row>
  </sheetData>
  <conditionalFormatting sqref="C7">
    <cfRule type="expression" priority="2" aboveAverage="0" equalAverage="0" bottom="0" percent="0" rank="0" text="" dxfId="40">
      <formula>N(C7)=0</formula>
    </cfRule>
  </conditionalFormatting>
  <conditionalFormatting sqref="C9">
    <cfRule type="expression" priority="3" aboveAverage="0" equalAverage="0" bottom="0" percent="0" rank="0" text="" dxfId="40">
      <formula>N(C9)=0</formula>
    </cfRule>
  </conditionalFormatting>
  <dataValidations count="4">
    <dataValidation allowBlank="false" errorStyle="stop" operator="between" showDropDown="false" showErrorMessage="false" showInputMessage="false" sqref="C12 C15:C21" type="list">
      <formula1>L_YesNo</formula1>
      <formula2>0</formula2>
    </dataValidation>
    <dataValidation allowBlank="false" errorStyle="stop" operator="between" showDropDown="false" showErrorMessage="false" showInputMessage="false" sqref="C24" type="list">
      <formula1>L_Period</formula1>
      <formula2>0</formula2>
    </dataValidation>
    <dataValidation allowBlank="false" errorStyle="stop" operator="between" showDropDown="false" showErrorMessage="false" showInputMessage="false" sqref="C25" type="whole">
      <formula1>1</formula1>
      <formula2>9</formula2>
    </dataValidation>
    <dataValidation allowBlank="false" errorStyle="stop" operator="between" showDropDown="false" showErrorMessage="false" showInputMessage="false" sqref="C29" type="whole">
      <formula1>1</formula1>
      <formula2>26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EV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2" outlineLevelCol="1"/>
  <cols>
    <col collapsed="false" customWidth="true" hidden="false" outlineLevel="0" max="1" min="1" style="0" width="5"/>
    <col collapsed="false" customWidth="true" hidden="false" outlineLevel="0" max="2" min="2" style="0" width="6"/>
    <col collapsed="false" customWidth="true" hidden="false" outlineLevel="0" max="3" min="3" style="0" width="8"/>
    <col collapsed="false" customWidth="true" hidden="false" outlineLevel="0" max="5" min="4" style="0" width="6"/>
    <col collapsed="false" customWidth="true" hidden="false" outlineLevel="0" max="6" min="6" style="0" width="36"/>
    <col collapsed="false" customWidth="true" hidden="false" outlineLevel="0" max="7" min="7" style="0" width="8"/>
    <col collapsed="false" customWidth="true" hidden="false" outlineLevel="0" max="8" min="8" style="0" width="9"/>
    <col collapsed="false" customWidth="true" hidden="false" outlineLevel="0" max="9" min="9" style="0" width="7"/>
    <col collapsed="false" customWidth="true" hidden="false" outlineLevel="0" max="11" min="10" style="0" width="6"/>
    <col collapsed="false" customWidth="true" hidden="false" outlineLevel="0" max="12" min="12" style="0" width="7"/>
    <col collapsed="false" customWidth="true" hidden="false" outlineLevel="0" max="14" min="13" style="0" width="6"/>
    <col collapsed="false" customWidth="true" hidden="false" outlineLevel="0" max="15" min="15" style="0" width="7"/>
    <col collapsed="false" customWidth="true" hidden="false" outlineLevel="0" max="17" min="16" style="0" width="6"/>
    <col collapsed="false" customWidth="true" hidden="false" outlineLevel="0" max="18" min="18" style="0" width="7"/>
    <col collapsed="false" customWidth="true" hidden="false" outlineLevel="0" max="20" min="19" style="0" width="6"/>
    <col collapsed="false" customWidth="true" hidden="false" outlineLevel="0" max="21" min="21" style="0" width="20"/>
    <col collapsed="false" customWidth="true" hidden="false" outlineLevel="0" max="29" min="22" style="0" width="15"/>
    <col collapsed="false" customWidth="true" hidden="false" outlineLevel="0" max="31" min="30" style="0" width="8"/>
    <col collapsed="false" customWidth="true" hidden="false" outlineLevel="0" max="33" min="32" style="0" width="15"/>
    <col collapsed="false" customWidth="true" hidden="false" outlineLevel="0" max="36" min="34" style="0" width="8"/>
    <col collapsed="false" customWidth="true" hidden="false" outlineLevel="0" max="37" min="37" style="0" width="12"/>
    <col collapsed="false" customWidth="true" hidden="false" outlineLevel="0" max="38" min="38" style="0" width="24"/>
    <col collapsed="false" customWidth="true" hidden="false" outlineLevel="0" max="40" min="39" style="0" width="9"/>
    <col collapsed="false" customWidth="true" hidden="false" outlineLevel="0" max="41" min="41" style="0" width="12"/>
    <col collapsed="false" customWidth="true" hidden="false" outlineLevel="0" max="42" min="42" style="0" width="16"/>
    <col collapsed="false" customWidth="true" hidden="false" outlineLevel="0" max="43" min="43" style="0" width="7"/>
    <col collapsed="false" customWidth="true" hidden="false" outlineLevel="0" max="44" min="44" style="0" width="22"/>
    <col collapsed="false" customWidth="true" hidden="false" outlineLevel="0" max="46" min="45" style="0" width="9"/>
    <col collapsed="false" customWidth="true" hidden="false" outlineLevel="0" max="49" min="47" style="0" width="11"/>
    <col collapsed="false" customWidth="true" hidden="false" outlineLevel="0" max="50" min="50" style="0" width="10"/>
    <col collapsed="false" customWidth="true" hidden="false" outlineLevel="0" max="51" min="51" style="0" width="8"/>
    <col collapsed="false" customWidth="true" hidden="false" outlineLevel="0" max="52" min="52" style="0" width="14"/>
    <col collapsed="false" customWidth="true" hidden="false" outlineLevel="0" max="53" min="53" style="0" width="40"/>
    <col collapsed="false" customWidth="true" hidden="false" outlineLevel="0" max="55" min="54" style="0" width="15"/>
    <col collapsed="false" customWidth="true" hidden="false" outlineLevel="0" max="57" min="56" style="0" width="9"/>
    <col collapsed="false" customWidth="true" hidden="false" outlineLevel="0" max="58" min="58" style="0" width="11"/>
    <col collapsed="false" customWidth="true" hidden="false" outlineLevel="0" max="60" min="59" style="0" width="15"/>
    <col collapsed="false" customWidth="true" hidden="false" outlineLevel="0" max="62" min="61" style="0" width="9"/>
    <col collapsed="false" customWidth="true" hidden="false" outlineLevel="0" max="63" min="63" style="0" width="11"/>
    <col collapsed="false" customWidth="true" hidden="false" outlineLevel="0" max="65" min="64" style="0" width="9"/>
    <col collapsed="false" customWidth="true" hidden="false" outlineLevel="0" max="70" min="66" style="0" width="11"/>
    <col collapsed="false" customWidth="true" hidden="true" outlineLevel="1" max="152" min="71" style="0" width="11"/>
  </cols>
  <sheetData>
    <row r="1" customFormat="false" ht="19.7" hidden="false" customHeight="false" outlineLevel="0" collapsed="false">
      <c r="A1" s="26" t="str">
        <f aca="false">ProjectName&amp;"  -  Task Entry"</f>
        <v>Customer Portal Implementation  -  Task Entry</v>
      </c>
    </row>
    <row r="2" customFormat="false" ht="15" hidden="false" customHeight="false" outlineLevel="0" collapsed="false">
      <c r="A2" s="8" t="s">
        <v>502</v>
      </c>
    </row>
    <row r="3" customFormat="false" ht="15" hidden="false" customHeight="false" outlineLevel="0" collapsed="false">
      <c r="A3" s="30" t="str">
        <f aca="false">"Next free UID for a new row: "&amp;NextFreeUID</f>
        <v>Next free UID for a new row: 201</v>
      </c>
    </row>
    <row r="4" customFormat="false" ht="15" hidden="false" customHeight="false" outlineLevel="0" collapsed="false">
      <c r="A4" s="30" t="s">
        <v>503</v>
      </c>
      <c r="G4" s="30" t="s">
        <v>504</v>
      </c>
      <c r="X4" s="30" t="s">
        <v>505</v>
      </c>
      <c r="AD4" s="30" t="s">
        <v>506</v>
      </c>
      <c r="AF4" s="30" t="s">
        <v>507</v>
      </c>
      <c r="AK4" s="30" t="s">
        <v>508</v>
      </c>
      <c r="AM4" s="30" t="s">
        <v>509</v>
      </c>
      <c r="AP4" s="30" t="s">
        <v>510</v>
      </c>
      <c r="BB4" s="30" t="s">
        <v>511</v>
      </c>
      <c r="BL4" s="30" t="s">
        <v>512</v>
      </c>
      <c r="BO4" s="30" t="s">
        <v>513</v>
      </c>
      <c r="BS4" s="30" t="s">
        <v>514</v>
      </c>
    </row>
    <row r="5" customFormat="false" ht="42" hidden="false" customHeight="true" outlineLevel="0" collapsed="false">
      <c r="A5" s="9" t="s">
        <v>515</v>
      </c>
      <c r="B5" s="44" t="s">
        <v>516</v>
      </c>
      <c r="C5" s="9" t="s">
        <v>132</v>
      </c>
      <c r="D5" s="44" t="s">
        <v>517</v>
      </c>
      <c r="E5" s="9" t="s">
        <v>518</v>
      </c>
      <c r="F5" s="44" t="s">
        <v>519</v>
      </c>
      <c r="G5" s="44" t="s">
        <v>59</v>
      </c>
      <c r="H5" s="44" t="s">
        <v>239</v>
      </c>
      <c r="I5" s="44" t="s">
        <v>520</v>
      </c>
      <c r="J5" s="44" t="s">
        <v>521</v>
      </c>
      <c r="K5" s="44" t="s">
        <v>522</v>
      </c>
      <c r="L5" s="44" t="s">
        <v>523</v>
      </c>
      <c r="M5" s="44" t="s">
        <v>524</v>
      </c>
      <c r="N5" s="44" t="s">
        <v>525</v>
      </c>
      <c r="O5" s="44" t="s">
        <v>526</v>
      </c>
      <c r="P5" s="44" t="s">
        <v>527</v>
      </c>
      <c r="Q5" s="44" t="s">
        <v>528</v>
      </c>
      <c r="R5" s="44" t="s">
        <v>529</v>
      </c>
      <c r="S5" s="44" t="s">
        <v>530</v>
      </c>
      <c r="T5" s="44" t="s">
        <v>531</v>
      </c>
      <c r="U5" s="44" t="s">
        <v>532</v>
      </c>
      <c r="V5" s="44" t="s">
        <v>533</v>
      </c>
      <c r="W5" s="44" t="s">
        <v>142</v>
      </c>
      <c r="X5" s="9" t="s">
        <v>134</v>
      </c>
      <c r="Y5" s="9" t="s">
        <v>135</v>
      </c>
      <c r="Z5" s="44" t="s">
        <v>534</v>
      </c>
      <c r="AA5" s="44" t="s">
        <v>535</v>
      </c>
      <c r="AB5" s="9" t="s">
        <v>238</v>
      </c>
      <c r="AC5" s="9" t="s">
        <v>228</v>
      </c>
      <c r="AD5" s="9" t="s">
        <v>536</v>
      </c>
      <c r="AE5" s="9" t="s">
        <v>139</v>
      </c>
      <c r="AF5" s="9" t="s">
        <v>108</v>
      </c>
      <c r="AG5" s="9" t="s">
        <v>537</v>
      </c>
      <c r="AH5" s="9" t="s">
        <v>240</v>
      </c>
      <c r="AI5" s="9" t="s">
        <v>538</v>
      </c>
      <c r="AJ5" s="9" t="s">
        <v>237</v>
      </c>
      <c r="AK5" s="9" t="s">
        <v>144</v>
      </c>
      <c r="AL5" s="9" t="s">
        <v>539</v>
      </c>
      <c r="AM5" s="44" t="s">
        <v>540</v>
      </c>
      <c r="AN5" s="9" t="s">
        <v>138</v>
      </c>
      <c r="AO5" s="9" t="s">
        <v>99</v>
      </c>
      <c r="AP5" s="44" t="s">
        <v>236</v>
      </c>
      <c r="AQ5" s="44" t="s">
        <v>541</v>
      </c>
      <c r="AR5" s="9" t="s">
        <v>542</v>
      </c>
      <c r="AS5" s="9" t="s">
        <v>543</v>
      </c>
      <c r="AT5" s="9" t="s">
        <v>244</v>
      </c>
      <c r="AU5" s="9" t="s">
        <v>247</v>
      </c>
      <c r="AV5" s="44" t="s">
        <v>248</v>
      </c>
      <c r="AW5" s="44" t="s">
        <v>544</v>
      </c>
      <c r="AX5" s="9" t="s">
        <v>545</v>
      </c>
      <c r="AY5" s="44" t="s">
        <v>276</v>
      </c>
      <c r="AZ5" s="9" t="s">
        <v>57</v>
      </c>
      <c r="BA5" s="44" t="s">
        <v>221</v>
      </c>
      <c r="BB5" s="9" t="s">
        <v>546</v>
      </c>
      <c r="BC5" s="9" t="s">
        <v>547</v>
      </c>
      <c r="BD5" s="9" t="s">
        <v>548</v>
      </c>
      <c r="BE5" s="9" t="s">
        <v>549</v>
      </c>
      <c r="BF5" s="9" t="s">
        <v>550</v>
      </c>
      <c r="BG5" s="44" t="s">
        <v>551</v>
      </c>
      <c r="BH5" s="44" t="s">
        <v>552</v>
      </c>
      <c r="BI5" s="44" t="s">
        <v>553</v>
      </c>
      <c r="BJ5" s="44" t="s">
        <v>554</v>
      </c>
      <c r="BK5" s="44" t="s">
        <v>555</v>
      </c>
      <c r="BL5" s="9" t="s">
        <v>556</v>
      </c>
      <c r="BM5" s="9" t="s">
        <v>557</v>
      </c>
      <c r="BN5" s="9" t="s">
        <v>558</v>
      </c>
      <c r="BO5" s="9" t="s">
        <v>229</v>
      </c>
      <c r="BP5" s="9" t="s">
        <v>230</v>
      </c>
      <c r="BQ5" s="9" t="s">
        <v>231</v>
      </c>
      <c r="BR5" s="9" t="s">
        <v>232</v>
      </c>
      <c r="BS5" s="31" t="s">
        <v>559</v>
      </c>
      <c r="BT5" s="31" t="s">
        <v>560</v>
      </c>
      <c r="BU5" s="31" t="s">
        <v>561</v>
      </c>
      <c r="BV5" s="31" t="s">
        <v>562</v>
      </c>
      <c r="BW5" s="31" t="s">
        <v>563</v>
      </c>
      <c r="BX5" s="31" t="s">
        <v>564</v>
      </c>
      <c r="BY5" s="31" t="s">
        <v>565</v>
      </c>
      <c r="BZ5" s="31" t="s">
        <v>566</v>
      </c>
      <c r="CA5" s="31" t="s">
        <v>567</v>
      </c>
      <c r="CB5" s="31" t="s">
        <v>568</v>
      </c>
      <c r="CC5" s="31" t="s">
        <v>569</v>
      </c>
      <c r="CD5" s="31" t="s">
        <v>570</v>
      </c>
      <c r="CE5" s="31" t="s">
        <v>571</v>
      </c>
      <c r="CF5" s="31" t="s">
        <v>572</v>
      </c>
      <c r="CG5" s="31" t="s">
        <v>573</v>
      </c>
      <c r="CH5" s="31" t="s">
        <v>574</v>
      </c>
      <c r="CI5" s="31" t="s">
        <v>575</v>
      </c>
      <c r="CJ5" s="31" t="s">
        <v>576</v>
      </c>
      <c r="CK5" s="31" t="s">
        <v>577</v>
      </c>
      <c r="CL5" s="31" t="s">
        <v>578</v>
      </c>
      <c r="CM5" s="31" t="s">
        <v>579</v>
      </c>
      <c r="CN5" s="31" t="s">
        <v>580</v>
      </c>
      <c r="CO5" s="31" t="s">
        <v>581</v>
      </c>
      <c r="CP5" s="31" t="s">
        <v>582</v>
      </c>
      <c r="CQ5" s="31" t="s">
        <v>583</v>
      </c>
      <c r="CR5" s="31" t="s">
        <v>584</v>
      </c>
      <c r="CS5" s="31" t="s">
        <v>585</v>
      </c>
      <c r="CT5" s="31" t="s">
        <v>586</v>
      </c>
      <c r="CU5" s="31" t="s">
        <v>587</v>
      </c>
      <c r="CV5" s="31" t="s">
        <v>588</v>
      </c>
      <c r="CW5" s="31" t="s">
        <v>589</v>
      </c>
      <c r="CX5" s="31" t="s">
        <v>590</v>
      </c>
      <c r="CY5" s="31" t="s">
        <v>591</v>
      </c>
      <c r="CZ5" s="31" t="s">
        <v>592</v>
      </c>
      <c r="DA5" s="31" t="s">
        <v>593</v>
      </c>
      <c r="DB5" s="31" t="s">
        <v>594</v>
      </c>
      <c r="DC5" s="31" t="s">
        <v>595</v>
      </c>
      <c r="DD5" s="31" t="s">
        <v>596</v>
      </c>
      <c r="DE5" s="31" t="s">
        <v>597</v>
      </c>
      <c r="DF5" s="31" t="s">
        <v>598</v>
      </c>
      <c r="DG5" s="31" t="s">
        <v>599</v>
      </c>
      <c r="DH5" s="31" t="s">
        <v>600</v>
      </c>
      <c r="DI5" s="31" t="s">
        <v>601</v>
      </c>
      <c r="DJ5" s="31" t="s">
        <v>602</v>
      </c>
      <c r="DK5" s="31" t="s">
        <v>603</v>
      </c>
      <c r="DL5" s="31" t="s">
        <v>604</v>
      </c>
      <c r="DM5" s="31" t="s">
        <v>605</v>
      </c>
      <c r="DN5" s="31" t="s">
        <v>606</v>
      </c>
      <c r="DO5" s="31" t="s">
        <v>607</v>
      </c>
      <c r="DP5" s="31" t="s">
        <v>608</v>
      </c>
      <c r="DQ5" s="31" t="s">
        <v>609</v>
      </c>
      <c r="DR5" s="31" t="s">
        <v>610</v>
      </c>
      <c r="DS5" s="31" t="s">
        <v>611</v>
      </c>
      <c r="DT5" s="31" t="s">
        <v>612</v>
      </c>
      <c r="DU5" s="31" t="s">
        <v>613</v>
      </c>
      <c r="DV5" s="31" t="s">
        <v>614</v>
      </c>
      <c r="DW5" s="31" t="s">
        <v>615</v>
      </c>
      <c r="DX5" s="31" t="s">
        <v>616</v>
      </c>
      <c r="DY5" s="31" t="s">
        <v>617</v>
      </c>
      <c r="DZ5" s="31" t="s">
        <v>618</v>
      </c>
      <c r="EA5" s="31" t="s">
        <v>619</v>
      </c>
      <c r="EB5" s="31" t="s">
        <v>620</v>
      </c>
      <c r="EC5" s="31" t="s">
        <v>621</v>
      </c>
      <c r="ED5" s="31" t="s">
        <v>622</v>
      </c>
      <c r="EE5" s="31" t="s">
        <v>623</v>
      </c>
      <c r="EF5" s="31" t="s">
        <v>624</v>
      </c>
      <c r="EG5" s="31" t="s">
        <v>625</v>
      </c>
      <c r="EH5" s="31" t="s">
        <v>626</v>
      </c>
      <c r="EI5" s="31" t="s">
        <v>627</v>
      </c>
      <c r="EJ5" s="31" t="s">
        <v>628</v>
      </c>
      <c r="EK5" s="31" t="s">
        <v>629</v>
      </c>
      <c r="EL5" s="31" t="s">
        <v>630</v>
      </c>
      <c r="EM5" s="31" t="s">
        <v>631</v>
      </c>
      <c r="EN5" s="31" t="s">
        <v>632</v>
      </c>
      <c r="EO5" s="31" t="s">
        <v>633</v>
      </c>
      <c r="EP5" s="31" t="s">
        <v>634</v>
      </c>
      <c r="EQ5" s="31" t="s">
        <v>635</v>
      </c>
      <c r="ER5" s="31" t="s">
        <v>636</v>
      </c>
      <c r="ES5" s="31" t="s">
        <v>637</v>
      </c>
      <c r="ET5" s="31" t="s">
        <v>638</v>
      </c>
      <c r="EU5" s="31" t="s">
        <v>639</v>
      </c>
      <c r="EV5" s="31" t="s">
        <v>640</v>
      </c>
    </row>
    <row r="6" customFormat="false" ht="15" hidden="false" customHeight="false" outlineLevel="0" collapsed="false">
      <c r="A6" s="45" t="n">
        <f aca="false">IF(Tasks[[#This Row],[Task Name]]="","",COUNTA(Tasks[[#Headers],[Task Name]]:Tasks[[#This Row],[Task Name]])-1)</f>
        <v>1</v>
      </c>
      <c r="B6" s="46" t="n">
        <v>1</v>
      </c>
      <c r="C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v>
      </c>
      <c r="D6" s="46" t="n">
        <v>1</v>
      </c>
      <c r="E6" s="45" t="str">
        <f aca="false">IF(Tasks[[#This Row],[Task Name]]="","",IF(Tasks[[#This Row],[_Level]]&lt;=OutlineShowLevel,"Yes","No"))</f>
        <v>Yes</v>
      </c>
      <c r="F6" s="47" t="s">
        <v>641</v>
      </c>
      <c r="G6" s="46" t="s">
        <v>642</v>
      </c>
      <c r="H6" s="46"/>
      <c r="I6" s="46"/>
      <c r="J6" s="46"/>
      <c r="K6" s="46"/>
      <c r="L6" s="46"/>
      <c r="M6" s="46"/>
      <c r="N6" s="46"/>
      <c r="O6" s="46"/>
      <c r="P6" s="46"/>
      <c r="Q6" s="46"/>
      <c r="R6" s="46"/>
      <c r="S6" s="46"/>
      <c r="T6" s="46"/>
      <c r="U6" s="47"/>
      <c r="V6" s="88"/>
      <c r="W6" s="88"/>
      <c r="X6" s="25" t="n">
        <f aca="false">IF(Tasks[[#This Row],[Task Name]]="","",IF(N(Tasks[[#This Row],[Baseline Start]])&gt;0,Tasks[[#This Row],[Baseline Start]],Tasks[[#This Row],[_CalcStart]]))</f>
        <v>46272</v>
      </c>
      <c r="Y6" s="25" t="n">
        <f aca="false">IF(Tasks[[#This Row],[Task Name]]="","",IF(N(Tasks[[#This Row],[Baseline Finish]])&gt;0,Tasks[[#This Row],[Baseline Finish]],Tasks[[#This Row],[_CalcFinish]]))</f>
        <v>46276</v>
      </c>
      <c r="Z6" s="88"/>
      <c r="AA6" s="88"/>
      <c r="AB6" s="25" t="n">
        <f aca="false">IF(Tasks[[#This Row],[Task Name]]="","",IF(Tasks[[#This Row],[_IsSummary]],MIN(INDEX(Tasks[_ShownFcstStart],Tasks[[#This Row],[_Row]]+1):INDEX(Tasks[_ShownFcstStart],Tasks[[#This Row],[_Row]]+Tasks[[#This Row],[_Descendants]])),Tasks[[#This Row],[_ShownFcstStart]]))</f>
        <v>46272</v>
      </c>
      <c r="AC6" s="25" t="n">
        <f aca="false">IF(Tasks[[#This Row],[Task Name]]="","",IF(Tasks[[#This Row],[_IsSummary]],MAX(INDEX(Tasks[_ShownFcstFinish],Tasks[[#This Row],[_Row]]+1):INDEX(Tasks[_ShownFcstFinish],Tasks[[#This Row],[_Row]]+Tasks[[#This Row],[_Descendants]])),Tasks[[#This Row],[_ShownFcstFinish]]))</f>
        <v>46279</v>
      </c>
      <c r="AD6"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6" s="56" t="n">
        <f aca="false">IF(Tasks[[#This Row],[Task Name]]="","",IF(Tasks[[#This Row],[Forecast Finish]]&gt;=Tasks[[#This Row],[Planned Finish]],NETWORKDAYS.INTL(Tasks[[#This Row],[Planned Finish]],Tasks[[#This Row],[Forecast Finish]],WorkWeek,Holidays)-1,1-NETWORKDAYS.INTL(Tasks[[#This Row],[Forecast Finish]],Tasks[[#This Row],[Planned Finish]],WorkWeek,Holidays)))</f>
        <v>1</v>
      </c>
      <c r="AF6" s="25" t="n">
        <f aca="false">IF(Tasks[[#This Row],[Task Name]]="","",IF(Tasks[[#This Row],[_IsSummary]],MIN(INDEX(Tasks[_LeafLateStart],Tasks[[#This Row],[_Row]]+1):INDEX(Tasks[_LeafLateStart],Tasks[[#This Row],[_Row]]+Tasks[[#This Row],[_Descendants]])),Tasks[[#This Row],[_LeafLateStart]]))</f>
        <v>46279</v>
      </c>
      <c r="AG6" s="25" t="n">
        <f aca="false">IF(Tasks[[#This Row],[Task Name]]="","",IF(Tasks[[#This Row],[_IsSummary]],MAX(INDEX(Tasks[_LeafLateFinish],Tasks[[#This Row],[_Row]]+1):INDEX(Tasks[_LeafLateFinish],Tasks[[#This Row],[_Row]]+Tasks[[#This Row],[_Descendants]])),Tasks[[#This Row],[_LeafLateFinish]]))</f>
        <v>46283</v>
      </c>
      <c r="AH6" s="56" t="n">
        <f aca="false">IF(Tasks[[#This Row],[Task Name]]="","",IF(Tasks[[#This Row],[_IsSummary]],MIN(INDEX(Tasks[_LeafTotalSlack],Tasks[[#This Row],[_Row]]+1):INDEX(Tasks[_LeafTotalSlack],Tasks[[#This Row],[_Row]]+Tasks[[#This Row],[_Descendants]])),Tasks[[#This Row],[_LeafTotalSlack]]))</f>
        <v>4</v>
      </c>
      <c r="AI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 s="45" t="str">
        <f aca="false">IF(Tasks[[#This Row],[Task Name]]="","",IF(IF(Tasks[[#This Row],[_IsSummary]],COUNTIF(INDEX(Tasks[_LeafCritical],Tasks[[#This Row],[_Row]]+1):INDEX(Tasks[_LeafCritical],Tasks[[#This Row],[_Row]]+Tasks[[#This Row],[_Descendants]]),TRUE())&gt;0,Tasks[[#This Row],[_LeafCritical]]),"Yes",""))</f>
        <v/>
      </c>
      <c r="AK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 s="102"/>
      <c r="AN6"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6" s="45" t="str">
        <f aca="false">IF(Tasks[[#This Row],[Task Name]]="","",IF(Tasks[[#This Row],[Progress]]&gt;=1,"Complete",IF(OR(N(Tasks[[#This Row],[Actual Start]])&gt;0,Tasks[[#This Row],[Progress]]&gt;0),IF(Tasks[[#This Row],[Finish Var]]&gt;0,"Behind","In Progress"),IF(Tasks[[#This Row],[Planned Start]]&lt;StatusDate,"Late Start","Not Started"))))</f>
        <v>Complete</v>
      </c>
      <c r="AP6" s="47"/>
      <c r="AQ6" s="102"/>
      <c r="AR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 s="110" t="n">
        <f aca="false">IF(Tasks[[#This Row],[Task Name]]="","",IF(Tasks[[#This Row],[_IsSummary]],SUM(INDEX(Tasks[_LeafTotalWork],Tasks[[#This Row],[_Row]]+1):INDEX(Tasks[_LeafTotalWork],Tasks[[#This Row],[_Row]]+Tasks[[#This Row],[_Descendants]])),Tasks[[#This Row],[_LeafTotalWork]]))</f>
        <v>40</v>
      </c>
      <c r="AU6" s="111" t="n">
        <f aca="false">IF(Tasks[[#This Row],[Task Name]]="","",IF(Tasks[[#This Row],[_IsSummary]],SUM(INDEX(Tasks[_LeafTotalCost],Tasks[[#This Row],[_Row]]+1):INDEX(Tasks[_LeafTotalCost],Tasks[[#This Row],[_Row]]+Tasks[[#This Row],[_Descendants]])),Tasks[[#This Row],[_LeafTotalCost]]))</f>
        <v>3400</v>
      </c>
      <c r="AV6" s="112"/>
      <c r="AW6" s="46"/>
      <c r="AX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 s="96"/>
      <c r="AZ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 s="47" t="s">
        <v>643</v>
      </c>
      <c r="BB6" s="25" t="n">
        <f aca="false">IF(Tasks[[#This Row],[Task Name]]="","",Tasks[[#This Row],[Forecast Start]])</f>
        <v>46272</v>
      </c>
      <c r="BC6" s="25" t="n">
        <f aca="false">IF(Tasks[[#This Row],[Task Name]]="","",Tasks[[#This Row],[Forecast Finish]])</f>
        <v>46279</v>
      </c>
      <c r="BD6" s="45" t="n">
        <f aca="false">IF(Tasks[[#This Row],[Task Name]]="","",IF(Tasks[[#This Row],[_IsSummary]],NETWORKDAYS.INTL(Tasks[[#This Row],[Forecast Start]],Tasks[[#This Row],[Forecast Finish]],WorkWeek,Holidays),N(Tasks[[#This Row],[Duration]])))</f>
        <v>6</v>
      </c>
      <c r="BE6" s="110" t="n">
        <f aca="false">IF(Tasks[[#This Row],[Task Name]]="","",Tasks[[#This Row],[Work]])</f>
        <v>40</v>
      </c>
      <c r="BF6" s="111" t="n">
        <f aca="false">IF(Tasks[[#This Row],[Task Name]]="","",Tasks[[#This Row],[Cost]])</f>
        <v>3400</v>
      </c>
      <c r="BG6" s="88"/>
      <c r="BH6" s="88"/>
      <c r="BI6" s="46"/>
      <c r="BJ6" s="113"/>
      <c r="BK6" s="112"/>
      <c r="BL6" s="45" t="str">
        <f aca="false">IF(OR(Tasks[[#This Row],[Task Name]]="",Tasks[[#This Row],[Baseline Duration]]=""),"",Tasks[[#This Row],[BL Source Duration]]-N(Tasks[[#This Row],[Baseline Duration]]))</f>
        <v/>
      </c>
      <c r="BM6" s="110" t="str">
        <f aca="false">IF(OR(Tasks[[#This Row],[Task Name]]="",Tasks[[#This Row],[Baseline Work]]=""),"",Tasks[[#This Row],[Work]]-N(Tasks[[#This Row],[Baseline Work]]))</f>
        <v/>
      </c>
      <c r="BN6" s="111" t="str">
        <f aca="false">IF(OR(Tasks[[#This Row],[Task Name]]="",Tasks[[#This Row],[Baseline Cost]]=""),"",Tasks[[#This Row],[Cost]]-N(Tasks[[#This Row],[Baseline Cost]]))</f>
        <v/>
      </c>
      <c r="BO6" s="111" t="n">
        <f aca="false">IF(Tasks[[#This Row],[Task Name]]="","",IF(Tasks[[#This Row],[_IsSummary]],SUM(INDEX(Tasks[_LeafBudget],Tasks[[#This Row],[_Row]]+1):INDEX(Tasks[_LeafBudget],Tasks[[#This Row],[_Row]]+Tasks[[#This Row],[_Descendants]])),Tasks[[#This Row],[_LeafBudget]]))</f>
        <v>3400</v>
      </c>
      <c r="BP6" s="111" t="n">
        <f aca="false">IF(Tasks[[#This Row],[Task Name]]="","",IF(Tasks[[#This Row],[_IsSummary]],SUM(INDEX(Tasks[_LeafPV],Tasks[[#This Row],[_Row]]+1):INDEX(Tasks[_LeafPV],Tasks[[#This Row],[_Row]]+Tasks[[#This Row],[_Descendants]])),Tasks[[#This Row],[_LeafPV]]))</f>
        <v>3400</v>
      </c>
      <c r="BQ6" s="111" t="n">
        <f aca="false">IF(Tasks[[#This Row],[Task Name]]="","",IF(Tasks[[#This Row],[_IsSummary]],SUM(INDEX(Tasks[_LeafEV],Tasks[[#This Row],[_Row]]+1):INDEX(Tasks[_LeafEV],Tasks[[#This Row],[_Row]]+Tasks[[#This Row],[_Descendants]])),Tasks[[#This Row],[_LeafEV]]))</f>
        <v>3400</v>
      </c>
      <c r="BR6" s="111" t="n">
        <f aca="false">IF(Tasks[[#This Row],[Task Name]]="","",IF(Tasks[[#This Row],[_IsSummary]],SUM(INDEX(Tasks[_LeafAC],Tasks[[#This Row],[_Row]]+1):INDEX(Tasks[_LeafAC],Tasks[[#This Row],[_Row]]+Tasks[[#This Row],[_Descendants]])),Tasks[[#This Row],[_LeafAC]]))</f>
        <v>4160</v>
      </c>
      <c r="BS6" s="32" t="n">
        <f aca="false">IF(Tasks[[#This Row],[Task Name]]="","",MAX(1,N(Tasks[[#This Row],[Level]])))</f>
        <v>1</v>
      </c>
      <c r="BT6" s="32" t="n">
        <f aca="false">ROW()-ROW(Tasks[[#Headers],[ID]])</f>
        <v>1</v>
      </c>
      <c r="BU6" s="32" t="n">
        <f aca="false">IF(OR(Tasks[[#This Row],[Task Name]]="",Tasks[[#This Row],[_Level]]&lt;=1),0,IFERROR(LOOKUP(2,1/(Tasks[[#Headers],[_Level]]:Tasks[[#This Row],[_Level]]=Tasks[[#This Row],[_Level]]-1),ROW(Tasks[[#Headers],[_Level]]:Tasks[[#This Row],[_Level]])),0))</f>
        <v>0</v>
      </c>
      <c r="BV6" s="32" t="n">
        <f aca="false">IFERROR(N(INDEX(Tasks[_Level],Tasks[[#This Row],[_Row]]+1)),0)</f>
        <v>2</v>
      </c>
      <c r="BW6" s="114" t="b">
        <f aca="false">AND(Tasks[[#This Row],[Task Name]]&lt;&gt;"",Tasks[[#This Row],[_NextLevel]]&gt;Tasks[[#This Row],[_Level]])</f>
        <v>1</v>
      </c>
      <c r="BX6" s="32" t="n">
        <f aca="false">IF(Tasks[[#This Row],[_IsSummary]],COUNTIF(Tasks[WBS],Tasks[[#This Row],[WBS]]&amp;".*"),0)</f>
        <v>3</v>
      </c>
      <c r="BY6" s="32" t="n">
        <f aca="false">IF(AND(Tasks[[#This Row],[Task Name]]&lt;&gt;"",NOT(Tasks[[#This Row],[_IsSummary]])),1,0)</f>
        <v>0</v>
      </c>
      <c r="BZ6" s="32" t="n">
        <f aca="false">IF(N(Tasks[[#This Row],[Pred1 UID]])=0,0,IFERROR(MATCH(Tasks[[#This Row],[Pred1 UID]],Tasks[UID],0),-1))</f>
        <v>0</v>
      </c>
      <c r="CA6" s="32" t="n">
        <f aca="false">IF(N(Tasks[[#This Row],[Pred2 UID]])=0,0,IFERROR(MATCH(Tasks[[#This Row],[Pred2 UID]],Tasks[UID],0),-1))</f>
        <v>0</v>
      </c>
      <c r="CB6" s="32" t="n">
        <f aca="false">IF(N(Tasks[[#This Row],[Pred3 UID]])=0,0,IFERROR(MATCH(Tasks[[#This Row],[Pred3 UID]],Tasks[UID],0),-1))</f>
        <v>0</v>
      </c>
      <c r="CC6" s="32" t="n">
        <f aca="false">IF(N(Tasks[[#This Row],[Pred4 UID]])=0,0,IFERROR(MATCH(Tasks[[#This Row],[Pred4 UID]],Tasks[UID],0),-1))</f>
        <v>0</v>
      </c>
      <c r="CD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 s="115" t="n">
        <f aca="false">IF(OR(Tasks[[#This Row],[_ConstraintCode]]=2,Tasks[[#This Row],[_ConstraintCode]]=3,Tasks[[#This Row],[_ConstraintCode]]=4,Tasks[[#This Row],[_ConstraintCode]]=6),Tasks[[#This Row],[_ConstraintStart]],0)</f>
        <v>0</v>
      </c>
      <c r="CG6" s="115" t="n">
        <f aca="false">IF(OR(Tasks[[#This Row],[_ConstraintCode]]=2,Tasks[[#This Row],[_ConstraintCode]]=3,Tasks[[#This Row],[_ConstraintCode]]=5,Tasks[[#This Row],[_ConstraintCode]]=7),Tasks[[#This Row],[_ConstraintStart]],2958465)</f>
        <v>2958465</v>
      </c>
      <c r="CH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 s="115" t="str">
        <f aca="false">IF(NOT(Tasks[[#This Row],[_IsLeaf]]=1),"",IF(N(Tasks[[#This Row],[Duration]])&lt;=0,Tasks[[#This Row],[_LeafCalcStart]],WORKDAY.INTL(Tasks[[#This Row],[_LeafCalcStart]],Tasks[[#This Row],[Duration]]-1,WorkWeek,Holidays)))</f>
        <v/>
      </c>
      <c r="CJ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 s="32" t="n">
        <f aca="false">IF(NOT(Tasks[[#This Row],[_IsLeaf]]=1),0,IF(N(Tasks[[#This Row],[Actual Finish]])&gt;0,1,MIN(1,N(Tasks[[#This Row],[% Complete]]))))</f>
        <v>0</v>
      </c>
      <c r="CM6" s="32" t="n">
        <f aca="false">IF(OR(NOT(Tasks[[#This Row],[_IsLeaf]]=1),Tasks[[#This Row],[Resource]]=""),0,N(Tasks[[#This Row],[Duration]])*HoursPerDay*IF(Tasks[[#This Row],[Units]]="",DefaultUnits,Tasks[[#This Row],[Units]]))</f>
        <v>0</v>
      </c>
      <c r="CN6" s="32" t="n">
        <f aca="false">IF(Tasks[[#This Row],[_LeafWork]]=0,0,Tasks[[#This Row],[_LeafWork]]*IFERROR(INDEX(res_Rate,MATCH(Tasks[[#This Row],[Resource]],res_Name,0)),0))</f>
        <v>0</v>
      </c>
      <c r="CO6" s="32" t="n">
        <f aca="false">Tasks[[#This Row],[_LeafWork]]+IF(Tasks[[#This Row],[_IsLeaf]]=1,SUMIFS(asg_Work,asg_TaskUID,Tasks[[#This Row],[UID]],asg_Valid,1),0)</f>
        <v>0</v>
      </c>
      <c r="CP6" s="32" t="n">
        <f aca="false">Tasks[[#This Row],[_LeafCost]]+IF(Tasks[[#This Row],[_IsLeaf]]=1,SUMIFS(asg_Cost,asg_TaskUID,Tasks[[#This Row],[UID]],asg_Valid,1),0)</f>
        <v>0</v>
      </c>
      <c r="CQ6" s="32" t="n">
        <f aca="false">IF(Tasks[[#This Row],[_LeafTotalCost]]=0,Tasks[[#This Row],[_LeafAC]],Tasks[[#This Row],[_LeafAC]]*Tasks[[#This Row],[_LeafCost]]/Tasks[[#This Row],[_LeafTotalCost]])</f>
        <v>0</v>
      </c>
      <c r="CR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 s="32" t="n">
        <f aca="false">IF(NOT(Tasks[[#This Row],[_IsLeaf]]=1),0,MAX(_xlfn.MAXIFS(Tasks[_Row],Tasks[Pred1 UID],Tasks[[#This Row],[UID]]),_xlfn.MAXIFS(Tasks[_Row],Tasks[Pred2 UID],Tasks[[#This Row],[UID]]),_xlfn.MAXIFS(Tasks[_Row],Tasks[Pred3 UID],Tasks[[#This Row],[UID]]),_xlfn.MAXIFS(Tasks[_Row],Tasks[Pred4 UID],Tasks[[#This Row],[UID]])))</f>
        <v>0</v>
      </c>
      <c r="DA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 s="115" t="str">
        <f aca="false">IF(NOT(Tasks[[#This Row],[_IsLeaf]]=1),"",IF(N(Tasks[[#This Row],[Duration]])&lt;=0,Tasks[[#This Row],[_LeafLateFinish]],WORKDAY.INTL(Tasks[[#This Row],[_LeafLateFinish]],-(Tasks[[#This Row],[Duration]]-1),WorkWeek,Holidays)))</f>
        <v/>
      </c>
      <c r="DD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 s="114" t="b">
        <f aca="false">AND(Tasks[[#This Row],[_IsLeaf]]=1,Tasks[[#This Row],[_LeafProgress]]&lt;1,N(Tasks[[#This Row],[_LeafTotalSlack]])&lt;=CriticalSlackDays)</f>
        <v>0</v>
      </c>
      <c r="DF6" s="32" t="n">
        <f aca="false">IF(AND(Tasks[[#This Row],[_IsLeaf]]=1,Tasks[[#This Row],[_ConstraintCode]]=1,Tasks[[#This Row],[Mode]]&lt;&gt;"Manual",N(Tasks[[#This Row],[Actual Start]])=0),MAX(0,N(Tasks[[#This Row],[Free Slack]])),0)</f>
        <v>0</v>
      </c>
      <c r="DG6" s="115" t="str">
        <f aca="false">IF(NOT(Tasks[[#This Row],[_IsLeaf]]=1),"",IF(Tasks[[#This Row],[_AlapShift]]=0,Tasks[[#This Row],[_LeafCalcStart]],WORKDAY.INTL(Tasks[[#This Row],[_LeafCalcStart]],Tasks[[#This Row],[_AlapShift]],WorkWeek,Holidays)))</f>
        <v/>
      </c>
      <c r="DH6" s="115" t="str">
        <f aca="false">IF(NOT(Tasks[[#This Row],[_IsLeaf]]=1),"",IF(Tasks[[#This Row],[_AlapShift]]=0,Tasks[[#This Row],[_LeafCalcFinish]],WORKDAY.INTL(Tasks[[#This Row],[_LeafCalcFinish]],Tasks[[#This Row],[_AlapShift]],WorkWeek,Holidays)))</f>
        <v/>
      </c>
      <c r="DI6" s="115" t="str">
        <f aca="false">IF(NOT(Tasks[[#This Row],[_IsLeaf]]=1),"",IF(Tasks[[#This Row],[_AlapShift]]=0,Tasks[[#This Row],[_LeafFcstStart]],WORKDAY.INTL(Tasks[[#This Row],[_LeafFcstStart]],Tasks[[#This Row],[_AlapShift]],WorkWeek,Holidays)))</f>
        <v/>
      </c>
      <c r="DJ6" s="115" t="str">
        <f aca="false">IF(NOT(Tasks[[#This Row],[_IsLeaf]]=1),"",IF(Tasks[[#This Row],[_AlapShift]]=0,Tasks[[#This Row],[_LeafFcstFinish]],WORKDAY.INTL(Tasks[[#This Row],[_LeafFcstFinish]],Tasks[[#This Row],[_AlapShift]],WorkWeek,Holidays)))</f>
        <v/>
      </c>
      <c r="DK6" s="115" t="n">
        <f aca="false">IF(Tasks[[#This Row],[Task Name]]="","",IF(Tasks[[#This Row],[_IsSummary]],MIN(INDEX(Tasks[_ShownCalcStart],Tasks[[#This Row],[_Row]]+1):INDEX(Tasks[_ShownCalcStart],Tasks[[#This Row],[_Row]]+Tasks[[#This Row],[_Descendants]])),Tasks[[#This Row],[_ShownCalcStart]]))</f>
        <v>46272</v>
      </c>
      <c r="DL6" s="115" t="n">
        <f aca="false">IF(Tasks[[#This Row],[Task Name]]="","",IF(Tasks[[#This Row],[_IsSummary]],MAX(INDEX(Tasks[_ShownCalcFinish],Tasks[[#This Row],[_Row]]+1):INDEX(Tasks[_ShownCalcFinish],Tasks[[#This Row],[_Row]]+Tasks[[#This Row],[_Descendants]])),Tasks[[#This Row],[_ShownCalcFinish]]))</f>
        <v>46276</v>
      </c>
      <c r="DM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 s="32" t="n">
        <f aca="false">IF(AND(Tasks[[#This Row],[_IsLeaf]]=1,Tasks[[#This Row],[_LeafTotalWork]]&gt;0),NETWORKDAYS.INTL(ProjectStart,Tasks[[#This Row],[_ShownFcstStart]],WorkWeek,Holidays),0)</f>
        <v>0</v>
      </c>
      <c r="DZ6" s="32" t="n">
        <f aca="false">IF(AND(Tasks[[#This Row],[_IsLeaf]]=1,Tasks[[#This Row],[_LeafTotalWork]]&gt;0),MAX(Tasks[[#This Row],[_StartWorkday]],NETWORKDAYS.INTL(ProjectStart,Tasks[[#This Row],[_ShownFcstFinish]],WorkWeek,Holidays)),0)</f>
        <v>0</v>
      </c>
      <c r="EA6" s="32" t="n">
        <f aca="false">IF(AND(Tasks[[#This Row],[_IsLeaf]]=1,Tasks[[#This Row],[_LeafTotalWork]]&gt;0),Tasks[[#This Row],[_LeafWork]]/(Tasks[[#This Row],[_FinishWorkday]]-Tasks[[#This Row],[_StartWorkday]]+1),0)</f>
        <v>0</v>
      </c>
      <c r="EB6" s="32" t="n">
        <f aca="false">Tasks[[#This Row],[_WorkPerWorkday]]*(Tasks[[#This Row],[_StartWorkday]]-1)</f>
        <v>-0</v>
      </c>
      <c r="EC6" s="32" t="n">
        <f aca="false">IF(Tasks[[#This Row],[_IsLeaf]]=1,MAX(N(Tasks[[#This Row],[Duration]]),0.1),0)</f>
        <v>0</v>
      </c>
      <c r="ED6" s="32" t="n">
        <f aca="false">Tasks[[#This Row],[_WeightDur]]*Tasks[[#This Row],[_LeafProgress]]</f>
        <v>0</v>
      </c>
      <c r="EE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 s="32" t="str">
        <f aca="false">IF(AND(Tasks[[#This Row],[_IsLeaf]]=1,N(Tasks[[#This Row],[Duration]])=0,Tasks[[#This Row],[_LeafProgress]]&lt;1),Tasks[[#This Row],[_ShownFcstFinish]]+Tasks[[#This Row],[_Row]]/100000,"")</f>
        <v/>
      </c>
      <c r="EG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 s="32" t="n">
        <f aca="false">IF(NOT(Tasks[[#This Row],[_IsLeaf]]=1),0,IF(Tasks[[#This Row],[Baseline Cost]]="",Tasks[[#This Row],[_LeafTotalCost]],N(Tasks[[#This Row],[Baseline Cost]])))</f>
        <v>0</v>
      </c>
      <c r="EI6" s="32" t="n">
        <f aca="false">Tasks[[#This Row],[_LeafBudget]]*Tasks[[#This Row],[_PlannedPct]]</f>
        <v>0</v>
      </c>
      <c r="EJ6" s="32" t="n">
        <f aca="false">Tasks[[#This Row],[_LeafBudget]]*Tasks[[#This Row],[_LeafProgress]]</f>
        <v>0</v>
      </c>
      <c r="EK6" s="32" t="n">
        <f aca="false">IF(NOT(Tasks[[#This Row],[_IsLeaf]]=1),0,IF(Tasks[[#This Row],[Actual Cost]]="",Tasks[[#This Row],[_LeafTotalCost]]*Tasks[[#This Row],[_LeafProgress]],N(Tasks[[#This Row],[Actual Cost]])))</f>
        <v>0</v>
      </c>
      <c r="EL6" s="32" t="str">
        <f aca="false">IF(Tasks[[#This Row],[Task Name]]="","",LEFT(Tasks[[#This Row],[WBS]],FIND(".",Tasks[[#This Row],[WBS]]&amp;".")-1))</f>
        <v>1</v>
      </c>
      <c r="EM6" s="32" t="n">
        <f aca="false">IF(AND(Tasks[[#This Row],[Task Name]]&lt;&gt;"",Tasks[[#This Row],[_Level]]=1),Tasks[[#This Row],[_Row]],"")</f>
        <v>1</v>
      </c>
      <c r="EN6" s="32" t="str">
        <f aca="false">IF(AND(Tasks[[#This Row],[_IsLeaf]]=1,N(Tasks[[#This Row],[Duration]])=0),Tasks[[#This Row],[Planned Finish]]+Tasks[[#This Row],[_Row]]/100000,"")</f>
        <v/>
      </c>
      <c r="EO6" s="32" t="str">
        <f aca="false">IF(AND(Tasks[[#This Row],[_IsLeaf]]=1,Tasks[[#This Row],[_LeafProgress]]&lt;1,OR(N(Tasks[[#This Row],[Finish Var]])&gt;0,Tasks[[#This Row],[Status]]="Late Start")),MAX(0,Tasks[[#This Row],[Finish Var]])+1-Tasks[[#This Row],[_Row]]/1000000,"")</f>
        <v/>
      </c>
      <c r="EP6" s="32" t="str">
        <f aca="false">IF(AND(Tasks[[#This Row],[_IsLeaf]]=1,N(Tasks[[#This Row],[Actual Start]])=0,Tasks[[#This Row],[_ShownFcstStart]]&gt;=StatusDate,Tasks[[#This Row],[_ShownFcstStart]]&lt;=LookaheadEnd),Tasks[[#This Row],[_ShownFcstStart]]+Tasks[[#This Row],[_Row]]/100000,"")</f>
        <v/>
      </c>
      <c r="EQ6" s="32" t="str">
        <f aca="false">IF(AND(Tasks[[#This Row],[_IsLeaf]]=1,Tasks[[#This Row],[_LeafProgress]]&lt;1,Tasks[[#This Row],[_ShownFcstFinish]]&gt;=StatusDate,Tasks[[#This Row],[_ShownFcstFinish]]&lt;=LookaheadEnd),Tasks[[#This Row],[_ShownFcstFinish]]+Tasks[[#This Row],[_Row]]/100000,"")</f>
        <v/>
      </c>
      <c r="ER6" s="32" t="str">
        <f aca="false">IF(Tasks[[#This Row],[_LeafCritical]],Tasks[[#This Row],[_ShownFcstStart]]+Tasks[[#This Row],[_Row]]/100000,"")</f>
        <v/>
      </c>
      <c r="ES6" s="32" t="n">
        <f aca="false">Tasks[[#This Row],[_LeafWork]]*Tasks[[#This Row],[_LeafProgress]]</f>
        <v>0</v>
      </c>
      <c r="ET6" s="115" t="str">
        <f aca="false">IF(AND(Tasks[[#This Row],[_IsLeaf]]=1,Tasks[[#This Row],[_LeafProgress]]&gt;=1),IF(N(Tasks[[#This Row],[Actual Finish]])&gt;0,Tasks[[#This Row],[Actual Finish]],Tasks[[#This Row],[_ShownFcstFinish]]),"")</f>
        <v/>
      </c>
      <c r="EU6" s="32" t="n">
        <f aca="false">IF(Tasks[[#This Row],[_IsLeaf]]=1,N(Tasks[[#This Row],[Story Points]]),0)</f>
        <v>0</v>
      </c>
      <c r="EV6" s="32" t="str">
        <f aca="false">IF(AND(Tasks[[#This Row],[_IsLeaf]]=1,CurrentSprint&lt;&gt;"",Tasks[[#This Row],[Sprint]]=CurrentSprint),Tasks[[#This Row],[_Row]],"")</f>
        <v/>
      </c>
    </row>
    <row r="7" customFormat="false" ht="15" hidden="false" customHeight="false" outlineLevel="1" collapsed="false">
      <c r="A7" s="45" t="n">
        <f aca="false">IF(Tasks[[#This Row],[Task Name]]="","",COUNTA(Tasks[[#Headers],[Task Name]]:Tasks[[#This Row],[Task Name]])-1)</f>
        <v>2</v>
      </c>
      <c r="B7" s="46" t="n">
        <v>2</v>
      </c>
      <c r="C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1.1</v>
      </c>
      <c r="D7" s="46" t="n">
        <v>2</v>
      </c>
      <c r="E7" s="45" t="str">
        <f aca="false">IF(Tasks[[#This Row],[Task Name]]="","",IF(Tasks[[#This Row],[_Level]]&lt;=OutlineShowLevel,"Yes","No"))</f>
        <v>Yes</v>
      </c>
      <c r="F7" s="47" t="s">
        <v>644</v>
      </c>
      <c r="G7" s="46" t="s">
        <v>642</v>
      </c>
      <c r="H7" s="46" t="n">
        <v>3</v>
      </c>
      <c r="I7" s="46"/>
      <c r="J7" s="46"/>
      <c r="K7" s="46"/>
      <c r="L7" s="46"/>
      <c r="M7" s="46"/>
      <c r="N7" s="46"/>
      <c r="O7" s="46"/>
      <c r="P7" s="46"/>
      <c r="Q7" s="46"/>
      <c r="R7" s="46"/>
      <c r="S7" s="46"/>
      <c r="T7" s="46"/>
      <c r="U7" s="47"/>
      <c r="V7" s="88"/>
      <c r="W7" s="88"/>
      <c r="X7" s="25" t="n">
        <f aca="false">IF(Tasks[[#This Row],[Task Name]]="","",IF(N(Tasks[[#This Row],[Baseline Start]])&gt;0,Tasks[[#This Row],[Baseline Start]],Tasks[[#This Row],[_CalcStart]]))</f>
        <v>46272</v>
      </c>
      <c r="Y7" s="25" t="n">
        <f aca="false">IF(Tasks[[#This Row],[Task Name]]="","",IF(N(Tasks[[#This Row],[Baseline Finish]])&gt;0,Tasks[[#This Row],[Baseline Finish]],Tasks[[#This Row],[_CalcFinish]]))</f>
        <v>46274</v>
      </c>
      <c r="Z7" s="88" t="n">
        <v>46272</v>
      </c>
      <c r="AA7" s="88" t="n">
        <v>46275</v>
      </c>
      <c r="AB7" s="25" t="n">
        <f aca="false">IF(Tasks[[#This Row],[Task Name]]="","",IF(Tasks[[#This Row],[_IsSummary]],MIN(INDEX(Tasks[_ShownFcstStart],Tasks[[#This Row],[_Row]]+1):INDEX(Tasks[_ShownFcstStart],Tasks[[#This Row],[_Row]]+Tasks[[#This Row],[_Descendants]])),Tasks[[#This Row],[_ShownFcstStart]]))</f>
        <v>46272</v>
      </c>
      <c r="AC7" s="25" t="n">
        <f aca="false">IF(Tasks[[#This Row],[Task Name]]="","",IF(Tasks[[#This Row],[_IsSummary]],MAX(INDEX(Tasks[_ShownFcstFinish],Tasks[[#This Row],[_Row]]+1):INDEX(Tasks[_ShownFcstFinish],Tasks[[#This Row],[_Row]]+Tasks[[#This Row],[_Descendants]])),Tasks[[#This Row],[_ShownFcstFinish]]))</f>
        <v>46275</v>
      </c>
      <c r="AD7"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7" s="56" t="n">
        <f aca="false">IF(Tasks[[#This Row],[Task Name]]="","",IF(Tasks[[#This Row],[Forecast Finish]]&gt;=Tasks[[#This Row],[Planned Finish]],NETWORKDAYS.INTL(Tasks[[#This Row],[Planned Finish]],Tasks[[#This Row],[Forecast Finish]],WorkWeek,Holidays)-1,1-NETWORKDAYS.INTL(Tasks[[#This Row],[Forecast Finish]],Tasks[[#This Row],[Planned Finish]],WorkWeek,Holidays)))</f>
        <v>1</v>
      </c>
      <c r="AF7" s="25" t="n">
        <f aca="false">IF(Tasks[[#This Row],[Task Name]]="","",IF(Tasks[[#This Row],[_IsSummary]],MIN(INDEX(Tasks[_LeafLateStart],Tasks[[#This Row],[_Row]]+1):INDEX(Tasks[_LeafLateStart],Tasks[[#This Row],[_Row]]+Tasks[[#This Row],[_Descendants]])),Tasks[[#This Row],[_LeafLateStart]]))</f>
        <v>46279</v>
      </c>
      <c r="AG7" s="25" t="n">
        <f aca="false">IF(Tasks[[#This Row],[Task Name]]="","",IF(Tasks[[#This Row],[_IsSummary]],MAX(INDEX(Tasks[_LeafLateFinish],Tasks[[#This Row],[_Row]]+1):INDEX(Tasks[_LeafLateFinish],Tasks[[#This Row],[_Row]]+Tasks[[#This Row],[_Descendants]])),Tasks[[#This Row],[_LeafLateFinish]]))</f>
        <v>46281</v>
      </c>
      <c r="AH7" s="56" t="n">
        <f aca="false">IF(Tasks[[#This Row],[Task Name]]="","",IF(Tasks[[#This Row],[_IsSummary]],MIN(INDEX(Tasks[_LeafTotalSlack],Tasks[[#This Row],[_Row]]+1):INDEX(Tasks[_LeafTotalSlack],Tasks[[#This Row],[_Row]]+Tasks[[#This Row],[_Descendants]])),Tasks[[#This Row],[_LeafTotalSlack]]))</f>
        <v>4</v>
      </c>
      <c r="AI7"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7" s="45" t="str">
        <f aca="false">IF(Tasks[[#This Row],[Task Name]]="","",IF(IF(Tasks[[#This Row],[_IsSummary]],COUNTIF(INDEX(Tasks[_LeafCritical],Tasks[[#This Row],[_Row]]+1):INDEX(Tasks[_LeafCritical],Tasks[[#This Row],[_Row]]+Tasks[[#This Row],[_Descendants]]),TRUE())&gt;0,Tasks[[#This Row],[_LeafCritical]]),"Yes",""))</f>
        <v/>
      </c>
      <c r="AK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 s="102" t="n">
        <v>1</v>
      </c>
      <c r="AN7"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7" s="45" t="str">
        <f aca="false">IF(Tasks[[#This Row],[Task Name]]="","",IF(Tasks[[#This Row],[Progress]]&gt;=1,"Complete",IF(OR(N(Tasks[[#This Row],[Actual Start]])&gt;0,Tasks[[#This Row],[Progress]]&gt;0),IF(Tasks[[#This Row],[Finish Var]]&gt;0,"Behind","In Progress"),IF(Tasks[[#This Row],[Planned Start]]&lt;StatusDate,"Late Start","Not Started"))))</f>
        <v>Complete</v>
      </c>
      <c r="AP7" s="47" t="s">
        <v>308</v>
      </c>
      <c r="AQ7" s="102"/>
      <c r="AR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Priya Sharma</v>
      </c>
      <c r="AS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 s="110" t="n">
        <f aca="false">IF(Tasks[[#This Row],[Task Name]]="","",IF(Tasks[[#This Row],[_IsSummary]],SUM(INDEX(Tasks[_LeafTotalWork],Tasks[[#This Row],[_Row]]+1):INDEX(Tasks[_LeafTotalWork],Tasks[[#This Row],[_Row]]+Tasks[[#This Row],[_Descendants]])),Tasks[[#This Row],[_LeafTotalWork]]))</f>
        <v>24</v>
      </c>
      <c r="AU7" s="111" t="n">
        <f aca="false">IF(Tasks[[#This Row],[Task Name]]="","",IF(Tasks[[#This Row],[_IsSummary]],SUM(INDEX(Tasks[_LeafTotalCost],Tasks[[#This Row],[_Row]]+1):INDEX(Tasks[_LeafTotalCost],Tasks[[#This Row],[_Row]]+Tasks[[#This Row],[_Descendants]])),Tasks[[#This Row],[_LeafTotalCost]]))</f>
        <v>2280</v>
      </c>
      <c r="AV7" s="112" t="n">
        <v>3040</v>
      </c>
      <c r="AW7" s="46"/>
      <c r="AX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1</v>
      </c>
      <c r="AY7" s="96" t="n">
        <v>3</v>
      </c>
      <c r="AZ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 s="47" t="s">
        <v>645</v>
      </c>
      <c r="BB7" s="25" t="n">
        <f aca="false">IF(Tasks[[#This Row],[Task Name]]="","",Tasks[[#This Row],[Forecast Start]])</f>
        <v>46272</v>
      </c>
      <c r="BC7" s="25" t="n">
        <f aca="false">IF(Tasks[[#This Row],[Task Name]]="","",Tasks[[#This Row],[Forecast Finish]])</f>
        <v>46275</v>
      </c>
      <c r="BD7" s="45" t="n">
        <f aca="false">IF(Tasks[[#This Row],[Task Name]]="","",IF(Tasks[[#This Row],[_IsSummary]],NETWORKDAYS.INTL(Tasks[[#This Row],[Forecast Start]],Tasks[[#This Row],[Forecast Finish]],WorkWeek,Holidays),N(Tasks[[#This Row],[Duration]])))</f>
        <v>3</v>
      </c>
      <c r="BE7" s="110" t="n">
        <f aca="false">IF(Tasks[[#This Row],[Task Name]]="","",Tasks[[#This Row],[Work]])</f>
        <v>24</v>
      </c>
      <c r="BF7" s="111" t="n">
        <f aca="false">IF(Tasks[[#This Row],[Task Name]]="","",Tasks[[#This Row],[Cost]])</f>
        <v>2280</v>
      </c>
      <c r="BG7" s="88"/>
      <c r="BH7" s="88"/>
      <c r="BI7" s="46"/>
      <c r="BJ7" s="113"/>
      <c r="BK7" s="112"/>
      <c r="BL7" s="45" t="str">
        <f aca="false">IF(OR(Tasks[[#This Row],[Task Name]]="",Tasks[[#This Row],[Baseline Duration]]=""),"",Tasks[[#This Row],[BL Source Duration]]-N(Tasks[[#This Row],[Baseline Duration]]))</f>
        <v/>
      </c>
      <c r="BM7" s="110" t="str">
        <f aca="false">IF(OR(Tasks[[#This Row],[Task Name]]="",Tasks[[#This Row],[Baseline Work]]=""),"",Tasks[[#This Row],[Work]]-N(Tasks[[#This Row],[Baseline Work]]))</f>
        <v/>
      </c>
      <c r="BN7" s="111" t="str">
        <f aca="false">IF(OR(Tasks[[#This Row],[Task Name]]="",Tasks[[#This Row],[Baseline Cost]]=""),"",Tasks[[#This Row],[Cost]]-N(Tasks[[#This Row],[Baseline Cost]]))</f>
        <v/>
      </c>
      <c r="BO7" s="111" t="n">
        <f aca="false">IF(Tasks[[#This Row],[Task Name]]="","",IF(Tasks[[#This Row],[_IsSummary]],SUM(INDEX(Tasks[_LeafBudget],Tasks[[#This Row],[_Row]]+1):INDEX(Tasks[_LeafBudget],Tasks[[#This Row],[_Row]]+Tasks[[#This Row],[_Descendants]])),Tasks[[#This Row],[_LeafBudget]]))</f>
        <v>2280</v>
      </c>
      <c r="BP7" s="111" t="n">
        <f aca="false">IF(Tasks[[#This Row],[Task Name]]="","",IF(Tasks[[#This Row],[_IsSummary]],SUM(INDEX(Tasks[_LeafPV],Tasks[[#This Row],[_Row]]+1):INDEX(Tasks[_LeafPV],Tasks[[#This Row],[_Row]]+Tasks[[#This Row],[_Descendants]])),Tasks[[#This Row],[_LeafPV]]))</f>
        <v>2280</v>
      </c>
      <c r="BQ7" s="111" t="n">
        <f aca="false">IF(Tasks[[#This Row],[Task Name]]="","",IF(Tasks[[#This Row],[_IsSummary]],SUM(INDEX(Tasks[_LeafEV],Tasks[[#This Row],[_Row]]+1):INDEX(Tasks[_LeafEV],Tasks[[#This Row],[_Row]]+Tasks[[#This Row],[_Descendants]])),Tasks[[#This Row],[_LeafEV]]))</f>
        <v>2280</v>
      </c>
      <c r="BR7" s="111" t="n">
        <f aca="false">IF(Tasks[[#This Row],[Task Name]]="","",IF(Tasks[[#This Row],[_IsSummary]],SUM(INDEX(Tasks[_LeafAC],Tasks[[#This Row],[_Row]]+1):INDEX(Tasks[_LeafAC],Tasks[[#This Row],[_Row]]+Tasks[[#This Row],[_Descendants]])),Tasks[[#This Row],[_LeafAC]]))</f>
        <v>3040</v>
      </c>
      <c r="BS7" s="32" t="n">
        <f aca="false">IF(Tasks[[#This Row],[Task Name]]="","",MAX(1,N(Tasks[[#This Row],[Level]])))</f>
        <v>2</v>
      </c>
      <c r="BT7" s="32" t="n">
        <f aca="false">ROW()-ROW(Tasks[[#Headers],[ID]])</f>
        <v>2</v>
      </c>
      <c r="BU7" s="32" t="n">
        <f aca="false">IF(OR(Tasks[[#This Row],[Task Name]]="",Tasks[[#This Row],[_Level]]&lt;=1),0,IFERROR(LOOKUP(2,1/(Tasks[[#Headers],[_Level]]:Tasks[[#This Row],[_Level]]=Tasks[[#This Row],[_Level]]-1),ROW(Tasks[[#Headers],[_Level]]:Tasks[[#This Row],[_Level]])),0))</f>
        <v>6</v>
      </c>
      <c r="BV7" s="32" t="n">
        <f aca="false">IFERROR(N(INDEX(Tasks[_Level],Tasks[[#This Row],[_Row]]+1)),0)</f>
        <v>2</v>
      </c>
      <c r="BW7" s="114" t="b">
        <f aca="false">AND(Tasks[[#This Row],[Task Name]]&lt;&gt;"",Tasks[[#This Row],[_NextLevel]]&gt;Tasks[[#This Row],[_Level]])</f>
        <v>0</v>
      </c>
      <c r="BX7" s="32" t="n">
        <f aca="false">IF(Tasks[[#This Row],[_IsSummary]],COUNTIF(Tasks[WBS],Tasks[[#This Row],[WBS]]&amp;".*"),0)</f>
        <v>0</v>
      </c>
      <c r="BY7" s="32" t="n">
        <f aca="false">IF(AND(Tasks[[#This Row],[Task Name]]&lt;&gt;"",NOT(Tasks[[#This Row],[_IsSummary]])),1,0)</f>
        <v>1</v>
      </c>
      <c r="BZ7" s="32" t="n">
        <f aca="false">IF(N(Tasks[[#This Row],[Pred1 UID]])=0,0,IFERROR(MATCH(Tasks[[#This Row],[Pred1 UID]],Tasks[UID],0),-1))</f>
        <v>0</v>
      </c>
      <c r="CA7" s="32" t="n">
        <f aca="false">IF(N(Tasks[[#This Row],[Pred2 UID]])=0,0,IFERROR(MATCH(Tasks[[#This Row],[Pred2 UID]],Tasks[UID],0),-1))</f>
        <v>0</v>
      </c>
      <c r="CB7" s="32" t="n">
        <f aca="false">IF(N(Tasks[[#This Row],[Pred3 UID]])=0,0,IFERROR(MATCH(Tasks[[#This Row],[Pred3 UID]],Tasks[UID],0),-1))</f>
        <v>0</v>
      </c>
      <c r="CC7" s="32" t="n">
        <f aca="false">IF(N(Tasks[[#This Row],[Pred4 UID]])=0,0,IFERROR(MATCH(Tasks[[#This Row],[Pred4 UID]],Tasks[UID],0),-1))</f>
        <v>0</v>
      </c>
      <c r="CD7"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 s="115" t="n">
        <f aca="false">IF(OR(Tasks[[#This Row],[_ConstraintCode]]=2,Tasks[[#This Row],[_ConstraintCode]]=3,Tasks[[#This Row],[_ConstraintCode]]=4,Tasks[[#This Row],[_ConstraintCode]]=6),Tasks[[#This Row],[_ConstraintStart]],0)</f>
        <v>0</v>
      </c>
      <c r="CG7" s="115" t="n">
        <f aca="false">IF(OR(Tasks[[#This Row],[_ConstraintCode]]=2,Tasks[[#This Row],[_ConstraintCode]]=3,Tasks[[#This Row],[_ConstraintCode]]=5,Tasks[[#This Row],[_ConstraintCode]]=7),Tasks[[#This Row],[_ConstraintStart]],2958465)</f>
        <v>2958465</v>
      </c>
      <c r="CH7"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46272</v>
      </c>
      <c r="CI7" s="115" t="n">
        <f aca="false">IF(NOT(Tasks[[#This Row],[_IsLeaf]]=1),"",IF(N(Tasks[[#This Row],[Duration]])&lt;=0,Tasks[[#This Row],[_LeafCalcStart]],WORKDAY.INTL(Tasks[[#This Row],[_LeafCalcStart]],Tasks[[#This Row],[Duration]]-1,WorkWeek,Holidays)))</f>
        <v>46274</v>
      </c>
      <c r="CJ7"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46272</v>
      </c>
      <c r="CK7"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46275</v>
      </c>
      <c r="CL7" s="32" t="n">
        <f aca="false">IF(NOT(Tasks[[#This Row],[_IsLeaf]]=1),0,IF(N(Tasks[[#This Row],[Actual Finish]])&gt;0,1,MIN(1,N(Tasks[[#This Row],[% Complete]]))))</f>
        <v>1</v>
      </c>
      <c r="CM7" s="32" t="n">
        <f aca="false">IF(OR(NOT(Tasks[[#This Row],[_IsLeaf]]=1),Tasks[[#This Row],[Resource]]=""),0,N(Tasks[[#This Row],[Duration]])*HoursPerDay*IF(Tasks[[#This Row],[Units]]="",DefaultUnits,Tasks[[#This Row],[Units]]))</f>
        <v>24</v>
      </c>
      <c r="CN7" s="32" t="n">
        <f aca="false">IF(Tasks[[#This Row],[_LeafWork]]=0,0,Tasks[[#This Row],[_LeafWork]]*IFERROR(INDEX(res_Rate,MATCH(Tasks[[#This Row],[Resource]],res_Name,0)),0))</f>
        <v>2280</v>
      </c>
      <c r="CO7" s="32" t="n">
        <f aca="false">Tasks[[#This Row],[_LeafWork]]+IF(Tasks[[#This Row],[_IsLeaf]]=1,SUMIFS(asg_Work,asg_TaskUID,Tasks[[#This Row],[UID]],asg_Valid,1),0)</f>
        <v>24</v>
      </c>
      <c r="CP7" s="32" t="n">
        <f aca="false">Tasks[[#This Row],[_LeafCost]]+IF(Tasks[[#This Row],[_IsLeaf]]=1,SUMIFS(asg_Cost,asg_TaskUID,Tasks[[#This Row],[UID]],asg_Valid,1),0)</f>
        <v>2280</v>
      </c>
      <c r="CQ7" s="32" t="n">
        <f aca="false">IF(Tasks[[#This Row],[_LeafTotalCost]]=0,Tasks[[#This Row],[_LeafAC]],Tasks[[#This Row],[_LeafAC]]*Tasks[[#This Row],[_LeafCost]]/Tasks[[#This Row],[_LeafTotalCost]])</f>
        <v>3040</v>
      </c>
      <c r="CR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 s="32" t="n">
        <f aca="false">IF(NOT(Tasks[[#This Row],[_IsLeaf]]=1),0,MAX(_xlfn.MAXIFS(Tasks[_Row],Tasks[Pred1 UID],Tasks[[#This Row],[UID]]),_xlfn.MAXIFS(Tasks[_Row],Tasks[Pred2 UID],Tasks[[#This Row],[UID]]),_xlfn.MAXIFS(Tasks[_Row],Tasks[Pred3 UID],Tasks[[#This Row],[UID]]),_xlfn.MAXIFS(Tasks[_Row],Tasks[Pred4 UID],Tasks[[#This Row],[UID]])))</f>
        <v>3</v>
      </c>
      <c r="DA7"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46281</v>
      </c>
      <c r="DB7"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46281</v>
      </c>
      <c r="DC7" s="115" t="n">
        <f aca="false">IF(NOT(Tasks[[#This Row],[_IsLeaf]]=1),"",IF(N(Tasks[[#This Row],[Duration]])&lt;=0,Tasks[[#This Row],[_LeafLateFinish]],WORKDAY.INTL(Tasks[[#This Row],[_LeafLateFinish]],-(Tasks[[#This Row],[Duration]]-1),WorkWeek,Holidays)))</f>
        <v>46279</v>
      </c>
      <c r="DD7"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DE7" s="114" t="b">
        <f aca="false">AND(Tasks[[#This Row],[_IsLeaf]]=1,Tasks[[#This Row],[_LeafProgress]]&lt;1,N(Tasks[[#This Row],[_LeafTotalSlack]])&lt;=CriticalSlackDays)</f>
        <v>0</v>
      </c>
      <c r="DF7" s="32" t="n">
        <f aca="false">IF(AND(Tasks[[#This Row],[_IsLeaf]]=1,Tasks[[#This Row],[_ConstraintCode]]=1,Tasks[[#This Row],[Mode]]&lt;&gt;"Manual",N(Tasks[[#This Row],[Actual Start]])=0),MAX(0,N(Tasks[[#This Row],[Free Slack]])),0)</f>
        <v>0</v>
      </c>
      <c r="DG7" s="115" t="n">
        <f aca="false">IF(NOT(Tasks[[#This Row],[_IsLeaf]]=1),"",IF(Tasks[[#This Row],[_AlapShift]]=0,Tasks[[#This Row],[_LeafCalcStart]],WORKDAY.INTL(Tasks[[#This Row],[_LeafCalcStart]],Tasks[[#This Row],[_AlapShift]],WorkWeek,Holidays)))</f>
        <v>46272</v>
      </c>
      <c r="DH7" s="115" t="n">
        <f aca="false">IF(NOT(Tasks[[#This Row],[_IsLeaf]]=1),"",IF(Tasks[[#This Row],[_AlapShift]]=0,Tasks[[#This Row],[_LeafCalcFinish]],WORKDAY.INTL(Tasks[[#This Row],[_LeafCalcFinish]],Tasks[[#This Row],[_AlapShift]],WorkWeek,Holidays)))</f>
        <v>46274</v>
      </c>
      <c r="DI7" s="115" t="n">
        <f aca="false">IF(NOT(Tasks[[#This Row],[_IsLeaf]]=1),"",IF(Tasks[[#This Row],[_AlapShift]]=0,Tasks[[#This Row],[_LeafFcstStart]],WORKDAY.INTL(Tasks[[#This Row],[_LeafFcstStart]],Tasks[[#This Row],[_AlapShift]],WorkWeek,Holidays)))</f>
        <v>46272</v>
      </c>
      <c r="DJ7" s="115" t="n">
        <f aca="false">IF(NOT(Tasks[[#This Row],[_IsLeaf]]=1),"",IF(Tasks[[#This Row],[_AlapShift]]=0,Tasks[[#This Row],[_LeafFcstFinish]],WORKDAY.INTL(Tasks[[#This Row],[_LeafFcstFinish]],Tasks[[#This Row],[_AlapShift]],WorkWeek,Holidays)))</f>
        <v>46275</v>
      </c>
      <c r="DK7" s="115" t="n">
        <f aca="false">IF(Tasks[[#This Row],[Task Name]]="","",IF(Tasks[[#This Row],[_IsSummary]],MIN(INDEX(Tasks[_ShownCalcStart],Tasks[[#This Row],[_Row]]+1):INDEX(Tasks[_ShownCalcStart],Tasks[[#This Row],[_Row]]+Tasks[[#This Row],[_Descendants]])),Tasks[[#This Row],[_ShownCalcStart]]))</f>
        <v>46272</v>
      </c>
      <c r="DL7" s="115" t="n">
        <f aca="false">IF(Tasks[[#This Row],[Task Name]]="","",IF(Tasks[[#This Row],[_IsSummary]],MAX(INDEX(Tasks[_ShownCalcFinish],Tasks[[#This Row],[_Row]]+1):INDEX(Tasks[_ShownCalcFinish],Tasks[[#This Row],[_Row]]+Tasks[[#This Row],[_Descendants]])),Tasks[[#This Row],[_ShownCalcFinish]]))</f>
        <v>46274</v>
      </c>
      <c r="DM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 s="32" t="n">
        <f aca="false">IF(AND(Tasks[[#This Row],[_IsLeaf]]=1,Tasks[[#This Row],[_LeafTotalWork]]&gt;0),NETWORKDAYS.INTL(ProjectStart,Tasks[[#This Row],[_ShownFcstStart]],WorkWeek,Holidays),0)</f>
        <v>1</v>
      </c>
      <c r="DZ7" s="32" t="n">
        <f aca="false">IF(AND(Tasks[[#This Row],[_IsLeaf]]=1,Tasks[[#This Row],[_LeafTotalWork]]&gt;0),MAX(Tasks[[#This Row],[_StartWorkday]],NETWORKDAYS.INTL(ProjectStart,Tasks[[#This Row],[_ShownFcstFinish]],WorkWeek,Holidays)),0)</f>
        <v>4</v>
      </c>
      <c r="EA7" s="32" t="n">
        <f aca="false">IF(AND(Tasks[[#This Row],[_IsLeaf]]=1,Tasks[[#This Row],[_LeafTotalWork]]&gt;0),Tasks[[#This Row],[_LeafWork]]/(Tasks[[#This Row],[_FinishWorkday]]-Tasks[[#This Row],[_StartWorkday]]+1),0)</f>
        <v>6</v>
      </c>
      <c r="EB7" s="32" t="n">
        <f aca="false">Tasks[[#This Row],[_WorkPerWorkday]]*(Tasks[[#This Row],[_StartWorkday]]-1)</f>
        <v>0</v>
      </c>
      <c r="EC7" s="32" t="n">
        <f aca="false">IF(Tasks[[#This Row],[_IsLeaf]]=1,MAX(N(Tasks[[#This Row],[Duration]]),0.1),0)</f>
        <v>3</v>
      </c>
      <c r="ED7" s="32" t="n">
        <f aca="false">Tasks[[#This Row],[_WeightDur]]*Tasks[[#This Row],[_LeafProgress]]</f>
        <v>3</v>
      </c>
      <c r="EE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 s="32" t="str">
        <f aca="false">IF(AND(Tasks[[#This Row],[_IsLeaf]]=1,N(Tasks[[#This Row],[Duration]])=0,Tasks[[#This Row],[_LeafProgress]]&lt;1),Tasks[[#This Row],[_ShownFcstFinish]]+Tasks[[#This Row],[_Row]]/100000,"")</f>
        <v/>
      </c>
      <c r="EG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7" s="32" t="n">
        <f aca="false">IF(NOT(Tasks[[#This Row],[_IsLeaf]]=1),0,IF(Tasks[[#This Row],[Baseline Cost]]="",Tasks[[#This Row],[_LeafTotalCost]],N(Tasks[[#This Row],[Baseline Cost]])))</f>
        <v>2280</v>
      </c>
      <c r="EI7" s="32" t="n">
        <f aca="false">Tasks[[#This Row],[_LeafBudget]]*Tasks[[#This Row],[_PlannedPct]]</f>
        <v>2280</v>
      </c>
      <c r="EJ7" s="32" t="n">
        <f aca="false">Tasks[[#This Row],[_LeafBudget]]*Tasks[[#This Row],[_LeafProgress]]</f>
        <v>2280</v>
      </c>
      <c r="EK7" s="32" t="n">
        <f aca="false">IF(NOT(Tasks[[#This Row],[_IsLeaf]]=1),0,IF(Tasks[[#This Row],[Actual Cost]]="",Tasks[[#This Row],[_LeafTotalCost]]*Tasks[[#This Row],[_LeafProgress]],N(Tasks[[#This Row],[Actual Cost]])))</f>
        <v>3040</v>
      </c>
      <c r="EL7" s="32" t="str">
        <f aca="false">IF(Tasks[[#This Row],[Task Name]]="","",LEFT(Tasks[[#This Row],[WBS]],FIND(".",Tasks[[#This Row],[WBS]]&amp;".")-1))</f>
        <v>1</v>
      </c>
      <c r="EM7" s="32" t="str">
        <f aca="false">IF(AND(Tasks[[#This Row],[Task Name]]&lt;&gt;"",Tasks[[#This Row],[_Level]]=1),Tasks[[#This Row],[_Row]],"")</f>
        <v/>
      </c>
      <c r="EN7" s="32" t="str">
        <f aca="false">IF(AND(Tasks[[#This Row],[_IsLeaf]]=1,N(Tasks[[#This Row],[Duration]])=0),Tasks[[#This Row],[Planned Finish]]+Tasks[[#This Row],[_Row]]/100000,"")</f>
        <v/>
      </c>
      <c r="EO7" s="32" t="str">
        <f aca="false">IF(AND(Tasks[[#This Row],[_IsLeaf]]=1,Tasks[[#This Row],[_LeafProgress]]&lt;1,OR(N(Tasks[[#This Row],[Finish Var]])&gt;0,Tasks[[#This Row],[Status]]="Late Start")),MAX(0,Tasks[[#This Row],[Finish Var]])+1-Tasks[[#This Row],[_Row]]/1000000,"")</f>
        <v/>
      </c>
      <c r="EP7" s="32" t="str">
        <f aca="false">IF(AND(Tasks[[#This Row],[_IsLeaf]]=1,N(Tasks[[#This Row],[Actual Start]])=0,Tasks[[#This Row],[_ShownFcstStart]]&gt;=StatusDate,Tasks[[#This Row],[_ShownFcstStart]]&lt;=LookaheadEnd),Tasks[[#This Row],[_ShownFcstStart]]+Tasks[[#This Row],[_Row]]/100000,"")</f>
        <v/>
      </c>
      <c r="EQ7" s="32" t="str">
        <f aca="false">IF(AND(Tasks[[#This Row],[_IsLeaf]]=1,Tasks[[#This Row],[_LeafProgress]]&lt;1,Tasks[[#This Row],[_ShownFcstFinish]]&gt;=StatusDate,Tasks[[#This Row],[_ShownFcstFinish]]&lt;=LookaheadEnd),Tasks[[#This Row],[_ShownFcstFinish]]+Tasks[[#This Row],[_Row]]/100000,"")</f>
        <v/>
      </c>
      <c r="ER7" s="32" t="str">
        <f aca="false">IF(Tasks[[#This Row],[_LeafCritical]],Tasks[[#This Row],[_ShownFcstStart]]+Tasks[[#This Row],[_Row]]/100000,"")</f>
        <v/>
      </c>
      <c r="ES7" s="32" t="n">
        <f aca="false">Tasks[[#This Row],[_LeafWork]]*Tasks[[#This Row],[_LeafProgress]]</f>
        <v>24</v>
      </c>
      <c r="ET7" s="115" t="n">
        <f aca="false">IF(AND(Tasks[[#This Row],[_IsLeaf]]=1,Tasks[[#This Row],[_LeafProgress]]&gt;=1),IF(N(Tasks[[#This Row],[Actual Finish]])&gt;0,Tasks[[#This Row],[Actual Finish]],Tasks[[#This Row],[_ShownFcstFinish]]),"")</f>
        <v>46275</v>
      </c>
      <c r="EU7" s="32" t="n">
        <f aca="false">IF(Tasks[[#This Row],[_IsLeaf]]=1,N(Tasks[[#This Row],[Story Points]]),0)</f>
        <v>3</v>
      </c>
      <c r="EV7" s="32" t="str">
        <f aca="false">IF(AND(Tasks[[#This Row],[_IsLeaf]]=1,CurrentSprint&lt;&gt;"",Tasks[[#This Row],[Sprint]]=CurrentSprint),Tasks[[#This Row],[_Row]],"")</f>
        <v/>
      </c>
    </row>
    <row r="8" customFormat="false" ht="15" hidden="false" customHeight="false" outlineLevel="1" collapsed="false">
      <c r="A8" s="45" t="n">
        <f aca="false">IF(Tasks[[#This Row],[Task Name]]="","",COUNTA(Tasks[[#Headers],[Task Name]]:Tasks[[#This Row],[Task Name]])-1)</f>
        <v>3</v>
      </c>
      <c r="B8" s="46" t="n">
        <v>3</v>
      </c>
      <c r="C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1.2</v>
      </c>
      <c r="D8" s="46" t="n">
        <v>2</v>
      </c>
      <c r="E8" s="45" t="str">
        <f aca="false">IF(Tasks[[#This Row],[Task Name]]="","",IF(Tasks[[#This Row],[_Level]]&lt;=OutlineShowLevel,"Yes","No"))</f>
        <v>Yes</v>
      </c>
      <c r="F8" s="47" t="s">
        <v>646</v>
      </c>
      <c r="G8" s="46" t="s">
        <v>642</v>
      </c>
      <c r="H8" s="46" t="n">
        <v>2</v>
      </c>
      <c r="I8" s="46" t="n">
        <v>2</v>
      </c>
      <c r="J8" s="46" t="s">
        <v>647</v>
      </c>
      <c r="K8" s="46"/>
      <c r="L8" s="46"/>
      <c r="M8" s="46"/>
      <c r="N8" s="46"/>
      <c r="O8" s="46"/>
      <c r="P8" s="46"/>
      <c r="Q8" s="46"/>
      <c r="R8" s="46"/>
      <c r="S8" s="46"/>
      <c r="T8" s="46"/>
      <c r="U8" s="47"/>
      <c r="V8" s="88"/>
      <c r="W8" s="88"/>
      <c r="X8" s="25" t="n">
        <f aca="false">IF(Tasks[[#This Row],[Task Name]]="","",IF(N(Tasks[[#This Row],[Baseline Start]])&gt;0,Tasks[[#This Row],[Baseline Start]],Tasks[[#This Row],[_CalcStart]]))</f>
        <v>46275</v>
      </c>
      <c r="Y8" s="25" t="n">
        <f aca="false">IF(Tasks[[#This Row],[Task Name]]="","",IF(N(Tasks[[#This Row],[Baseline Finish]])&gt;0,Tasks[[#This Row],[Baseline Finish]],Tasks[[#This Row],[_CalcFinish]]))</f>
        <v>46276</v>
      </c>
      <c r="Z8" s="88" t="n">
        <v>46276</v>
      </c>
      <c r="AA8" s="88" t="n">
        <v>46279</v>
      </c>
      <c r="AB8" s="25" t="n">
        <f aca="false">IF(Tasks[[#This Row],[Task Name]]="","",IF(Tasks[[#This Row],[_IsSummary]],MIN(INDEX(Tasks[_ShownFcstStart],Tasks[[#This Row],[_Row]]+1):INDEX(Tasks[_ShownFcstStart],Tasks[[#This Row],[_Row]]+Tasks[[#This Row],[_Descendants]])),Tasks[[#This Row],[_ShownFcstStart]]))</f>
        <v>46276</v>
      </c>
      <c r="AC8" s="25" t="n">
        <f aca="false">IF(Tasks[[#This Row],[Task Name]]="","",IF(Tasks[[#This Row],[_IsSummary]],MAX(INDEX(Tasks[_ShownFcstFinish],Tasks[[#This Row],[_Row]]+1):INDEX(Tasks[_ShownFcstFinish],Tasks[[#This Row],[_Row]]+Tasks[[#This Row],[_Descendants]])),Tasks[[#This Row],[_ShownFcstFinish]]))</f>
        <v>46279</v>
      </c>
      <c r="AD8" s="56" t="n">
        <f aca="false">IF(Tasks[[#This Row],[Task Name]]="","",IF(Tasks[[#This Row],[Forecast Start]]&gt;=Tasks[[#This Row],[Planned Start]],NETWORKDAYS.INTL(Tasks[[#This Row],[Planned Start]],Tasks[[#This Row],[Forecast Start]],WorkWeek,Holidays)-1,1-NETWORKDAYS.INTL(Tasks[[#This Row],[Forecast Start]],Tasks[[#This Row],[Planned Start]],WorkWeek,Holidays)))</f>
        <v>1</v>
      </c>
      <c r="AE8" s="56" t="n">
        <f aca="false">IF(Tasks[[#This Row],[Task Name]]="","",IF(Tasks[[#This Row],[Forecast Finish]]&gt;=Tasks[[#This Row],[Planned Finish]],NETWORKDAYS.INTL(Tasks[[#This Row],[Planned Finish]],Tasks[[#This Row],[Forecast Finish]],WorkWeek,Holidays)-1,1-NETWORKDAYS.INTL(Tasks[[#This Row],[Forecast Finish]],Tasks[[#This Row],[Planned Finish]],WorkWeek,Holidays)))</f>
        <v>1</v>
      </c>
      <c r="AF8" s="25" t="n">
        <f aca="false">IF(Tasks[[#This Row],[Task Name]]="","",IF(Tasks[[#This Row],[_IsSummary]],MIN(INDEX(Tasks[_LeafLateStart],Tasks[[#This Row],[_Row]]+1):INDEX(Tasks[_LeafLateStart],Tasks[[#This Row],[_Row]]+Tasks[[#This Row],[_Descendants]])),Tasks[[#This Row],[_LeafLateStart]]))</f>
        <v>46282</v>
      </c>
      <c r="AG8" s="25" t="n">
        <f aca="false">IF(Tasks[[#This Row],[Task Name]]="","",IF(Tasks[[#This Row],[_IsSummary]],MAX(INDEX(Tasks[_LeafLateFinish],Tasks[[#This Row],[_Row]]+1):INDEX(Tasks[_LeafLateFinish],Tasks[[#This Row],[_Row]]+Tasks[[#This Row],[_Descendants]])),Tasks[[#This Row],[_LeafLateFinish]]))</f>
        <v>46283</v>
      </c>
      <c r="AH8" s="56" t="n">
        <f aca="false">IF(Tasks[[#This Row],[Task Name]]="","",IF(Tasks[[#This Row],[_IsSummary]],MIN(INDEX(Tasks[_LeafTotalSlack],Tasks[[#This Row],[_Row]]+1):INDEX(Tasks[_LeafTotalSlack],Tasks[[#This Row],[_Row]]+Tasks[[#This Row],[_Descendants]])),Tasks[[#This Row],[_LeafTotalSlack]]))</f>
        <v>4</v>
      </c>
      <c r="AI8"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8" s="45" t="str">
        <f aca="false">IF(Tasks[[#This Row],[Task Name]]="","",IF(IF(Tasks[[#This Row],[_IsSummary]],COUNTIF(INDEX(Tasks[_LeafCritical],Tasks[[#This Row],[_Row]]+1):INDEX(Tasks[_LeafCritical],Tasks[[#This Row],[_Row]]+Tasks[[#This Row],[_Descendants]]),TRUE())&gt;0,Tasks[[#This Row],[_LeafCritical]]),"Yes",""))</f>
        <v/>
      </c>
      <c r="AK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 s="102" t="n">
        <v>1</v>
      </c>
      <c r="AN8"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8" s="45" t="str">
        <f aca="false">IF(Tasks[[#This Row],[Task Name]]="","",IF(Tasks[[#This Row],[Progress]]&gt;=1,"Complete",IF(OR(N(Tasks[[#This Row],[Actual Start]])&gt;0,Tasks[[#This Row],[Progress]]&gt;0),IF(Tasks[[#This Row],[Finish Var]]&gt;0,"Behind","In Progress"),IF(Tasks[[#This Row],[Planned Start]]&lt;StatusDate,"Late Start","Not Started"))))</f>
        <v>Complete</v>
      </c>
      <c r="AP8" s="47" t="s">
        <v>313</v>
      </c>
      <c r="AQ8" s="102"/>
      <c r="AR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Morgan Patel</v>
      </c>
      <c r="AS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 s="110" t="n">
        <f aca="false">IF(Tasks[[#This Row],[Task Name]]="","",IF(Tasks[[#This Row],[_IsSummary]],SUM(INDEX(Tasks[_LeafTotalWork],Tasks[[#This Row],[_Row]]+1):INDEX(Tasks[_LeafTotalWork],Tasks[[#This Row],[_Row]]+Tasks[[#This Row],[_Descendants]])),Tasks[[#This Row],[_LeafTotalWork]]))</f>
        <v>16</v>
      </c>
      <c r="AU8" s="111" t="n">
        <f aca="false">IF(Tasks[[#This Row],[Task Name]]="","",IF(Tasks[[#This Row],[_IsSummary]],SUM(INDEX(Tasks[_LeafTotalCost],Tasks[[#This Row],[_Row]]+1):INDEX(Tasks[_LeafTotalCost],Tasks[[#This Row],[_Row]]+Tasks[[#This Row],[_Descendants]])),Tasks[[#This Row],[_LeafTotalCost]]))</f>
        <v>1120</v>
      </c>
      <c r="AV8" s="112"/>
      <c r="AW8" s="46"/>
      <c r="AX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1</v>
      </c>
      <c r="AY8" s="96" t="n">
        <v>2</v>
      </c>
      <c r="AZ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v>
      </c>
      <c r="BA8" s="47"/>
      <c r="BB8" s="25" t="n">
        <f aca="false">IF(Tasks[[#This Row],[Task Name]]="","",Tasks[[#This Row],[Forecast Start]])</f>
        <v>46276</v>
      </c>
      <c r="BC8" s="25" t="n">
        <f aca="false">IF(Tasks[[#This Row],[Task Name]]="","",Tasks[[#This Row],[Forecast Finish]])</f>
        <v>46279</v>
      </c>
      <c r="BD8" s="45" t="n">
        <f aca="false">IF(Tasks[[#This Row],[Task Name]]="","",IF(Tasks[[#This Row],[_IsSummary]],NETWORKDAYS.INTL(Tasks[[#This Row],[Forecast Start]],Tasks[[#This Row],[Forecast Finish]],WorkWeek,Holidays),N(Tasks[[#This Row],[Duration]])))</f>
        <v>2</v>
      </c>
      <c r="BE8" s="110" t="n">
        <f aca="false">IF(Tasks[[#This Row],[Task Name]]="","",Tasks[[#This Row],[Work]])</f>
        <v>16</v>
      </c>
      <c r="BF8" s="111" t="n">
        <f aca="false">IF(Tasks[[#This Row],[Task Name]]="","",Tasks[[#This Row],[Cost]])</f>
        <v>1120</v>
      </c>
      <c r="BG8" s="88"/>
      <c r="BH8" s="88"/>
      <c r="BI8" s="46"/>
      <c r="BJ8" s="113"/>
      <c r="BK8" s="112"/>
      <c r="BL8" s="45" t="str">
        <f aca="false">IF(OR(Tasks[[#This Row],[Task Name]]="",Tasks[[#This Row],[Baseline Duration]]=""),"",Tasks[[#This Row],[BL Source Duration]]-N(Tasks[[#This Row],[Baseline Duration]]))</f>
        <v/>
      </c>
      <c r="BM8" s="110" t="str">
        <f aca="false">IF(OR(Tasks[[#This Row],[Task Name]]="",Tasks[[#This Row],[Baseline Work]]=""),"",Tasks[[#This Row],[Work]]-N(Tasks[[#This Row],[Baseline Work]]))</f>
        <v/>
      </c>
      <c r="BN8" s="111" t="str">
        <f aca="false">IF(OR(Tasks[[#This Row],[Task Name]]="",Tasks[[#This Row],[Baseline Cost]]=""),"",Tasks[[#This Row],[Cost]]-N(Tasks[[#This Row],[Baseline Cost]]))</f>
        <v/>
      </c>
      <c r="BO8" s="111" t="n">
        <f aca="false">IF(Tasks[[#This Row],[Task Name]]="","",IF(Tasks[[#This Row],[_IsSummary]],SUM(INDEX(Tasks[_LeafBudget],Tasks[[#This Row],[_Row]]+1):INDEX(Tasks[_LeafBudget],Tasks[[#This Row],[_Row]]+Tasks[[#This Row],[_Descendants]])),Tasks[[#This Row],[_LeafBudget]]))</f>
        <v>1120</v>
      </c>
      <c r="BP8" s="111" t="n">
        <f aca="false">IF(Tasks[[#This Row],[Task Name]]="","",IF(Tasks[[#This Row],[_IsSummary]],SUM(INDEX(Tasks[_LeafPV],Tasks[[#This Row],[_Row]]+1):INDEX(Tasks[_LeafPV],Tasks[[#This Row],[_Row]]+Tasks[[#This Row],[_Descendants]])),Tasks[[#This Row],[_LeafPV]]))</f>
        <v>1120</v>
      </c>
      <c r="BQ8" s="111" t="n">
        <f aca="false">IF(Tasks[[#This Row],[Task Name]]="","",IF(Tasks[[#This Row],[_IsSummary]],SUM(INDEX(Tasks[_LeafEV],Tasks[[#This Row],[_Row]]+1):INDEX(Tasks[_LeafEV],Tasks[[#This Row],[_Row]]+Tasks[[#This Row],[_Descendants]])),Tasks[[#This Row],[_LeafEV]]))</f>
        <v>1120</v>
      </c>
      <c r="BR8" s="111" t="n">
        <f aca="false">IF(Tasks[[#This Row],[Task Name]]="","",IF(Tasks[[#This Row],[_IsSummary]],SUM(INDEX(Tasks[_LeafAC],Tasks[[#This Row],[_Row]]+1):INDEX(Tasks[_LeafAC],Tasks[[#This Row],[_Row]]+Tasks[[#This Row],[_Descendants]])),Tasks[[#This Row],[_LeafAC]]))</f>
        <v>1120</v>
      </c>
      <c r="BS8" s="32" t="n">
        <f aca="false">IF(Tasks[[#This Row],[Task Name]]="","",MAX(1,N(Tasks[[#This Row],[Level]])))</f>
        <v>2</v>
      </c>
      <c r="BT8" s="32" t="n">
        <f aca="false">ROW()-ROW(Tasks[[#Headers],[ID]])</f>
        <v>3</v>
      </c>
      <c r="BU8" s="32" t="n">
        <f aca="false">IF(OR(Tasks[[#This Row],[Task Name]]="",Tasks[[#This Row],[_Level]]&lt;=1),0,IFERROR(LOOKUP(2,1/(Tasks[[#Headers],[_Level]]:Tasks[[#This Row],[_Level]]=Tasks[[#This Row],[_Level]]-1),ROW(Tasks[[#Headers],[_Level]]:Tasks[[#This Row],[_Level]])),0))</f>
        <v>6</v>
      </c>
      <c r="BV8" s="32" t="n">
        <f aca="false">IFERROR(N(INDEX(Tasks[_Level],Tasks[[#This Row],[_Row]]+1)),0)</f>
        <v>2</v>
      </c>
      <c r="BW8" s="114" t="b">
        <f aca="false">AND(Tasks[[#This Row],[Task Name]]&lt;&gt;"",Tasks[[#This Row],[_NextLevel]]&gt;Tasks[[#This Row],[_Level]])</f>
        <v>0</v>
      </c>
      <c r="BX8" s="32" t="n">
        <f aca="false">IF(Tasks[[#This Row],[_IsSummary]],COUNTIF(Tasks[WBS],Tasks[[#This Row],[WBS]]&amp;".*"),0)</f>
        <v>0</v>
      </c>
      <c r="BY8" s="32" t="n">
        <f aca="false">IF(AND(Tasks[[#This Row],[Task Name]]&lt;&gt;"",NOT(Tasks[[#This Row],[_IsSummary]])),1,0)</f>
        <v>1</v>
      </c>
      <c r="BZ8" s="32" t="n">
        <f aca="false">IF(N(Tasks[[#This Row],[Pred1 UID]])=0,0,IFERROR(MATCH(Tasks[[#This Row],[Pred1 UID]],Tasks[UID],0),-1))</f>
        <v>2</v>
      </c>
      <c r="CA8" s="32" t="n">
        <f aca="false">IF(N(Tasks[[#This Row],[Pred2 UID]])=0,0,IFERROR(MATCH(Tasks[[#This Row],[Pred2 UID]],Tasks[UID],0),-1))</f>
        <v>0</v>
      </c>
      <c r="CB8" s="32" t="n">
        <f aca="false">IF(N(Tasks[[#This Row],[Pred3 UID]])=0,0,IFERROR(MATCH(Tasks[[#This Row],[Pred3 UID]],Tasks[UID],0),-1))</f>
        <v>0</v>
      </c>
      <c r="CC8" s="32" t="n">
        <f aca="false">IF(N(Tasks[[#This Row],[Pred4 UID]])=0,0,IFERROR(MATCH(Tasks[[#This Row],[Pred4 UID]],Tasks[UID],0),-1))</f>
        <v>0</v>
      </c>
      <c r="CD8"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 s="115" t="n">
        <f aca="false">IF(OR(Tasks[[#This Row],[_ConstraintCode]]=2,Tasks[[#This Row],[_ConstraintCode]]=3,Tasks[[#This Row],[_ConstraintCode]]=4,Tasks[[#This Row],[_ConstraintCode]]=6),Tasks[[#This Row],[_ConstraintStart]],0)</f>
        <v>0</v>
      </c>
      <c r="CG8" s="115" t="n">
        <f aca="false">IF(OR(Tasks[[#This Row],[_ConstraintCode]]=2,Tasks[[#This Row],[_ConstraintCode]]=3,Tasks[[#This Row],[_ConstraintCode]]=5,Tasks[[#This Row],[_ConstraintCode]]=7),Tasks[[#This Row],[_ConstraintStart]],2958465)</f>
        <v>2958465</v>
      </c>
      <c r="CH8"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46275</v>
      </c>
      <c r="CI8" s="115" t="n">
        <f aca="false">IF(NOT(Tasks[[#This Row],[_IsLeaf]]=1),"",IF(N(Tasks[[#This Row],[Duration]])&lt;=0,Tasks[[#This Row],[_LeafCalcStart]],WORKDAY.INTL(Tasks[[#This Row],[_LeafCalcStart]],Tasks[[#This Row],[Duration]]-1,WorkWeek,Holidays)))</f>
        <v>46276</v>
      </c>
      <c r="CJ8"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46276</v>
      </c>
      <c r="CK8"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46279</v>
      </c>
      <c r="CL8" s="32" t="n">
        <f aca="false">IF(NOT(Tasks[[#This Row],[_IsLeaf]]=1),0,IF(N(Tasks[[#This Row],[Actual Finish]])&gt;0,1,MIN(1,N(Tasks[[#This Row],[% Complete]]))))</f>
        <v>1</v>
      </c>
      <c r="CM8" s="32" t="n">
        <f aca="false">IF(OR(NOT(Tasks[[#This Row],[_IsLeaf]]=1),Tasks[[#This Row],[Resource]]=""),0,N(Tasks[[#This Row],[Duration]])*HoursPerDay*IF(Tasks[[#This Row],[Units]]="",DefaultUnits,Tasks[[#This Row],[Units]]))</f>
        <v>16</v>
      </c>
      <c r="CN8" s="32" t="n">
        <f aca="false">IF(Tasks[[#This Row],[_LeafWork]]=0,0,Tasks[[#This Row],[_LeafWork]]*IFERROR(INDEX(res_Rate,MATCH(Tasks[[#This Row],[Resource]],res_Name,0)),0))</f>
        <v>1120</v>
      </c>
      <c r="CO8" s="32" t="n">
        <f aca="false">Tasks[[#This Row],[_LeafWork]]+IF(Tasks[[#This Row],[_IsLeaf]]=1,SUMIFS(asg_Work,asg_TaskUID,Tasks[[#This Row],[UID]],asg_Valid,1),0)</f>
        <v>16</v>
      </c>
      <c r="CP8" s="32" t="n">
        <f aca="false">Tasks[[#This Row],[_LeafCost]]+IF(Tasks[[#This Row],[_IsLeaf]]=1,SUMIFS(asg_Cost,asg_TaskUID,Tasks[[#This Row],[UID]],asg_Valid,1),0)</f>
        <v>1120</v>
      </c>
      <c r="CQ8" s="32" t="n">
        <f aca="false">IF(Tasks[[#This Row],[_LeafTotalCost]]=0,Tasks[[#This Row],[_LeafAC]],Tasks[[#This Row],[_LeafAC]]*Tasks[[#This Row],[_LeafCost]]/Tasks[[#This Row],[_LeafTotalCost]])</f>
        <v>1120</v>
      </c>
      <c r="CR8"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2912184</v>
      </c>
      <c r="CS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 s="32" t="n">
        <f aca="false">IF(NOT(Tasks[[#This Row],[_IsLeaf]]=1),0,MAX(_xlfn.MAXIFS(Tasks[_Row],Tasks[Pred1 UID],Tasks[[#This Row],[UID]]),_xlfn.MAXIFS(Tasks[_Row],Tasks[Pred2 UID],Tasks[[#This Row],[UID]]),_xlfn.MAXIFS(Tasks[_Row],Tasks[Pred3 UID],Tasks[[#This Row],[UID]]),_xlfn.MAXIFS(Tasks[_Row],Tasks[Pred4 UID],Tasks[[#This Row],[UID]])))</f>
        <v>4</v>
      </c>
      <c r="DA8"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46283</v>
      </c>
      <c r="DB8"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46283</v>
      </c>
      <c r="DC8" s="115" t="n">
        <f aca="false">IF(NOT(Tasks[[#This Row],[_IsLeaf]]=1),"",IF(N(Tasks[[#This Row],[Duration]])&lt;=0,Tasks[[#This Row],[_LeafLateFinish]],WORKDAY.INTL(Tasks[[#This Row],[_LeafLateFinish]],-(Tasks[[#This Row],[Duration]]-1),WorkWeek,Holidays)))</f>
        <v>46282</v>
      </c>
      <c r="DD8"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DE8" s="114" t="b">
        <f aca="false">AND(Tasks[[#This Row],[_IsLeaf]]=1,Tasks[[#This Row],[_LeafProgress]]&lt;1,N(Tasks[[#This Row],[_LeafTotalSlack]])&lt;=CriticalSlackDays)</f>
        <v>0</v>
      </c>
      <c r="DF8" s="32" t="n">
        <f aca="false">IF(AND(Tasks[[#This Row],[_IsLeaf]]=1,Tasks[[#This Row],[_ConstraintCode]]=1,Tasks[[#This Row],[Mode]]&lt;&gt;"Manual",N(Tasks[[#This Row],[Actual Start]])=0),MAX(0,N(Tasks[[#This Row],[Free Slack]])),0)</f>
        <v>0</v>
      </c>
      <c r="DG8" s="115" t="n">
        <f aca="false">IF(NOT(Tasks[[#This Row],[_IsLeaf]]=1),"",IF(Tasks[[#This Row],[_AlapShift]]=0,Tasks[[#This Row],[_LeafCalcStart]],WORKDAY.INTL(Tasks[[#This Row],[_LeafCalcStart]],Tasks[[#This Row],[_AlapShift]],WorkWeek,Holidays)))</f>
        <v>46275</v>
      </c>
      <c r="DH8" s="115" t="n">
        <f aca="false">IF(NOT(Tasks[[#This Row],[_IsLeaf]]=1),"",IF(Tasks[[#This Row],[_AlapShift]]=0,Tasks[[#This Row],[_LeafCalcFinish]],WORKDAY.INTL(Tasks[[#This Row],[_LeafCalcFinish]],Tasks[[#This Row],[_AlapShift]],WorkWeek,Holidays)))</f>
        <v>46276</v>
      </c>
      <c r="DI8" s="115" t="n">
        <f aca="false">IF(NOT(Tasks[[#This Row],[_IsLeaf]]=1),"",IF(Tasks[[#This Row],[_AlapShift]]=0,Tasks[[#This Row],[_LeafFcstStart]],WORKDAY.INTL(Tasks[[#This Row],[_LeafFcstStart]],Tasks[[#This Row],[_AlapShift]],WorkWeek,Holidays)))</f>
        <v>46276</v>
      </c>
      <c r="DJ8" s="115" t="n">
        <f aca="false">IF(NOT(Tasks[[#This Row],[_IsLeaf]]=1),"",IF(Tasks[[#This Row],[_AlapShift]]=0,Tasks[[#This Row],[_LeafFcstFinish]],WORKDAY.INTL(Tasks[[#This Row],[_LeafFcstFinish]],Tasks[[#This Row],[_AlapShift]],WorkWeek,Holidays)))</f>
        <v>46279</v>
      </c>
      <c r="DK8" s="115" t="n">
        <f aca="false">IF(Tasks[[#This Row],[Task Name]]="","",IF(Tasks[[#This Row],[_IsSummary]],MIN(INDEX(Tasks[_ShownCalcStart],Tasks[[#This Row],[_Row]]+1):INDEX(Tasks[_ShownCalcStart],Tasks[[#This Row],[_Row]]+Tasks[[#This Row],[_Descendants]])),Tasks[[#This Row],[_ShownCalcStart]]))</f>
        <v>46275</v>
      </c>
      <c r="DL8" s="115" t="n">
        <f aca="false">IF(Tasks[[#This Row],[Task Name]]="","",IF(Tasks[[#This Row],[_IsSummary]],MAX(INDEX(Tasks[_ShownCalcFinish],Tasks[[#This Row],[_Row]]+1):INDEX(Tasks[_ShownCalcFinish],Tasks[[#This Row],[_Row]]+Tasks[[#This Row],[_Descendants]])),Tasks[[#This Row],[_ShownCalcFinish]]))</f>
        <v>46276</v>
      </c>
      <c r="DM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46275</v>
      </c>
      <c r="DR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46276</v>
      </c>
      <c r="DV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 s="32" t="n">
        <f aca="false">IF(AND(Tasks[[#This Row],[_IsLeaf]]=1,Tasks[[#This Row],[_LeafTotalWork]]&gt;0),NETWORKDAYS.INTL(ProjectStart,Tasks[[#This Row],[_ShownFcstStart]],WorkWeek,Holidays),0)</f>
        <v>5</v>
      </c>
      <c r="DZ8" s="32" t="n">
        <f aca="false">IF(AND(Tasks[[#This Row],[_IsLeaf]]=1,Tasks[[#This Row],[_LeafTotalWork]]&gt;0),MAX(Tasks[[#This Row],[_StartWorkday]],NETWORKDAYS.INTL(ProjectStart,Tasks[[#This Row],[_ShownFcstFinish]],WorkWeek,Holidays)),0)</f>
        <v>6</v>
      </c>
      <c r="EA8" s="32" t="n">
        <f aca="false">IF(AND(Tasks[[#This Row],[_IsLeaf]]=1,Tasks[[#This Row],[_LeafTotalWork]]&gt;0),Tasks[[#This Row],[_LeafWork]]/(Tasks[[#This Row],[_FinishWorkday]]-Tasks[[#This Row],[_StartWorkday]]+1),0)</f>
        <v>8</v>
      </c>
      <c r="EB8" s="32" t="n">
        <f aca="false">Tasks[[#This Row],[_WorkPerWorkday]]*(Tasks[[#This Row],[_StartWorkday]]-1)</f>
        <v>32</v>
      </c>
      <c r="EC8" s="32" t="n">
        <f aca="false">IF(Tasks[[#This Row],[_IsLeaf]]=1,MAX(N(Tasks[[#This Row],[Duration]]),0.1),0)</f>
        <v>2</v>
      </c>
      <c r="ED8" s="32" t="n">
        <f aca="false">Tasks[[#This Row],[_WeightDur]]*Tasks[[#This Row],[_LeafProgress]]</f>
        <v>2</v>
      </c>
      <c r="EE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v>
      </c>
      <c r="EF8" s="32" t="str">
        <f aca="false">IF(AND(Tasks[[#This Row],[_IsLeaf]]=1,N(Tasks[[#This Row],[Duration]])=0,Tasks[[#This Row],[_LeafProgress]]&lt;1),Tasks[[#This Row],[_ShownFcstFinish]]+Tasks[[#This Row],[_Row]]/100000,"")</f>
        <v/>
      </c>
      <c r="EG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8" s="32" t="n">
        <f aca="false">IF(NOT(Tasks[[#This Row],[_IsLeaf]]=1),0,IF(Tasks[[#This Row],[Baseline Cost]]="",Tasks[[#This Row],[_LeafTotalCost]],N(Tasks[[#This Row],[Baseline Cost]])))</f>
        <v>1120</v>
      </c>
      <c r="EI8" s="32" t="n">
        <f aca="false">Tasks[[#This Row],[_LeafBudget]]*Tasks[[#This Row],[_PlannedPct]]</f>
        <v>1120</v>
      </c>
      <c r="EJ8" s="32" t="n">
        <f aca="false">Tasks[[#This Row],[_LeafBudget]]*Tasks[[#This Row],[_LeafProgress]]</f>
        <v>1120</v>
      </c>
      <c r="EK8" s="32" t="n">
        <f aca="false">IF(NOT(Tasks[[#This Row],[_IsLeaf]]=1),0,IF(Tasks[[#This Row],[Actual Cost]]="",Tasks[[#This Row],[_LeafTotalCost]]*Tasks[[#This Row],[_LeafProgress]],N(Tasks[[#This Row],[Actual Cost]])))</f>
        <v>1120</v>
      </c>
      <c r="EL8" s="32" t="str">
        <f aca="false">IF(Tasks[[#This Row],[Task Name]]="","",LEFT(Tasks[[#This Row],[WBS]],FIND(".",Tasks[[#This Row],[WBS]]&amp;".")-1))</f>
        <v>1</v>
      </c>
      <c r="EM8" s="32" t="str">
        <f aca="false">IF(AND(Tasks[[#This Row],[Task Name]]&lt;&gt;"",Tasks[[#This Row],[_Level]]=1),Tasks[[#This Row],[_Row]],"")</f>
        <v/>
      </c>
      <c r="EN8" s="32" t="str">
        <f aca="false">IF(AND(Tasks[[#This Row],[_IsLeaf]]=1,N(Tasks[[#This Row],[Duration]])=0),Tasks[[#This Row],[Planned Finish]]+Tasks[[#This Row],[_Row]]/100000,"")</f>
        <v/>
      </c>
      <c r="EO8" s="32" t="str">
        <f aca="false">IF(AND(Tasks[[#This Row],[_IsLeaf]]=1,Tasks[[#This Row],[_LeafProgress]]&lt;1,OR(N(Tasks[[#This Row],[Finish Var]])&gt;0,Tasks[[#This Row],[Status]]="Late Start")),MAX(0,Tasks[[#This Row],[Finish Var]])+1-Tasks[[#This Row],[_Row]]/1000000,"")</f>
        <v/>
      </c>
      <c r="EP8" s="32" t="str">
        <f aca="false">IF(AND(Tasks[[#This Row],[_IsLeaf]]=1,N(Tasks[[#This Row],[Actual Start]])=0,Tasks[[#This Row],[_ShownFcstStart]]&gt;=StatusDate,Tasks[[#This Row],[_ShownFcstStart]]&lt;=LookaheadEnd),Tasks[[#This Row],[_ShownFcstStart]]+Tasks[[#This Row],[_Row]]/100000,"")</f>
        <v/>
      </c>
      <c r="EQ8" s="32" t="str">
        <f aca="false">IF(AND(Tasks[[#This Row],[_IsLeaf]]=1,Tasks[[#This Row],[_LeafProgress]]&lt;1,Tasks[[#This Row],[_ShownFcstFinish]]&gt;=StatusDate,Tasks[[#This Row],[_ShownFcstFinish]]&lt;=LookaheadEnd),Tasks[[#This Row],[_ShownFcstFinish]]+Tasks[[#This Row],[_Row]]/100000,"")</f>
        <v/>
      </c>
      <c r="ER8" s="32" t="str">
        <f aca="false">IF(Tasks[[#This Row],[_LeafCritical]],Tasks[[#This Row],[_ShownFcstStart]]+Tasks[[#This Row],[_Row]]/100000,"")</f>
        <v/>
      </c>
      <c r="ES8" s="32" t="n">
        <f aca="false">Tasks[[#This Row],[_LeafWork]]*Tasks[[#This Row],[_LeafProgress]]</f>
        <v>16</v>
      </c>
      <c r="ET8" s="115" t="n">
        <f aca="false">IF(AND(Tasks[[#This Row],[_IsLeaf]]=1,Tasks[[#This Row],[_LeafProgress]]&gt;=1),IF(N(Tasks[[#This Row],[Actual Finish]])&gt;0,Tasks[[#This Row],[Actual Finish]],Tasks[[#This Row],[_ShownFcstFinish]]),"")</f>
        <v>46279</v>
      </c>
      <c r="EU8" s="32" t="n">
        <f aca="false">IF(Tasks[[#This Row],[_IsLeaf]]=1,N(Tasks[[#This Row],[Story Points]]),0)</f>
        <v>2</v>
      </c>
      <c r="EV8" s="32" t="str">
        <f aca="false">IF(AND(Tasks[[#This Row],[_IsLeaf]]=1,CurrentSprint&lt;&gt;"",Tasks[[#This Row],[Sprint]]=CurrentSprint),Tasks[[#This Row],[_Row]],"")</f>
        <v/>
      </c>
    </row>
    <row r="9" customFormat="false" ht="15" hidden="false" customHeight="false" outlineLevel="1" collapsed="false">
      <c r="A9" s="45" t="n">
        <f aca="false">IF(Tasks[[#This Row],[Task Name]]="","",COUNTA(Tasks[[#Headers],[Task Name]]:Tasks[[#This Row],[Task Name]])-1)</f>
        <v>4</v>
      </c>
      <c r="B9" s="46" t="n">
        <v>4</v>
      </c>
      <c r="C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1.3</v>
      </c>
      <c r="D9" s="46" t="n">
        <v>2</v>
      </c>
      <c r="E9" s="45" t="str">
        <f aca="false">IF(Tasks[[#This Row],[Task Name]]="","",IF(Tasks[[#This Row],[_Level]]&lt;=OutlineShowLevel,"Yes","No"))</f>
        <v>Yes</v>
      </c>
      <c r="F9" s="47" t="s">
        <v>648</v>
      </c>
      <c r="G9" s="46" t="s">
        <v>642</v>
      </c>
      <c r="H9" s="46" t="n">
        <v>0</v>
      </c>
      <c r="I9" s="46" t="n">
        <v>3</v>
      </c>
      <c r="J9" s="46" t="s">
        <v>647</v>
      </c>
      <c r="K9" s="46"/>
      <c r="L9" s="46"/>
      <c r="M9" s="46"/>
      <c r="N9" s="46"/>
      <c r="O9" s="46"/>
      <c r="P9" s="46"/>
      <c r="Q9" s="46"/>
      <c r="R9" s="46"/>
      <c r="S9" s="46"/>
      <c r="T9" s="46"/>
      <c r="U9" s="47"/>
      <c r="V9" s="88"/>
      <c r="W9" s="88"/>
      <c r="X9" s="25" t="n">
        <f aca="false">IF(Tasks[[#This Row],[Task Name]]="","",IF(N(Tasks[[#This Row],[Baseline Start]])&gt;0,Tasks[[#This Row],[Baseline Start]],Tasks[[#This Row],[_CalcStart]]))</f>
        <v>46276</v>
      </c>
      <c r="Y9" s="25" t="n">
        <f aca="false">IF(Tasks[[#This Row],[Task Name]]="","",IF(N(Tasks[[#This Row],[Baseline Finish]])&gt;0,Tasks[[#This Row],[Baseline Finish]],Tasks[[#This Row],[_CalcFinish]]))</f>
        <v>46276</v>
      </c>
      <c r="Z9" s="88" t="n">
        <v>46279</v>
      </c>
      <c r="AA9" s="88" t="n">
        <v>46279</v>
      </c>
      <c r="AB9" s="25" t="n">
        <f aca="false">IF(Tasks[[#This Row],[Task Name]]="","",IF(Tasks[[#This Row],[_IsSummary]],MIN(INDEX(Tasks[_ShownFcstStart],Tasks[[#This Row],[_Row]]+1):INDEX(Tasks[_ShownFcstStart],Tasks[[#This Row],[_Row]]+Tasks[[#This Row],[_Descendants]])),Tasks[[#This Row],[_ShownFcstStart]]))</f>
        <v>46279</v>
      </c>
      <c r="AC9" s="25" t="n">
        <f aca="false">IF(Tasks[[#This Row],[Task Name]]="","",IF(Tasks[[#This Row],[_IsSummary]],MAX(INDEX(Tasks[_ShownFcstFinish],Tasks[[#This Row],[_Row]]+1):INDEX(Tasks[_ShownFcstFinish],Tasks[[#This Row],[_Row]]+Tasks[[#This Row],[_Descendants]])),Tasks[[#This Row],[_ShownFcstFinish]]))</f>
        <v>46279</v>
      </c>
      <c r="AD9" s="56" t="n">
        <f aca="false">IF(Tasks[[#This Row],[Task Name]]="","",IF(Tasks[[#This Row],[Forecast Start]]&gt;=Tasks[[#This Row],[Planned Start]],NETWORKDAYS.INTL(Tasks[[#This Row],[Planned Start]],Tasks[[#This Row],[Forecast Start]],WorkWeek,Holidays)-1,1-NETWORKDAYS.INTL(Tasks[[#This Row],[Forecast Start]],Tasks[[#This Row],[Planned Start]],WorkWeek,Holidays)))</f>
        <v>1</v>
      </c>
      <c r="AE9" s="56" t="n">
        <f aca="false">IF(Tasks[[#This Row],[Task Name]]="","",IF(Tasks[[#This Row],[Forecast Finish]]&gt;=Tasks[[#This Row],[Planned Finish]],NETWORKDAYS.INTL(Tasks[[#This Row],[Planned Finish]],Tasks[[#This Row],[Forecast Finish]],WorkWeek,Holidays)-1,1-NETWORKDAYS.INTL(Tasks[[#This Row],[Forecast Finish]],Tasks[[#This Row],[Planned Finish]],WorkWeek,Holidays)))</f>
        <v>1</v>
      </c>
      <c r="AF9" s="25" t="n">
        <f aca="false">IF(Tasks[[#This Row],[Task Name]]="","",IF(Tasks[[#This Row],[_IsSummary]],MIN(INDEX(Tasks[_LeafLateStart],Tasks[[#This Row],[_Row]]+1):INDEX(Tasks[_LeafLateStart],Tasks[[#This Row],[_Row]]+Tasks[[#This Row],[_Descendants]])),Tasks[[#This Row],[_LeafLateStart]]))</f>
        <v>46283</v>
      </c>
      <c r="AG9" s="25" t="n">
        <f aca="false">IF(Tasks[[#This Row],[Task Name]]="","",IF(Tasks[[#This Row],[_IsSummary]],MAX(INDEX(Tasks[_LeafLateFinish],Tasks[[#This Row],[_Row]]+1):INDEX(Tasks[_LeafLateFinish],Tasks[[#This Row],[_Row]]+Tasks[[#This Row],[_Descendants]])),Tasks[[#This Row],[_LeafLateFinish]]))</f>
        <v>46283</v>
      </c>
      <c r="AH9" s="56" t="n">
        <f aca="false">IF(Tasks[[#This Row],[Task Name]]="","",IF(Tasks[[#This Row],[_IsSummary]],MIN(INDEX(Tasks[_LeafTotalSlack],Tasks[[#This Row],[_Row]]+1):INDEX(Tasks[_LeafTotalSlack],Tasks[[#This Row],[_Row]]+Tasks[[#This Row],[_Descendants]])),Tasks[[#This Row],[_LeafTotalSlack]]))</f>
        <v>4</v>
      </c>
      <c r="AI9"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9" s="45" t="str">
        <f aca="false">IF(Tasks[[#This Row],[Task Name]]="","",IF(IF(Tasks[[#This Row],[_IsSummary]],COUNTIF(INDEX(Tasks[_LeafCritical],Tasks[[#This Row],[_Row]]+1):INDEX(Tasks[_LeafCritical],Tasks[[#This Row],[_Row]]+Tasks[[#This Row],[_Descendants]]),TRUE())&gt;0,Tasks[[#This Row],[_LeafCritical]]),"Yes",""))</f>
        <v/>
      </c>
      <c r="AK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 s="102" t="n">
        <v>1</v>
      </c>
      <c r="AN9"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9" s="45" t="str">
        <f aca="false">IF(Tasks[[#This Row],[Task Name]]="","",IF(Tasks[[#This Row],[Progress]]&gt;=1,"Complete",IF(OR(N(Tasks[[#This Row],[Actual Start]])&gt;0,Tasks[[#This Row],[Progress]]&gt;0),IF(Tasks[[#This Row],[Finish Var]]&gt;0,"Behind","In Progress"),IF(Tasks[[#This Row],[Planned Start]]&lt;StatusDate,"Late Start","Not Started"))))</f>
        <v>Complete</v>
      </c>
      <c r="AP9" s="47"/>
      <c r="AQ9" s="102"/>
      <c r="AR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 s="110" t="n">
        <f aca="false">IF(Tasks[[#This Row],[Task Name]]="","",IF(Tasks[[#This Row],[_IsSummary]],SUM(INDEX(Tasks[_LeafTotalWork],Tasks[[#This Row],[_Row]]+1):INDEX(Tasks[_LeafTotalWork],Tasks[[#This Row],[_Row]]+Tasks[[#This Row],[_Descendants]])),Tasks[[#This Row],[_LeafTotalWork]]))</f>
        <v>0</v>
      </c>
      <c r="AU9" s="111" t="n">
        <f aca="false">IF(Tasks[[#This Row],[Task Name]]="","",IF(Tasks[[#This Row],[_IsSummary]],SUM(INDEX(Tasks[_LeafTotalCost],Tasks[[#This Row],[_Row]]+1):INDEX(Tasks[_LeafTotalCost],Tasks[[#This Row],[_Row]]+Tasks[[#This Row],[_Descendants]])),Tasks[[#This Row],[_LeafTotalCost]]))</f>
        <v>0</v>
      </c>
      <c r="AV9" s="112"/>
      <c r="AW9" s="46"/>
      <c r="AX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1</v>
      </c>
      <c r="AY9" s="96"/>
      <c r="AZ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3</v>
      </c>
      <c r="BA9" s="47" t="s">
        <v>649</v>
      </c>
      <c r="BB9" s="25" t="n">
        <f aca="false">IF(Tasks[[#This Row],[Task Name]]="","",Tasks[[#This Row],[Forecast Start]])</f>
        <v>46279</v>
      </c>
      <c r="BC9" s="25" t="n">
        <f aca="false">IF(Tasks[[#This Row],[Task Name]]="","",Tasks[[#This Row],[Forecast Finish]])</f>
        <v>46279</v>
      </c>
      <c r="BD9" s="45" t="n">
        <f aca="false">IF(Tasks[[#This Row],[Task Name]]="","",IF(Tasks[[#This Row],[_IsSummary]],NETWORKDAYS.INTL(Tasks[[#This Row],[Forecast Start]],Tasks[[#This Row],[Forecast Finish]],WorkWeek,Holidays),N(Tasks[[#This Row],[Duration]])))</f>
        <v>0</v>
      </c>
      <c r="BE9" s="110" t="n">
        <f aca="false">IF(Tasks[[#This Row],[Task Name]]="","",Tasks[[#This Row],[Work]])</f>
        <v>0</v>
      </c>
      <c r="BF9" s="111" t="n">
        <f aca="false">IF(Tasks[[#This Row],[Task Name]]="","",Tasks[[#This Row],[Cost]])</f>
        <v>0</v>
      </c>
      <c r="BG9" s="88"/>
      <c r="BH9" s="88"/>
      <c r="BI9" s="46"/>
      <c r="BJ9" s="113"/>
      <c r="BK9" s="112"/>
      <c r="BL9" s="45" t="str">
        <f aca="false">IF(OR(Tasks[[#This Row],[Task Name]]="",Tasks[[#This Row],[Baseline Duration]]=""),"",Tasks[[#This Row],[BL Source Duration]]-N(Tasks[[#This Row],[Baseline Duration]]))</f>
        <v/>
      </c>
      <c r="BM9" s="110" t="str">
        <f aca="false">IF(OR(Tasks[[#This Row],[Task Name]]="",Tasks[[#This Row],[Baseline Work]]=""),"",Tasks[[#This Row],[Work]]-N(Tasks[[#This Row],[Baseline Work]]))</f>
        <v/>
      </c>
      <c r="BN9" s="111" t="str">
        <f aca="false">IF(OR(Tasks[[#This Row],[Task Name]]="",Tasks[[#This Row],[Baseline Cost]]=""),"",Tasks[[#This Row],[Cost]]-N(Tasks[[#This Row],[Baseline Cost]]))</f>
        <v/>
      </c>
      <c r="BO9" s="111" t="n">
        <f aca="false">IF(Tasks[[#This Row],[Task Name]]="","",IF(Tasks[[#This Row],[_IsSummary]],SUM(INDEX(Tasks[_LeafBudget],Tasks[[#This Row],[_Row]]+1):INDEX(Tasks[_LeafBudget],Tasks[[#This Row],[_Row]]+Tasks[[#This Row],[_Descendants]])),Tasks[[#This Row],[_LeafBudget]]))</f>
        <v>0</v>
      </c>
      <c r="BP9" s="111" t="n">
        <f aca="false">IF(Tasks[[#This Row],[Task Name]]="","",IF(Tasks[[#This Row],[_IsSummary]],SUM(INDEX(Tasks[_LeafPV],Tasks[[#This Row],[_Row]]+1):INDEX(Tasks[_LeafPV],Tasks[[#This Row],[_Row]]+Tasks[[#This Row],[_Descendants]])),Tasks[[#This Row],[_LeafPV]]))</f>
        <v>0</v>
      </c>
      <c r="BQ9" s="111" t="n">
        <f aca="false">IF(Tasks[[#This Row],[Task Name]]="","",IF(Tasks[[#This Row],[_IsSummary]],SUM(INDEX(Tasks[_LeafEV],Tasks[[#This Row],[_Row]]+1):INDEX(Tasks[_LeafEV],Tasks[[#This Row],[_Row]]+Tasks[[#This Row],[_Descendants]])),Tasks[[#This Row],[_LeafEV]]))</f>
        <v>0</v>
      </c>
      <c r="BR9" s="111" t="n">
        <f aca="false">IF(Tasks[[#This Row],[Task Name]]="","",IF(Tasks[[#This Row],[_IsSummary]],SUM(INDEX(Tasks[_LeafAC],Tasks[[#This Row],[_Row]]+1):INDEX(Tasks[_LeafAC],Tasks[[#This Row],[_Row]]+Tasks[[#This Row],[_Descendants]])),Tasks[[#This Row],[_LeafAC]]))</f>
        <v>0</v>
      </c>
      <c r="BS9" s="32" t="n">
        <f aca="false">IF(Tasks[[#This Row],[Task Name]]="","",MAX(1,N(Tasks[[#This Row],[Level]])))</f>
        <v>2</v>
      </c>
      <c r="BT9" s="32" t="n">
        <f aca="false">ROW()-ROW(Tasks[[#Headers],[ID]])</f>
        <v>4</v>
      </c>
      <c r="BU9" s="32" t="n">
        <f aca="false">IF(OR(Tasks[[#This Row],[Task Name]]="",Tasks[[#This Row],[_Level]]&lt;=1),0,IFERROR(LOOKUP(2,1/(Tasks[[#Headers],[_Level]]:Tasks[[#This Row],[_Level]]=Tasks[[#This Row],[_Level]]-1),ROW(Tasks[[#Headers],[_Level]]:Tasks[[#This Row],[_Level]])),0))</f>
        <v>6</v>
      </c>
      <c r="BV9" s="32" t="n">
        <f aca="false">IFERROR(N(INDEX(Tasks[_Level],Tasks[[#This Row],[_Row]]+1)),0)</f>
        <v>1</v>
      </c>
      <c r="BW9" s="114" t="b">
        <f aca="false">AND(Tasks[[#This Row],[Task Name]]&lt;&gt;"",Tasks[[#This Row],[_NextLevel]]&gt;Tasks[[#This Row],[_Level]])</f>
        <v>0</v>
      </c>
      <c r="BX9" s="32" t="n">
        <f aca="false">IF(Tasks[[#This Row],[_IsSummary]],COUNTIF(Tasks[WBS],Tasks[[#This Row],[WBS]]&amp;".*"),0)</f>
        <v>0</v>
      </c>
      <c r="BY9" s="32" t="n">
        <f aca="false">IF(AND(Tasks[[#This Row],[Task Name]]&lt;&gt;"",NOT(Tasks[[#This Row],[_IsSummary]])),1,0)</f>
        <v>1</v>
      </c>
      <c r="BZ9" s="32" t="n">
        <f aca="false">IF(N(Tasks[[#This Row],[Pred1 UID]])=0,0,IFERROR(MATCH(Tasks[[#This Row],[Pred1 UID]],Tasks[UID],0),-1))</f>
        <v>3</v>
      </c>
      <c r="CA9" s="32" t="n">
        <f aca="false">IF(N(Tasks[[#This Row],[Pred2 UID]])=0,0,IFERROR(MATCH(Tasks[[#This Row],[Pred2 UID]],Tasks[UID],0),-1))</f>
        <v>0</v>
      </c>
      <c r="CB9" s="32" t="n">
        <f aca="false">IF(N(Tasks[[#This Row],[Pred3 UID]])=0,0,IFERROR(MATCH(Tasks[[#This Row],[Pred3 UID]],Tasks[UID],0),-1))</f>
        <v>0</v>
      </c>
      <c r="CC9" s="32" t="n">
        <f aca="false">IF(N(Tasks[[#This Row],[Pred4 UID]])=0,0,IFERROR(MATCH(Tasks[[#This Row],[Pred4 UID]],Tasks[UID],0),-1))</f>
        <v>0</v>
      </c>
      <c r="CD9"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 s="115" t="n">
        <f aca="false">IF(OR(Tasks[[#This Row],[_ConstraintCode]]=2,Tasks[[#This Row],[_ConstraintCode]]=3,Tasks[[#This Row],[_ConstraintCode]]=4,Tasks[[#This Row],[_ConstraintCode]]=6),Tasks[[#This Row],[_ConstraintStart]],0)</f>
        <v>0</v>
      </c>
      <c r="CG9" s="115" t="n">
        <f aca="false">IF(OR(Tasks[[#This Row],[_ConstraintCode]]=2,Tasks[[#This Row],[_ConstraintCode]]=3,Tasks[[#This Row],[_ConstraintCode]]=5,Tasks[[#This Row],[_ConstraintCode]]=7),Tasks[[#This Row],[_ConstraintStart]],2958465)</f>
        <v>2958465</v>
      </c>
      <c r="CH9"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46276</v>
      </c>
      <c r="CI9" s="115" t="n">
        <f aca="false">IF(NOT(Tasks[[#This Row],[_IsLeaf]]=1),"",IF(N(Tasks[[#This Row],[Duration]])&lt;=0,Tasks[[#This Row],[_LeafCalcStart]],WORKDAY.INTL(Tasks[[#This Row],[_LeafCalcStart]],Tasks[[#This Row],[Duration]]-1,WorkWeek,Holidays)))</f>
        <v>46276</v>
      </c>
      <c r="CJ9"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46279</v>
      </c>
      <c r="CK9"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46279</v>
      </c>
      <c r="CL9" s="32" t="n">
        <f aca="false">IF(NOT(Tasks[[#This Row],[_IsLeaf]]=1),0,IF(N(Tasks[[#This Row],[Actual Finish]])&gt;0,1,MIN(1,N(Tasks[[#This Row],[% Complete]]))))</f>
        <v>1</v>
      </c>
      <c r="CM9" s="32" t="n">
        <f aca="false">IF(OR(NOT(Tasks[[#This Row],[_IsLeaf]]=1),Tasks[[#This Row],[Resource]]=""),0,N(Tasks[[#This Row],[Duration]])*HoursPerDay*IF(Tasks[[#This Row],[Units]]="",DefaultUnits,Tasks[[#This Row],[Units]]))</f>
        <v>0</v>
      </c>
      <c r="CN9" s="32" t="n">
        <f aca="false">IF(Tasks[[#This Row],[_LeafWork]]=0,0,Tasks[[#This Row],[_LeafWork]]*IFERROR(INDEX(res_Rate,MATCH(Tasks[[#This Row],[Resource]],res_Name,0)),0))</f>
        <v>0</v>
      </c>
      <c r="CO9" s="32" t="n">
        <f aca="false">Tasks[[#This Row],[_LeafWork]]+IF(Tasks[[#This Row],[_IsLeaf]]=1,SUMIFS(asg_Work,asg_TaskUID,Tasks[[#This Row],[UID]],asg_Valid,1),0)</f>
        <v>0</v>
      </c>
      <c r="CP9" s="32" t="n">
        <f aca="false">Tasks[[#This Row],[_LeafCost]]+IF(Tasks[[#This Row],[_IsLeaf]]=1,SUMIFS(asg_Cost,asg_TaskUID,Tasks[[#This Row],[UID]],asg_Valid,1),0)</f>
        <v>0</v>
      </c>
      <c r="CQ9" s="32" t="n">
        <f aca="false">IF(Tasks[[#This Row],[_LeafTotalCost]]=0,Tasks[[#This Row],[_LeafAC]],Tasks[[#This Row],[_LeafAC]]*Tasks[[#This Row],[_LeafCost]]/Tasks[[#This Row],[_LeafTotalCost]])</f>
        <v>0</v>
      </c>
      <c r="CR9"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2912182</v>
      </c>
      <c r="CS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 s="32" t="n">
        <f aca="false">IF(NOT(Tasks[[#This Row],[_IsLeaf]]=1),0,MAX(_xlfn.MAXIFS(Tasks[_Row],Tasks[Pred1 UID],Tasks[[#This Row],[UID]]),_xlfn.MAXIFS(Tasks[_Row],Tasks[Pred2 UID],Tasks[[#This Row],[UID]]),_xlfn.MAXIFS(Tasks[_Row],Tasks[Pred3 UID],Tasks[[#This Row],[UID]]),_xlfn.MAXIFS(Tasks[_Row],Tasks[Pred4 UID],Tasks[[#This Row],[UID]])))</f>
        <v>6</v>
      </c>
      <c r="DA9"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46283</v>
      </c>
      <c r="DB9"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46283</v>
      </c>
      <c r="DC9" s="115" t="n">
        <f aca="false">IF(NOT(Tasks[[#This Row],[_IsLeaf]]=1),"",IF(N(Tasks[[#This Row],[Duration]])&lt;=0,Tasks[[#This Row],[_LeafLateFinish]],WORKDAY.INTL(Tasks[[#This Row],[_LeafLateFinish]],-(Tasks[[#This Row],[Duration]]-1),WorkWeek,Holidays)))</f>
        <v>46283</v>
      </c>
      <c r="DD9"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DE9" s="114" t="b">
        <f aca="false">AND(Tasks[[#This Row],[_IsLeaf]]=1,Tasks[[#This Row],[_LeafProgress]]&lt;1,N(Tasks[[#This Row],[_LeafTotalSlack]])&lt;=CriticalSlackDays)</f>
        <v>0</v>
      </c>
      <c r="DF9" s="32" t="n">
        <f aca="false">IF(AND(Tasks[[#This Row],[_IsLeaf]]=1,Tasks[[#This Row],[_ConstraintCode]]=1,Tasks[[#This Row],[Mode]]&lt;&gt;"Manual",N(Tasks[[#This Row],[Actual Start]])=0),MAX(0,N(Tasks[[#This Row],[Free Slack]])),0)</f>
        <v>0</v>
      </c>
      <c r="DG9" s="115" t="n">
        <f aca="false">IF(NOT(Tasks[[#This Row],[_IsLeaf]]=1),"",IF(Tasks[[#This Row],[_AlapShift]]=0,Tasks[[#This Row],[_LeafCalcStart]],WORKDAY.INTL(Tasks[[#This Row],[_LeafCalcStart]],Tasks[[#This Row],[_AlapShift]],WorkWeek,Holidays)))</f>
        <v>46276</v>
      </c>
      <c r="DH9" s="115" t="n">
        <f aca="false">IF(NOT(Tasks[[#This Row],[_IsLeaf]]=1),"",IF(Tasks[[#This Row],[_AlapShift]]=0,Tasks[[#This Row],[_LeafCalcFinish]],WORKDAY.INTL(Tasks[[#This Row],[_LeafCalcFinish]],Tasks[[#This Row],[_AlapShift]],WorkWeek,Holidays)))</f>
        <v>46276</v>
      </c>
      <c r="DI9" s="115" t="n">
        <f aca="false">IF(NOT(Tasks[[#This Row],[_IsLeaf]]=1),"",IF(Tasks[[#This Row],[_AlapShift]]=0,Tasks[[#This Row],[_LeafFcstStart]],WORKDAY.INTL(Tasks[[#This Row],[_LeafFcstStart]],Tasks[[#This Row],[_AlapShift]],WorkWeek,Holidays)))</f>
        <v>46279</v>
      </c>
      <c r="DJ9" s="115" t="n">
        <f aca="false">IF(NOT(Tasks[[#This Row],[_IsLeaf]]=1),"",IF(Tasks[[#This Row],[_AlapShift]]=0,Tasks[[#This Row],[_LeafFcstFinish]],WORKDAY.INTL(Tasks[[#This Row],[_LeafFcstFinish]],Tasks[[#This Row],[_AlapShift]],WorkWeek,Holidays)))</f>
        <v>46279</v>
      </c>
      <c r="DK9" s="115" t="n">
        <f aca="false">IF(Tasks[[#This Row],[Task Name]]="","",IF(Tasks[[#This Row],[_IsSummary]],MIN(INDEX(Tasks[_ShownCalcStart],Tasks[[#This Row],[_Row]]+1):INDEX(Tasks[_ShownCalcStart],Tasks[[#This Row],[_Row]]+Tasks[[#This Row],[_Descendants]])),Tasks[[#This Row],[_ShownCalcStart]]))</f>
        <v>46276</v>
      </c>
      <c r="DL9" s="115" t="n">
        <f aca="false">IF(Tasks[[#This Row],[Task Name]]="","",IF(Tasks[[#This Row],[_IsSummary]],MAX(INDEX(Tasks[_ShownCalcFinish],Tasks[[#This Row],[_Row]]+1):INDEX(Tasks[_ShownCalcFinish],Tasks[[#This Row],[_Row]]+Tasks[[#This Row],[_Descendants]])),Tasks[[#This Row],[_ShownCalcFinish]]))</f>
        <v>46276</v>
      </c>
      <c r="DM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46276</v>
      </c>
      <c r="DR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46279</v>
      </c>
      <c r="DV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 s="32" t="n">
        <f aca="false">IF(AND(Tasks[[#This Row],[_IsLeaf]]=1,Tasks[[#This Row],[_LeafTotalWork]]&gt;0),NETWORKDAYS.INTL(ProjectStart,Tasks[[#This Row],[_ShownFcstStart]],WorkWeek,Holidays),0)</f>
        <v>0</v>
      </c>
      <c r="DZ9" s="32" t="n">
        <f aca="false">IF(AND(Tasks[[#This Row],[_IsLeaf]]=1,Tasks[[#This Row],[_LeafTotalWork]]&gt;0),MAX(Tasks[[#This Row],[_StartWorkday]],NETWORKDAYS.INTL(ProjectStart,Tasks[[#This Row],[_ShownFcstFinish]],WorkWeek,Holidays)),0)</f>
        <v>0</v>
      </c>
      <c r="EA9" s="32" t="n">
        <f aca="false">IF(AND(Tasks[[#This Row],[_IsLeaf]]=1,Tasks[[#This Row],[_LeafTotalWork]]&gt;0),Tasks[[#This Row],[_LeafWork]]/(Tasks[[#This Row],[_FinishWorkday]]-Tasks[[#This Row],[_StartWorkday]]+1),0)</f>
        <v>0</v>
      </c>
      <c r="EB9" s="32" t="n">
        <f aca="false">Tasks[[#This Row],[_WorkPerWorkday]]*(Tasks[[#This Row],[_StartWorkday]]-1)</f>
        <v>-0</v>
      </c>
      <c r="EC9" s="32" t="n">
        <f aca="false">IF(Tasks[[#This Row],[_IsLeaf]]=1,MAX(N(Tasks[[#This Row],[Duration]]),0.1),0)</f>
        <v>0.1</v>
      </c>
      <c r="ED9" s="32" t="n">
        <f aca="false">Tasks[[#This Row],[_WeightDur]]*Tasks[[#This Row],[_LeafProgress]]</f>
        <v>0.1</v>
      </c>
      <c r="EE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3</v>
      </c>
      <c r="EF9" s="32" t="str">
        <f aca="false">IF(AND(Tasks[[#This Row],[_IsLeaf]]=1,N(Tasks[[#This Row],[Duration]])=0,Tasks[[#This Row],[_LeafProgress]]&lt;1),Tasks[[#This Row],[_ShownFcstFinish]]+Tasks[[#This Row],[_Row]]/100000,"")</f>
        <v/>
      </c>
      <c r="EG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9" s="32" t="n">
        <f aca="false">IF(NOT(Tasks[[#This Row],[_IsLeaf]]=1),0,IF(Tasks[[#This Row],[Baseline Cost]]="",Tasks[[#This Row],[_LeafTotalCost]],N(Tasks[[#This Row],[Baseline Cost]])))</f>
        <v>0</v>
      </c>
      <c r="EI9" s="32" t="n">
        <f aca="false">Tasks[[#This Row],[_LeafBudget]]*Tasks[[#This Row],[_PlannedPct]]</f>
        <v>0</v>
      </c>
      <c r="EJ9" s="32" t="n">
        <f aca="false">Tasks[[#This Row],[_LeafBudget]]*Tasks[[#This Row],[_LeafProgress]]</f>
        <v>0</v>
      </c>
      <c r="EK9" s="32" t="n">
        <f aca="false">IF(NOT(Tasks[[#This Row],[_IsLeaf]]=1),0,IF(Tasks[[#This Row],[Actual Cost]]="",Tasks[[#This Row],[_LeafTotalCost]]*Tasks[[#This Row],[_LeafProgress]],N(Tasks[[#This Row],[Actual Cost]])))</f>
        <v>0</v>
      </c>
      <c r="EL9" s="32" t="str">
        <f aca="false">IF(Tasks[[#This Row],[Task Name]]="","",LEFT(Tasks[[#This Row],[WBS]],FIND(".",Tasks[[#This Row],[WBS]]&amp;".")-1))</f>
        <v>1</v>
      </c>
      <c r="EM9" s="32" t="str">
        <f aca="false">IF(AND(Tasks[[#This Row],[Task Name]]&lt;&gt;"",Tasks[[#This Row],[_Level]]=1),Tasks[[#This Row],[_Row]],"")</f>
        <v/>
      </c>
      <c r="EN9" s="116" t="n">
        <f aca="false">IF(AND(Tasks[[#This Row],[_IsLeaf]]=1,N(Tasks[[#This Row],[Duration]])=0),Tasks[[#This Row],[Planned Finish]]+Tasks[[#This Row],[_Row]]/100000,"")</f>
        <v>46276.00004</v>
      </c>
      <c r="EO9" s="32" t="str">
        <f aca="false">IF(AND(Tasks[[#This Row],[_IsLeaf]]=1,Tasks[[#This Row],[_LeafProgress]]&lt;1,OR(N(Tasks[[#This Row],[Finish Var]])&gt;0,Tasks[[#This Row],[Status]]="Late Start")),MAX(0,Tasks[[#This Row],[Finish Var]])+1-Tasks[[#This Row],[_Row]]/1000000,"")</f>
        <v/>
      </c>
      <c r="EP9" s="32" t="str">
        <f aca="false">IF(AND(Tasks[[#This Row],[_IsLeaf]]=1,N(Tasks[[#This Row],[Actual Start]])=0,Tasks[[#This Row],[_ShownFcstStart]]&gt;=StatusDate,Tasks[[#This Row],[_ShownFcstStart]]&lt;=LookaheadEnd),Tasks[[#This Row],[_ShownFcstStart]]+Tasks[[#This Row],[_Row]]/100000,"")</f>
        <v/>
      </c>
      <c r="EQ9" s="32" t="str">
        <f aca="false">IF(AND(Tasks[[#This Row],[_IsLeaf]]=1,Tasks[[#This Row],[_LeafProgress]]&lt;1,Tasks[[#This Row],[_ShownFcstFinish]]&gt;=StatusDate,Tasks[[#This Row],[_ShownFcstFinish]]&lt;=LookaheadEnd),Tasks[[#This Row],[_ShownFcstFinish]]+Tasks[[#This Row],[_Row]]/100000,"")</f>
        <v/>
      </c>
      <c r="ER9" s="32" t="str">
        <f aca="false">IF(Tasks[[#This Row],[_LeafCritical]],Tasks[[#This Row],[_ShownFcstStart]]+Tasks[[#This Row],[_Row]]/100000,"")</f>
        <v/>
      </c>
      <c r="ES9" s="32" t="n">
        <f aca="false">Tasks[[#This Row],[_LeafWork]]*Tasks[[#This Row],[_LeafProgress]]</f>
        <v>0</v>
      </c>
      <c r="ET9" s="115" t="n">
        <f aca="false">IF(AND(Tasks[[#This Row],[_IsLeaf]]=1,Tasks[[#This Row],[_LeafProgress]]&gt;=1),IF(N(Tasks[[#This Row],[Actual Finish]])&gt;0,Tasks[[#This Row],[Actual Finish]],Tasks[[#This Row],[_ShownFcstFinish]]),"")</f>
        <v>46279</v>
      </c>
      <c r="EU9" s="32" t="n">
        <f aca="false">IF(Tasks[[#This Row],[_IsLeaf]]=1,N(Tasks[[#This Row],[Story Points]]),0)</f>
        <v>0</v>
      </c>
      <c r="EV9" s="32" t="str">
        <f aca="false">IF(AND(Tasks[[#This Row],[_IsLeaf]]=1,CurrentSprint&lt;&gt;"",Tasks[[#This Row],[Sprint]]=CurrentSprint),Tasks[[#This Row],[_Row]],"")</f>
        <v/>
      </c>
    </row>
    <row r="10" customFormat="false" ht="15" hidden="false" customHeight="false" outlineLevel="0" collapsed="false">
      <c r="A10" s="45" t="n">
        <f aca="false">IF(Tasks[[#This Row],[Task Name]]="","",COUNTA(Tasks[[#Headers],[Task Name]]:Tasks[[#This Row],[Task Name]])-1)</f>
        <v>5</v>
      </c>
      <c r="B10" s="46" t="n">
        <v>5</v>
      </c>
      <c r="C1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v>
      </c>
      <c r="D10" s="46" t="n">
        <v>1</v>
      </c>
      <c r="E10" s="45" t="str">
        <f aca="false">IF(Tasks[[#This Row],[Task Name]]="","",IF(Tasks[[#This Row],[_Level]]&lt;=OutlineShowLevel,"Yes","No"))</f>
        <v>Yes</v>
      </c>
      <c r="F10" s="47" t="s">
        <v>650</v>
      </c>
      <c r="G10" s="46" t="s">
        <v>642</v>
      </c>
      <c r="H10" s="46"/>
      <c r="I10" s="46"/>
      <c r="J10" s="46"/>
      <c r="K10" s="46"/>
      <c r="L10" s="46"/>
      <c r="M10" s="46"/>
      <c r="N10" s="46"/>
      <c r="O10" s="46"/>
      <c r="P10" s="46"/>
      <c r="Q10" s="46"/>
      <c r="R10" s="46"/>
      <c r="S10" s="46"/>
      <c r="T10" s="46"/>
      <c r="U10" s="47"/>
      <c r="V10" s="88"/>
      <c r="W10" s="88"/>
      <c r="X10" s="25" t="n">
        <f aca="false">IF(Tasks[[#This Row],[Task Name]]="","",IF(N(Tasks[[#This Row],[Baseline Start]])&gt;0,Tasks[[#This Row],[Baseline Start]],Tasks[[#This Row],[_CalcStart]]))</f>
        <v>46279</v>
      </c>
      <c r="Y10" s="25" t="n">
        <f aca="false">IF(Tasks[[#This Row],[Task Name]]="","",IF(N(Tasks[[#This Row],[Baseline Finish]])&gt;0,Tasks[[#This Row],[Baseline Finish]],Tasks[[#This Row],[_CalcFinish]]))</f>
        <v>46296</v>
      </c>
      <c r="Z10" s="88"/>
      <c r="AA10" s="88"/>
      <c r="AB10" s="25" t="n">
        <f aca="false">IF(Tasks[[#This Row],[Task Name]]="","",IF(Tasks[[#This Row],[_IsSummary]],MIN(INDEX(Tasks[_ShownFcstStart],Tasks[[#This Row],[_Row]]+1):INDEX(Tasks[_ShownFcstStart],Tasks[[#This Row],[_Row]]+Tasks[[#This Row],[_Descendants]])),Tasks[[#This Row],[_ShownFcstStart]]))</f>
        <v>46280</v>
      </c>
      <c r="AC10" s="25" t="n">
        <f aca="false">IF(Tasks[[#This Row],[Task Name]]="","",IF(Tasks[[#This Row],[_IsSummary]],MAX(INDEX(Tasks[_ShownFcstFinish],Tasks[[#This Row],[_Row]]+1):INDEX(Tasks[_ShownFcstFinish],Tasks[[#This Row],[_Row]]+Tasks[[#This Row],[_Descendants]])),Tasks[[#This Row],[_ShownFcstFinish]]))</f>
        <v>46301</v>
      </c>
      <c r="AD10" s="56" t="n">
        <f aca="false">IF(Tasks[[#This Row],[Task Name]]="","",IF(Tasks[[#This Row],[Forecast Start]]&gt;=Tasks[[#This Row],[Planned Start]],NETWORKDAYS.INTL(Tasks[[#This Row],[Planned Start]],Tasks[[#This Row],[Forecast Start]],WorkWeek,Holidays)-1,1-NETWORKDAYS.INTL(Tasks[[#This Row],[Forecast Start]],Tasks[[#This Row],[Planned Start]],WorkWeek,Holidays)))</f>
        <v>1</v>
      </c>
      <c r="AE10" s="56" t="n">
        <f aca="false">IF(Tasks[[#This Row],[Task Name]]="","",IF(Tasks[[#This Row],[Forecast Finish]]&gt;=Tasks[[#This Row],[Planned Finish]],NETWORKDAYS.INTL(Tasks[[#This Row],[Planned Finish]],Tasks[[#This Row],[Forecast Finish]],WorkWeek,Holidays)-1,1-NETWORKDAYS.INTL(Tasks[[#This Row],[Forecast Finish]],Tasks[[#This Row],[Planned Finish]],WorkWeek,Holidays)))</f>
        <v>3</v>
      </c>
      <c r="AF10" s="25" t="n">
        <f aca="false">IF(Tasks[[#This Row],[Task Name]]="","",IF(Tasks[[#This Row],[_IsSummary]],MIN(INDEX(Tasks[_LeafLateStart],Tasks[[#This Row],[_Row]]+1):INDEX(Tasks[_LeafLateStart],Tasks[[#This Row],[_Row]]+Tasks[[#This Row],[_Descendants]])),Tasks[[#This Row],[_LeafLateStart]]))</f>
        <v>46286</v>
      </c>
      <c r="AG10" s="25" t="n">
        <f aca="false">IF(Tasks[[#This Row],[Task Name]]="","",IF(Tasks[[#This Row],[_IsSummary]],MAX(INDEX(Tasks[_LeafLateFinish],Tasks[[#This Row],[_Row]]+1):INDEX(Tasks[_LeafLateFinish],Tasks[[#This Row],[_Row]]+Tasks[[#This Row],[_Descendants]])),Tasks[[#This Row],[_LeafLateFinish]]))</f>
        <v>46303</v>
      </c>
      <c r="AH10" s="56" t="n">
        <f aca="false">IF(Tasks[[#This Row],[Task Name]]="","",IF(Tasks[[#This Row],[_IsSummary]],MIN(INDEX(Tasks[_LeafTotalSlack],Tasks[[#This Row],[_Row]]+1):INDEX(Tasks[_LeafTotalSlack],Tasks[[#This Row],[_Row]]+Tasks[[#This Row],[_Descendants]])),Tasks[[#This Row],[_LeafTotalSlack]]))</f>
        <v>2</v>
      </c>
      <c r="AI1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 s="45" t="str">
        <f aca="false">IF(Tasks[[#This Row],[Task Name]]="","",IF(IF(Tasks[[#This Row],[_IsSummary]],COUNTIF(INDEX(Tasks[_LeafCritical],Tasks[[#This Row],[_Row]]+1):INDEX(Tasks[_LeafCritical],Tasks[[#This Row],[_Row]]+Tasks[[#This Row],[_Descendants]]),TRUE())&gt;0,Tasks[[#This Row],[_LeafCritical]]),"Yes",""))</f>
        <v/>
      </c>
      <c r="AK1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 s="102"/>
      <c r="AN10"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0" s="45" t="str">
        <f aca="false">IF(Tasks[[#This Row],[Task Name]]="","",IF(Tasks[[#This Row],[Progress]]&gt;=1,"Complete",IF(OR(N(Tasks[[#This Row],[Actual Start]])&gt;0,Tasks[[#This Row],[Progress]]&gt;0),IF(Tasks[[#This Row],[Finish Var]]&gt;0,"Behind","In Progress"),IF(Tasks[[#This Row],[Planned Start]]&lt;StatusDate,"Late Start","Not Started"))))</f>
        <v>Complete</v>
      </c>
      <c r="AP10" s="47"/>
      <c r="AQ10" s="102"/>
      <c r="AR1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 s="110" t="n">
        <f aca="false">IF(Tasks[[#This Row],[Task Name]]="","",IF(Tasks[[#This Row],[_IsSummary]],SUM(INDEX(Tasks[_LeafTotalWork],Tasks[[#This Row],[_Row]]+1):INDEX(Tasks[_LeafTotalWork],Tasks[[#This Row],[_Row]]+Tasks[[#This Row],[_Descendants]])),Tasks[[#This Row],[_LeafTotalWork]]))</f>
        <v>172</v>
      </c>
      <c r="AU10" s="111" t="n">
        <f aca="false">IF(Tasks[[#This Row],[Task Name]]="","",IF(Tasks[[#This Row],[_IsSummary]],SUM(INDEX(Tasks[_LeafTotalCost],Tasks[[#This Row],[_Row]]+1):INDEX(Tasks[_LeafTotalCost],Tasks[[#This Row],[_Row]]+Tasks[[#This Row],[_Descendants]])),Tasks[[#This Row],[_LeafTotalCost]]))</f>
        <v>14180</v>
      </c>
      <c r="AV10" s="112"/>
      <c r="AW10" s="46"/>
      <c r="AX1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 s="96"/>
      <c r="AZ1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 s="47"/>
      <c r="BB10" s="25" t="n">
        <f aca="false">IF(Tasks[[#This Row],[Task Name]]="","",Tasks[[#This Row],[Forecast Start]])</f>
        <v>46280</v>
      </c>
      <c r="BC10" s="25" t="n">
        <f aca="false">IF(Tasks[[#This Row],[Task Name]]="","",Tasks[[#This Row],[Forecast Finish]])</f>
        <v>46301</v>
      </c>
      <c r="BD10" s="45" t="n">
        <f aca="false">IF(Tasks[[#This Row],[Task Name]]="","",IF(Tasks[[#This Row],[_IsSummary]],NETWORKDAYS.INTL(Tasks[[#This Row],[Forecast Start]],Tasks[[#This Row],[Forecast Finish]],WorkWeek,Holidays),N(Tasks[[#This Row],[Duration]])))</f>
        <v>16</v>
      </c>
      <c r="BE10" s="110" t="n">
        <f aca="false">IF(Tasks[[#This Row],[Task Name]]="","",Tasks[[#This Row],[Work]])</f>
        <v>172</v>
      </c>
      <c r="BF10" s="111" t="n">
        <f aca="false">IF(Tasks[[#This Row],[Task Name]]="","",Tasks[[#This Row],[Cost]])</f>
        <v>14180</v>
      </c>
      <c r="BG10" s="88"/>
      <c r="BH10" s="88"/>
      <c r="BI10" s="46"/>
      <c r="BJ10" s="113"/>
      <c r="BK10" s="112"/>
      <c r="BL10" s="45" t="str">
        <f aca="false">IF(OR(Tasks[[#This Row],[Task Name]]="",Tasks[[#This Row],[Baseline Duration]]=""),"",Tasks[[#This Row],[BL Source Duration]]-N(Tasks[[#This Row],[Baseline Duration]]))</f>
        <v/>
      </c>
      <c r="BM10" s="110" t="str">
        <f aca="false">IF(OR(Tasks[[#This Row],[Task Name]]="",Tasks[[#This Row],[Baseline Work]]=""),"",Tasks[[#This Row],[Work]]-N(Tasks[[#This Row],[Baseline Work]]))</f>
        <v/>
      </c>
      <c r="BN10" s="111" t="str">
        <f aca="false">IF(OR(Tasks[[#This Row],[Task Name]]="",Tasks[[#This Row],[Baseline Cost]]=""),"",Tasks[[#This Row],[Cost]]-N(Tasks[[#This Row],[Baseline Cost]]))</f>
        <v/>
      </c>
      <c r="BO10" s="111" t="n">
        <f aca="false">IF(Tasks[[#This Row],[Task Name]]="","",IF(Tasks[[#This Row],[_IsSummary]],SUM(INDEX(Tasks[_LeafBudget],Tasks[[#This Row],[_Row]]+1):INDEX(Tasks[_LeafBudget],Tasks[[#This Row],[_Row]]+Tasks[[#This Row],[_Descendants]])),Tasks[[#This Row],[_LeafBudget]]))</f>
        <v>14180</v>
      </c>
      <c r="BP10" s="111" t="n">
        <f aca="false">IF(Tasks[[#This Row],[Task Name]]="","",IF(Tasks[[#This Row],[_IsSummary]],SUM(INDEX(Tasks[_LeafPV],Tasks[[#This Row],[_Row]]+1):INDEX(Tasks[_LeafPV],Tasks[[#This Row],[_Row]]+Tasks[[#This Row],[_Descendants]])),Tasks[[#This Row],[_LeafPV]]))</f>
        <v>14180</v>
      </c>
      <c r="BQ10" s="111" t="n">
        <f aca="false">IF(Tasks[[#This Row],[Task Name]]="","",IF(Tasks[[#This Row],[_IsSummary]],SUM(INDEX(Tasks[_LeafEV],Tasks[[#This Row],[_Row]]+1):INDEX(Tasks[_LeafEV],Tasks[[#This Row],[_Row]]+Tasks[[#This Row],[_Descendants]])),Tasks[[#This Row],[_LeafEV]]))</f>
        <v>14180</v>
      </c>
      <c r="BR10" s="111" t="n">
        <f aca="false">IF(Tasks[[#This Row],[Task Name]]="","",IF(Tasks[[#This Row],[_IsSummary]],SUM(INDEX(Tasks[_LeafAC],Tasks[[#This Row],[_Row]]+1):INDEX(Tasks[_LeafAC],Tasks[[#This Row],[_Row]]+Tasks[[#This Row],[_Descendants]])),Tasks[[#This Row],[_LeafAC]]))</f>
        <v>14740</v>
      </c>
      <c r="BS10" s="32" t="n">
        <f aca="false">IF(Tasks[[#This Row],[Task Name]]="","",MAX(1,N(Tasks[[#This Row],[Level]])))</f>
        <v>1</v>
      </c>
      <c r="BT10" s="32" t="n">
        <f aca="false">ROW()-ROW(Tasks[[#Headers],[ID]])</f>
        <v>5</v>
      </c>
      <c r="BU10" s="32" t="n">
        <f aca="false">IF(OR(Tasks[[#This Row],[Task Name]]="",Tasks[[#This Row],[_Level]]&lt;=1),0,IFERROR(LOOKUP(2,1/(Tasks[[#Headers],[_Level]]:Tasks[[#This Row],[_Level]]=Tasks[[#This Row],[_Level]]-1),ROW(Tasks[[#Headers],[_Level]]:Tasks[[#This Row],[_Level]])),0))</f>
        <v>0</v>
      </c>
      <c r="BV10" s="32" t="n">
        <f aca="false">IFERROR(N(INDEX(Tasks[_Level],Tasks[[#This Row],[_Row]]+1)),0)</f>
        <v>2</v>
      </c>
      <c r="BW10" s="114" t="b">
        <f aca="false">AND(Tasks[[#This Row],[Task Name]]&lt;&gt;"",Tasks[[#This Row],[_NextLevel]]&gt;Tasks[[#This Row],[_Level]])</f>
        <v>1</v>
      </c>
      <c r="BX10" s="32" t="n">
        <f aca="false">IF(Tasks[[#This Row],[_IsSummary]],COUNTIF(Tasks[WBS],Tasks[[#This Row],[WBS]]&amp;".*"),0)</f>
        <v>4</v>
      </c>
      <c r="BY10" s="32" t="n">
        <f aca="false">IF(AND(Tasks[[#This Row],[Task Name]]&lt;&gt;"",NOT(Tasks[[#This Row],[_IsSummary]])),1,0)</f>
        <v>0</v>
      </c>
      <c r="BZ10" s="32" t="n">
        <f aca="false">IF(N(Tasks[[#This Row],[Pred1 UID]])=0,0,IFERROR(MATCH(Tasks[[#This Row],[Pred1 UID]],Tasks[UID],0),-1))</f>
        <v>0</v>
      </c>
      <c r="CA10" s="32" t="n">
        <f aca="false">IF(N(Tasks[[#This Row],[Pred2 UID]])=0,0,IFERROR(MATCH(Tasks[[#This Row],[Pred2 UID]],Tasks[UID],0),-1))</f>
        <v>0</v>
      </c>
      <c r="CB10" s="32" t="n">
        <f aca="false">IF(N(Tasks[[#This Row],[Pred3 UID]])=0,0,IFERROR(MATCH(Tasks[[#This Row],[Pred3 UID]],Tasks[UID],0),-1))</f>
        <v>0</v>
      </c>
      <c r="CC10" s="32" t="n">
        <f aca="false">IF(N(Tasks[[#This Row],[Pred4 UID]])=0,0,IFERROR(MATCH(Tasks[[#This Row],[Pred4 UID]],Tasks[UID],0),-1))</f>
        <v>0</v>
      </c>
      <c r="CD1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 s="115" t="n">
        <f aca="false">IF(OR(Tasks[[#This Row],[_ConstraintCode]]=2,Tasks[[#This Row],[_ConstraintCode]]=3,Tasks[[#This Row],[_ConstraintCode]]=4,Tasks[[#This Row],[_ConstraintCode]]=6),Tasks[[#This Row],[_ConstraintStart]],0)</f>
        <v>0</v>
      </c>
      <c r="CG10" s="115" t="n">
        <f aca="false">IF(OR(Tasks[[#This Row],[_ConstraintCode]]=2,Tasks[[#This Row],[_ConstraintCode]]=3,Tasks[[#This Row],[_ConstraintCode]]=5,Tasks[[#This Row],[_ConstraintCode]]=7),Tasks[[#This Row],[_ConstraintStart]],2958465)</f>
        <v>2958465</v>
      </c>
      <c r="CH1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 s="115" t="str">
        <f aca="false">IF(NOT(Tasks[[#This Row],[_IsLeaf]]=1),"",IF(N(Tasks[[#This Row],[Duration]])&lt;=0,Tasks[[#This Row],[_LeafCalcStart]],WORKDAY.INTL(Tasks[[#This Row],[_LeafCalcStart]],Tasks[[#This Row],[Duration]]-1,WorkWeek,Holidays)))</f>
        <v/>
      </c>
      <c r="CJ1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 s="32" t="n">
        <f aca="false">IF(NOT(Tasks[[#This Row],[_IsLeaf]]=1),0,IF(N(Tasks[[#This Row],[Actual Finish]])&gt;0,1,MIN(1,N(Tasks[[#This Row],[% Complete]]))))</f>
        <v>0</v>
      </c>
      <c r="CM10" s="32" t="n">
        <f aca="false">IF(OR(NOT(Tasks[[#This Row],[_IsLeaf]]=1),Tasks[[#This Row],[Resource]]=""),0,N(Tasks[[#This Row],[Duration]])*HoursPerDay*IF(Tasks[[#This Row],[Units]]="",DefaultUnits,Tasks[[#This Row],[Units]]))</f>
        <v>0</v>
      </c>
      <c r="CN10" s="32" t="n">
        <f aca="false">IF(Tasks[[#This Row],[_LeafWork]]=0,0,Tasks[[#This Row],[_LeafWork]]*IFERROR(INDEX(res_Rate,MATCH(Tasks[[#This Row],[Resource]],res_Name,0)),0))</f>
        <v>0</v>
      </c>
      <c r="CO10" s="32" t="n">
        <f aca="false">Tasks[[#This Row],[_LeafWork]]+IF(Tasks[[#This Row],[_IsLeaf]]=1,SUMIFS(asg_Work,asg_TaskUID,Tasks[[#This Row],[UID]],asg_Valid,1),0)</f>
        <v>0</v>
      </c>
      <c r="CP10" s="32" t="n">
        <f aca="false">Tasks[[#This Row],[_LeafCost]]+IF(Tasks[[#This Row],[_IsLeaf]]=1,SUMIFS(asg_Cost,asg_TaskUID,Tasks[[#This Row],[UID]],asg_Valid,1),0)</f>
        <v>0</v>
      </c>
      <c r="CQ10" s="32" t="n">
        <f aca="false">IF(Tasks[[#This Row],[_LeafTotalCost]]=0,Tasks[[#This Row],[_LeafAC]],Tasks[[#This Row],[_LeafAC]]*Tasks[[#This Row],[_LeafCost]]/Tasks[[#This Row],[_LeafTotalCost]])</f>
        <v>0</v>
      </c>
      <c r="CR1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 s="32" t="n">
        <f aca="false">IF(NOT(Tasks[[#This Row],[_IsLeaf]]=1),0,MAX(_xlfn.MAXIFS(Tasks[_Row],Tasks[Pred1 UID],Tasks[[#This Row],[UID]]),_xlfn.MAXIFS(Tasks[_Row],Tasks[Pred2 UID],Tasks[[#This Row],[UID]]),_xlfn.MAXIFS(Tasks[_Row],Tasks[Pred3 UID],Tasks[[#This Row],[UID]]),_xlfn.MAXIFS(Tasks[_Row],Tasks[Pred4 UID],Tasks[[#This Row],[UID]])))</f>
        <v>0</v>
      </c>
      <c r="DA1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 s="115" t="str">
        <f aca="false">IF(NOT(Tasks[[#This Row],[_IsLeaf]]=1),"",IF(N(Tasks[[#This Row],[Duration]])&lt;=0,Tasks[[#This Row],[_LeafLateFinish]],WORKDAY.INTL(Tasks[[#This Row],[_LeafLateFinish]],-(Tasks[[#This Row],[Duration]]-1),WorkWeek,Holidays)))</f>
        <v/>
      </c>
      <c r="DD1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 s="114" t="b">
        <f aca="false">AND(Tasks[[#This Row],[_IsLeaf]]=1,Tasks[[#This Row],[_LeafProgress]]&lt;1,N(Tasks[[#This Row],[_LeafTotalSlack]])&lt;=CriticalSlackDays)</f>
        <v>0</v>
      </c>
      <c r="DF10" s="32" t="n">
        <f aca="false">IF(AND(Tasks[[#This Row],[_IsLeaf]]=1,Tasks[[#This Row],[_ConstraintCode]]=1,Tasks[[#This Row],[Mode]]&lt;&gt;"Manual",N(Tasks[[#This Row],[Actual Start]])=0),MAX(0,N(Tasks[[#This Row],[Free Slack]])),0)</f>
        <v>0</v>
      </c>
      <c r="DG10" s="115" t="str">
        <f aca="false">IF(NOT(Tasks[[#This Row],[_IsLeaf]]=1),"",IF(Tasks[[#This Row],[_AlapShift]]=0,Tasks[[#This Row],[_LeafCalcStart]],WORKDAY.INTL(Tasks[[#This Row],[_LeafCalcStart]],Tasks[[#This Row],[_AlapShift]],WorkWeek,Holidays)))</f>
        <v/>
      </c>
      <c r="DH10" s="115" t="str">
        <f aca="false">IF(NOT(Tasks[[#This Row],[_IsLeaf]]=1),"",IF(Tasks[[#This Row],[_AlapShift]]=0,Tasks[[#This Row],[_LeafCalcFinish]],WORKDAY.INTL(Tasks[[#This Row],[_LeafCalcFinish]],Tasks[[#This Row],[_AlapShift]],WorkWeek,Holidays)))</f>
        <v/>
      </c>
      <c r="DI10" s="115" t="str">
        <f aca="false">IF(NOT(Tasks[[#This Row],[_IsLeaf]]=1),"",IF(Tasks[[#This Row],[_AlapShift]]=0,Tasks[[#This Row],[_LeafFcstStart]],WORKDAY.INTL(Tasks[[#This Row],[_LeafFcstStart]],Tasks[[#This Row],[_AlapShift]],WorkWeek,Holidays)))</f>
        <v/>
      </c>
      <c r="DJ10" s="115" t="str">
        <f aca="false">IF(NOT(Tasks[[#This Row],[_IsLeaf]]=1),"",IF(Tasks[[#This Row],[_AlapShift]]=0,Tasks[[#This Row],[_LeafFcstFinish]],WORKDAY.INTL(Tasks[[#This Row],[_LeafFcstFinish]],Tasks[[#This Row],[_AlapShift]],WorkWeek,Holidays)))</f>
        <v/>
      </c>
      <c r="DK10" s="115" t="n">
        <f aca="false">IF(Tasks[[#This Row],[Task Name]]="","",IF(Tasks[[#This Row],[_IsSummary]],MIN(INDEX(Tasks[_ShownCalcStart],Tasks[[#This Row],[_Row]]+1):INDEX(Tasks[_ShownCalcStart],Tasks[[#This Row],[_Row]]+Tasks[[#This Row],[_Descendants]])),Tasks[[#This Row],[_ShownCalcStart]]))</f>
        <v>46279</v>
      </c>
      <c r="DL10" s="115" t="n">
        <f aca="false">IF(Tasks[[#This Row],[Task Name]]="","",IF(Tasks[[#This Row],[_IsSummary]],MAX(INDEX(Tasks[_ShownCalcFinish],Tasks[[#This Row],[_Row]]+1):INDEX(Tasks[_ShownCalcFinish],Tasks[[#This Row],[_Row]]+Tasks[[#This Row],[_Descendants]])),Tasks[[#This Row],[_ShownCalcFinish]]))</f>
        <v>46296</v>
      </c>
      <c r="DM1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 s="32" t="n">
        <f aca="false">IF(AND(Tasks[[#This Row],[_IsLeaf]]=1,Tasks[[#This Row],[_LeafTotalWork]]&gt;0),NETWORKDAYS.INTL(ProjectStart,Tasks[[#This Row],[_ShownFcstStart]],WorkWeek,Holidays),0)</f>
        <v>0</v>
      </c>
      <c r="DZ10" s="32" t="n">
        <f aca="false">IF(AND(Tasks[[#This Row],[_IsLeaf]]=1,Tasks[[#This Row],[_LeafTotalWork]]&gt;0),MAX(Tasks[[#This Row],[_StartWorkday]],NETWORKDAYS.INTL(ProjectStart,Tasks[[#This Row],[_ShownFcstFinish]],WorkWeek,Holidays)),0)</f>
        <v>0</v>
      </c>
      <c r="EA10" s="32" t="n">
        <f aca="false">IF(AND(Tasks[[#This Row],[_IsLeaf]]=1,Tasks[[#This Row],[_LeafTotalWork]]&gt;0),Tasks[[#This Row],[_LeafWork]]/(Tasks[[#This Row],[_FinishWorkday]]-Tasks[[#This Row],[_StartWorkday]]+1),0)</f>
        <v>0</v>
      </c>
      <c r="EB10" s="32" t="n">
        <f aca="false">Tasks[[#This Row],[_WorkPerWorkday]]*(Tasks[[#This Row],[_StartWorkday]]-1)</f>
        <v>-0</v>
      </c>
      <c r="EC10" s="32" t="n">
        <f aca="false">IF(Tasks[[#This Row],[_IsLeaf]]=1,MAX(N(Tasks[[#This Row],[Duration]]),0.1),0)</f>
        <v>0</v>
      </c>
      <c r="ED10" s="32" t="n">
        <f aca="false">Tasks[[#This Row],[_WeightDur]]*Tasks[[#This Row],[_LeafProgress]]</f>
        <v>0</v>
      </c>
      <c r="EE1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 s="32" t="str">
        <f aca="false">IF(AND(Tasks[[#This Row],[_IsLeaf]]=1,N(Tasks[[#This Row],[Duration]])=0,Tasks[[#This Row],[_LeafProgress]]&lt;1),Tasks[[#This Row],[_ShownFcstFinish]]+Tasks[[#This Row],[_Row]]/100000,"")</f>
        <v/>
      </c>
      <c r="EG1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 s="32" t="n">
        <f aca="false">IF(NOT(Tasks[[#This Row],[_IsLeaf]]=1),0,IF(Tasks[[#This Row],[Baseline Cost]]="",Tasks[[#This Row],[_LeafTotalCost]],N(Tasks[[#This Row],[Baseline Cost]])))</f>
        <v>0</v>
      </c>
      <c r="EI10" s="32" t="n">
        <f aca="false">Tasks[[#This Row],[_LeafBudget]]*Tasks[[#This Row],[_PlannedPct]]</f>
        <v>0</v>
      </c>
      <c r="EJ10" s="32" t="n">
        <f aca="false">Tasks[[#This Row],[_LeafBudget]]*Tasks[[#This Row],[_LeafProgress]]</f>
        <v>0</v>
      </c>
      <c r="EK10" s="32" t="n">
        <f aca="false">IF(NOT(Tasks[[#This Row],[_IsLeaf]]=1),0,IF(Tasks[[#This Row],[Actual Cost]]="",Tasks[[#This Row],[_LeafTotalCost]]*Tasks[[#This Row],[_LeafProgress]],N(Tasks[[#This Row],[Actual Cost]])))</f>
        <v>0</v>
      </c>
      <c r="EL10" s="32" t="str">
        <f aca="false">IF(Tasks[[#This Row],[Task Name]]="","",LEFT(Tasks[[#This Row],[WBS]],FIND(".",Tasks[[#This Row],[WBS]]&amp;".")-1))</f>
        <v>2</v>
      </c>
      <c r="EM10" s="32" t="n">
        <f aca="false">IF(AND(Tasks[[#This Row],[Task Name]]&lt;&gt;"",Tasks[[#This Row],[_Level]]=1),Tasks[[#This Row],[_Row]],"")</f>
        <v>5</v>
      </c>
      <c r="EN10" s="32" t="str">
        <f aca="false">IF(AND(Tasks[[#This Row],[_IsLeaf]]=1,N(Tasks[[#This Row],[Duration]])=0),Tasks[[#This Row],[Planned Finish]]+Tasks[[#This Row],[_Row]]/100000,"")</f>
        <v/>
      </c>
      <c r="EO10" s="32" t="str">
        <f aca="false">IF(AND(Tasks[[#This Row],[_IsLeaf]]=1,Tasks[[#This Row],[_LeafProgress]]&lt;1,OR(N(Tasks[[#This Row],[Finish Var]])&gt;0,Tasks[[#This Row],[Status]]="Late Start")),MAX(0,Tasks[[#This Row],[Finish Var]])+1-Tasks[[#This Row],[_Row]]/1000000,"")</f>
        <v/>
      </c>
      <c r="EP10" s="32" t="str">
        <f aca="false">IF(AND(Tasks[[#This Row],[_IsLeaf]]=1,N(Tasks[[#This Row],[Actual Start]])=0,Tasks[[#This Row],[_ShownFcstStart]]&gt;=StatusDate,Tasks[[#This Row],[_ShownFcstStart]]&lt;=LookaheadEnd),Tasks[[#This Row],[_ShownFcstStart]]+Tasks[[#This Row],[_Row]]/100000,"")</f>
        <v/>
      </c>
      <c r="EQ10" s="32" t="str">
        <f aca="false">IF(AND(Tasks[[#This Row],[_IsLeaf]]=1,Tasks[[#This Row],[_LeafProgress]]&lt;1,Tasks[[#This Row],[_ShownFcstFinish]]&gt;=StatusDate,Tasks[[#This Row],[_ShownFcstFinish]]&lt;=LookaheadEnd),Tasks[[#This Row],[_ShownFcstFinish]]+Tasks[[#This Row],[_Row]]/100000,"")</f>
        <v/>
      </c>
      <c r="ER10" s="32" t="str">
        <f aca="false">IF(Tasks[[#This Row],[_LeafCritical]],Tasks[[#This Row],[_ShownFcstStart]]+Tasks[[#This Row],[_Row]]/100000,"")</f>
        <v/>
      </c>
      <c r="ES10" s="32" t="n">
        <f aca="false">Tasks[[#This Row],[_LeafWork]]*Tasks[[#This Row],[_LeafProgress]]</f>
        <v>0</v>
      </c>
      <c r="ET10" s="115" t="str">
        <f aca="false">IF(AND(Tasks[[#This Row],[_IsLeaf]]=1,Tasks[[#This Row],[_LeafProgress]]&gt;=1),IF(N(Tasks[[#This Row],[Actual Finish]])&gt;0,Tasks[[#This Row],[Actual Finish]],Tasks[[#This Row],[_ShownFcstFinish]]),"")</f>
        <v/>
      </c>
      <c r="EU10" s="32" t="n">
        <f aca="false">IF(Tasks[[#This Row],[_IsLeaf]]=1,N(Tasks[[#This Row],[Story Points]]),0)</f>
        <v>0</v>
      </c>
      <c r="EV10" s="32" t="str">
        <f aca="false">IF(AND(Tasks[[#This Row],[_IsLeaf]]=1,CurrentSprint&lt;&gt;"",Tasks[[#This Row],[Sprint]]=CurrentSprint),Tasks[[#This Row],[_Row]],"")</f>
        <v/>
      </c>
    </row>
    <row r="11" customFormat="false" ht="15" hidden="false" customHeight="false" outlineLevel="1" collapsed="false">
      <c r="A11" s="45" t="n">
        <f aca="false">IF(Tasks[[#This Row],[Task Name]]="","",COUNTA(Tasks[[#Headers],[Task Name]]:Tasks[[#This Row],[Task Name]])-1)</f>
        <v>6</v>
      </c>
      <c r="B11" s="46" t="n">
        <v>6</v>
      </c>
      <c r="C1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2.1</v>
      </c>
      <c r="D11" s="46" t="n">
        <v>2</v>
      </c>
      <c r="E11" s="45" t="str">
        <f aca="false">IF(Tasks[[#This Row],[Task Name]]="","",IF(Tasks[[#This Row],[_Level]]&lt;=OutlineShowLevel,"Yes","No"))</f>
        <v>Yes</v>
      </c>
      <c r="F11" s="47" t="s">
        <v>651</v>
      </c>
      <c r="G11" s="46" t="s">
        <v>642</v>
      </c>
      <c r="H11" s="46" t="n">
        <v>8</v>
      </c>
      <c r="I11" s="46" t="n">
        <v>4</v>
      </c>
      <c r="J11" s="46" t="s">
        <v>647</v>
      </c>
      <c r="K11" s="46"/>
      <c r="L11" s="46"/>
      <c r="M11" s="46"/>
      <c r="N11" s="46"/>
      <c r="O11" s="46"/>
      <c r="P11" s="46"/>
      <c r="Q11" s="46"/>
      <c r="R11" s="46"/>
      <c r="S11" s="46"/>
      <c r="T11" s="46"/>
      <c r="U11" s="47"/>
      <c r="V11" s="88"/>
      <c r="W11" s="88"/>
      <c r="X11" s="25" t="n">
        <f aca="false">IF(Tasks[[#This Row],[Task Name]]="","",IF(N(Tasks[[#This Row],[Baseline Start]])&gt;0,Tasks[[#This Row],[Baseline Start]],Tasks[[#This Row],[_CalcStart]]))</f>
        <v>46279</v>
      </c>
      <c r="Y11" s="25" t="n">
        <f aca="false">IF(Tasks[[#This Row],[Task Name]]="","",IF(N(Tasks[[#This Row],[Baseline Finish]])&gt;0,Tasks[[#This Row],[Baseline Finish]],Tasks[[#This Row],[_CalcFinish]]))</f>
        <v>46288</v>
      </c>
      <c r="Z11" s="88" t="n">
        <v>46280</v>
      </c>
      <c r="AA11" s="88" t="n">
        <v>46290</v>
      </c>
      <c r="AB11" s="25" t="n">
        <f aca="false">IF(Tasks[[#This Row],[Task Name]]="","",IF(Tasks[[#This Row],[_IsSummary]],MIN(INDEX(Tasks[_ShownFcstStart],Tasks[[#This Row],[_Row]]+1):INDEX(Tasks[_ShownFcstStart],Tasks[[#This Row],[_Row]]+Tasks[[#This Row],[_Descendants]])),Tasks[[#This Row],[_ShownFcstStart]]))</f>
        <v>46280</v>
      </c>
      <c r="AC11" s="25" t="n">
        <f aca="false">IF(Tasks[[#This Row],[Task Name]]="","",IF(Tasks[[#This Row],[_IsSummary]],MAX(INDEX(Tasks[_ShownFcstFinish],Tasks[[#This Row],[_Row]]+1):INDEX(Tasks[_ShownFcstFinish],Tasks[[#This Row],[_Row]]+Tasks[[#This Row],[_Descendants]])),Tasks[[#This Row],[_ShownFcstFinish]]))</f>
        <v>46290</v>
      </c>
      <c r="AD11" s="56" t="n">
        <f aca="false">IF(Tasks[[#This Row],[Task Name]]="","",IF(Tasks[[#This Row],[Forecast Start]]&gt;=Tasks[[#This Row],[Planned Start]],NETWORKDAYS.INTL(Tasks[[#This Row],[Planned Start]],Tasks[[#This Row],[Forecast Start]],WorkWeek,Holidays)-1,1-NETWORKDAYS.INTL(Tasks[[#This Row],[Forecast Start]],Tasks[[#This Row],[Planned Start]],WorkWeek,Holidays)))</f>
        <v>1</v>
      </c>
      <c r="AE11" s="56" t="n">
        <f aca="false">IF(Tasks[[#This Row],[Task Name]]="","",IF(Tasks[[#This Row],[Forecast Finish]]&gt;=Tasks[[#This Row],[Planned Finish]],NETWORKDAYS.INTL(Tasks[[#This Row],[Planned Finish]],Tasks[[#This Row],[Forecast Finish]],WorkWeek,Holidays)-1,1-NETWORKDAYS.INTL(Tasks[[#This Row],[Forecast Finish]],Tasks[[#This Row],[Planned Finish]],WorkWeek,Holidays)))</f>
        <v>2</v>
      </c>
      <c r="AF11" s="25" t="n">
        <f aca="false">IF(Tasks[[#This Row],[Task Name]]="","",IF(Tasks[[#This Row],[_IsSummary]],MIN(INDEX(Tasks[_LeafLateStart],Tasks[[#This Row],[_Row]]+1):INDEX(Tasks[_LeafLateStart],Tasks[[#This Row],[_Row]]+Tasks[[#This Row],[_Descendants]])),Tasks[[#This Row],[_LeafLateStart]]))</f>
        <v>46286</v>
      </c>
      <c r="AG11" s="25" t="n">
        <f aca="false">IF(Tasks[[#This Row],[Task Name]]="","",IF(Tasks[[#This Row],[_IsSummary]],MAX(INDEX(Tasks[_LeafLateFinish],Tasks[[#This Row],[_Row]]+1):INDEX(Tasks[_LeafLateFinish],Tasks[[#This Row],[_Row]]+Tasks[[#This Row],[_Descendants]])),Tasks[[#This Row],[_LeafLateFinish]]))</f>
        <v>46295</v>
      </c>
      <c r="AH11" s="56" t="n">
        <f aca="false">IF(Tasks[[#This Row],[Task Name]]="","",IF(Tasks[[#This Row],[_IsSummary]],MIN(INDEX(Tasks[_LeafTotalSlack],Tasks[[#This Row],[_Row]]+1):INDEX(Tasks[_LeafTotalSlack],Tasks[[#This Row],[_Row]]+Tasks[[#This Row],[_Descendants]])),Tasks[[#This Row],[_LeafTotalSlack]]))</f>
        <v>3</v>
      </c>
      <c r="AI11"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11" s="45" t="str">
        <f aca="false">IF(Tasks[[#This Row],[Task Name]]="","",IF(IF(Tasks[[#This Row],[_IsSummary]],COUNTIF(INDEX(Tasks[_LeafCritical],Tasks[[#This Row],[_Row]]+1):INDEX(Tasks[_LeafCritical],Tasks[[#This Row],[_Row]]+Tasks[[#This Row],[_Descendants]]),TRUE())&gt;0,Tasks[[#This Row],[_LeafCritical]]),"Yes",""))</f>
        <v/>
      </c>
      <c r="AK1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 s="102" t="n">
        <v>1</v>
      </c>
      <c r="AN11"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1" s="45" t="str">
        <f aca="false">IF(Tasks[[#This Row],[Task Name]]="","",IF(Tasks[[#This Row],[Progress]]&gt;=1,"Complete",IF(OR(N(Tasks[[#This Row],[Actual Start]])&gt;0,Tasks[[#This Row],[Progress]]&gt;0),IF(Tasks[[#This Row],[Finish Var]]&gt;0,"Behind","In Progress"),IF(Tasks[[#This Row],[Planned Start]]&lt;StatusDate,"Late Start","Not Started"))))</f>
        <v>Complete</v>
      </c>
      <c r="AP11" s="47" t="s">
        <v>313</v>
      </c>
      <c r="AQ11" s="102"/>
      <c r="AR1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Morgan Patel</v>
      </c>
      <c r="AS1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 s="110" t="n">
        <f aca="false">IF(Tasks[[#This Row],[Task Name]]="","",IF(Tasks[[#This Row],[_IsSummary]],SUM(INDEX(Tasks[_LeafTotalWork],Tasks[[#This Row],[_Row]]+1):INDEX(Tasks[_LeafTotalWork],Tasks[[#This Row],[_Row]]+Tasks[[#This Row],[_Descendants]])),Tasks[[#This Row],[_LeafTotalWork]]))</f>
        <v>64</v>
      </c>
      <c r="AU11" s="111" t="n">
        <f aca="false">IF(Tasks[[#This Row],[Task Name]]="","",IF(Tasks[[#This Row],[_IsSummary]],SUM(INDEX(Tasks[_LeafTotalCost],Tasks[[#This Row],[_Row]]+1):INDEX(Tasks[_LeafTotalCost],Tasks[[#This Row],[_Row]]+Tasks[[#This Row],[_Descendants]])),Tasks[[#This Row],[_LeafTotalCost]]))</f>
        <v>4480</v>
      </c>
      <c r="AV11" s="112" t="n">
        <v>5040</v>
      </c>
      <c r="AW11" s="46"/>
      <c r="AX1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1</v>
      </c>
      <c r="AY11" s="96" t="n">
        <v>8</v>
      </c>
      <c r="AZ1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4</v>
      </c>
      <c r="BA11" s="47"/>
      <c r="BB11" s="25" t="n">
        <f aca="false">IF(Tasks[[#This Row],[Task Name]]="","",Tasks[[#This Row],[Forecast Start]])</f>
        <v>46280</v>
      </c>
      <c r="BC11" s="25" t="n">
        <f aca="false">IF(Tasks[[#This Row],[Task Name]]="","",Tasks[[#This Row],[Forecast Finish]])</f>
        <v>46290</v>
      </c>
      <c r="BD11" s="45" t="n">
        <f aca="false">IF(Tasks[[#This Row],[Task Name]]="","",IF(Tasks[[#This Row],[_IsSummary]],NETWORKDAYS.INTL(Tasks[[#This Row],[Forecast Start]],Tasks[[#This Row],[Forecast Finish]],WorkWeek,Holidays),N(Tasks[[#This Row],[Duration]])))</f>
        <v>8</v>
      </c>
      <c r="BE11" s="110" t="n">
        <f aca="false">IF(Tasks[[#This Row],[Task Name]]="","",Tasks[[#This Row],[Work]])</f>
        <v>64</v>
      </c>
      <c r="BF11" s="111" t="n">
        <f aca="false">IF(Tasks[[#This Row],[Task Name]]="","",Tasks[[#This Row],[Cost]])</f>
        <v>4480</v>
      </c>
      <c r="BG11" s="88"/>
      <c r="BH11" s="88"/>
      <c r="BI11" s="46"/>
      <c r="BJ11" s="113"/>
      <c r="BK11" s="112"/>
      <c r="BL11" s="45" t="str">
        <f aca="false">IF(OR(Tasks[[#This Row],[Task Name]]="",Tasks[[#This Row],[Baseline Duration]]=""),"",Tasks[[#This Row],[BL Source Duration]]-N(Tasks[[#This Row],[Baseline Duration]]))</f>
        <v/>
      </c>
      <c r="BM11" s="110" t="str">
        <f aca="false">IF(OR(Tasks[[#This Row],[Task Name]]="",Tasks[[#This Row],[Baseline Work]]=""),"",Tasks[[#This Row],[Work]]-N(Tasks[[#This Row],[Baseline Work]]))</f>
        <v/>
      </c>
      <c r="BN11" s="111" t="str">
        <f aca="false">IF(OR(Tasks[[#This Row],[Task Name]]="",Tasks[[#This Row],[Baseline Cost]]=""),"",Tasks[[#This Row],[Cost]]-N(Tasks[[#This Row],[Baseline Cost]]))</f>
        <v/>
      </c>
      <c r="BO11" s="111" t="n">
        <f aca="false">IF(Tasks[[#This Row],[Task Name]]="","",IF(Tasks[[#This Row],[_IsSummary]],SUM(INDEX(Tasks[_LeafBudget],Tasks[[#This Row],[_Row]]+1):INDEX(Tasks[_LeafBudget],Tasks[[#This Row],[_Row]]+Tasks[[#This Row],[_Descendants]])),Tasks[[#This Row],[_LeafBudget]]))</f>
        <v>4480</v>
      </c>
      <c r="BP11" s="111" t="n">
        <f aca="false">IF(Tasks[[#This Row],[Task Name]]="","",IF(Tasks[[#This Row],[_IsSummary]],SUM(INDEX(Tasks[_LeafPV],Tasks[[#This Row],[_Row]]+1):INDEX(Tasks[_LeafPV],Tasks[[#This Row],[_Row]]+Tasks[[#This Row],[_Descendants]])),Tasks[[#This Row],[_LeafPV]]))</f>
        <v>4480</v>
      </c>
      <c r="BQ11" s="111" t="n">
        <f aca="false">IF(Tasks[[#This Row],[Task Name]]="","",IF(Tasks[[#This Row],[_IsSummary]],SUM(INDEX(Tasks[_LeafEV],Tasks[[#This Row],[_Row]]+1):INDEX(Tasks[_LeafEV],Tasks[[#This Row],[_Row]]+Tasks[[#This Row],[_Descendants]])),Tasks[[#This Row],[_LeafEV]]))</f>
        <v>4480</v>
      </c>
      <c r="BR11" s="111" t="n">
        <f aca="false">IF(Tasks[[#This Row],[Task Name]]="","",IF(Tasks[[#This Row],[_IsSummary]],SUM(INDEX(Tasks[_LeafAC],Tasks[[#This Row],[_Row]]+1):INDEX(Tasks[_LeafAC],Tasks[[#This Row],[_Row]]+Tasks[[#This Row],[_Descendants]])),Tasks[[#This Row],[_LeafAC]]))</f>
        <v>5040</v>
      </c>
      <c r="BS11" s="32" t="n">
        <f aca="false">IF(Tasks[[#This Row],[Task Name]]="","",MAX(1,N(Tasks[[#This Row],[Level]])))</f>
        <v>2</v>
      </c>
      <c r="BT11" s="32" t="n">
        <f aca="false">ROW()-ROW(Tasks[[#Headers],[ID]])</f>
        <v>6</v>
      </c>
      <c r="BU11" s="32" t="n">
        <f aca="false">IF(OR(Tasks[[#This Row],[Task Name]]="",Tasks[[#This Row],[_Level]]&lt;=1),0,IFERROR(LOOKUP(2,1/(Tasks[[#Headers],[_Level]]:Tasks[[#This Row],[_Level]]=Tasks[[#This Row],[_Level]]-1),ROW(Tasks[[#Headers],[_Level]]:Tasks[[#This Row],[_Level]])),0))</f>
        <v>10</v>
      </c>
      <c r="BV11" s="32" t="n">
        <f aca="false">IFERROR(N(INDEX(Tasks[_Level],Tasks[[#This Row],[_Row]]+1)),0)</f>
        <v>2</v>
      </c>
      <c r="BW11" s="114" t="b">
        <f aca="false">AND(Tasks[[#This Row],[Task Name]]&lt;&gt;"",Tasks[[#This Row],[_NextLevel]]&gt;Tasks[[#This Row],[_Level]])</f>
        <v>0</v>
      </c>
      <c r="BX11" s="32" t="n">
        <f aca="false">IF(Tasks[[#This Row],[_IsSummary]],COUNTIF(Tasks[WBS],Tasks[[#This Row],[WBS]]&amp;".*"),0)</f>
        <v>0</v>
      </c>
      <c r="BY11" s="32" t="n">
        <f aca="false">IF(AND(Tasks[[#This Row],[Task Name]]&lt;&gt;"",NOT(Tasks[[#This Row],[_IsSummary]])),1,0)</f>
        <v>1</v>
      </c>
      <c r="BZ11" s="32" t="n">
        <f aca="false">IF(N(Tasks[[#This Row],[Pred1 UID]])=0,0,IFERROR(MATCH(Tasks[[#This Row],[Pred1 UID]],Tasks[UID],0),-1))</f>
        <v>4</v>
      </c>
      <c r="CA11" s="32" t="n">
        <f aca="false">IF(N(Tasks[[#This Row],[Pred2 UID]])=0,0,IFERROR(MATCH(Tasks[[#This Row],[Pred2 UID]],Tasks[UID],0),-1))</f>
        <v>0</v>
      </c>
      <c r="CB11" s="32" t="n">
        <f aca="false">IF(N(Tasks[[#This Row],[Pred3 UID]])=0,0,IFERROR(MATCH(Tasks[[#This Row],[Pred3 UID]],Tasks[UID],0),-1))</f>
        <v>0</v>
      </c>
      <c r="CC11" s="32" t="n">
        <f aca="false">IF(N(Tasks[[#This Row],[Pred4 UID]])=0,0,IFERROR(MATCH(Tasks[[#This Row],[Pred4 UID]],Tasks[UID],0),-1))</f>
        <v>0</v>
      </c>
      <c r="CD11"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 s="115" t="n">
        <f aca="false">IF(OR(Tasks[[#This Row],[_ConstraintCode]]=2,Tasks[[#This Row],[_ConstraintCode]]=3,Tasks[[#This Row],[_ConstraintCode]]=4,Tasks[[#This Row],[_ConstraintCode]]=6),Tasks[[#This Row],[_ConstraintStart]],0)</f>
        <v>0</v>
      </c>
      <c r="CG11" s="115" t="n">
        <f aca="false">IF(OR(Tasks[[#This Row],[_ConstraintCode]]=2,Tasks[[#This Row],[_ConstraintCode]]=3,Tasks[[#This Row],[_ConstraintCode]]=5,Tasks[[#This Row],[_ConstraintCode]]=7),Tasks[[#This Row],[_ConstraintStart]],2958465)</f>
        <v>2958465</v>
      </c>
      <c r="CH11"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46279</v>
      </c>
      <c r="CI11" s="115" t="n">
        <f aca="false">IF(NOT(Tasks[[#This Row],[_IsLeaf]]=1),"",IF(N(Tasks[[#This Row],[Duration]])&lt;=0,Tasks[[#This Row],[_LeafCalcStart]],WORKDAY.INTL(Tasks[[#This Row],[_LeafCalcStart]],Tasks[[#This Row],[Duration]]-1,WorkWeek,Holidays)))</f>
        <v>46288</v>
      </c>
      <c r="CJ11"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46280</v>
      </c>
      <c r="CK11"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46290</v>
      </c>
      <c r="CL11" s="32" t="n">
        <f aca="false">IF(NOT(Tasks[[#This Row],[_IsLeaf]]=1),0,IF(N(Tasks[[#This Row],[Actual Finish]])&gt;0,1,MIN(1,N(Tasks[[#This Row],[% Complete]]))))</f>
        <v>1</v>
      </c>
      <c r="CM11" s="32" t="n">
        <f aca="false">IF(OR(NOT(Tasks[[#This Row],[_IsLeaf]]=1),Tasks[[#This Row],[Resource]]=""),0,N(Tasks[[#This Row],[Duration]])*HoursPerDay*IF(Tasks[[#This Row],[Units]]="",DefaultUnits,Tasks[[#This Row],[Units]]))</f>
        <v>64</v>
      </c>
      <c r="CN11" s="32" t="n">
        <f aca="false">IF(Tasks[[#This Row],[_LeafWork]]=0,0,Tasks[[#This Row],[_LeafWork]]*IFERROR(INDEX(res_Rate,MATCH(Tasks[[#This Row],[Resource]],res_Name,0)),0))</f>
        <v>4480</v>
      </c>
      <c r="CO11" s="32" t="n">
        <f aca="false">Tasks[[#This Row],[_LeafWork]]+IF(Tasks[[#This Row],[_IsLeaf]]=1,SUMIFS(asg_Work,asg_TaskUID,Tasks[[#This Row],[UID]],asg_Valid,1),0)</f>
        <v>64</v>
      </c>
      <c r="CP11" s="32" t="n">
        <f aca="false">Tasks[[#This Row],[_LeafCost]]+IF(Tasks[[#This Row],[_IsLeaf]]=1,SUMIFS(asg_Cost,asg_TaskUID,Tasks[[#This Row],[UID]],asg_Valid,1),0)</f>
        <v>4480</v>
      </c>
      <c r="CQ11" s="32" t="n">
        <f aca="false">IF(Tasks[[#This Row],[_LeafTotalCost]]=0,Tasks[[#This Row],[_LeafAC]],Tasks[[#This Row],[_LeafAC]]*Tasks[[#This Row],[_LeafCost]]/Tasks[[#This Row],[_LeafTotalCost]])</f>
        <v>5040</v>
      </c>
      <c r="CR11"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2912182</v>
      </c>
      <c r="CS1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 s="32" t="n">
        <f aca="false">IF(NOT(Tasks[[#This Row],[_IsLeaf]]=1),0,MAX(_xlfn.MAXIFS(Tasks[_Row],Tasks[Pred1 UID],Tasks[[#This Row],[UID]]),_xlfn.MAXIFS(Tasks[_Row],Tasks[Pred2 UID],Tasks[[#This Row],[UID]]),_xlfn.MAXIFS(Tasks[_Row],Tasks[Pred3 UID],Tasks[[#This Row],[UID]]),_xlfn.MAXIFS(Tasks[_Row],Tasks[Pred4 UID],Tasks[[#This Row],[UID]])))</f>
        <v>8</v>
      </c>
      <c r="DA11"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46295</v>
      </c>
      <c r="DB11"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46295</v>
      </c>
      <c r="DC11" s="115" t="n">
        <f aca="false">IF(NOT(Tasks[[#This Row],[_IsLeaf]]=1),"",IF(N(Tasks[[#This Row],[Duration]])&lt;=0,Tasks[[#This Row],[_LeafLateFinish]],WORKDAY.INTL(Tasks[[#This Row],[_LeafLateFinish]],-(Tasks[[#This Row],[Duration]]-1),WorkWeek,Holidays)))</f>
        <v>46286</v>
      </c>
      <c r="DD11"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DE11" s="114" t="b">
        <f aca="false">AND(Tasks[[#This Row],[_IsLeaf]]=1,Tasks[[#This Row],[_LeafProgress]]&lt;1,N(Tasks[[#This Row],[_LeafTotalSlack]])&lt;=CriticalSlackDays)</f>
        <v>0</v>
      </c>
      <c r="DF11" s="32" t="n">
        <f aca="false">IF(AND(Tasks[[#This Row],[_IsLeaf]]=1,Tasks[[#This Row],[_ConstraintCode]]=1,Tasks[[#This Row],[Mode]]&lt;&gt;"Manual",N(Tasks[[#This Row],[Actual Start]])=0),MAX(0,N(Tasks[[#This Row],[Free Slack]])),0)</f>
        <v>0</v>
      </c>
      <c r="DG11" s="115" t="n">
        <f aca="false">IF(NOT(Tasks[[#This Row],[_IsLeaf]]=1),"",IF(Tasks[[#This Row],[_AlapShift]]=0,Tasks[[#This Row],[_LeafCalcStart]],WORKDAY.INTL(Tasks[[#This Row],[_LeafCalcStart]],Tasks[[#This Row],[_AlapShift]],WorkWeek,Holidays)))</f>
        <v>46279</v>
      </c>
      <c r="DH11" s="115" t="n">
        <f aca="false">IF(NOT(Tasks[[#This Row],[_IsLeaf]]=1),"",IF(Tasks[[#This Row],[_AlapShift]]=0,Tasks[[#This Row],[_LeafCalcFinish]],WORKDAY.INTL(Tasks[[#This Row],[_LeafCalcFinish]],Tasks[[#This Row],[_AlapShift]],WorkWeek,Holidays)))</f>
        <v>46288</v>
      </c>
      <c r="DI11" s="115" t="n">
        <f aca="false">IF(NOT(Tasks[[#This Row],[_IsLeaf]]=1),"",IF(Tasks[[#This Row],[_AlapShift]]=0,Tasks[[#This Row],[_LeafFcstStart]],WORKDAY.INTL(Tasks[[#This Row],[_LeafFcstStart]],Tasks[[#This Row],[_AlapShift]],WorkWeek,Holidays)))</f>
        <v>46280</v>
      </c>
      <c r="DJ11" s="115" t="n">
        <f aca="false">IF(NOT(Tasks[[#This Row],[_IsLeaf]]=1),"",IF(Tasks[[#This Row],[_AlapShift]]=0,Tasks[[#This Row],[_LeafFcstFinish]],WORKDAY.INTL(Tasks[[#This Row],[_LeafFcstFinish]],Tasks[[#This Row],[_AlapShift]],WorkWeek,Holidays)))</f>
        <v>46290</v>
      </c>
      <c r="DK11" s="115" t="n">
        <f aca="false">IF(Tasks[[#This Row],[Task Name]]="","",IF(Tasks[[#This Row],[_IsSummary]],MIN(INDEX(Tasks[_ShownCalcStart],Tasks[[#This Row],[_Row]]+1):INDEX(Tasks[_ShownCalcStart],Tasks[[#This Row],[_Row]]+Tasks[[#This Row],[_Descendants]])),Tasks[[#This Row],[_ShownCalcStart]]))</f>
        <v>46279</v>
      </c>
      <c r="DL11" s="115" t="n">
        <f aca="false">IF(Tasks[[#This Row],[Task Name]]="","",IF(Tasks[[#This Row],[_IsSummary]],MAX(INDEX(Tasks[_ShownCalcFinish],Tasks[[#This Row],[_Row]]+1):INDEX(Tasks[_ShownCalcFinish],Tasks[[#This Row],[_Row]]+Tasks[[#This Row],[_Descendants]])),Tasks[[#This Row],[_ShownCalcFinish]]))</f>
        <v>46288</v>
      </c>
      <c r="DM1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46279</v>
      </c>
      <c r="DR1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46280</v>
      </c>
      <c r="DV1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 s="32" t="n">
        <f aca="false">IF(AND(Tasks[[#This Row],[_IsLeaf]]=1,Tasks[[#This Row],[_LeafTotalWork]]&gt;0),NETWORKDAYS.INTL(ProjectStart,Tasks[[#This Row],[_ShownFcstStart]],WorkWeek,Holidays),0)</f>
        <v>7</v>
      </c>
      <c r="DZ11" s="32" t="n">
        <f aca="false">IF(AND(Tasks[[#This Row],[_IsLeaf]]=1,Tasks[[#This Row],[_LeafTotalWork]]&gt;0),MAX(Tasks[[#This Row],[_StartWorkday]],NETWORKDAYS.INTL(ProjectStart,Tasks[[#This Row],[_ShownFcstFinish]],WorkWeek,Holidays)),0)</f>
        <v>15</v>
      </c>
      <c r="EA11" s="32" t="n">
        <f aca="false">IF(AND(Tasks[[#This Row],[_IsLeaf]]=1,Tasks[[#This Row],[_LeafTotalWork]]&gt;0),Tasks[[#This Row],[_LeafWork]]/(Tasks[[#This Row],[_FinishWorkday]]-Tasks[[#This Row],[_StartWorkday]]+1),0)</f>
        <v>7.11111111111111</v>
      </c>
      <c r="EB11" s="32" t="n">
        <f aca="false">Tasks[[#This Row],[_WorkPerWorkday]]*(Tasks[[#This Row],[_StartWorkday]]-1)</f>
        <v>42.6666666666667</v>
      </c>
      <c r="EC11" s="32" t="n">
        <f aca="false">IF(Tasks[[#This Row],[_IsLeaf]]=1,MAX(N(Tasks[[#This Row],[Duration]]),0.1),0)</f>
        <v>8</v>
      </c>
      <c r="ED11" s="32" t="n">
        <f aca="false">Tasks[[#This Row],[_WeightDur]]*Tasks[[#This Row],[_LeafProgress]]</f>
        <v>8</v>
      </c>
      <c r="EE1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4</v>
      </c>
      <c r="EF11" s="32" t="str">
        <f aca="false">IF(AND(Tasks[[#This Row],[_IsLeaf]]=1,N(Tasks[[#This Row],[Duration]])=0,Tasks[[#This Row],[_LeafProgress]]&lt;1),Tasks[[#This Row],[_ShownFcstFinish]]+Tasks[[#This Row],[_Row]]/100000,"")</f>
        <v/>
      </c>
      <c r="EG1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1" s="32" t="n">
        <f aca="false">IF(NOT(Tasks[[#This Row],[_IsLeaf]]=1),0,IF(Tasks[[#This Row],[Baseline Cost]]="",Tasks[[#This Row],[_LeafTotalCost]],N(Tasks[[#This Row],[Baseline Cost]])))</f>
        <v>4480</v>
      </c>
      <c r="EI11" s="32" t="n">
        <f aca="false">Tasks[[#This Row],[_LeafBudget]]*Tasks[[#This Row],[_PlannedPct]]</f>
        <v>4480</v>
      </c>
      <c r="EJ11" s="32" t="n">
        <f aca="false">Tasks[[#This Row],[_LeafBudget]]*Tasks[[#This Row],[_LeafProgress]]</f>
        <v>4480</v>
      </c>
      <c r="EK11" s="32" t="n">
        <f aca="false">IF(NOT(Tasks[[#This Row],[_IsLeaf]]=1),0,IF(Tasks[[#This Row],[Actual Cost]]="",Tasks[[#This Row],[_LeafTotalCost]]*Tasks[[#This Row],[_LeafProgress]],N(Tasks[[#This Row],[Actual Cost]])))</f>
        <v>5040</v>
      </c>
      <c r="EL11" s="32" t="str">
        <f aca="false">IF(Tasks[[#This Row],[Task Name]]="","",LEFT(Tasks[[#This Row],[WBS]],FIND(".",Tasks[[#This Row],[WBS]]&amp;".")-1))</f>
        <v>2</v>
      </c>
      <c r="EM11" s="32" t="str">
        <f aca="false">IF(AND(Tasks[[#This Row],[Task Name]]&lt;&gt;"",Tasks[[#This Row],[_Level]]=1),Tasks[[#This Row],[_Row]],"")</f>
        <v/>
      </c>
      <c r="EN11" s="32" t="str">
        <f aca="false">IF(AND(Tasks[[#This Row],[_IsLeaf]]=1,N(Tasks[[#This Row],[Duration]])=0),Tasks[[#This Row],[Planned Finish]]+Tasks[[#This Row],[_Row]]/100000,"")</f>
        <v/>
      </c>
      <c r="EO11" s="32" t="str">
        <f aca="false">IF(AND(Tasks[[#This Row],[_IsLeaf]]=1,Tasks[[#This Row],[_LeafProgress]]&lt;1,OR(N(Tasks[[#This Row],[Finish Var]])&gt;0,Tasks[[#This Row],[Status]]="Late Start")),MAX(0,Tasks[[#This Row],[Finish Var]])+1-Tasks[[#This Row],[_Row]]/1000000,"")</f>
        <v/>
      </c>
      <c r="EP11" s="32" t="str">
        <f aca="false">IF(AND(Tasks[[#This Row],[_IsLeaf]]=1,N(Tasks[[#This Row],[Actual Start]])=0,Tasks[[#This Row],[_ShownFcstStart]]&gt;=StatusDate,Tasks[[#This Row],[_ShownFcstStart]]&lt;=LookaheadEnd),Tasks[[#This Row],[_ShownFcstStart]]+Tasks[[#This Row],[_Row]]/100000,"")</f>
        <v/>
      </c>
      <c r="EQ11" s="32" t="str">
        <f aca="false">IF(AND(Tasks[[#This Row],[_IsLeaf]]=1,Tasks[[#This Row],[_LeafProgress]]&lt;1,Tasks[[#This Row],[_ShownFcstFinish]]&gt;=StatusDate,Tasks[[#This Row],[_ShownFcstFinish]]&lt;=LookaheadEnd),Tasks[[#This Row],[_ShownFcstFinish]]+Tasks[[#This Row],[_Row]]/100000,"")</f>
        <v/>
      </c>
      <c r="ER11" s="32" t="str">
        <f aca="false">IF(Tasks[[#This Row],[_LeafCritical]],Tasks[[#This Row],[_ShownFcstStart]]+Tasks[[#This Row],[_Row]]/100000,"")</f>
        <v/>
      </c>
      <c r="ES11" s="32" t="n">
        <f aca="false">Tasks[[#This Row],[_LeafWork]]*Tasks[[#This Row],[_LeafProgress]]</f>
        <v>64</v>
      </c>
      <c r="ET11" s="115" t="n">
        <f aca="false">IF(AND(Tasks[[#This Row],[_IsLeaf]]=1,Tasks[[#This Row],[_LeafProgress]]&gt;=1),IF(N(Tasks[[#This Row],[Actual Finish]])&gt;0,Tasks[[#This Row],[Actual Finish]],Tasks[[#This Row],[_ShownFcstFinish]]),"")</f>
        <v>46290</v>
      </c>
      <c r="EU11" s="32" t="n">
        <f aca="false">IF(Tasks[[#This Row],[_IsLeaf]]=1,N(Tasks[[#This Row],[Story Points]]),0)</f>
        <v>8</v>
      </c>
      <c r="EV11" s="32" t="str">
        <f aca="false">IF(AND(Tasks[[#This Row],[_IsLeaf]]=1,CurrentSprint&lt;&gt;"",Tasks[[#This Row],[Sprint]]=CurrentSprint),Tasks[[#This Row],[_Row]],"")</f>
        <v/>
      </c>
    </row>
    <row r="12" customFormat="false" ht="15" hidden="false" customHeight="false" outlineLevel="1" collapsed="false">
      <c r="A12" s="45" t="n">
        <f aca="false">IF(Tasks[[#This Row],[Task Name]]="","",COUNTA(Tasks[[#Headers],[Task Name]]:Tasks[[#This Row],[Task Name]])-1)</f>
        <v>7</v>
      </c>
      <c r="B12" s="46" t="n">
        <v>7</v>
      </c>
      <c r="C1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2.2</v>
      </c>
      <c r="D12" s="46" t="n">
        <v>2</v>
      </c>
      <c r="E12" s="45" t="str">
        <f aca="false">IF(Tasks[[#This Row],[Task Name]]="","",IF(Tasks[[#This Row],[_Level]]&lt;=OutlineShowLevel,"Yes","No"))</f>
        <v>Yes</v>
      </c>
      <c r="F12" s="47" t="s">
        <v>652</v>
      </c>
      <c r="G12" s="46" t="s">
        <v>642</v>
      </c>
      <c r="H12" s="46" t="n">
        <v>5</v>
      </c>
      <c r="I12" s="46" t="n">
        <v>6</v>
      </c>
      <c r="J12" s="46" t="s">
        <v>653</v>
      </c>
      <c r="K12" s="46" t="n">
        <v>3</v>
      </c>
      <c r="L12" s="46"/>
      <c r="M12" s="46"/>
      <c r="N12" s="46"/>
      <c r="O12" s="46"/>
      <c r="P12" s="46"/>
      <c r="Q12" s="46"/>
      <c r="R12" s="46"/>
      <c r="S12" s="46"/>
      <c r="T12" s="46"/>
      <c r="U12" s="47"/>
      <c r="V12" s="88"/>
      <c r="W12" s="88"/>
      <c r="X12" s="25" t="n">
        <f aca="false">IF(Tasks[[#This Row],[Task Name]]="","",IF(N(Tasks[[#This Row],[Baseline Start]])&gt;0,Tasks[[#This Row],[Baseline Start]],Tasks[[#This Row],[_CalcStart]]))</f>
        <v>46282</v>
      </c>
      <c r="Y12" s="25" t="n">
        <f aca="false">IF(Tasks[[#This Row],[Task Name]]="","",IF(N(Tasks[[#This Row],[Baseline Finish]])&gt;0,Tasks[[#This Row],[Baseline Finish]],Tasks[[#This Row],[_CalcFinish]]))</f>
        <v>46288</v>
      </c>
      <c r="Z12" s="88" t="n">
        <v>46283</v>
      </c>
      <c r="AA12" s="88" t="n">
        <v>46290</v>
      </c>
      <c r="AB12" s="25" t="n">
        <f aca="false">IF(Tasks[[#This Row],[Task Name]]="","",IF(Tasks[[#This Row],[_IsSummary]],MIN(INDEX(Tasks[_ShownFcstStart],Tasks[[#This Row],[_Row]]+1):INDEX(Tasks[_ShownFcstStart],Tasks[[#This Row],[_Row]]+Tasks[[#This Row],[_Descendants]])),Tasks[[#This Row],[_ShownFcstStart]]))</f>
        <v>46283</v>
      </c>
      <c r="AC12" s="25" t="n">
        <f aca="false">IF(Tasks[[#This Row],[Task Name]]="","",IF(Tasks[[#This Row],[_IsSummary]],MAX(INDEX(Tasks[_ShownFcstFinish],Tasks[[#This Row],[_Row]]+1):INDEX(Tasks[_ShownFcstFinish],Tasks[[#This Row],[_Row]]+Tasks[[#This Row],[_Descendants]])),Tasks[[#This Row],[_ShownFcstFinish]]))</f>
        <v>46290</v>
      </c>
      <c r="AD12" s="56" t="n">
        <f aca="false">IF(Tasks[[#This Row],[Task Name]]="","",IF(Tasks[[#This Row],[Forecast Start]]&gt;=Tasks[[#This Row],[Planned Start]],NETWORKDAYS.INTL(Tasks[[#This Row],[Planned Start]],Tasks[[#This Row],[Forecast Start]],WorkWeek,Holidays)-1,1-NETWORKDAYS.INTL(Tasks[[#This Row],[Forecast Start]],Tasks[[#This Row],[Planned Start]],WorkWeek,Holidays)))</f>
        <v>1</v>
      </c>
      <c r="AE12" s="56" t="n">
        <f aca="false">IF(Tasks[[#This Row],[Task Name]]="","",IF(Tasks[[#This Row],[Forecast Finish]]&gt;=Tasks[[#This Row],[Planned Finish]],NETWORKDAYS.INTL(Tasks[[#This Row],[Planned Finish]],Tasks[[#This Row],[Forecast Finish]],WorkWeek,Holidays)-1,1-NETWORKDAYS.INTL(Tasks[[#This Row],[Forecast Finish]],Tasks[[#This Row],[Planned Finish]],WorkWeek,Holidays)))</f>
        <v>2</v>
      </c>
      <c r="AF12" s="25" t="n">
        <f aca="false">IF(Tasks[[#This Row],[Task Name]]="","",IF(Tasks[[#This Row],[_IsSummary]],MIN(INDEX(Tasks[_LeafLateStart],Tasks[[#This Row],[_Row]]+1):INDEX(Tasks[_LeafLateStart],Tasks[[#This Row],[_Row]]+Tasks[[#This Row],[_Descendants]])),Tasks[[#This Row],[_LeafLateStart]]))</f>
        <v>46297</v>
      </c>
      <c r="AG12" s="25" t="n">
        <f aca="false">IF(Tasks[[#This Row],[Task Name]]="","",IF(Tasks[[#This Row],[_IsSummary]],MAX(INDEX(Tasks[_LeafLateFinish],Tasks[[#This Row],[_Row]]+1):INDEX(Tasks[_LeafLateFinish],Tasks[[#This Row],[_Row]]+Tasks[[#This Row],[_Descendants]])),Tasks[[#This Row],[_LeafLateFinish]]))</f>
        <v>46303</v>
      </c>
      <c r="AH12" s="56" t="n">
        <f aca="false">IF(Tasks[[#This Row],[Task Name]]="","",IF(Tasks[[#This Row],[_IsSummary]],MIN(INDEX(Tasks[_LeafTotalSlack],Tasks[[#This Row],[_Row]]+1):INDEX(Tasks[_LeafTotalSlack],Tasks[[#This Row],[_Row]]+Tasks[[#This Row],[_Descendants]])),Tasks[[#This Row],[_LeafTotalSlack]]))</f>
        <v>9</v>
      </c>
      <c r="AI12"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7</v>
      </c>
      <c r="AJ12" s="45" t="str">
        <f aca="false">IF(Tasks[[#This Row],[Task Name]]="","",IF(IF(Tasks[[#This Row],[_IsSummary]],COUNTIF(INDEX(Tasks[_LeafCritical],Tasks[[#This Row],[_Row]]+1):INDEX(Tasks[_LeafCritical],Tasks[[#This Row],[_Row]]+Tasks[[#This Row],[_Descendants]]),TRUE())&gt;0,Tasks[[#This Row],[_LeafCritical]]),"Yes",""))</f>
        <v/>
      </c>
      <c r="AK1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 s="102" t="n">
        <v>1</v>
      </c>
      <c r="AN12"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2" s="45" t="str">
        <f aca="false">IF(Tasks[[#This Row],[Task Name]]="","",IF(Tasks[[#This Row],[Progress]]&gt;=1,"Complete",IF(OR(N(Tasks[[#This Row],[Actual Start]])&gt;0,Tasks[[#This Row],[Progress]]&gt;0),IF(Tasks[[#This Row],[Finish Var]]&gt;0,"Behind","In Progress"),IF(Tasks[[#This Row],[Planned Start]]&lt;StatusDate,"Late Start","Not Started"))))</f>
        <v>Complete</v>
      </c>
      <c r="AP12" s="47" t="s">
        <v>317</v>
      </c>
      <c r="AQ12" s="102"/>
      <c r="AR1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Alex Chen, Jordan Lee[50%]</v>
      </c>
      <c r="AS1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 s="110" t="n">
        <f aca="false">IF(Tasks[[#This Row],[Task Name]]="","",IF(Tasks[[#This Row],[_IsSummary]],SUM(INDEX(Tasks[_LeafTotalWork],Tasks[[#This Row],[_Row]]+1):INDEX(Tasks[_LeafTotalWork],Tasks[[#This Row],[_Row]]+Tasks[[#This Row],[_Descendants]])),Tasks[[#This Row],[_LeafTotalWork]]))</f>
        <v>60</v>
      </c>
      <c r="AU12" s="111" t="n">
        <f aca="false">IF(Tasks[[#This Row],[Task Name]]="","",IF(Tasks[[#This Row],[_IsSummary]],SUM(INDEX(Tasks[_LeafTotalCost],Tasks[[#This Row],[_Row]]+1):INDEX(Tasks[_LeafTotalCost],Tasks[[#This Row],[_Row]]+Tasks[[#This Row],[_Descendants]])),Tasks[[#This Row],[_LeafTotalCost]]))</f>
        <v>6100</v>
      </c>
      <c r="AV12" s="112"/>
      <c r="AW12" s="46"/>
      <c r="AX1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1</v>
      </c>
      <c r="AY12" s="96" t="n">
        <v>5</v>
      </c>
      <c r="AZ1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6SS+3d</v>
      </c>
      <c r="BA12" s="47" t="s">
        <v>654</v>
      </c>
      <c r="BB12" s="25" t="n">
        <f aca="false">IF(Tasks[[#This Row],[Task Name]]="","",Tasks[[#This Row],[Forecast Start]])</f>
        <v>46283</v>
      </c>
      <c r="BC12" s="25" t="n">
        <f aca="false">IF(Tasks[[#This Row],[Task Name]]="","",Tasks[[#This Row],[Forecast Finish]])</f>
        <v>46290</v>
      </c>
      <c r="BD12" s="45" t="n">
        <f aca="false">IF(Tasks[[#This Row],[Task Name]]="","",IF(Tasks[[#This Row],[_IsSummary]],NETWORKDAYS.INTL(Tasks[[#This Row],[Forecast Start]],Tasks[[#This Row],[Forecast Finish]],WorkWeek,Holidays),N(Tasks[[#This Row],[Duration]])))</f>
        <v>5</v>
      </c>
      <c r="BE12" s="110" t="n">
        <f aca="false">IF(Tasks[[#This Row],[Task Name]]="","",Tasks[[#This Row],[Work]])</f>
        <v>60</v>
      </c>
      <c r="BF12" s="111" t="n">
        <f aca="false">IF(Tasks[[#This Row],[Task Name]]="","",Tasks[[#This Row],[Cost]])</f>
        <v>6100</v>
      </c>
      <c r="BG12" s="88"/>
      <c r="BH12" s="88"/>
      <c r="BI12" s="46"/>
      <c r="BJ12" s="113"/>
      <c r="BK12" s="112"/>
      <c r="BL12" s="45" t="str">
        <f aca="false">IF(OR(Tasks[[#This Row],[Task Name]]="",Tasks[[#This Row],[Baseline Duration]]=""),"",Tasks[[#This Row],[BL Source Duration]]-N(Tasks[[#This Row],[Baseline Duration]]))</f>
        <v/>
      </c>
      <c r="BM12" s="110" t="str">
        <f aca="false">IF(OR(Tasks[[#This Row],[Task Name]]="",Tasks[[#This Row],[Baseline Work]]=""),"",Tasks[[#This Row],[Work]]-N(Tasks[[#This Row],[Baseline Work]]))</f>
        <v/>
      </c>
      <c r="BN12" s="111" t="str">
        <f aca="false">IF(OR(Tasks[[#This Row],[Task Name]]="",Tasks[[#This Row],[Baseline Cost]]=""),"",Tasks[[#This Row],[Cost]]-N(Tasks[[#This Row],[Baseline Cost]]))</f>
        <v/>
      </c>
      <c r="BO12" s="111" t="n">
        <f aca="false">IF(Tasks[[#This Row],[Task Name]]="","",IF(Tasks[[#This Row],[_IsSummary]],SUM(INDEX(Tasks[_LeafBudget],Tasks[[#This Row],[_Row]]+1):INDEX(Tasks[_LeafBudget],Tasks[[#This Row],[_Row]]+Tasks[[#This Row],[_Descendants]])),Tasks[[#This Row],[_LeafBudget]]))</f>
        <v>6100</v>
      </c>
      <c r="BP12" s="111" t="n">
        <f aca="false">IF(Tasks[[#This Row],[Task Name]]="","",IF(Tasks[[#This Row],[_IsSummary]],SUM(INDEX(Tasks[_LeafPV],Tasks[[#This Row],[_Row]]+1):INDEX(Tasks[_LeafPV],Tasks[[#This Row],[_Row]]+Tasks[[#This Row],[_Descendants]])),Tasks[[#This Row],[_LeafPV]]))</f>
        <v>6100</v>
      </c>
      <c r="BQ12" s="111" t="n">
        <f aca="false">IF(Tasks[[#This Row],[Task Name]]="","",IF(Tasks[[#This Row],[_IsSummary]],SUM(INDEX(Tasks[_LeafEV],Tasks[[#This Row],[_Row]]+1):INDEX(Tasks[_LeafEV],Tasks[[#This Row],[_Row]]+Tasks[[#This Row],[_Descendants]])),Tasks[[#This Row],[_LeafEV]]))</f>
        <v>6100</v>
      </c>
      <c r="BR12" s="111" t="n">
        <f aca="false">IF(Tasks[[#This Row],[Task Name]]="","",IF(Tasks[[#This Row],[_IsSummary]],SUM(INDEX(Tasks[_LeafAC],Tasks[[#This Row],[_Row]]+1):INDEX(Tasks[_LeafAC],Tasks[[#This Row],[_Row]]+Tasks[[#This Row],[_Descendants]])),Tasks[[#This Row],[_LeafAC]]))</f>
        <v>6100</v>
      </c>
      <c r="BS12" s="32" t="n">
        <f aca="false">IF(Tasks[[#This Row],[Task Name]]="","",MAX(1,N(Tasks[[#This Row],[Level]])))</f>
        <v>2</v>
      </c>
      <c r="BT12" s="32" t="n">
        <f aca="false">ROW()-ROW(Tasks[[#Headers],[ID]])</f>
        <v>7</v>
      </c>
      <c r="BU12" s="32" t="n">
        <f aca="false">IF(OR(Tasks[[#This Row],[Task Name]]="",Tasks[[#This Row],[_Level]]&lt;=1),0,IFERROR(LOOKUP(2,1/(Tasks[[#Headers],[_Level]]:Tasks[[#This Row],[_Level]]=Tasks[[#This Row],[_Level]]-1),ROW(Tasks[[#Headers],[_Level]]:Tasks[[#This Row],[_Level]])),0))</f>
        <v>10</v>
      </c>
      <c r="BV12" s="32" t="n">
        <f aca="false">IFERROR(N(INDEX(Tasks[_Level],Tasks[[#This Row],[_Row]]+1)),0)</f>
        <v>2</v>
      </c>
      <c r="BW12" s="114" t="b">
        <f aca="false">AND(Tasks[[#This Row],[Task Name]]&lt;&gt;"",Tasks[[#This Row],[_NextLevel]]&gt;Tasks[[#This Row],[_Level]])</f>
        <v>0</v>
      </c>
      <c r="BX12" s="32" t="n">
        <f aca="false">IF(Tasks[[#This Row],[_IsSummary]],COUNTIF(Tasks[WBS],Tasks[[#This Row],[WBS]]&amp;".*"),0)</f>
        <v>0</v>
      </c>
      <c r="BY12" s="32" t="n">
        <f aca="false">IF(AND(Tasks[[#This Row],[Task Name]]&lt;&gt;"",NOT(Tasks[[#This Row],[_IsSummary]])),1,0)</f>
        <v>1</v>
      </c>
      <c r="BZ12" s="32" t="n">
        <f aca="false">IF(N(Tasks[[#This Row],[Pred1 UID]])=0,0,IFERROR(MATCH(Tasks[[#This Row],[Pred1 UID]],Tasks[UID],0),-1))</f>
        <v>6</v>
      </c>
      <c r="CA12" s="32" t="n">
        <f aca="false">IF(N(Tasks[[#This Row],[Pred2 UID]])=0,0,IFERROR(MATCH(Tasks[[#This Row],[Pred2 UID]],Tasks[UID],0),-1))</f>
        <v>0</v>
      </c>
      <c r="CB12" s="32" t="n">
        <f aca="false">IF(N(Tasks[[#This Row],[Pred3 UID]])=0,0,IFERROR(MATCH(Tasks[[#This Row],[Pred3 UID]],Tasks[UID],0),-1))</f>
        <v>0</v>
      </c>
      <c r="CC12" s="32" t="n">
        <f aca="false">IF(N(Tasks[[#This Row],[Pred4 UID]])=0,0,IFERROR(MATCH(Tasks[[#This Row],[Pred4 UID]],Tasks[UID],0),-1))</f>
        <v>0</v>
      </c>
      <c r="CD12"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 s="115" t="n">
        <f aca="false">IF(OR(Tasks[[#This Row],[_ConstraintCode]]=2,Tasks[[#This Row],[_ConstraintCode]]=3,Tasks[[#This Row],[_ConstraintCode]]=4,Tasks[[#This Row],[_ConstraintCode]]=6),Tasks[[#This Row],[_ConstraintStart]],0)</f>
        <v>0</v>
      </c>
      <c r="CG12" s="115" t="n">
        <f aca="false">IF(OR(Tasks[[#This Row],[_ConstraintCode]]=2,Tasks[[#This Row],[_ConstraintCode]]=3,Tasks[[#This Row],[_ConstraintCode]]=5,Tasks[[#This Row],[_ConstraintCode]]=7),Tasks[[#This Row],[_ConstraintStart]],2958465)</f>
        <v>2958465</v>
      </c>
      <c r="CH12"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46282</v>
      </c>
      <c r="CI12" s="115" t="n">
        <f aca="false">IF(NOT(Tasks[[#This Row],[_IsLeaf]]=1),"",IF(N(Tasks[[#This Row],[Duration]])&lt;=0,Tasks[[#This Row],[_LeafCalcStart]],WORKDAY.INTL(Tasks[[#This Row],[_LeafCalcStart]],Tasks[[#This Row],[Duration]]-1,WorkWeek,Holidays)))</f>
        <v>46288</v>
      </c>
      <c r="CJ12"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46283</v>
      </c>
      <c r="CK12"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46290</v>
      </c>
      <c r="CL12" s="32" t="n">
        <f aca="false">IF(NOT(Tasks[[#This Row],[_IsLeaf]]=1),0,IF(N(Tasks[[#This Row],[Actual Finish]])&gt;0,1,MIN(1,N(Tasks[[#This Row],[% Complete]]))))</f>
        <v>1</v>
      </c>
      <c r="CM12" s="32" t="n">
        <f aca="false">IF(OR(NOT(Tasks[[#This Row],[_IsLeaf]]=1),Tasks[[#This Row],[Resource]]=""),0,N(Tasks[[#This Row],[Duration]])*HoursPerDay*IF(Tasks[[#This Row],[Units]]="",DefaultUnits,Tasks[[#This Row],[Units]]))</f>
        <v>40</v>
      </c>
      <c r="CN12" s="32" t="n">
        <f aca="false">IF(Tasks[[#This Row],[_LeafWork]]=0,0,Tasks[[#This Row],[_LeafWork]]*IFERROR(INDEX(res_Rate,MATCH(Tasks[[#This Row],[Resource]],res_Name,0)),0))</f>
        <v>4400</v>
      </c>
      <c r="CO12" s="32" t="n">
        <f aca="false">Tasks[[#This Row],[_LeafWork]]+IF(Tasks[[#This Row],[_IsLeaf]]=1,SUMIFS(asg_Work,asg_TaskUID,Tasks[[#This Row],[UID]],asg_Valid,1),0)</f>
        <v>60</v>
      </c>
      <c r="CP12" s="32" t="n">
        <f aca="false">Tasks[[#This Row],[_LeafCost]]+IF(Tasks[[#This Row],[_IsLeaf]]=1,SUMIFS(asg_Cost,asg_TaskUID,Tasks[[#This Row],[UID]],asg_Valid,1),0)</f>
        <v>6100</v>
      </c>
      <c r="CQ12" s="32" t="n">
        <f aca="false">IF(Tasks[[#This Row],[_LeafTotalCost]]=0,Tasks[[#This Row],[_LeafAC]],Tasks[[#This Row],[_LeafAC]]*Tasks[[#This Row],[_LeafCost]]/Tasks[[#This Row],[_LeafTotalCost]])</f>
        <v>4400</v>
      </c>
      <c r="CR12"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2912162</v>
      </c>
      <c r="CS1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 s="32" t="n">
        <f aca="false">IF(NOT(Tasks[[#This Row],[_IsLeaf]]=1),0,MAX(_xlfn.MAXIFS(Tasks[_Row],Tasks[Pred1 UID],Tasks[[#This Row],[UID]]),_xlfn.MAXIFS(Tasks[_Row],Tasks[Pred2 UID],Tasks[[#This Row],[UID]]),_xlfn.MAXIFS(Tasks[_Row],Tasks[Pred3 UID],Tasks[[#This Row],[UID]]),_xlfn.MAXIFS(Tasks[_Row],Tasks[Pred4 UID],Tasks[[#This Row],[UID]])))</f>
        <v>9</v>
      </c>
      <c r="DA12"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46303</v>
      </c>
      <c r="DB12"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DC12" s="115" t="n">
        <f aca="false">IF(NOT(Tasks[[#This Row],[_IsLeaf]]=1),"",IF(N(Tasks[[#This Row],[Duration]])&lt;=0,Tasks[[#This Row],[_LeafLateFinish]],WORKDAY.INTL(Tasks[[#This Row],[_LeafLateFinish]],-(Tasks[[#This Row],[Duration]]-1),WorkWeek,Holidays)))</f>
        <v>46297</v>
      </c>
      <c r="DD12"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9</v>
      </c>
      <c r="DE12" s="114" t="b">
        <f aca="false">AND(Tasks[[#This Row],[_IsLeaf]]=1,Tasks[[#This Row],[_LeafProgress]]&lt;1,N(Tasks[[#This Row],[_LeafTotalSlack]])&lt;=CriticalSlackDays)</f>
        <v>0</v>
      </c>
      <c r="DF12" s="32" t="n">
        <f aca="false">IF(AND(Tasks[[#This Row],[_IsLeaf]]=1,Tasks[[#This Row],[_ConstraintCode]]=1,Tasks[[#This Row],[Mode]]&lt;&gt;"Manual",N(Tasks[[#This Row],[Actual Start]])=0),MAX(0,N(Tasks[[#This Row],[Free Slack]])),0)</f>
        <v>0</v>
      </c>
      <c r="DG12" s="115" t="n">
        <f aca="false">IF(NOT(Tasks[[#This Row],[_IsLeaf]]=1),"",IF(Tasks[[#This Row],[_AlapShift]]=0,Tasks[[#This Row],[_LeafCalcStart]],WORKDAY.INTL(Tasks[[#This Row],[_LeafCalcStart]],Tasks[[#This Row],[_AlapShift]],WorkWeek,Holidays)))</f>
        <v>46282</v>
      </c>
      <c r="DH12" s="115" t="n">
        <f aca="false">IF(NOT(Tasks[[#This Row],[_IsLeaf]]=1),"",IF(Tasks[[#This Row],[_AlapShift]]=0,Tasks[[#This Row],[_LeafCalcFinish]],WORKDAY.INTL(Tasks[[#This Row],[_LeafCalcFinish]],Tasks[[#This Row],[_AlapShift]],WorkWeek,Holidays)))</f>
        <v>46288</v>
      </c>
      <c r="DI12" s="115" t="n">
        <f aca="false">IF(NOT(Tasks[[#This Row],[_IsLeaf]]=1),"",IF(Tasks[[#This Row],[_AlapShift]]=0,Tasks[[#This Row],[_LeafFcstStart]],WORKDAY.INTL(Tasks[[#This Row],[_LeafFcstStart]],Tasks[[#This Row],[_AlapShift]],WorkWeek,Holidays)))</f>
        <v>46283</v>
      </c>
      <c r="DJ12" s="115" t="n">
        <f aca="false">IF(NOT(Tasks[[#This Row],[_IsLeaf]]=1),"",IF(Tasks[[#This Row],[_AlapShift]]=0,Tasks[[#This Row],[_LeafFcstFinish]],WORKDAY.INTL(Tasks[[#This Row],[_LeafFcstFinish]],Tasks[[#This Row],[_AlapShift]],WorkWeek,Holidays)))</f>
        <v>46290</v>
      </c>
      <c r="DK12" s="115" t="n">
        <f aca="false">IF(Tasks[[#This Row],[Task Name]]="","",IF(Tasks[[#This Row],[_IsSummary]],MIN(INDEX(Tasks[_ShownCalcStart],Tasks[[#This Row],[_Row]]+1):INDEX(Tasks[_ShownCalcStart],Tasks[[#This Row],[_Row]]+Tasks[[#This Row],[_Descendants]])),Tasks[[#This Row],[_ShownCalcStart]]))</f>
        <v>46282</v>
      </c>
      <c r="DL12" s="115" t="n">
        <f aca="false">IF(Tasks[[#This Row],[Task Name]]="","",IF(Tasks[[#This Row],[_IsSummary]],MAX(INDEX(Tasks[_ShownCalcFinish],Tasks[[#This Row],[_Row]]+1):INDEX(Tasks[_ShownCalcFinish],Tasks[[#This Row],[_Row]]+Tasks[[#This Row],[_Descendants]])),Tasks[[#This Row],[_ShownCalcFinish]]))</f>
        <v>46288</v>
      </c>
      <c r="DM1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46282</v>
      </c>
      <c r="DR1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46283</v>
      </c>
      <c r="DV1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 s="32" t="n">
        <f aca="false">IF(AND(Tasks[[#This Row],[_IsLeaf]]=1,Tasks[[#This Row],[_LeafTotalWork]]&gt;0),NETWORKDAYS.INTL(ProjectStart,Tasks[[#This Row],[_ShownFcstStart]],WorkWeek,Holidays),0)</f>
        <v>10</v>
      </c>
      <c r="DZ12" s="32" t="n">
        <f aca="false">IF(AND(Tasks[[#This Row],[_IsLeaf]]=1,Tasks[[#This Row],[_LeafTotalWork]]&gt;0),MAX(Tasks[[#This Row],[_StartWorkday]],NETWORKDAYS.INTL(ProjectStart,Tasks[[#This Row],[_ShownFcstFinish]],WorkWeek,Holidays)),0)</f>
        <v>15</v>
      </c>
      <c r="EA12" s="32" t="n">
        <f aca="false">IF(AND(Tasks[[#This Row],[_IsLeaf]]=1,Tasks[[#This Row],[_LeafTotalWork]]&gt;0),Tasks[[#This Row],[_LeafWork]]/(Tasks[[#This Row],[_FinishWorkday]]-Tasks[[#This Row],[_StartWorkday]]+1),0)</f>
        <v>6.66666666666667</v>
      </c>
      <c r="EB12" s="32" t="n">
        <f aca="false">Tasks[[#This Row],[_WorkPerWorkday]]*(Tasks[[#This Row],[_StartWorkday]]-1)</f>
        <v>60</v>
      </c>
      <c r="EC12" s="32" t="n">
        <f aca="false">IF(Tasks[[#This Row],[_IsLeaf]]=1,MAX(N(Tasks[[#This Row],[Duration]]),0.1),0)</f>
        <v>5</v>
      </c>
      <c r="ED12" s="32" t="n">
        <f aca="false">Tasks[[#This Row],[_WeightDur]]*Tasks[[#This Row],[_LeafProgress]]</f>
        <v>5</v>
      </c>
      <c r="EE1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6SS+3d</v>
      </c>
      <c r="EF12" s="32" t="str">
        <f aca="false">IF(AND(Tasks[[#This Row],[_IsLeaf]]=1,N(Tasks[[#This Row],[Duration]])=0,Tasks[[#This Row],[_LeafProgress]]&lt;1),Tasks[[#This Row],[_ShownFcstFinish]]+Tasks[[#This Row],[_Row]]/100000,"")</f>
        <v/>
      </c>
      <c r="EG1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2" s="32" t="n">
        <f aca="false">IF(NOT(Tasks[[#This Row],[_IsLeaf]]=1),0,IF(Tasks[[#This Row],[Baseline Cost]]="",Tasks[[#This Row],[_LeafTotalCost]],N(Tasks[[#This Row],[Baseline Cost]])))</f>
        <v>6100</v>
      </c>
      <c r="EI12" s="32" t="n">
        <f aca="false">Tasks[[#This Row],[_LeafBudget]]*Tasks[[#This Row],[_PlannedPct]]</f>
        <v>6100</v>
      </c>
      <c r="EJ12" s="32" t="n">
        <f aca="false">Tasks[[#This Row],[_LeafBudget]]*Tasks[[#This Row],[_LeafProgress]]</f>
        <v>6100</v>
      </c>
      <c r="EK12" s="32" t="n">
        <f aca="false">IF(NOT(Tasks[[#This Row],[_IsLeaf]]=1),0,IF(Tasks[[#This Row],[Actual Cost]]="",Tasks[[#This Row],[_LeafTotalCost]]*Tasks[[#This Row],[_LeafProgress]],N(Tasks[[#This Row],[Actual Cost]])))</f>
        <v>6100</v>
      </c>
      <c r="EL12" s="32" t="str">
        <f aca="false">IF(Tasks[[#This Row],[Task Name]]="","",LEFT(Tasks[[#This Row],[WBS]],FIND(".",Tasks[[#This Row],[WBS]]&amp;".")-1))</f>
        <v>2</v>
      </c>
      <c r="EM12" s="32" t="str">
        <f aca="false">IF(AND(Tasks[[#This Row],[Task Name]]&lt;&gt;"",Tasks[[#This Row],[_Level]]=1),Tasks[[#This Row],[_Row]],"")</f>
        <v/>
      </c>
      <c r="EN12" s="32" t="str">
        <f aca="false">IF(AND(Tasks[[#This Row],[_IsLeaf]]=1,N(Tasks[[#This Row],[Duration]])=0),Tasks[[#This Row],[Planned Finish]]+Tasks[[#This Row],[_Row]]/100000,"")</f>
        <v/>
      </c>
      <c r="EO12" s="32" t="str">
        <f aca="false">IF(AND(Tasks[[#This Row],[_IsLeaf]]=1,Tasks[[#This Row],[_LeafProgress]]&lt;1,OR(N(Tasks[[#This Row],[Finish Var]])&gt;0,Tasks[[#This Row],[Status]]="Late Start")),MAX(0,Tasks[[#This Row],[Finish Var]])+1-Tasks[[#This Row],[_Row]]/1000000,"")</f>
        <v/>
      </c>
      <c r="EP12" s="32" t="str">
        <f aca="false">IF(AND(Tasks[[#This Row],[_IsLeaf]]=1,N(Tasks[[#This Row],[Actual Start]])=0,Tasks[[#This Row],[_ShownFcstStart]]&gt;=StatusDate,Tasks[[#This Row],[_ShownFcstStart]]&lt;=LookaheadEnd),Tasks[[#This Row],[_ShownFcstStart]]+Tasks[[#This Row],[_Row]]/100000,"")</f>
        <v/>
      </c>
      <c r="EQ12" s="32" t="str">
        <f aca="false">IF(AND(Tasks[[#This Row],[_IsLeaf]]=1,Tasks[[#This Row],[_LeafProgress]]&lt;1,Tasks[[#This Row],[_ShownFcstFinish]]&gt;=StatusDate,Tasks[[#This Row],[_ShownFcstFinish]]&lt;=LookaheadEnd),Tasks[[#This Row],[_ShownFcstFinish]]+Tasks[[#This Row],[_Row]]/100000,"")</f>
        <v/>
      </c>
      <c r="ER12" s="32" t="str">
        <f aca="false">IF(Tasks[[#This Row],[_LeafCritical]],Tasks[[#This Row],[_ShownFcstStart]]+Tasks[[#This Row],[_Row]]/100000,"")</f>
        <v/>
      </c>
      <c r="ES12" s="32" t="n">
        <f aca="false">Tasks[[#This Row],[_LeafWork]]*Tasks[[#This Row],[_LeafProgress]]</f>
        <v>40</v>
      </c>
      <c r="ET12" s="115" t="n">
        <f aca="false">IF(AND(Tasks[[#This Row],[_IsLeaf]]=1,Tasks[[#This Row],[_LeafProgress]]&gt;=1),IF(N(Tasks[[#This Row],[Actual Finish]])&gt;0,Tasks[[#This Row],[Actual Finish]],Tasks[[#This Row],[_ShownFcstFinish]]),"")</f>
        <v>46290</v>
      </c>
      <c r="EU12" s="32" t="n">
        <f aca="false">IF(Tasks[[#This Row],[_IsLeaf]]=1,N(Tasks[[#This Row],[Story Points]]),0)</f>
        <v>5</v>
      </c>
      <c r="EV12" s="32" t="str">
        <f aca="false">IF(AND(Tasks[[#This Row],[_IsLeaf]]=1,CurrentSprint&lt;&gt;"",Tasks[[#This Row],[Sprint]]=CurrentSprint),Tasks[[#This Row],[_Row]],"")</f>
        <v/>
      </c>
    </row>
    <row r="13" customFormat="false" ht="15" hidden="false" customHeight="false" outlineLevel="1" collapsed="false">
      <c r="A13" s="45" t="n">
        <f aca="false">IF(Tasks[[#This Row],[Task Name]]="","",COUNTA(Tasks[[#Headers],[Task Name]]:Tasks[[#This Row],[Task Name]])-1)</f>
        <v>8</v>
      </c>
      <c r="B13" s="46" t="n">
        <v>8</v>
      </c>
      <c r="C1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2.3</v>
      </c>
      <c r="D13" s="46" t="n">
        <v>2</v>
      </c>
      <c r="E13" s="45" t="str">
        <f aca="false">IF(Tasks[[#This Row],[Task Name]]="","",IF(Tasks[[#This Row],[_Level]]&lt;=OutlineShowLevel,"Yes","No"))</f>
        <v>Yes</v>
      </c>
      <c r="F13" s="47" t="s">
        <v>655</v>
      </c>
      <c r="G13" s="46" t="s">
        <v>642</v>
      </c>
      <c r="H13" s="46" t="n">
        <v>6</v>
      </c>
      <c r="I13" s="46" t="n">
        <v>6</v>
      </c>
      <c r="J13" s="46" t="s">
        <v>647</v>
      </c>
      <c r="K13" s="46"/>
      <c r="L13" s="46"/>
      <c r="M13" s="46"/>
      <c r="N13" s="46"/>
      <c r="O13" s="46"/>
      <c r="P13" s="46"/>
      <c r="Q13" s="46"/>
      <c r="R13" s="46"/>
      <c r="S13" s="46"/>
      <c r="T13" s="46"/>
      <c r="U13" s="47"/>
      <c r="V13" s="88"/>
      <c r="W13" s="88"/>
      <c r="X13" s="25" t="n">
        <f aca="false">IF(Tasks[[#This Row],[Task Name]]="","",IF(N(Tasks[[#This Row],[Baseline Start]])&gt;0,Tasks[[#This Row],[Baseline Start]],Tasks[[#This Row],[_CalcStart]]))</f>
        <v>46289</v>
      </c>
      <c r="Y13" s="25" t="n">
        <f aca="false">IF(Tasks[[#This Row],[Task Name]]="","",IF(N(Tasks[[#This Row],[Baseline Finish]])&gt;0,Tasks[[#This Row],[Baseline Finish]],Tasks[[#This Row],[_CalcFinish]]))</f>
        <v>46296</v>
      </c>
      <c r="Z13" s="88" t="n">
        <v>46293</v>
      </c>
      <c r="AA13" s="88" t="n">
        <v>46301</v>
      </c>
      <c r="AB13" s="25" t="n">
        <f aca="false">IF(Tasks[[#This Row],[Task Name]]="","",IF(Tasks[[#This Row],[_IsSummary]],MIN(INDEX(Tasks[_ShownFcstStart],Tasks[[#This Row],[_Row]]+1):INDEX(Tasks[_ShownFcstStart],Tasks[[#This Row],[_Row]]+Tasks[[#This Row],[_Descendants]])),Tasks[[#This Row],[_ShownFcstStart]]))</f>
        <v>46293</v>
      </c>
      <c r="AC13" s="25" t="n">
        <f aca="false">IF(Tasks[[#This Row],[Task Name]]="","",IF(Tasks[[#This Row],[_IsSummary]],MAX(INDEX(Tasks[_ShownFcstFinish],Tasks[[#This Row],[_Row]]+1):INDEX(Tasks[_ShownFcstFinish],Tasks[[#This Row],[_Row]]+Tasks[[#This Row],[_Descendants]])),Tasks[[#This Row],[_ShownFcstFinish]]))</f>
        <v>46301</v>
      </c>
      <c r="AD13" s="56" t="n">
        <f aca="false">IF(Tasks[[#This Row],[Task Name]]="","",IF(Tasks[[#This Row],[Forecast Start]]&gt;=Tasks[[#This Row],[Planned Start]],NETWORKDAYS.INTL(Tasks[[#This Row],[Planned Start]],Tasks[[#This Row],[Forecast Start]],WorkWeek,Holidays)-1,1-NETWORKDAYS.INTL(Tasks[[#This Row],[Forecast Start]],Tasks[[#This Row],[Planned Start]],WorkWeek,Holidays)))</f>
        <v>2</v>
      </c>
      <c r="AE13" s="56" t="n">
        <f aca="false">IF(Tasks[[#This Row],[Task Name]]="","",IF(Tasks[[#This Row],[Forecast Finish]]&gt;=Tasks[[#This Row],[Planned Finish]],NETWORKDAYS.INTL(Tasks[[#This Row],[Planned Finish]],Tasks[[#This Row],[Forecast Finish]],WorkWeek,Holidays)-1,1-NETWORKDAYS.INTL(Tasks[[#This Row],[Forecast Finish]],Tasks[[#This Row],[Planned Finish]],WorkWeek,Holidays)))</f>
        <v>3</v>
      </c>
      <c r="AF13" s="25" t="n">
        <f aca="false">IF(Tasks[[#This Row],[Task Name]]="","",IF(Tasks[[#This Row],[_IsSummary]],MIN(INDEX(Tasks[_LeafLateStart],Tasks[[#This Row],[_Row]]+1):INDEX(Tasks[_LeafLateStart],Tasks[[#This Row],[_Row]]+Tasks[[#This Row],[_Descendants]])),Tasks[[#This Row],[_LeafLateStart]]))</f>
        <v>46296</v>
      </c>
      <c r="AG13" s="25" t="n">
        <f aca="false">IF(Tasks[[#This Row],[Task Name]]="","",IF(Tasks[[#This Row],[_IsSummary]],MAX(INDEX(Tasks[_LeafLateFinish],Tasks[[#This Row],[_Row]]+1):INDEX(Tasks[_LeafLateFinish],Tasks[[#This Row],[_Row]]+Tasks[[#This Row],[_Descendants]])),Tasks[[#This Row],[_LeafLateFinish]]))</f>
        <v>46303</v>
      </c>
      <c r="AH13" s="56" t="n">
        <f aca="false">IF(Tasks[[#This Row],[Task Name]]="","",IF(Tasks[[#This Row],[_IsSummary]],MIN(INDEX(Tasks[_LeafTotalSlack],Tasks[[#This Row],[_Row]]+1):INDEX(Tasks[_LeafTotalSlack],Tasks[[#This Row],[_Row]]+Tasks[[#This Row],[_Descendants]])),Tasks[[#This Row],[_LeafTotalSlack]]))</f>
        <v>2</v>
      </c>
      <c r="AI13"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13" s="45" t="str">
        <f aca="false">IF(Tasks[[#This Row],[Task Name]]="","",IF(IF(Tasks[[#This Row],[_IsSummary]],COUNTIF(INDEX(Tasks[_LeafCritical],Tasks[[#This Row],[_Row]]+1):INDEX(Tasks[_LeafCritical],Tasks[[#This Row],[_Row]]+Tasks[[#This Row],[_Descendants]]),TRUE())&gt;0,Tasks[[#This Row],[_LeafCritical]]),"Yes",""))</f>
        <v/>
      </c>
      <c r="AK1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 s="102" t="n">
        <v>1</v>
      </c>
      <c r="AN13"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3" s="45" t="str">
        <f aca="false">IF(Tasks[[#This Row],[Task Name]]="","",IF(Tasks[[#This Row],[Progress]]&gt;=1,"Complete",IF(OR(N(Tasks[[#This Row],[Actual Start]])&gt;0,Tasks[[#This Row],[Progress]]&gt;0),IF(Tasks[[#This Row],[Finish Var]]&gt;0,"Behind","In Progress"),IF(Tasks[[#This Row],[Planned Start]]&lt;StatusDate,"Late Start","Not Started"))))</f>
        <v>Complete</v>
      </c>
      <c r="AP13" s="47" t="s">
        <v>304</v>
      </c>
      <c r="AQ13" s="102"/>
      <c r="AR1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Casey Kim</v>
      </c>
      <c r="AS1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 s="110" t="n">
        <f aca="false">IF(Tasks[[#This Row],[Task Name]]="","",IF(Tasks[[#This Row],[_IsSummary]],SUM(INDEX(Tasks[_LeafTotalWork],Tasks[[#This Row],[_Row]]+1):INDEX(Tasks[_LeafTotalWork],Tasks[[#This Row],[_Row]]+Tasks[[#This Row],[_Descendants]])),Tasks[[#This Row],[_LeafTotalWork]]))</f>
        <v>48</v>
      </c>
      <c r="AU13" s="111" t="n">
        <f aca="false">IF(Tasks[[#This Row],[Task Name]]="","",IF(Tasks[[#This Row],[_IsSummary]],SUM(INDEX(Tasks[_LeafTotalCost],Tasks[[#This Row],[_Row]]+1):INDEX(Tasks[_LeafTotalCost],Tasks[[#This Row],[_Row]]+Tasks[[#This Row],[_Descendants]])),Tasks[[#This Row],[_LeafTotalCost]]))</f>
        <v>3600</v>
      </c>
      <c r="AV13" s="112"/>
      <c r="AW13" s="46"/>
      <c r="AX1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2</v>
      </c>
      <c r="AY13" s="96" t="n">
        <v>5</v>
      </c>
      <c r="AZ1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6</v>
      </c>
      <c r="BA13" s="47"/>
      <c r="BB13" s="25" t="n">
        <f aca="false">IF(Tasks[[#This Row],[Task Name]]="","",Tasks[[#This Row],[Forecast Start]])</f>
        <v>46293</v>
      </c>
      <c r="BC13" s="25" t="n">
        <f aca="false">IF(Tasks[[#This Row],[Task Name]]="","",Tasks[[#This Row],[Forecast Finish]])</f>
        <v>46301</v>
      </c>
      <c r="BD13" s="45" t="n">
        <f aca="false">IF(Tasks[[#This Row],[Task Name]]="","",IF(Tasks[[#This Row],[_IsSummary]],NETWORKDAYS.INTL(Tasks[[#This Row],[Forecast Start]],Tasks[[#This Row],[Forecast Finish]],WorkWeek,Holidays),N(Tasks[[#This Row],[Duration]])))</f>
        <v>6</v>
      </c>
      <c r="BE13" s="110" t="n">
        <f aca="false">IF(Tasks[[#This Row],[Task Name]]="","",Tasks[[#This Row],[Work]])</f>
        <v>48</v>
      </c>
      <c r="BF13" s="111" t="n">
        <f aca="false">IF(Tasks[[#This Row],[Task Name]]="","",Tasks[[#This Row],[Cost]])</f>
        <v>3600</v>
      </c>
      <c r="BG13" s="88"/>
      <c r="BH13" s="88"/>
      <c r="BI13" s="46"/>
      <c r="BJ13" s="113"/>
      <c r="BK13" s="112"/>
      <c r="BL13" s="45" t="str">
        <f aca="false">IF(OR(Tasks[[#This Row],[Task Name]]="",Tasks[[#This Row],[Baseline Duration]]=""),"",Tasks[[#This Row],[BL Source Duration]]-N(Tasks[[#This Row],[Baseline Duration]]))</f>
        <v/>
      </c>
      <c r="BM13" s="110" t="str">
        <f aca="false">IF(OR(Tasks[[#This Row],[Task Name]]="",Tasks[[#This Row],[Baseline Work]]=""),"",Tasks[[#This Row],[Work]]-N(Tasks[[#This Row],[Baseline Work]]))</f>
        <v/>
      </c>
      <c r="BN13" s="111" t="str">
        <f aca="false">IF(OR(Tasks[[#This Row],[Task Name]]="",Tasks[[#This Row],[Baseline Cost]]=""),"",Tasks[[#This Row],[Cost]]-N(Tasks[[#This Row],[Baseline Cost]]))</f>
        <v/>
      </c>
      <c r="BO13" s="111" t="n">
        <f aca="false">IF(Tasks[[#This Row],[Task Name]]="","",IF(Tasks[[#This Row],[_IsSummary]],SUM(INDEX(Tasks[_LeafBudget],Tasks[[#This Row],[_Row]]+1):INDEX(Tasks[_LeafBudget],Tasks[[#This Row],[_Row]]+Tasks[[#This Row],[_Descendants]])),Tasks[[#This Row],[_LeafBudget]]))</f>
        <v>3600</v>
      </c>
      <c r="BP13" s="111" t="n">
        <f aca="false">IF(Tasks[[#This Row],[Task Name]]="","",IF(Tasks[[#This Row],[_IsSummary]],SUM(INDEX(Tasks[_LeafPV],Tasks[[#This Row],[_Row]]+1):INDEX(Tasks[_LeafPV],Tasks[[#This Row],[_Row]]+Tasks[[#This Row],[_Descendants]])),Tasks[[#This Row],[_LeafPV]]))</f>
        <v>3600</v>
      </c>
      <c r="BQ13" s="111" t="n">
        <f aca="false">IF(Tasks[[#This Row],[Task Name]]="","",IF(Tasks[[#This Row],[_IsSummary]],SUM(INDEX(Tasks[_LeafEV],Tasks[[#This Row],[_Row]]+1):INDEX(Tasks[_LeafEV],Tasks[[#This Row],[_Row]]+Tasks[[#This Row],[_Descendants]])),Tasks[[#This Row],[_LeafEV]]))</f>
        <v>3600</v>
      </c>
      <c r="BR13" s="111" t="n">
        <f aca="false">IF(Tasks[[#This Row],[Task Name]]="","",IF(Tasks[[#This Row],[_IsSummary]],SUM(INDEX(Tasks[_LeafAC],Tasks[[#This Row],[_Row]]+1):INDEX(Tasks[_LeafAC],Tasks[[#This Row],[_Row]]+Tasks[[#This Row],[_Descendants]])),Tasks[[#This Row],[_LeafAC]]))</f>
        <v>3600</v>
      </c>
      <c r="BS13" s="32" t="n">
        <f aca="false">IF(Tasks[[#This Row],[Task Name]]="","",MAX(1,N(Tasks[[#This Row],[Level]])))</f>
        <v>2</v>
      </c>
      <c r="BT13" s="32" t="n">
        <f aca="false">ROW()-ROW(Tasks[[#Headers],[ID]])</f>
        <v>8</v>
      </c>
      <c r="BU13" s="32" t="n">
        <f aca="false">IF(OR(Tasks[[#This Row],[Task Name]]="",Tasks[[#This Row],[_Level]]&lt;=1),0,IFERROR(LOOKUP(2,1/(Tasks[[#Headers],[_Level]]:Tasks[[#This Row],[_Level]]=Tasks[[#This Row],[_Level]]-1),ROW(Tasks[[#Headers],[_Level]]:Tasks[[#This Row],[_Level]])),0))</f>
        <v>10</v>
      </c>
      <c r="BV13" s="32" t="n">
        <f aca="false">IFERROR(N(INDEX(Tasks[_Level],Tasks[[#This Row],[_Row]]+1)),0)</f>
        <v>2</v>
      </c>
      <c r="BW13" s="114" t="b">
        <f aca="false">AND(Tasks[[#This Row],[Task Name]]&lt;&gt;"",Tasks[[#This Row],[_NextLevel]]&gt;Tasks[[#This Row],[_Level]])</f>
        <v>0</v>
      </c>
      <c r="BX13" s="32" t="n">
        <f aca="false">IF(Tasks[[#This Row],[_IsSummary]],COUNTIF(Tasks[WBS],Tasks[[#This Row],[WBS]]&amp;".*"),0)</f>
        <v>0</v>
      </c>
      <c r="BY13" s="32" t="n">
        <f aca="false">IF(AND(Tasks[[#This Row],[Task Name]]&lt;&gt;"",NOT(Tasks[[#This Row],[_IsSummary]])),1,0)</f>
        <v>1</v>
      </c>
      <c r="BZ13" s="32" t="n">
        <f aca="false">IF(N(Tasks[[#This Row],[Pred1 UID]])=0,0,IFERROR(MATCH(Tasks[[#This Row],[Pred1 UID]],Tasks[UID],0),-1))</f>
        <v>6</v>
      </c>
      <c r="CA13" s="32" t="n">
        <f aca="false">IF(N(Tasks[[#This Row],[Pred2 UID]])=0,0,IFERROR(MATCH(Tasks[[#This Row],[Pred2 UID]],Tasks[UID],0),-1))</f>
        <v>0</v>
      </c>
      <c r="CB13" s="32" t="n">
        <f aca="false">IF(N(Tasks[[#This Row],[Pred3 UID]])=0,0,IFERROR(MATCH(Tasks[[#This Row],[Pred3 UID]],Tasks[UID],0),-1))</f>
        <v>0</v>
      </c>
      <c r="CC13" s="32" t="n">
        <f aca="false">IF(N(Tasks[[#This Row],[Pred4 UID]])=0,0,IFERROR(MATCH(Tasks[[#This Row],[Pred4 UID]],Tasks[UID],0),-1))</f>
        <v>0</v>
      </c>
      <c r="CD13"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 s="115" t="n">
        <f aca="false">IF(OR(Tasks[[#This Row],[_ConstraintCode]]=2,Tasks[[#This Row],[_ConstraintCode]]=3,Tasks[[#This Row],[_ConstraintCode]]=4,Tasks[[#This Row],[_ConstraintCode]]=6),Tasks[[#This Row],[_ConstraintStart]],0)</f>
        <v>0</v>
      </c>
      <c r="CG13" s="115" t="n">
        <f aca="false">IF(OR(Tasks[[#This Row],[_ConstraintCode]]=2,Tasks[[#This Row],[_ConstraintCode]]=3,Tasks[[#This Row],[_ConstraintCode]]=5,Tasks[[#This Row],[_ConstraintCode]]=7),Tasks[[#This Row],[_ConstraintStart]],2958465)</f>
        <v>2958465</v>
      </c>
      <c r="CH13"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46289</v>
      </c>
      <c r="CI13" s="115" t="n">
        <f aca="false">IF(NOT(Tasks[[#This Row],[_IsLeaf]]=1),"",IF(N(Tasks[[#This Row],[Duration]])&lt;=0,Tasks[[#This Row],[_LeafCalcStart]],WORKDAY.INTL(Tasks[[#This Row],[_LeafCalcStart]],Tasks[[#This Row],[Duration]]-1,WorkWeek,Holidays)))</f>
        <v>46296</v>
      </c>
      <c r="CJ13"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46293</v>
      </c>
      <c r="CK13"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46301</v>
      </c>
      <c r="CL13" s="32" t="n">
        <f aca="false">IF(NOT(Tasks[[#This Row],[_IsLeaf]]=1),0,IF(N(Tasks[[#This Row],[Actual Finish]])&gt;0,1,MIN(1,N(Tasks[[#This Row],[% Complete]]))))</f>
        <v>1</v>
      </c>
      <c r="CM13" s="32" t="n">
        <f aca="false">IF(OR(NOT(Tasks[[#This Row],[_IsLeaf]]=1),Tasks[[#This Row],[Resource]]=""),0,N(Tasks[[#This Row],[Duration]])*HoursPerDay*IF(Tasks[[#This Row],[Units]]="",DefaultUnits,Tasks[[#This Row],[Units]]))</f>
        <v>48</v>
      </c>
      <c r="CN13" s="32" t="n">
        <f aca="false">IF(Tasks[[#This Row],[_LeafWork]]=0,0,Tasks[[#This Row],[_LeafWork]]*IFERROR(INDEX(res_Rate,MATCH(Tasks[[#This Row],[Resource]],res_Name,0)),0))</f>
        <v>3600</v>
      </c>
      <c r="CO13" s="32" t="n">
        <f aca="false">Tasks[[#This Row],[_LeafWork]]+IF(Tasks[[#This Row],[_IsLeaf]]=1,SUMIFS(asg_Work,asg_TaskUID,Tasks[[#This Row],[UID]],asg_Valid,1),0)</f>
        <v>48</v>
      </c>
      <c r="CP13" s="32" t="n">
        <f aca="false">Tasks[[#This Row],[_LeafCost]]+IF(Tasks[[#This Row],[_IsLeaf]]=1,SUMIFS(asg_Cost,asg_TaskUID,Tasks[[#This Row],[UID]],asg_Valid,1),0)</f>
        <v>3600</v>
      </c>
      <c r="CQ13" s="32" t="n">
        <f aca="false">IF(Tasks[[#This Row],[_LeafTotalCost]]=0,Tasks[[#This Row],[_LeafAC]],Tasks[[#This Row],[_LeafAC]]*Tasks[[#This Row],[_LeafCost]]/Tasks[[#This Row],[_LeafTotalCost]])</f>
        <v>3600</v>
      </c>
      <c r="CR13"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2912170</v>
      </c>
      <c r="CS1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 s="32" t="n">
        <f aca="false">IF(NOT(Tasks[[#This Row],[_IsLeaf]]=1),0,MAX(_xlfn.MAXIFS(Tasks[_Row],Tasks[Pred1 UID],Tasks[[#This Row],[UID]]),_xlfn.MAXIFS(Tasks[_Row],Tasks[Pred2 UID],Tasks[[#This Row],[UID]]),_xlfn.MAXIFS(Tasks[_Row],Tasks[Pred3 UID],Tasks[[#This Row],[UID]]),_xlfn.MAXIFS(Tasks[_Row],Tasks[Pred4 UID],Tasks[[#This Row],[UID]])))</f>
        <v>9</v>
      </c>
      <c r="DA13"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46303</v>
      </c>
      <c r="DB13"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DC13" s="115" t="n">
        <f aca="false">IF(NOT(Tasks[[#This Row],[_IsLeaf]]=1),"",IF(N(Tasks[[#This Row],[Duration]])&lt;=0,Tasks[[#This Row],[_LeafLateFinish]],WORKDAY.INTL(Tasks[[#This Row],[_LeafLateFinish]],-(Tasks[[#This Row],[Duration]]-1),WorkWeek,Holidays)))</f>
        <v>46296</v>
      </c>
      <c r="DD13"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DE13" s="114" t="b">
        <f aca="false">AND(Tasks[[#This Row],[_IsLeaf]]=1,Tasks[[#This Row],[_LeafProgress]]&lt;1,N(Tasks[[#This Row],[_LeafTotalSlack]])&lt;=CriticalSlackDays)</f>
        <v>0</v>
      </c>
      <c r="DF13" s="32" t="n">
        <f aca="false">IF(AND(Tasks[[#This Row],[_IsLeaf]]=1,Tasks[[#This Row],[_ConstraintCode]]=1,Tasks[[#This Row],[Mode]]&lt;&gt;"Manual",N(Tasks[[#This Row],[Actual Start]])=0),MAX(0,N(Tasks[[#This Row],[Free Slack]])),0)</f>
        <v>0</v>
      </c>
      <c r="DG13" s="115" t="n">
        <f aca="false">IF(NOT(Tasks[[#This Row],[_IsLeaf]]=1),"",IF(Tasks[[#This Row],[_AlapShift]]=0,Tasks[[#This Row],[_LeafCalcStart]],WORKDAY.INTL(Tasks[[#This Row],[_LeafCalcStart]],Tasks[[#This Row],[_AlapShift]],WorkWeek,Holidays)))</f>
        <v>46289</v>
      </c>
      <c r="DH13" s="115" t="n">
        <f aca="false">IF(NOT(Tasks[[#This Row],[_IsLeaf]]=1),"",IF(Tasks[[#This Row],[_AlapShift]]=0,Tasks[[#This Row],[_LeafCalcFinish]],WORKDAY.INTL(Tasks[[#This Row],[_LeafCalcFinish]],Tasks[[#This Row],[_AlapShift]],WorkWeek,Holidays)))</f>
        <v>46296</v>
      </c>
      <c r="DI13" s="115" t="n">
        <f aca="false">IF(NOT(Tasks[[#This Row],[_IsLeaf]]=1),"",IF(Tasks[[#This Row],[_AlapShift]]=0,Tasks[[#This Row],[_LeafFcstStart]],WORKDAY.INTL(Tasks[[#This Row],[_LeafFcstStart]],Tasks[[#This Row],[_AlapShift]],WorkWeek,Holidays)))</f>
        <v>46293</v>
      </c>
      <c r="DJ13" s="115" t="n">
        <f aca="false">IF(NOT(Tasks[[#This Row],[_IsLeaf]]=1),"",IF(Tasks[[#This Row],[_AlapShift]]=0,Tasks[[#This Row],[_LeafFcstFinish]],WORKDAY.INTL(Tasks[[#This Row],[_LeafFcstFinish]],Tasks[[#This Row],[_AlapShift]],WorkWeek,Holidays)))</f>
        <v>46301</v>
      </c>
      <c r="DK13" s="115" t="n">
        <f aca="false">IF(Tasks[[#This Row],[Task Name]]="","",IF(Tasks[[#This Row],[_IsSummary]],MIN(INDEX(Tasks[_ShownCalcStart],Tasks[[#This Row],[_Row]]+1):INDEX(Tasks[_ShownCalcStart],Tasks[[#This Row],[_Row]]+Tasks[[#This Row],[_Descendants]])),Tasks[[#This Row],[_ShownCalcStart]]))</f>
        <v>46289</v>
      </c>
      <c r="DL13" s="115" t="n">
        <f aca="false">IF(Tasks[[#This Row],[Task Name]]="","",IF(Tasks[[#This Row],[_IsSummary]],MAX(INDEX(Tasks[_ShownCalcFinish],Tasks[[#This Row],[_Row]]+1):INDEX(Tasks[_ShownCalcFinish],Tasks[[#This Row],[_Row]]+Tasks[[#This Row],[_Descendants]])),Tasks[[#This Row],[_ShownCalcFinish]]))</f>
        <v>46296</v>
      </c>
      <c r="DM1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46289</v>
      </c>
      <c r="DR1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46293</v>
      </c>
      <c r="DV1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 s="32" t="n">
        <f aca="false">IF(AND(Tasks[[#This Row],[_IsLeaf]]=1,Tasks[[#This Row],[_LeafTotalWork]]&gt;0),NETWORKDAYS.INTL(ProjectStart,Tasks[[#This Row],[_ShownFcstStart]],WorkWeek,Holidays),0)</f>
        <v>16</v>
      </c>
      <c r="DZ13" s="32" t="n">
        <f aca="false">IF(AND(Tasks[[#This Row],[_IsLeaf]]=1,Tasks[[#This Row],[_LeafTotalWork]]&gt;0),MAX(Tasks[[#This Row],[_StartWorkday]],NETWORKDAYS.INTL(ProjectStart,Tasks[[#This Row],[_ShownFcstFinish]],WorkWeek,Holidays)),0)</f>
        <v>22</v>
      </c>
      <c r="EA13" s="32" t="n">
        <f aca="false">IF(AND(Tasks[[#This Row],[_IsLeaf]]=1,Tasks[[#This Row],[_LeafTotalWork]]&gt;0),Tasks[[#This Row],[_LeafWork]]/(Tasks[[#This Row],[_FinishWorkday]]-Tasks[[#This Row],[_StartWorkday]]+1),0)</f>
        <v>6.85714285714286</v>
      </c>
      <c r="EB13" s="32" t="n">
        <f aca="false">Tasks[[#This Row],[_WorkPerWorkday]]*(Tasks[[#This Row],[_StartWorkday]]-1)</f>
        <v>102.857142857143</v>
      </c>
      <c r="EC13" s="32" t="n">
        <f aca="false">IF(Tasks[[#This Row],[_IsLeaf]]=1,MAX(N(Tasks[[#This Row],[Duration]]),0.1),0)</f>
        <v>6</v>
      </c>
      <c r="ED13" s="32" t="n">
        <f aca="false">Tasks[[#This Row],[_WeightDur]]*Tasks[[#This Row],[_LeafProgress]]</f>
        <v>6</v>
      </c>
      <c r="EE1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6</v>
      </c>
      <c r="EF13" s="32" t="str">
        <f aca="false">IF(AND(Tasks[[#This Row],[_IsLeaf]]=1,N(Tasks[[#This Row],[Duration]])=0,Tasks[[#This Row],[_LeafProgress]]&lt;1),Tasks[[#This Row],[_ShownFcstFinish]]+Tasks[[#This Row],[_Row]]/100000,"")</f>
        <v/>
      </c>
      <c r="EG1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3" s="32" t="n">
        <f aca="false">IF(NOT(Tasks[[#This Row],[_IsLeaf]]=1),0,IF(Tasks[[#This Row],[Baseline Cost]]="",Tasks[[#This Row],[_LeafTotalCost]],N(Tasks[[#This Row],[Baseline Cost]])))</f>
        <v>3600</v>
      </c>
      <c r="EI13" s="32" t="n">
        <f aca="false">Tasks[[#This Row],[_LeafBudget]]*Tasks[[#This Row],[_PlannedPct]]</f>
        <v>3600</v>
      </c>
      <c r="EJ13" s="32" t="n">
        <f aca="false">Tasks[[#This Row],[_LeafBudget]]*Tasks[[#This Row],[_LeafProgress]]</f>
        <v>3600</v>
      </c>
      <c r="EK13" s="32" t="n">
        <f aca="false">IF(NOT(Tasks[[#This Row],[_IsLeaf]]=1),0,IF(Tasks[[#This Row],[Actual Cost]]="",Tasks[[#This Row],[_LeafTotalCost]]*Tasks[[#This Row],[_LeafProgress]],N(Tasks[[#This Row],[Actual Cost]])))</f>
        <v>3600</v>
      </c>
      <c r="EL13" s="32" t="str">
        <f aca="false">IF(Tasks[[#This Row],[Task Name]]="","",LEFT(Tasks[[#This Row],[WBS]],FIND(".",Tasks[[#This Row],[WBS]]&amp;".")-1))</f>
        <v>2</v>
      </c>
      <c r="EM13" s="32" t="str">
        <f aca="false">IF(AND(Tasks[[#This Row],[Task Name]]&lt;&gt;"",Tasks[[#This Row],[_Level]]=1),Tasks[[#This Row],[_Row]],"")</f>
        <v/>
      </c>
      <c r="EN13" s="32" t="str">
        <f aca="false">IF(AND(Tasks[[#This Row],[_IsLeaf]]=1,N(Tasks[[#This Row],[Duration]])=0),Tasks[[#This Row],[Planned Finish]]+Tasks[[#This Row],[_Row]]/100000,"")</f>
        <v/>
      </c>
      <c r="EO13" s="32" t="str">
        <f aca="false">IF(AND(Tasks[[#This Row],[_IsLeaf]]=1,Tasks[[#This Row],[_LeafProgress]]&lt;1,OR(N(Tasks[[#This Row],[Finish Var]])&gt;0,Tasks[[#This Row],[Status]]="Late Start")),MAX(0,Tasks[[#This Row],[Finish Var]])+1-Tasks[[#This Row],[_Row]]/1000000,"")</f>
        <v/>
      </c>
      <c r="EP13" s="32" t="str">
        <f aca="false">IF(AND(Tasks[[#This Row],[_IsLeaf]]=1,N(Tasks[[#This Row],[Actual Start]])=0,Tasks[[#This Row],[_ShownFcstStart]]&gt;=StatusDate,Tasks[[#This Row],[_ShownFcstStart]]&lt;=LookaheadEnd),Tasks[[#This Row],[_ShownFcstStart]]+Tasks[[#This Row],[_Row]]/100000,"")</f>
        <v/>
      </c>
      <c r="EQ13" s="32" t="str">
        <f aca="false">IF(AND(Tasks[[#This Row],[_IsLeaf]]=1,Tasks[[#This Row],[_LeafProgress]]&lt;1,Tasks[[#This Row],[_ShownFcstFinish]]&gt;=StatusDate,Tasks[[#This Row],[_ShownFcstFinish]]&lt;=LookaheadEnd),Tasks[[#This Row],[_ShownFcstFinish]]+Tasks[[#This Row],[_Row]]/100000,"")</f>
        <v/>
      </c>
      <c r="ER13" s="32" t="str">
        <f aca="false">IF(Tasks[[#This Row],[_LeafCritical]],Tasks[[#This Row],[_ShownFcstStart]]+Tasks[[#This Row],[_Row]]/100000,"")</f>
        <v/>
      </c>
      <c r="ES13" s="32" t="n">
        <f aca="false">Tasks[[#This Row],[_LeafWork]]*Tasks[[#This Row],[_LeafProgress]]</f>
        <v>48</v>
      </c>
      <c r="ET13" s="115" t="n">
        <f aca="false">IF(AND(Tasks[[#This Row],[_IsLeaf]]=1,Tasks[[#This Row],[_LeafProgress]]&gt;=1),IF(N(Tasks[[#This Row],[Actual Finish]])&gt;0,Tasks[[#This Row],[Actual Finish]],Tasks[[#This Row],[_ShownFcstFinish]]),"")</f>
        <v>46301</v>
      </c>
      <c r="EU13" s="32" t="n">
        <f aca="false">IF(Tasks[[#This Row],[_IsLeaf]]=1,N(Tasks[[#This Row],[Story Points]]),0)</f>
        <v>5</v>
      </c>
      <c r="EV13" s="32" t="str">
        <f aca="false">IF(AND(Tasks[[#This Row],[_IsLeaf]]=1,CurrentSprint&lt;&gt;"",Tasks[[#This Row],[Sprint]]=CurrentSprint),Tasks[[#This Row],[_Row]],"")</f>
        <v/>
      </c>
    </row>
    <row r="14" customFormat="false" ht="15" hidden="false" customHeight="false" outlineLevel="1" collapsed="false">
      <c r="A14" s="45" t="n">
        <f aca="false">IF(Tasks[[#This Row],[Task Name]]="","",COUNTA(Tasks[[#Headers],[Task Name]]:Tasks[[#This Row],[Task Name]])-1)</f>
        <v>9</v>
      </c>
      <c r="B14" s="46" t="n">
        <v>9</v>
      </c>
      <c r="C1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2.4</v>
      </c>
      <c r="D14" s="46" t="n">
        <v>2</v>
      </c>
      <c r="E14" s="45" t="str">
        <f aca="false">IF(Tasks[[#This Row],[Task Name]]="","",IF(Tasks[[#This Row],[_Level]]&lt;=OutlineShowLevel,"Yes","No"))</f>
        <v>Yes</v>
      </c>
      <c r="F14" s="47" t="s">
        <v>656</v>
      </c>
      <c r="G14" s="46" t="s">
        <v>642</v>
      </c>
      <c r="H14" s="46" t="n">
        <v>0</v>
      </c>
      <c r="I14" s="46" t="n">
        <v>7</v>
      </c>
      <c r="J14" s="46" t="s">
        <v>647</v>
      </c>
      <c r="K14" s="46"/>
      <c r="L14" s="46" t="n">
        <v>8</v>
      </c>
      <c r="M14" s="46" t="s">
        <v>647</v>
      </c>
      <c r="N14" s="46"/>
      <c r="O14" s="46"/>
      <c r="P14" s="46"/>
      <c r="Q14" s="46"/>
      <c r="R14" s="46"/>
      <c r="S14" s="46"/>
      <c r="T14" s="46"/>
      <c r="U14" s="47"/>
      <c r="V14" s="88"/>
      <c r="W14" s="88"/>
      <c r="X14" s="25" t="n">
        <f aca="false">IF(Tasks[[#This Row],[Task Name]]="","",IF(N(Tasks[[#This Row],[Baseline Start]])&gt;0,Tasks[[#This Row],[Baseline Start]],Tasks[[#This Row],[_CalcStart]]))</f>
        <v>46296</v>
      </c>
      <c r="Y14" s="25" t="n">
        <f aca="false">IF(Tasks[[#This Row],[Task Name]]="","",IF(N(Tasks[[#This Row],[Baseline Finish]])&gt;0,Tasks[[#This Row],[Baseline Finish]],Tasks[[#This Row],[_CalcFinish]]))</f>
        <v>46296</v>
      </c>
      <c r="Z14" s="88" t="n">
        <v>46301</v>
      </c>
      <c r="AA14" s="88" t="n">
        <v>46301</v>
      </c>
      <c r="AB14" s="25" t="n">
        <f aca="false">IF(Tasks[[#This Row],[Task Name]]="","",IF(Tasks[[#This Row],[_IsSummary]],MIN(INDEX(Tasks[_ShownFcstStart],Tasks[[#This Row],[_Row]]+1):INDEX(Tasks[_ShownFcstStart],Tasks[[#This Row],[_Row]]+Tasks[[#This Row],[_Descendants]])),Tasks[[#This Row],[_ShownFcstStart]]))</f>
        <v>46301</v>
      </c>
      <c r="AC14" s="25" t="n">
        <f aca="false">IF(Tasks[[#This Row],[Task Name]]="","",IF(Tasks[[#This Row],[_IsSummary]],MAX(INDEX(Tasks[_ShownFcstFinish],Tasks[[#This Row],[_Row]]+1):INDEX(Tasks[_ShownFcstFinish],Tasks[[#This Row],[_Row]]+Tasks[[#This Row],[_Descendants]])),Tasks[[#This Row],[_ShownFcstFinish]]))</f>
        <v>46301</v>
      </c>
      <c r="AD14"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14" s="56" t="n">
        <f aca="false">IF(Tasks[[#This Row],[Task Name]]="","",IF(Tasks[[#This Row],[Forecast Finish]]&gt;=Tasks[[#This Row],[Planned Finish]],NETWORKDAYS.INTL(Tasks[[#This Row],[Planned Finish]],Tasks[[#This Row],[Forecast Finish]],WorkWeek,Holidays)-1,1-NETWORKDAYS.INTL(Tasks[[#This Row],[Forecast Finish]],Tasks[[#This Row],[Planned Finish]],WorkWeek,Holidays)))</f>
        <v>3</v>
      </c>
      <c r="AF14" s="25" t="n">
        <f aca="false">IF(Tasks[[#This Row],[Task Name]]="","",IF(Tasks[[#This Row],[_IsSummary]],MIN(INDEX(Tasks[_LeafLateStart],Tasks[[#This Row],[_Row]]+1):INDEX(Tasks[_LeafLateStart],Tasks[[#This Row],[_Row]]+Tasks[[#This Row],[_Descendants]])),Tasks[[#This Row],[_LeafLateStart]]))</f>
        <v>46303</v>
      </c>
      <c r="AG14" s="25" t="n">
        <f aca="false">IF(Tasks[[#This Row],[Task Name]]="","",IF(Tasks[[#This Row],[_IsSummary]],MAX(INDEX(Tasks[_LeafLateFinish],Tasks[[#This Row],[_Row]]+1):INDEX(Tasks[_LeafLateFinish],Tasks[[#This Row],[_Row]]+Tasks[[#This Row],[_Descendants]])),Tasks[[#This Row],[_LeafLateFinish]]))</f>
        <v>46303</v>
      </c>
      <c r="AH14" s="56" t="n">
        <f aca="false">IF(Tasks[[#This Row],[Task Name]]="","",IF(Tasks[[#This Row],[_IsSummary]],MIN(INDEX(Tasks[_LeafTotalSlack],Tasks[[#This Row],[_Row]]+1):INDEX(Tasks[_LeafTotalSlack],Tasks[[#This Row],[_Row]]+Tasks[[#This Row],[_Descendants]])),Tasks[[#This Row],[_LeafTotalSlack]]))</f>
        <v>2</v>
      </c>
      <c r="AI14"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14" s="45" t="str">
        <f aca="false">IF(Tasks[[#This Row],[Task Name]]="","",IF(IF(Tasks[[#This Row],[_IsSummary]],COUNTIF(INDEX(Tasks[_LeafCritical],Tasks[[#This Row],[_Row]]+1):INDEX(Tasks[_LeafCritical],Tasks[[#This Row],[_Row]]+Tasks[[#This Row],[_Descendants]]),TRUE())&gt;0,Tasks[[#This Row],[_LeafCritical]]),"Yes",""))</f>
        <v/>
      </c>
      <c r="AK1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 s="102" t="n">
        <v>1</v>
      </c>
      <c r="AN14"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4" s="45" t="str">
        <f aca="false">IF(Tasks[[#This Row],[Task Name]]="","",IF(Tasks[[#This Row],[Progress]]&gt;=1,"Complete",IF(OR(N(Tasks[[#This Row],[Actual Start]])&gt;0,Tasks[[#This Row],[Progress]]&gt;0),IF(Tasks[[#This Row],[Finish Var]]&gt;0,"Behind","In Progress"),IF(Tasks[[#This Row],[Planned Start]]&lt;StatusDate,"Late Start","Not Started"))))</f>
        <v>Complete</v>
      </c>
      <c r="AP14" s="47"/>
      <c r="AQ14" s="102"/>
      <c r="AR1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 s="110" t="n">
        <f aca="false">IF(Tasks[[#This Row],[Task Name]]="","",IF(Tasks[[#This Row],[_IsSummary]],SUM(INDEX(Tasks[_LeafTotalWork],Tasks[[#This Row],[_Row]]+1):INDEX(Tasks[_LeafTotalWork],Tasks[[#This Row],[_Row]]+Tasks[[#This Row],[_Descendants]])),Tasks[[#This Row],[_LeafTotalWork]]))</f>
        <v>0</v>
      </c>
      <c r="AU14" s="111" t="n">
        <f aca="false">IF(Tasks[[#This Row],[Task Name]]="","",IF(Tasks[[#This Row],[_IsSummary]],SUM(INDEX(Tasks[_LeafTotalCost],Tasks[[#This Row],[_Row]]+1):INDEX(Tasks[_LeafTotalCost],Tasks[[#This Row],[_Row]]+Tasks[[#This Row],[_Descendants]])),Tasks[[#This Row],[_LeafTotalCost]]))</f>
        <v>0</v>
      </c>
      <c r="AV14" s="112"/>
      <c r="AW14" s="46"/>
      <c r="AX1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3</v>
      </c>
      <c r="AY14" s="96"/>
      <c r="AZ1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7,8</v>
      </c>
      <c r="BA14" s="47" t="s">
        <v>657</v>
      </c>
      <c r="BB14" s="25" t="n">
        <f aca="false">IF(Tasks[[#This Row],[Task Name]]="","",Tasks[[#This Row],[Forecast Start]])</f>
        <v>46301</v>
      </c>
      <c r="BC14" s="25" t="n">
        <f aca="false">IF(Tasks[[#This Row],[Task Name]]="","",Tasks[[#This Row],[Forecast Finish]])</f>
        <v>46301</v>
      </c>
      <c r="BD14" s="45" t="n">
        <f aca="false">IF(Tasks[[#This Row],[Task Name]]="","",IF(Tasks[[#This Row],[_IsSummary]],NETWORKDAYS.INTL(Tasks[[#This Row],[Forecast Start]],Tasks[[#This Row],[Forecast Finish]],WorkWeek,Holidays),N(Tasks[[#This Row],[Duration]])))</f>
        <v>0</v>
      </c>
      <c r="BE14" s="110" t="n">
        <f aca="false">IF(Tasks[[#This Row],[Task Name]]="","",Tasks[[#This Row],[Work]])</f>
        <v>0</v>
      </c>
      <c r="BF14" s="111" t="n">
        <f aca="false">IF(Tasks[[#This Row],[Task Name]]="","",Tasks[[#This Row],[Cost]])</f>
        <v>0</v>
      </c>
      <c r="BG14" s="88"/>
      <c r="BH14" s="88"/>
      <c r="BI14" s="46"/>
      <c r="BJ14" s="113"/>
      <c r="BK14" s="112"/>
      <c r="BL14" s="45" t="str">
        <f aca="false">IF(OR(Tasks[[#This Row],[Task Name]]="",Tasks[[#This Row],[Baseline Duration]]=""),"",Tasks[[#This Row],[BL Source Duration]]-N(Tasks[[#This Row],[Baseline Duration]]))</f>
        <v/>
      </c>
      <c r="BM14" s="110" t="str">
        <f aca="false">IF(OR(Tasks[[#This Row],[Task Name]]="",Tasks[[#This Row],[Baseline Work]]=""),"",Tasks[[#This Row],[Work]]-N(Tasks[[#This Row],[Baseline Work]]))</f>
        <v/>
      </c>
      <c r="BN14" s="111" t="str">
        <f aca="false">IF(OR(Tasks[[#This Row],[Task Name]]="",Tasks[[#This Row],[Baseline Cost]]=""),"",Tasks[[#This Row],[Cost]]-N(Tasks[[#This Row],[Baseline Cost]]))</f>
        <v/>
      </c>
      <c r="BO14" s="111" t="n">
        <f aca="false">IF(Tasks[[#This Row],[Task Name]]="","",IF(Tasks[[#This Row],[_IsSummary]],SUM(INDEX(Tasks[_LeafBudget],Tasks[[#This Row],[_Row]]+1):INDEX(Tasks[_LeafBudget],Tasks[[#This Row],[_Row]]+Tasks[[#This Row],[_Descendants]])),Tasks[[#This Row],[_LeafBudget]]))</f>
        <v>0</v>
      </c>
      <c r="BP14" s="111" t="n">
        <f aca="false">IF(Tasks[[#This Row],[Task Name]]="","",IF(Tasks[[#This Row],[_IsSummary]],SUM(INDEX(Tasks[_LeafPV],Tasks[[#This Row],[_Row]]+1):INDEX(Tasks[_LeafPV],Tasks[[#This Row],[_Row]]+Tasks[[#This Row],[_Descendants]])),Tasks[[#This Row],[_LeafPV]]))</f>
        <v>0</v>
      </c>
      <c r="BQ14" s="111" t="n">
        <f aca="false">IF(Tasks[[#This Row],[Task Name]]="","",IF(Tasks[[#This Row],[_IsSummary]],SUM(INDEX(Tasks[_LeafEV],Tasks[[#This Row],[_Row]]+1):INDEX(Tasks[_LeafEV],Tasks[[#This Row],[_Row]]+Tasks[[#This Row],[_Descendants]])),Tasks[[#This Row],[_LeafEV]]))</f>
        <v>0</v>
      </c>
      <c r="BR14" s="111" t="n">
        <f aca="false">IF(Tasks[[#This Row],[Task Name]]="","",IF(Tasks[[#This Row],[_IsSummary]],SUM(INDEX(Tasks[_LeafAC],Tasks[[#This Row],[_Row]]+1):INDEX(Tasks[_LeafAC],Tasks[[#This Row],[_Row]]+Tasks[[#This Row],[_Descendants]])),Tasks[[#This Row],[_LeafAC]]))</f>
        <v>0</v>
      </c>
      <c r="BS14" s="32" t="n">
        <f aca="false">IF(Tasks[[#This Row],[Task Name]]="","",MAX(1,N(Tasks[[#This Row],[Level]])))</f>
        <v>2</v>
      </c>
      <c r="BT14" s="32" t="n">
        <f aca="false">ROW()-ROW(Tasks[[#Headers],[ID]])</f>
        <v>9</v>
      </c>
      <c r="BU14" s="32" t="n">
        <f aca="false">IF(OR(Tasks[[#This Row],[Task Name]]="",Tasks[[#This Row],[_Level]]&lt;=1),0,IFERROR(LOOKUP(2,1/(Tasks[[#Headers],[_Level]]:Tasks[[#This Row],[_Level]]=Tasks[[#This Row],[_Level]]-1),ROW(Tasks[[#Headers],[_Level]]:Tasks[[#This Row],[_Level]])),0))</f>
        <v>10</v>
      </c>
      <c r="BV14" s="32" t="n">
        <f aca="false">IFERROR(N(INDEX(Tasks[_Level],Tasks[[#This Row],[_Row]]+1)),0)</f>
        <v>1</v>
      </c>
      <c r="BW14" s="114" t="b">
        <f aca="false">AND(Tasks[[#This Row],[Task Name]]&lt;&gt;"",Tasks[[#This Row],[_NextLevel]]&gt;Tasks[[#This Row],[_Level]])</f>
        <v>0</v>
      </c>
      <c r="BX14" s="32" t="n">
        <f aca="false">IF(Tasks[[#This Row],[_IsSummary]],COUNTIF(Tasks[WBS],Tasks[[#This Row],[WBS]]&amp;".*"),0)</f>
        <v>0</v>
      </c>
      <c r="BY14" s="32" t="n">
        <f aca="false">IF(AND(Tasks[[#This Row],[Task Name]]&lt;&gt;"",NOT(Tasks[[#This Row],[_IsSummary]])),1,0)</f>
        <v>1</v>
      </c>
      <c r="BZ14" s="32" t="n">
        <f aca="false">IF(N(Tasks[[#This Row],[Pred1 UID]])=0,0,IFERROR(MATCH(Tasks[[#This Row],[Pred1 UID]],Tasks[UID],0),-1))</f>
        <v>7</v>
      </c>
      <c r="CA14" s="32" t="n">
        <f aca="false">IF(N(Tasks[[#This Row],[Pred2 UID]])=0,0,IFERROR(MATCH(Tasks[[#This Row],[Pred2 UID]],Tasks[UID],0),-1))</f>
        <v>8</v>
      </c>
      <c r="CB14" s="32" t="n">
        <f aca="false">IF(N(Tasks[[#This Row],[Pred3 UID]])=0,0,IFERROR(MATCH(Tasks[[#This Row],[Pred3 UID]],Tasks[UID],0),-1))</f>
        <v>0</v>
      </c>
      <c r="CC14" s="32" t="n">
        <f aca="false">IF(N(Tasks[[#This Row],[Pred4 UID]])=0,0,IFERROR(MATCH(Tasks[[#This Row],[Pred4 UID]],Tasks[UID],0),-1))</f>
        <v>0</v>
      </c>
      <c r="CD14"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 s="115" t="n">
        <f aca="false">IF(OR(Tasks[[#This Row],[_ConstraintCode]]=2,Tasks[[#This Row],[_ConstraintCode]]=3,Tasks[[#This Row],[_ConstraintCode]]=4,Tasks[[#This Row],[_ConstraintCode]]=6),Tasks[[#This Row],[_ConstraintStart]],0)</f>
        <v>0</v>
      </c>
      <c r="CG14" s="115" t="n">
        <f aca="false">IF(OR(Tasks[[#This Row],[_ConstraintCode]]=2,Tasks[[#This Row],[_ConstraintCode]]=3,Tasks[[#This Row],[_ConstraintCode]]=5,Tasks[[#This Row],[_ConstraintCode]]=7),Tasks[[#This Row],[_ConstraintStart]],2958465)</f>
        <v>2958465</v>
      </c>
      <c r="CH14"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46296</v>
      </c>
      <c r="CI14" s="115" t="n">
        <f aca="false">IF(NOT(Tasks[[#This Row],[_IsLeaf]]=1),"",IF(N(Tasks[[#This Row],[Duration]])&lt;=0,Tasks[[#This Row],[_LeafCalcStart]],WORKDAY.INTL(Tasks[[#This Row],[_LeafCalcStart]],Tasks[[#This Row],[Duration]]-1,WorkWeek,Holidays)))</f>
        <v>46296</v>
      </c>
      <c r="CJ14"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46301</v>
      </c>
      <c r="CK14"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46301</v>
      </c>
      <c r="CL14" s="32" t="n">
        <f aca="false">IF(NOT(Tasks[[#This Row],[_IsLeaf]]=1),0,IF(N(Tasks[[#This Row],[Actual Finish]])&gt;0,1,MIN(1,N(Tasks[[#This Row],[% Complete]]))))</f>
        <v>1</v>
      </c>
      <c r="CM14" s="32" t="n">
        <f aca="false">IF(OR(NOT(Tasks[[#This Row],[_IsLeaf]]=1),Tasks[[#This Row],[Resource]]=""),0,N(Tasks[[#This Row],[Duration]])*HoursPerDay*IF(Tasks[[#This Row],[Units]]="",DefaultUnits,Tasks[[#This Row],[Units]]))</f>
        <v>0</v>
      </c>
      <c r="CN14" s="32" t="n">
        <f aca="false">IF(Tasks[[#This Row],[_LeafWork]]=0,0,Tasks[[#This Row],[_LeafWork]]*IFERROR(INDEX(res_Rate,MATCH(Tasks[[#This Row],[Resource]],res_Name,0)),0))</f>
        <v>0</v>
      </c>
      <c r="CO14" s="32" t="n">
        <f aca="false">Tasks[[#This Row],[_LeafWork]]+IF(Tasks[[#This Row],[_IsLeaf]]=1,SUMIFS(asg_Work,asg_TaskUID,Tasks[[#This Row],[UID]],asg_Valid,1),0)</f>
        <v>0</v>
      </c>
      <c r="CP14" s="32" t="n">
        <f aca="false">Tasks[[#This Row],[_LeafCost]]+IF(Tasks[[#This Row],[_IsLeaf]]=1,SUMIFS(asg_Cost,asg_TaskUID,Tasks[[#This Row],[UID]],asg_Valid,1),0)</f>
        <v>0</v>
      </c>
      <c r="CQ14" s="32" t="n">
        <f aca="false">IF(Tasks[[#This Row],[_LeafTotalCost]]=0,Tasks[[#This Row],[_LeafAC]],Tasks[[#This Row],[_LeafAC]]*Tasks[[#This Row],[_LeafCost]]/Tasks[[#This Row],[_LeafTotalCost]])</f>
        <v>0</v>
      </c>
      <c r="CR14"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2912162</v>
      </c>
      <c r="CS14" s="116" t="n">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2912162</v>
      </c>
      <c r="CT1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99993</v>
      </c>
      <c r="CW14" s="32"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100000</v>
      </c>
      <c r="CX1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 s="32" t="n">
        <f aca="false">IF(NOT(Tasks[[#This Row],[_IsLeaf]]=1),0,MAX(_xlfn.MAXIFS(Tasks[_Row],Tasks[Pred1 UID],Tasks[[#This Row],[UID]]),_xlfn.MAXIFS(Tasks[_Row],Tasks[Pred2 UID],Tasks[[#This Row],[UID]]),_xlfn.MAXIFS(Tasks[_Row],Tasks[Pred3 UID],Tasks[[#This Row],[UID]]),_xlfn.MAXIFS(Tasks[_Row],Tasks[Pred4 UID],Tasks[[#This Row],[UID]])))</f>
        <v>16</v>
      </c>
      <c r="DA14"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46303</v>
      </c>
      <c r="DB14"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DC14" s="115" t="n">
        <f aca="false">IF(NOT(Tasks[[#This Row],[_IsLeaf]]=1),"",IF(N(Tasks[[#This Row],[Duration]])&lt;=0,Tasks[[#This Row],[_LeafLateFinish]],WORKDAY.INTL(Tasks[[#This Row],[_LeafLateFinish]],-(Tasks[[#This Row],[Duration]]-1),WorkWeek,Holidays)))</f>
        <v>46303</v>
      </c>
      <c r="DD14"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DE14" s="114" t="b">
        <f aca="false">AND(Tasks[[#This Row],[_IsLeaf]]=1,Tasks[[#This Row],[_LeafProgress]]&lt;1,N(Tasks[[#This Row],[_LeafTotalSlack]])&lt;=CriticalSlackDays)</f>
        <v>0</v>
      </c>
      <c r="DF14" s="32" t="n">
        <f aca="false">IF(AND(Tasks[[#This Row],[_IsLeaf]]=1,Tasks[[#This Row],[_ConstraintCode]]=1,Tasks[[#This Row],[Mode]]&lt;&gt;"Manual",N(Tasks[[#This Row],[Actual Start]])=0),MAX(0,N(Tasks[[#This Row],[Free Slack]])),0)</f>
        <v>0</v>
      </c>
      <c r="DG14" s="115" t="n">
        <f aca="false">IF(NOT(Tasks[[#This Row],[_IsLeaf]]=1),"",IF(Tasks[[#This Row],[_AlapShift]]=0,Tasks[[#This Row],[_LeafCalcStart]],WORKDAY.INTL(Tasks[[#This Row],[_LeafCalcStart]],Tasks[[#This Row],[_AlapShift]],WorkWeek,Holidays)))</f>
        <v>46296</v>
      </c>
      <c r="DH14" s="115" t="n">
        <f aca="false">IF(NOT(Tasks[[#This Row],[_IsLeaf]]=1),"",IF(Tasks[[#This Row],[_AlapShift]]=0,Tasks[[#This Row],[_LeafCalcFinish]],WORKDAY.INTL(Tasks[[#This Row],[_LeafCalcFinish]],Tasks[[#This Row],[_AlapShift]],WorkWeek,Holidays)))</f>
        <v>46296</v>
      </c>
      <c r="DI14" s="115" t="n">
        <f aca="false">IF(NOT(Tasks[[#This Row],[_IsLeaf]]=1),"",IF(Tasks[[#This Row],[_AlapShift]]=0,Tasks[[#This Row],[_LeafFcstStart]],WORKDAY.INTL(Tasks[[#This Row],[_LeafFcstStart]],Tasks[[#This Row],[_AlapShift]],WorkWeek,Holidays)))</f>
        <v>46301</v>
      </c>
      <c r="DJ14" s="115" t="n">
        <f aca="false">IF(NOT(Tasks[[#This Row],[_IsLeaf]]=1),"",IF(Tasks[[#This Row],[_AlapShift]]=0,Tasks[[#This Row],[_LeafFcstFinish]],WORKDAY.INTL(Tasks[[#This Row],[_LeafFcstFinish]],Tasks[[#This Row],[_AlapShift]],WorkWeek,Holidays)))</f>
        <v>46301</v>
      </c>
      <c r="DK14" s="115" t="n">
        <f aca="false">IF(Tasks[[#This Row],[Task Name]]="","",IF(Tasks[[#This Row],[_IsSummary]],MIN(INDEX(Tasks[_ShownCalcStart],Tasks[[#This Row],[_Row]]+1):INDEX(Tasks[_ShownCalcStart],Tasks[[#This Row],[_Row]]+Tasks[[#This Row],[_Descendants]])),Tasks[[#This Row],[_ShownCalcStart]]))</f>
        <v>46296</v>
      </c>
      <c r="DL14" s="115" t="n">
        <f aca="false">IF(Tasks[[#This Row],[Task Name]]="","",IF(Tasks[[#This Row],[_IsSummary]],MAX(INDEX(Tasks[_ShownCalcFinish],Tasks[[#This Row],[_Row]]+1):INDEX(Tasks[_ShownCalcFinish],Tasks[[#This Row],[_Row]]+Tasks[[#This Row],[_Descendants]])),Tasks[[#This Row],[_ShownCalcFinish]]))</f>
        <v>46296</v>
      </c>
      <c r="DM1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46288</v>
      </c>
      <c r="DR1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46296</v>
      </c>
      <c r="DS1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46290</v>
      </c>
      <c r="DV1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46301</v>
      </c>
      <c r="DW1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 s="32" t="n">
        <f aca="false">IF(AND(Tasks[[#This Row],[_IsLeaf]]=1,Tasks[[#This Row],[_LeafTotalWork]]&gt;0),NETWORKDAYS.INTL(ProjectStart,Tasks[[#This Row],[_ShownFcstStart]],WorkWeek,Holidays),0)</f>
        <v>0</v>
      </c>
      <c r="DZ14" s="32" t="n">
        <f aca="false">IF(AND(Tasks[[#This Row],[_IsLeaf]]=1,Tasks[[#This Row],[_LeafTotalWork]]&gt;0),MAX(Tasks[[#This Row],[_StartWorkday]],NETWORKDAYS.INTL(ProjectStart,Tasks[[#This Row],[_ShownFcstFinish]],WorkWeek,Holidays)),0)</f>
        <v>0</v>
      </c>
      <c r="EA14" s="32" t="n">
        <f aca="false">IF(AND(Tasks[[#This Row],[_IsLeaf]]=1,Tasks[[#This Row],[_LeafTotalWork]]&gt;0),Tasks[[#This Row],[_LeafWork]]/(Tasks[[#This Row],[_FinishWorkday]]-Tasks[[#This Row],[_StartWorkday]]+1),0)</f>
        <v>0</v>
      </c>
      <c r="EB14" s="32" t="n">
        <f aca="false">Tasks[[#This Row],[_WorkPerWorkday]]*(Tasks[[#This Row],[_StartWorkday]]-1)</f>
        <v>-0</v>
      </c>
      <c r="EC14" s="32" t="n">
        <f aca="false">IF(Tasks[[#This Row],[_IsLeaf]]=1,MAX(N(Tasks[[#This Row],[Duration]]),0.1),0)</f>
        <v>0.1</v>
      </c>
      <c r="ED14" s="32" t="n">
        <f aca="false">Tasks[[#This Row],[_WeightDur]]*Tasks[[#This Row],[_LeafProgress]]</f>
        <v>0.1</v>
      </c>
      <c r="EE1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7,8</v>
      </c>
      <c r="EF14" s="32" t="str">
        <f aca="false">IF(AND(Tasks[[#This Row],[_IsLeaf]]=1,N(Tasks[[#This Row],[Duration]])=0,Tasks[[#This Row],[_LeafProgress]]&lt;1),Tasks[[#This Row],[_ShownFcstFinish]]+Tasks[[#This Row],[_Row]]/100000,"")</f>
        <v/>
      </c>
      <c r="EG1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4" s="32" t="n">
        <f aca="false">IF(NOT(Tasks[[#This Row],[_IsLeaf]]=1),0,IF(Tasks[[#This Row],[Baseline Cost]]="",Tasks[[#This Row],[_LeafTotalCost]],N(Tasks[[#This Row],[Baseline Cost]])))</f>
        <v>0</v>
      </c>
      <c r="EI14" s="32" t="n">
        <f aca="false">Tasks[[#This Row],[_LeafBudget]]*Tasks[[#This Row],[_PlannedPct]]</f>
        <v>0</v>
      </c>
      <c r="EJ14" s="32" t="n">
        <f aca="false">Tasks[[#This Row],[_LeafBudget]]*Tasks[[#This Row],[_LeafProgress]]</f>
        <v>0</v>
      </c>
      <c r="EK14" s="32" t="n">
        <f aca="false">IF(NOT(Tasks[[#This Row],[_IsLeaf]]=1),0,IF(Tasks[[#This Row],[Actual Cost]]="",Tasks[[#This Row],[_LeafTotalCost]]*Tasks[[#This Row],[_LeafProgress]],N(Tasks[[#This Row],[Actual Cost]])))</f>
        <v>0</v>
      </c>
      <c r="EL14" s="32" t="str">
        <f aca="false">IF(Tasks[[#This Row],[Task Name]]="","",LEFT(Tasks[[#This Row],[WBS]],FIND(".",Tasks[[#This Row],[WBS]]&amp;".")-1))</f>
        <v>2</v>
      </c>
      <c r="EM14" s="32" t="str">
        <f aca="false">IF(AND(Tasks[[#This Row],[Task Name]]&lt;&gt;"",Tasks[[#This Row],[_Level]]=1),Tasks[[#This Row],[_Row]],"")</f>
        <v/>
      </c>
      <c r="EN14" s="116" t="n">
        <f aca="false">IF(AND(Tasks[[#This Row],[_IsLeaf]]=1,N(Tasks[[#This Row],[Duration]])=0),Tasks[[#This Row],[Planned Finish]]+Tasks[[#This Row],[_Row]]/100000,"")</f>
        <v>46296.00009</v>
      </c>
      <c r="EO14" s="32" t="str">
        <f aca="false">IF(AND(Tasks[[#This Row],[_IsLeaf]]=1,Tasks[[#This Row],[_LeafProgress]]&lt;1,OR(N(Tasks[[#This Row],[Finish Var]])&gt;0,Tasks[[#This Row],[Status]]="Late Start")),MAX(0,Tasks[[#This Row],[Finish Var]])+1-Tasks[[#This Row],[_Row]]/1000000,"")</f>
        <v/>
      </c>
      <c r="EP14" s="32" t="str">
        <f aca="false">IF(AND(Tasks[[#This Row],[_IsLeaf]]=1,N(Tasks[[#This Row],[Actual Start]])=0,Tasks[[#This Row],[_ShownFcstStart]]&gt;=StatusDate,Tasks[[#This Row],[_ShownFcstStart]]&lt;=LookaheadEnd),Tasks[[#This Row],[_ShownFcstStart]]+Tasks[[#This Row],[_Row]]/100000,"")</f>
        <v/>
      </c>
      <c r="EQ14" s="32" t="str">
        <f aca="false">IF(AND(Tasks[[#This Row],[_IsLeaf]]=1,Tasks[[#This Row],[_LeafProgress]]&lt;1,Tasks[[#This Row],[_ShownFcstFinish]]&gt;=StatusDate,Tasks[[#This Row],[_ShownFcstFinish]]&lt;=LookaheadEnd),Tasks[[#This Row],[_ShownFcstFinish]]+Tasks[[#This Row],[_Row]]/100000,"")</f>
        <v/>
      </c>
      <c r="ER14" s="32" t="str">
        <f aca="false">IF(Tasks[[#This Row],[_LeafCritical]],Tasks[[#This Row],[_ShownFcstStart]]+Tasks[[#This Row],[_Row]]/100000,"")</f>
        <v/>
      </c>
      <c r="ES14" s="32" t="n">
        <f aca="false">Tasks[[#This Row],[_LeafWork]]*Tasks[[#This Row],[_LeafProgress]]</f>
        <v>0</v>
      </c>
      <c r="ET14" s="115" t="n">
        <f aca="false">IF(AND(Tasks[[#This Row],[_IsLeaf]]=1,Tasks[[#This Row],[_LeafProgress]]&gt;=1),IF(N(Tasks[[#This Row],[Actual Finish]])&gt;0,Tasks[[#This Row],[Actual Finish]],Tasks[[#This Row],[_ShownFcstFinish]]),"")</f>
        <v>46301</v>
      </c>
      <c r="EU14" s="32" t="n">
        <f aca="false">IF(Tasks[[#This Row],[_IsLeaf]]=1,N(Tasks[[#This Row],[Story Points]]),0)</f>
        <v>0</v>
      </c>
      <c r="EV14" s="32" t="str">
        <f aca="false">IF(AND(Tasks[[#This Row],[_IsLeaf]]=1,CurrentSprint&lt;&gt;"",Tasks[[#This Row],[Sprint]]=CurrentSprint),Tasks[[#This Row],[_Row]],"")</f>
        <v/>
      </c>
    </row>
    <row r="15" customFormat="false" ht="15" hidden="false" customHeight="false" outlineLevel="0" collapsed="false">
      <c r="A15" s="45" t="n">
        <f aca="false">IF(Tasks[[#This Row],[Task Name]]="","",COUNTA(Tasks[[#Headers],[Task Name]]:Tasks[[#This Row],[Task Name]])-1)</f>
        <v>10</v>
      </c>
      <c r="B15" s="46" t="n">
        <v>10</v>
      </c>
      <c r="C1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v>
      </c>
      <c r="D15" s="46" t="n">
        <v>1</v>
      </c>
      <c r="E15" s="45" t="str">
        <f aca="false">IF(Tasks[[#This Row],[Task Name]]="","",IF(Tasks[[#This Row],[_Level]]&lt;=OutlineShowLevel,"Yes","No"))</f>
        <v>Yes</v>
      </c>
      <c r="F15" s="47" t="s">
        <v>658</v>
      </c>
      <c r="G15" s="46" t="s">
        <v>642</v>
      </c>
      <c r="H15" s="46"/>
      <c r="I15" s="46"/>
      <c r="J15" s="46"/>
      <c r="K15" s="46"/>
      <c r="L15" s="46"/>
      <c r="M15" s="46"/>
      <c r="N15" s="46"/>
      <c r="O15" s="46"/>
      <c r="P15" s="46"/>
      <c r="Q15" s="46"/>
      <c r="R15" s="46"/>
      <c r="S15" s="46"/>
      <c r="T15" s="46"/>
      <c r="U15" s="47"/>
      <c r="V15" s="88"/>
      <c r="W15" s="88"/>
      <c r="X15" s="25" t="n">
        <f aca="false">IF(Tasks[[#This Row],[Task Name]]="","",IF(N(Tasks[[#This Row],[Baseline Start]])&gt;0,Tasks[[#This Row],[Baseline Start]],Tasks[[#This Row],[_CalcStart]]))</f>
        <v>46297</v>
      </c>
      <c r="Y15" s="25" t="n">
        <f aca="false">IF(Tasks[[#This Row],[Task Name]]="","",IF(N(Tasks[[#This Row],[Baseline Finish]])&gt;0,Tasks[[#This Row],[Baseline Finish]],Tasks[[#This Row],[_CalcFinish]]))</f>
        <v>46325</v>
      </c>
      <c r="Z15" s="88"/>
      <c r="AA15" s="88"/>
      <c r="AB15" s="25" t="n">
        <f aca="false">IF(Tasks[[#This Row],[Task Name]]="","",IF(Tasks[[#This Row],[_IsSummary]],MIN(INDEX(Tasks[_ShownFcstStart],Tasks[[#This Row],[_Row]]+1):INDEX(Tasks[_ShownFcstStart],Tasks[[#This Row],[_Row]]+Tasks[[#This Row],[_Descendants]])),Tasks[[#This Row],[_ShownFcstStart]]))</f>
        <v>46302</v>
      </c>
      <c r="AC15" s="25" t="n">
        <f aca="false">IF(Tasks[[#This Row],[Task Name]]="","",IF(Tasks[[#This Row],[_IsSummary]],MAX(INDEX(Tasks[_ShownFcstFinish],Tasks[[#This Row],[_Row]]+1):INDEX(Tasks[_ShownFcstFinish],Tasks[[#This Row],[_Row]]+Tasks[[#This Row],[_Descendants]])),Tasks[[#This Row],[_ShownFcstFinish]]))</f>
        <v>46335</v>
      </c>
      <c r="AD15"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15"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15" s="25" t="n">
        <f aca="false">IF(Tasks[[#This Row],[Task Name]]="","",IF(Tasks[[#This Row],[_IsSummary]],MIN(INDEX(Tasks[_LeafLateStart],Tasks[[#This Row],[_Row]]+1):INDEX(Tasks[_LeafLateStart],Tasks[[#This Row],[_Row]]+Tasks[[#This Row],[_Descendants]])),Tasks[[#This Row],[_LeafLateStart]]))</f>
        <v>46304</v>
      </c>
      <c r="AG15" s="25" t="n">
        <f aca="false">IF(Tasks[[#This Row],[Task Name]]="","",IF(Tasks[[#This Row],[_IsSummary]],MAX(INDEX(Tasks[_LeafLateFinish],Tasks[[#This Row],[_Row]]+1):INDEX(Tasks[_LeafLateFinish],Tasks[[#This Row],[_Row]]+Tasks[[#This Row],[_Descendants]])),Tasks[[#This Row],[_LeafLateFinish]]))</f>
        <v>46332</v>
      </c>
      <c r="AH15" s="56" t="n">
        <f aca="false">IF(Tasks[[#This Row],[Task Name]]="","",IF(Tasks[[#This Row],[_IsSummary]],MIN(INDEX(Tasks[_LeafTotalSlack],Tasks[[#This Row],[_Row]]+1):INDEX(Tasks[_LeafTotalSlack],Tasks[[#This Row],[_Row]]+Tasks[[#This Row],[_Descendants]])),Tasks[[#This Row],[_LeafTotalSlack]]))</f>
        <v>-1</v>
      </c>
      <c r="AI1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 s="45" t="str">
        <f aca="false">IF(Tasks[[#This Row],[Task Name]]="","",IF(IF(Tasks[[#This Row],[_IsSummary]],COUNTIF(INDEX(Tasks[_LeafCritical],Tasks[[#This Row],[_Row]]+1):INDEX(Tasks[_LeafCritical],Tasks[[#This Row],[_Row]]+Tasks[[#This Row],[_Descendants]]),TRUE())&gt;0,Tasks[[#This Row],[_LeafCritical]]),"Yes",""))</f>
        <v>Yes</v>
      </c>
      <c r="AK1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 s="102"/>
      <c r="AN15"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0.451306413301663</v>
      </c>
      <c r="AO15" s="45" t="str">
        <f aca="false">IF(Tasks[[#This Row],[Task Name]]="","",IF(Tasks[[#This Row],[Progress]]&gt;=1,"Complete",IF(OR(N(Tasks[[#This Row],[Actual Start]])&gt;0,Tasks[[#This Row],[Progress]]&gt;0),IF(Tasks[[#This Row],[Finish Var]]&gt;0,"Behind","In Progress"),IF(Tasks[[#This Row],[Planned Start]]&lt;StatusDate,"Late Start","Not Started"))))</f>
        <v>Behind</v>
      </c>
      <c r="AP15" s="47"/>
      <c r="AQ15" s="102"/>
      <c r="AR1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 s="110" t="n">
        <f aca="false">IF(Tasks[[#This Row],[Task Name]]="","",IF(Tasks[[#This Row],[_IsSummary]],SUM(INDEX(Tasks[_LeafTotalWork],Tasks[[#This Row],[_Row]]+1):INDEX(Tasks[_LeafTotalWork],Tasks[[#This Row],[_Row]]+Tasks[[#This Row],[_Descendants]])),Tasks[[#This Row],[_LeafTotalWork]]))</f>
        <v>372</v>
      </c>
      <c r="AU15" s="111" t="n">
        <f aca="false">IF(Tasks[[#This Row],[Task Name]]="","",IF(Tasks[[#This Row],[_IsSummary]],SUM(INDEX(Tasks[_LeafTotalCost],Tasks[[#This Row],[_Row]]+1):INDEX(Tasks[_LeafTotalCost],Tasks[[#This Row],[_Row]]+Tasks[[#This Row],[_Descendants]])),Tasks[[#This Row],[_LeafTotalCost]]))</f>
        <v>30300</v>
      </c>
      <c r="AV15" s="112"/>
      <c r="AW15" s="46"/>
      <c r="AX1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 s="96"/>
      <c r="AZ1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 s="47"/>
      <c r="BB15" s="25" t="n">
        <f aca="false">IF(Tasks[[#This Row],[Task Name]]="","",Tasks[[#This Row],[Forecast Start]])</f>
        <v>46302</v>
      </c>
      <c r="BC15" s="25" t="n">
        <f aca="false">IF(Tasks[[#This Row],[Task Name]]="","",Tasks[[#This Row],[Forecast Finish]])</f>
        <v>46335</v>
      </c>
      <c r="BD15" s="45" t="n">
        <f aca="false">IF(Tasks[[#This Row],[Task Name]]="","",IF(Tasks[[#This Row],[_IsSummary]],NETWORKDAYS.INTL(Tasks[[#This Row],[Forecast Start]],Tasks[[#This Row],[Forecast Finish]],WorkWeek,Holidays),N(Tasks[[#This Row],[Duration]])))</f>
        <v>24</v>
      </c>
      <c r="BE15" s="110" t="n">
        <f aca="false">IF(Tasks[[#This Row],[Task Name]]="","",Tasks[[#This Row],[Work]])</f>
        <v>372</v>
      </c>
      <c r="BF15" s="111" t="n">
        <f aca="false">IF(Tasks[[#This Row],[Task Name]]="","",Tasks[[#This Row],[Cost]])</f>
        <v>30300</v>
      </c>
      <c r="BG15" s="88"/>
      <c r="BH15" s="88"/>
      <c r="BI15" s="46"/>
      <c r="BJ15" s="113"/>
      <c r="BK15" s="112"/>
      <c r="BL15" s="45" t="str">
        <f aca="false">IF(OR(Tasks[[#This Row],[Task Name]]="",Tasks[[#This Row],[Baseline Duration]]=""),"",Tasks[[#This Row],[BL Source Duration]]-N(Tasks[[#This Row],[Baseline Duration]]))</f>
        <v/>
      </c>
      <c r="BM15" s="110" t="str">
        <f aca="false">IF(OR(Tasks[[#This Row],[Task Name]]="",Tasks[[#This Row],[Baseline Work]]=""),"",Tasks[[#This Row],[Work]]-N(Tasks[[#This Row],[Baseline Work]]))</f>
        <v/>
      </c>
      <c r="BN15" s="111" t="str">
        <f aca="false">IF(OR(Tasks[[#This Row],[Task Name]]="",Tasks[[#This Row],[Baseline Cost]]=""),"",Tasks[[#This Row],[Cost]]-N(Tasks[[#This Row],[Baseline Cost]]))</f>
        <v/>
      </c>
      <c r="BO15" s="111" t="n">
        <f aca="false">IF(Tasks[[#This Row],[Task Name]]="","",IF(Tasks[[#This Row],[_IsSummary]],SUM(INDEX(Tasks[_LeafBudget],Tasks[[#This Row],[_Row]]+1):INDEX(Tasks[_LeafBudget],Tasks[[#This Row],[_Row]]+Tasks[[#This Row],[_Descendants]])),Tasks[[#This Row],[_LeafBudget]]))</f>
        <v>30300</v>
      </c>
      <c r="BP15" s="111" t="n">
        <f aca="false">IF(Tasks[[#This Row],[Task Name]]="","",IF(Tasks[[#This Row],[_IsSummary]],SUM(INDEX(Tasks[_LeafPV],Tasks[[#This Row],[_Row]]+1):INDEX(Tasks[_LeafPV],Tasks[[#This Row],[_Row]]+Tasks[[#This Row],[_Descendants]])),Tasks[[#This Row],[_LeafPV]]))</f>
        <v>23180</v>
      </c>
      <c r="BQ15" s="111" t="n">
        <f aca="false">IF(Tasks[[#This Row],[Task Name]]="","",IF(Tasks[[#This Row],[_IsSummary]],SUM(INDEX(Tasks[_LeafEV],Tasks[[#This Row],[_Row]]+1):INDEX(Tasks[_LeafEV],Tasks[[#This Row],[_Row]]+Tasks[[#This Row],[_Descendants]])),Tasks[[#This Row],[_LeafEV]]))</f>
        <v>13460</v>
      </c>
      <c r="BR15" s="111" t="n">
        <f aca="false">IF(Tasks[[#This Row],[Task Name]]="","",IF(Tasks[[#This Row],[_IsSummary]],SUM(INDEX(Tasks[_LeafAC],Tasks[[#This Row],[_Row]]+1):INDEX(Tasks[_LeafAC],Tasks[[#This Row],[_Row]]+Tasks[[#This Row],[_Descendants]])),Tasks[[#This Row],[_LeafAC]]))</f>
        <v>14140</v>
      </c>
      <c r="BS15" s="32" t="n">
        <f aca="false">IF(Tasks[[#This Row],[Task Name]]="","",MAX(1,N(Tasks[[#This Row],[Level]])))</f>
        <v>1</v>
      </c>
      <c r="BT15" s="32" t="n">
        <f aca="false">ROW()-ROW(Tasks[[#Headers],[ID]])</f>
        <v>10</v>
      </c>
      <c r="BU15" s="32" t="n">
        <f aca="false">IF(OR(Tasks[[#This Row],[Task Name]]="",Tasks[[#This Row],[_Level]]&lt;=1),0,IFERROR(LOOKUP(2,1/(Tasks[[#Headers],[_Level]]:Tasks[[#This Row],[_Level]]=Tasks[[#This Row],[_Level]]-1),ROW(Tasks[[#Headers],[_Level]]:Tasks[[#This Row],[_Level]])),0))</f>
        <v>0</v>
      </c>
      <c r="BV15" s="32" t="n">
        <f aca="false">IFERROR(N(INDEX(Tasks[_Level],Tasks[[#This Row],[_Row]]+1)),0)</f>
        <v>2</v>
      </c>
      <c r="BW15" s="114" t="b">
        <f aca="false">AND(Tasks[[#This Row],[Task Name]]&lt;&gt;"",Tasks[[#This Row],[_NextLevel]]&gt;Tasks[[#This Row],[_Level]])</f>
        <v>1</v>
      </c>
      <c r="BX15" s="32" t="n">
        <f aca="false">IF(Tasks[[#This Row],[_IsSummary]],COUNTIF(Tasks[WBS],Tasks[[#This Row],[WBS]]&amp;".*"),0)</f>
        <v>9</v>
      </c>
      <c r="BY15" s="32" t="n">
        <f aca="false">IF(AND(Tasks[[#This Row],[Task Name]]&lt;&gt;"",NOT(Tasks[[#This Row],[_IsSummary]])),1,0)</f>
        <v>0</v>
      </c>
      <c r="BZ15" s="32" t="n">
        <f aca="false">IF(N(Tasks[[#This Row],[Pred1 UID]])=0,0,IFERROR(MATCH(Tasks[[#This Row],[Pred1 UID]],Tasks[UID],0),-1))</f>
        <v>0</v>
      </c>
      <c r="CA15" s="32" t="n">
        <f aca="false">IF(N(Tasks[[#This Row],[Pred2 UID]])=0,0,IFERROR(MATCH(Tasks[[#This Row],[Pred2 UID]],Tasks[UID],0),-1))</f>
        <v>0</v>
      </c>
      <c r="CB15" s="32" t="n">
        <f aca="false">IF(N(Tasks[[#This Row],[Pred3 UID]])=0,0,IFERROR(MATCH(Tasks[[#This Row],[Pred3 UID]],Tasks[UID],0),-1))</f>
        <v>0</v>
      </c>
      <c r="CC15" s="32" t="n">
        <f aca="false">IF(N(Tasks[[#This Row],[Pred4 UID]])=0,0,IFERROR(MATCH(Tasks[[#This Row],[Pred4 UID]],Tasks[UID],0),-1))</f>
        <v>0</v>
      </c>
      <c r="CD1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 s="115" t="n">
        <f aca="false">IF(OR(Tasks[[#This Row],[_ConstraintCode]]=2,Tasks[[#This Row],[_ConstraintCode]]=3,Tasks[[#This Row],[_ConstraintCode]]=4,Tasks[[#This Row],[_ConstraintCode]]=6),Tasks[[#This Row],[_ConstraintStart]],0)</f>
        <v>0</v>
      </c>
      <c r="CG15" s="115" t="n">
        <f aca="false">IF(OR(Tasks[[#This Row],[_ConstraintCode]]=2,Tasks[[#This Row],[_ConstraintCode]]=3,Tasks[[#This Row],[_ConstraintCode]]=5,Tasks[[#This Row],[_ConstraintCode]]=7),Tasks[[#This Row],[_ConstraintStart]],2958465)</f>
        <v>2958465</v>
      </c>
      <c r="CH1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 s="115" t="str">
        <f aca="false">IF(NOT(Tasks[[#This Row],[_IsLeaf]]=1),"",IF(N(Tasks[[#This Row],[Duration]])&lt;=0,Tasks[[#This Row],[_LeafCalcStart]],WORKDAY.INTL(Tasks[[#This Row],[_LeafCalcStart]],Tasks[[#This Row],[Duration]]-1,WorkWeek,Holidays)))</f>
        <v/>
      </c>
      <c r="CJ1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 s="32" t="n">
        <f aca="false">IF(NOT(Tasks[[#This Row],[_IsLeaf]]=1),0,IF(N(Tasks[[#This Row],[Actual Finish]])&gt;0,1,MIN(1,N(Tasks[[#This Row],[% Complete]]))))</f>
        <v>0</v>
      </c>
      <c r="CM15" s="32" t="n">
        <f aca="false">IF(OR(NOT(Tasks[[#This Row],[_IsLeaf]]=1),Tasks[[#This Row],[Resource]]=""),0,N(Tasks[[#This Row],[Duration]])*HoursPerDay*IF(Tasks[[#This Row],[Units]]="",DefaultUnits,Tasks[[#This Row],[Units]]))</f>
        <v>0</v>
      </c>
      <c r="CN15" s="32" t="n">
        <f aca="false">IF(Tasks[[#This Row],[_LeafWork]]=0,0,Tasks[[#This Row],[_LeafWork]]*IFERROR(INDEX(res_Rate,MATCH(Tasks[[#This Row],[Resource]],res_Name,0)),0))</f>
        <v>0</v>
      </c>
      <c r="CO15" s="32" t="n">
        <f aca="false">Tasks[[#This Row],[_LeafWork]]+IF(Tasks[[#This Row],[_IsLeaf]]=1,SUMIFS(asg_Work,asg_TaskUID,Tasks[[#This Row],[UID]],asg_Valid,1),0)</f>
        <v>0</v>
      </c>
      <c r="CP15" s="32" t="n">
        <f aca="false">Tasks[[#This Row],[_LeafCost]]+IF(Tasks[[#This Row],[_IsLeaf]]=1,SUMIFS(asg_Cost,asg_TaskUID,Tasks[[#This Row],[UID]],asg_Valid,1),0)</f>
        <v>0</v>
      </c>
      <c r="CQ15" s="32" t="n">
        <f aca="false">IF(Tasks[[#This Row],[_LeafTotalCost]]=0,Tasks[[#This Row],[_LeafAC]],Tasks[[#This Row],[_LeafAC]]*Tasks[[#This Row],[_LeafCost]]/Tasks[[#This Row],[_LeafTotalCost]])</f>
        <v>0</v>
      </c>
      <c r="CR1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 s="32" t="n">
        <f aca="false">IF(NOT(Tasks[[#This Row],[_IsLeaf]]=1),0,MAX(_xlfn.MAXIFS(Tasks[_Row],Tasks[Pred1 UID],Tasks[[#This Row],[UID]]),_xlfn.MAXIFS(Tasks[_Row],Tasks[Pred2 UID],Tasks[[#This Row],[UID]]),_xlfn.MAXIFS(Tasks[_Row],Tasks[Pred3 UID],Tasks[[#This Row],[UID]]),_xlfn.MAXIFS(Tasks[_Row],Tasks[Pred4 UID],Tasks[[#This Row],[UID]])))</f>
        <v>0</v>
      </c>
      <c r="DA1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 s="115" t="str">
        <f aca="false">IF(NOT(Tasks[[#This Row],[_IsLeaf]]=1),"",IF(N(Tasks[[#This Row],[Duration]])&lt;=0,Tasks[[#This Row],[_LeafLateFinish]],WORKDAY.INTL(Tasks[[#This Row],[_LeafLateFinish]],-(Tasks[[#This Row],[Duration]]-1),WorkWeek,Holidays)))</f>
        <v/>
      </c>
      <c r="DD1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 s="114" t="b">
        <f aca="false">AND(Tasks[[#This Row],[_IsLeaf]]=1,Tasks[[#This Row],[_LeafProgress]]&lt;1,N(Tasks[[#This Row],[_LeafTotalSlack]])&lt;=CriticalSlackDays)</f>
        <v>0</v>
      </c>
      <c r="DF15" s="32" t="n">
        <f aca="false">IF(AND(Tasks[[#This Row],[_IsLeaf]]=1,Tasks[[#This Row],[_ConstraintCode]]=1,Tasks[[#This Row],[Mode]]&lt;&gt;"Manual",N(Tasks[[#This Row],[Actual Start]])=0),MAX(0,N(Tasks[[#This Row],[Free Slack]])),0)</f>
        <v>0</v>
      </c>
      <c r="DG15" s="115" t="str">
        <f aca="false">IF(NOT(Tasks[[#This Row],[_IsLeaf]]=1),"",IF(Tasks[[#This Row],[_AlapShift]]=0,Tasks[[#This Row],[_LeafCalcStart]],WORKDAY.INTL(Tasks[[#This Row],[_LeafCalcStart]],Tasks[[#This Row],[_AlapShift]],WorkWeek,Holidays)))</f>
        <v/>
      </c>
      <c r="DH15" s="115" t="str">
        <f aca="false">IF(NOT(Tasks[[#This Row],[_IsLeaf]]=1),"",IF(Tasks[[#This Row],[_AlapShift]]=0,Tasks[[#This Row],[_LeafCalcFinish]],WORKDAY.INTL(Tasks[[#This Row],[_LeafCalcFinish]],Tasks[[#This Row],[_AlapShift]],WorkWeek,Holidays)))</f>
        <v/>
      </c>
      <c r="DI15" s="115" t="str">
        <f aca="false">IF(NOT(Tasks[[#This Row],[_IsLeaf]]=1),"",IF(Tasks[[#This Row],[_AlapShift]]=0,Tasks[[#This Row],[_LeafFcstStart]],WORKDAY.INTL(Tasks[[#This Row],[_LeafFcstStart]],Tasks[[#This Row],[_AlapShift]],WorkWeek,Holidays)))</f>
        <v/>
      </c>
      <c r="DJ15" s="115" t="str">
        <f aca="false">IF(NOT(Tasks[[#This Row],[_IsLeaf]]=1),"",IF(Tasks[[#This Row],[_AlapShift]]=0,Tasks[[#This Row],[_LeafFcstFinish]],WORKDAY.INTL(Tasks[[#This Row],[_LeafFcstFinish]],Tasks[[#This Row],[_AlapShift]],WorkWeek,Holidays)))</f>
        <v/>
      </c>
      <c r="DK15" s="115" t="n">
        <f aca="false">IF(Tasks[[#This Row],[Task Name]]="","",IF(Tasks[[#This Row],[_IsSummary]],MIN(INDEX(Tasks[_ShownCalcStart],Tasks[[#This Row],[_Row]]+1):INDEX(Tasks[_ShownCalcStart],Tasks[[#This Row],[_Row]]+Tasks[[#This Row],[_Descendants]])),Tasks[[#This Row],[_ShownCalcStart]]))</f>
        <v>46297</v>
      </c>
      <c r="DL15" s="115" t="n">
        <f aca="false">IF(Tasks[[#This Row],[Task Name]]="","",IF(Tasks[[#This Row],[_IsSummary]],MAX(INDEX(Tasks[_ShownCalcFinish],Tasks[[#This Row],[_Row]]+1):INDEX(Tasks[_ShownCalcFinish],Tasks[[#This Row],[_Row]]+Tasks[[#This Row],[_Descendants]])),Tasks[[#This Row],[_ShownCalcFinish]]))</f>
        <v>46325</v>
      </c>
      <c r="DM1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 s="32" t="n">
        <f aca="false">IF(AND(Tasks[[#This Row],[_IsLeaf]]=1,Tasks[[#This Row],[_LeafTotalWork]]&gt;0),NETWORKDAYS.INTL(ProjectStart,Tasks[[#This Row],[_ShownFcstStart]],WorkWeek,Holidays),0)</f>
        <v>0</v>
      </c>
      <c r="DZ15" s="32" t="n">
        <f aca="false">IF(AND(Tasks[[#This Row],[_IsLeaf]]=1,Tasks[[#This Row],[_LeafTotalWork]]&gt;0),MAX(Tasks[[#This Row],[_StartWorkday]],NETWORKDAYS.INTL(ProjectStart,Tasks[[#This Row],[_ShownFcstFinish]],WorkWeek,Holidays)),0)</f>
        <v>0</v>
      </c>
      <c r="EA15" s="32" t="n">
        <f aca="false">IF(AND(Tasks[[#This Row],[_IsLeaf]]=1,Tasks[[#This Row],[_LeafTotalWork]]&gt;0),Tasks[[#This Row],[_LeafWork]]/(Tasks[[#This Row],[_FinishWorkday]]-Tasks[[#This Row],[_StartWorkday]]+1),0)</f>
        <v>0</v>
      </c>
      <c r="EB15" s="32" t="n">
        <f aca="false">Tasks[[#This Row],[_WorkPerWorkday]]*(Tasks[[#This Row],[_StartWorkday]]-1)</f>
        <v>-0</v>
      </c>
      <c r="EC15" s="32" t="n">
        <f aca="false">IF(Tasks[[#This Row],[_IsLeaf]]=1,MAX(N(Tasks[[#This Row],[Duration]]),0.1),0)</f>
        <v>0</v>
      </c>
      <c r="ED15" s="32" t="n">
        <f aca="false">Tasks[[#This Row],[_WeightDur]]*Tasks[[#This Row],[_LeafProgress]]</f>
        <v>0</v>
      </c>
      <c r="EE1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 s="32" t="str">
        <f aca="false">IF(AND(Tasks[[#This Row],[_IsLeaf]]=1,N(Tasks[[#This Row],[Duration]])=0,Tasks[[#This Row],[_LeafProgress]]&lt;1),Tasks[[#This Row],[_ShownFcstFinish]]+Tasks[[#This Row],[_Row]]/100000,"")</f>
        <v/>
      </c>
      <c r="EG1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 s="32" t="n">
        <f aca="false">IF(NOT(Tasks[[#This Row],[_IsLeaf]]=1),0,IF(Tasks[[#This Row],[Baseline Cost]]="",Tasks[[#This Row],[_LeafTotalCost]],N(Tasks[[#This Row],[Baseline Cost]])))</f>
        <v>0</v>
      </c>
      <c r="EI15" s="32" t="n">
        <f aca="false">Tasks[[#This Row],[_LeafBudget]]*Tasks[[#This Row],[_PlannedPct]]</f>
        <v>0</v>
      </c>
      <c r="EJ15" s="32" t="n">
        <f aca="false">Tasks[[#This Row],[_LeafBudget]]*Tasks[[#This Row],[_LeafProgress]]</f>
        <v>0</v>
      </c>
      <c r="EK15" s="32" t="n">
        <f aca="false">IF(NOT(Tasks[[#This Row],[_IsLeaf]]=1),0,IF(Tasks[[#This Row],[Actual Cost]]="",Tasks[[#This Row],[_LeafTotalCost]]*Tasks[[#This Row],[_LeafProgress]],N(Tasks[[#This Row],[Actual Cost]])))</f>
        <v>0</v>
      </c>
      <c r="EL15" s="32" t="str">
        <f aca="false">IF(Tasks[[#This Row],[Task Name]]="","",LEFT(Tasks[[#This Row],[WBS]],FIND(".",Tasks[[#This Row],[WBS]]&amp;".")-1))</f>
        <v>3</v>
      </c>
      <c r="EM15" s="32" t="n">
        <f aca="false">IF(AND(Tasks[[#This Row],[Task Name]]&lt;&gt;"",Tasks[[#This Row],[_Level]]=1),Tasks[[#This Row],[_Row]],"")</f>
        <v>10</v>
      </c>
      <c r="EN15" s="32" t="str">
        <f aca="false">IF(AND(Tasks[[#This Row],[_IsLeaf]]=1,N(Tasks[[#This Row],[Duration]])=0),Tasks[[#This Row],[Planned Finish]]+Tasks[[#This Row],[_Row]]/100000,"")</f>
        <v/>
      </c>
      <c r="EO15" s="32" t="str">
        <f aca="false">IF(AND(Tasks[[#This Row],[_IsLeaf]]=1,Tasks[[#This Row],[_LeafProgress]]&lt;1,OR(N(Tasks[[#This Row],[Finish Var]])&gt;0,Tasks[[#This Row],[Status]]="Late Start")),MAX(0,Tasks[[#This Row],[Finish Var]])+1-Tasks[[#This Row],[_Row]]/1000000,"")</f>
        <v/>
      </c>
      <c r="EP15" s="32" t="str">
        <f aca="false">IF(AND(Tasks[[#This Row],[_IsLeaf]]=1,N(Tasks[[#This Row],[Actual Start]])=0,Tasks[[#This Row],[_ShownFcstStart]]&gt;=StatusDate,Tasks[[#This Row],[_ShownFcstStart]]&lt;=LookaheadEnd),Tasks[[#This Row],[_ShownFcstStart]]+Tasks[[#This Row],[_Row]]/100000,"")</f>
        <v/>
      </c>
      <c r="EQ15" s="32" t="str">
        <f aca="false">IF(AND(Tasks[[#This Row],[_IsLeaf]]=1,Tasks[[#This Row],[_LeafProgress]]&lt;1,Tasks[[#This Row],[_ShownFcstFinish]]&gt;=StatusDate,Tasks[[#This Row],[_ShownFcstFinish]]&lt;=LookaheadEnd),Tasks[[#This Row],[_ShownFcstFinish]]+Tasks[[#This Row],[_Row]]/100000,"")</f>
        <v/>
      </c>
      <c r="ER15" s="32" t="str">
        <f aca="false">IF(Tasks[[#This Row],[_LeafCritical]],Tasks[[#This Row],[_ShownFcstStart]]+Tasks[[#This Row],[_Row]]/100000,"")</f>
        <v/>
      </c>
      <c r="ES15" s="32" t="n">
        <f aca="false">Tasks[[#This Row],[_LeafWork]]*Tasks[[#This Row],[_LeafProgress]]</f>
        <v>0</v>
      </c>
      <c r="ET15" s="115" t="str">
        <f aca="false">IF(AND(Tasks[[#This Row],[_IsLeaf]]=1,Tasks[[#This Row],[_LeafProgress]]&gt;=1),IF(N(Tasks[[#This Row],[Actual Finish]])&gt;0,Tasks[[#This Row],[Actual Finish]],Tasks[[#This Row],[_ShownFcstFinish]]),"")</f>
        <v/>
      </c>
      <c r="EU15" s="32" t="n">
        <f aca="false">IF(Tasks[[#This Row],[_IsLeaf]]=1,N(Tasks[[#This Row],[Story Points]]),0)</f>
        <v>0</v>
      </c>
      <c r="EV15" s="32" t="str">
        <f aca="false">IF(AND(Tasks[[#This Row],[_IsLeaf]]=1,CurrentSprint&lt;&gt;"",Tasks[[#This Row],[Sprint]]=CurrentSprint),Tasks[[#This Row],[_Row]],"")</f>
        <v/>
      </c>
    </row>
    <row r="16" customFormat="false" ht="15" hidden="false" customHeight="false" outlineLevel="1" collapsed="false">
      <c r="A16" s="45" t="n">
        <f aca="false">IF(Tasks[[#This Row],[Task Name]]="","",COUNTA(Tasks[[#Headers],[Task Name]]:Tasks[[#This Row],[Task Name]])-1)</f>
        <v>11</v>
      </c>
      <c r="B16" s="46" t="n">
        <v>11</v>
      </c>
      <c r="C1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v>
      </c>
      <c r="D16" s="46" t="n">
        <v>2</v>
      </c>
      <c r="E16" s="45" t="str">
        <f aca="false">IF(Tasks[[#This Row],[Task Name]]="","",IF(Tasks[[#This Row],[_Level]]&lt;=OutlineShowLevel,"Yes","No"))</f>
        <v>Yes</v>
      </c>
      <c r="F16" s="47" t="s">
        <v>659</v>
      </c>
      <c r="G16" s="46" t="s">
        <v>642</v>
      </c>
      <c r="H16" s="46"/>
      <c r="I16" s="46"/>
      <c r="J16" s="46"/>
      <c r="K16" s="46"/>
      <c r="L16" s="46"/>
      <c r="M16" s="46"/>
      <c r="N16" s="46"/>
      <c r="O16" s="46"/>
      <c r="P16" s="46"/>
      <c r="Q16" s="46"/>
      <c r="R16" s="46"/>
      <c r="S16" s="46"/>
      <c r="T16" s="46"/>
      <c r="U16" s="47"/>
      <c r="V16" s="88"/>
      <c r="W16" s="88"/>
      <c r="X16" s="25" t="n">
        <f aca="false">IF(Tasks[[#This Row],[Task Name]]="","",IF(N(Tasks[[#This Row],[Baseline Start]])&gt;0,Tasks[[#This Row],[Baseline Start]],Tasks[[#This Row],[_CalcStart]]))</f>
        <v>46297</v>
      </c>
      <c r="Y16" s="25" t="n">
        <f aca="false">IF(Tasks[[#This Row],[Task Name]]="","",IF(N(Tasks[[#This Row],[Baseline Finish]])&gt;0,Tasks[[#This Row],[Baseline Finish]],Tasks[[#This Row],[_CalcFinish]]))</f>
        <v>46325</v>
      </c>
      <c r="Z16" s="88"/>
      <c r="AA16" s="88"/>
      <c r="AB16" s="25" t="n">
        <f aca="false">IF(Tasks[[#This Row],[Task Name]]="","",IF(Tasks[[#This Row],[_IsSummary]],MIN(INDEX(Tasks[_ShownFcstStart],Tasks[[#This Row],[_Row]]+1):INDEX(Tasks[_ShownFcstStart],Tasks[[#This Row],[_Row]]+Tasks[[#This Row],[_Descendants]])),Tasks[[#This Row],[_ShownFcstStart]]))</f>
        <v>46302</v>
      </c>
      <c r="AC16" s="25" t="n">
        <f aca="false">IF(Tasks[[#This Row],[Task Name]]="","",IF(Tasks[[#This Row],[_IsSummary]],MAX(INDEX(Tasks[_ShownFcstFinish],Tasks[[#This Row],[_Row]]+1):INDEX(Tasks[_ShownFcstFinish],Tasks[[#This Row],[_Row]]+Tasks[[#This Row],[_Descendants]])),Tasks[[#This Row],[_ShownFcstFinish]]))</f>
        <v>46335</v>
      </c>
      <c r="AD16"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16"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16" s="25" t="n">
        <f aca="false">IF(Tasks[[#This Row],[Task Name]]="","",IF(Tasks[[#This Row],[_IsSummary]],MIN(INDEX(Tasks[_LeafLateStart],Tasks[[#This Row],[_Row]]+1):INDEX(Tasks[_LeafLateStart],Tasks[[#This Row],[_Row]]+Tasks[[#This Row],[_Descendants]])),Tasks[[#This Row],[_LeafLateStart]]))</f>
        <v>46304</v>
      </c>
      <c r="AG16" s="25" t="n">
        <f aca="false">IF(Tasks[[#This Row],[Task Name]]="","",IF(Tasks[[#This Row],[_IsSummary]],MAX(INDEX(Tasks[_LeafLateFinish],Tasks[[#This Row],[_Row]]+1):INDEX(Tasks[_LeafLateFinish],Tasks[[#This Row],[_Row]]+Tasks[[#This Row],[_Descendants]])),Tasks[[#This Row],[_LeafLateFinish]]))</f>
        <v>46332</v>
      </c>
      <c r="AH16" s="56" t="n">
        <f aca="false">IF(Tasks[[#This Row],[Task Name]]="","",IF(Tasks[[#This Row],[_IsSummary]],MIN(INDEX(Tasks[_LeafTotalSlack],Tasks[[#This Row],[_Row]]+1):INDEX(Tasks[_LeafTotalSlack],Tasks[[#This Row],[_Row]]+Tasks[[#This Row],[_Descendants]])),Tasks[[#This Row],[_LeafTotalSlack]]))</f>
        <v>-1</v>
      </c>
      <c r="AI1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 s="45" t="str">
        <f aca="false">IF(Tasks[[#This Row],[Task Name]]="","",IF(IF(Tasks[[#This Row],[_IsSummary]],COUNTIF(INDEX(Tasks[_LeafCritical],Tasks[[#This Row],[_Row]]+1):INDEX(Tasks[_LeafCritical],Tasks[[#This Row],[_Row]]+Tasks[[#This Row],[_Descendants]]),TRUE())&gt;0,Tasks[[#This Row],[_LeafCritical]]),"Yes",""))</f>
        <v>Yes</v>
      </c>
      <c r="AK1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 s="102"/>
      <c r="AN16"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0.476190476190476</v>
      </c>
      <c r="AO16" s="45" t="str">
        <f aca="false">IF(Tasks[[#This Row],[Task Name]]="","",IF(Tasks[[#This Row],[Progress]]&gt;=1,"Complete",IF(OR(N(Tasks[[#This Row],[Actual Start]])&gt;0,Tasks[[#This Row],[Progress]]&gt;0),IF(Tasks[[#This Row],[Finish Var]]&gt;0,"Behind","In Progress"),IF(Tasks[[#This Row],[Planned Start]]&lt;StatusDate,"Late Start","Not Started"))))</f>
        <v>Behind</v>
      </c>
      <c r="AP16" s="47"/>
      <c r="AQ16" s="102"/>
      <c r="AR1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 s="110" t="n">
        <f aca="false">IF(Tasks[[#This Row],[Task Name]]="","",IF(Tasks[[#This Row],[_IsSummary]],SUM(INDEX(Tasks[_LeafTotalWork],Tasks[[#This Row],[_Row]]+1):INDEX(Tasks[_LeafTotalWork],Tasks[[#This Row],[_Row]]+Tasks[[#This Row],[_Descendants]])),Tasks[[#This Row],[_LeafTotalWork]]))</f>
        <v>168</v>
      </c>
      <c r="AU16" s="111" t="n">
        <f aca="false">IF(Tasks[[#This Row],[Task Name]]="","",IF(Tasks[[#This Row],[_IsSummary]],SUM(INDEX(Tasks[_LeafTotalCost],Tasks[[#This Row],[_Row]]+1):INDEX(Tasks[_LeafTotalCost],Tasks[[#This Row],[_Row]]+Tasks[[#This Row],[_Descendants]])),Tasks[[#This Row],[_LeafTotalCost]]))</f>
        <v>14280</v>
      </c>
      <c r="AV16" s="112"/>
      <c r="AW16" s="46"/>
      <c r="AX1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 s="96"/>
      <c r="AZ1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 s="47" t="s">
        <v>660</v>
      </c>
      <c r="BB16" s="25" t="n">
        <f aca="false">IF(Tasks[[#This Row],[Task Name]]="","",Tasks[[#This Row],[Forecast Start]])</f>
        <v>46302</v>
      </c>
      <c r="BC16" s="25" t="n">
        <f aca="false">IF(Tasks[[#This Row],[Task Name]]="","",Tasks[[#This Row],[Forecast Finish]])</f>
        <v>46335</v>
      </c>
      <c r="BD16" s="45" t="n">
        <f aca="false">IF(Tasks[[#This Row],[Task Name]]="","",IF(Tasks[[#This Row],[_IsSummary]],NETWORKDAYS.INTL(Tasks[[#This Row],[Forecast Start]],Tasks[[#This Row],[Forecast Finish]],WorkWeek,Holidays),N(Tasks[[#This Row],[Duration]])))</f>
        <v>24</v>
      </c>
      <c r="BE16" s="110" t="n">
        <f aca="false">IF(Tasks[[#This Row],[Task Name]]="","",Tasks[[#This Row],[Work]])</f>
        <v>168</v>
      </c>
      <c r="BF16" s="111" t="n">
        <f aca="false">IF(Tasks[[#This Row],[Task Name]]="","",Tasks[[#This Row],[Cost]])</f>
        <v>14280</v>
      </c>
      <c r="BG16" s="88"/>
      <c r="BH16" s="88"/>
      <c r="BI16" s="46"/>
      <c r="BJ16" s="113"/>
      <c r="BK16" s="112"/>
      <c r="BL16" s="45" t="str">
        <f aca="false">IF(OR(Tasks[[#This Row],[Task Name]]="",Tasks[[#This Row],[Baseline Duration]]=""),"",Tasks[[#This Row],[BL Source Duration]]-N(Tasks[[#This Row],[Baseline Duration]]))</f>
        <v/>
      </c>
      <c r="BM16" s="110" t="str">
        <f aca="false">IF(OR(Tasks[[#This Row],[Task Name]]="",Tasks[[#This Row],[Baseline Work]]=""),"",Tasks[[#This Row],[Work]]-N(Tasks[[#This Row],[Baseline Work]]))</f>
        <v/>
      </c>
      <c r="BN16" s="111" t="str">
        <f aca="false">IF(OR(Tasks[[#This Row],[Task Name]]="",Tasks[[#This Row],[Baseline Cost]]=""),"",Tasks[[#This Row],[Cost]]-N(Tasks[[#This Row],[Baseline Cost]]))</f>
        <v/>
      </c>
      <c r="BO16" s="111" t="n">
        <f aca="false">IF(Tasks[[#This Row],[Task Name]]="","",IF(Tasks[[#This Row],[_IsSummary]],SUM(INDEX(Tasks[_LeafBudget],Tasks[[#This Row],[_Row]]+1):INDEX(Tasks[_LeafBudget],Tasks[[#This Row],[_Row]]+Tasks[[#This Row],[_Descendants]])),Tasks[[#This Row],[_LeafBudget]]))</f>
        <v>14280</v>
      </c>
      <c r="BP16" s="111" t="n">
        <f aca="false">IF(Tasks[[#This Row],[Task Name]]="","",IF(Tasks[[#This Row],[_IsSummary]],SUM(INDEX(Tasks[_LeafPV],Tasks[[#This Row],[_Row]]+1):INDEX(Tasks[_LeafPV],Tasks[[#This Row],[_Row]]+Tasks[[#This Row],[_Descendants]])),Tasks[[#This Row],[_LeafPV]]))</f>
        <v>10880</v>
      </c>
      <c r="BQ16" s="111" t="n">
        <f aca="false">IF(Tasks[[#This Row],[Task Name]]="","",IF(Tasks[[#This Row],[_IsSummary]],SUM(INDEX(Tasks[_LeafEV],Tasks[[#This Row],[_Row]]+1):INDEX(Tasks[_LeafEV],Tasks[[#This Row],[_Row]]+Tasks[[#This Row],[_Descendants]])),Tasks[[#This Row],[_LeafEV]]))</f>
        <v>6800</v>
      </c>
      <c r="BR16" s="111" t="n">
        <f aca="false">IF(Tasks[[#This Row],[Task Name]]="","",IF(Tasks[[#This Row],[_IsSummary]],SUM(INDEX(Tasks[_LeafAC],Tasks[[#This Row],[_Row]]+1):INDEX(Tasks[_LeafAC],Tasks[[#This Row],[_Row]]+Tasks[[#This Row],[_Descendants]])),Tasks[[#This Row],[_LeafAC]]))</f>
        <v>7480</v>
      </c>
      <c r="BS16" s="32" t="n">
        <f aca="false">IF(Tasks[[#This Row],[Task Name]]="","",MAX(1,N(Tasks[[#This Row],[Level]])))</f>
        <v>2</v>
      </c>
      <c r="BT16" s="32" t="n">
        <f aca="false">ROW()-ROW(Tasks[[#Headers],[ID]])</f>
        <v>11</v>
      </c>
      <c r="BU16" s="32" t="n">
        <f aca="false">IF(OR(Tasks[[#This Row],[Task Name]]="",Tasks[[#This Row],[_Level]]&lt;=1),0,IFERROR(LOOKUP(2,1/(Tasks[[#Headers],[_Level]]:Tasks[[#This Row],[_Level]]=Tasks[[#This Row],[_Level]]-1),ROW(Tasks[[#Headers],[_Level]]:Tasks[[#This Row],[_Level]])),0))</f>
        <v>15</v>
      </c>
      <c r="BV16" s="32" t="n">
        <f aca="false">IFERROR(N(INDEX(Tasks[_Level],Tasks[[#This Row],[_Row]]+1)),0)</f>
        <v>3</v>
      </c>
      <c r="BW16" s="114" t="b">
        <f aca="false">AND(Tasks[[#This Row],[Task Name]]&lt;&gt;"",Tasks[[#This Row],[_NextLevel]]&gt;Tasks[[#This Row],[_Level]])</f>
        <v>1</v>
      </c>
      <c r="BX16" s="32" t="n">
        <f aca="false">IF(Tasks[[#This Row],[_IsSummary]],COUNTIF(Tasks[WBS],Tasks[[#This Row],[WBS]]&amp;".*"),0)</f>
        <v>3</v>
      </c>
      <c r="BY16" s="32" t="n">
        <f aca="false">IF(AND(Tasks[[#This Row],[Task Name]]&lt;&gt;"",NOT(Tasks[[#This Row],[_IsSummary]])),1,0)</f>
        <v>0</v>
      </c>
      <c r="BZ16" s="32" t="n">
        <f aca="false">IF(N(Tasks[[#This Row],[Pred1 UID]])=0,0,IFERROR(MATCH(Tasks[[#This Row],[Pred1 UID]],Tasks[UID],0),-1))</f>
        <v>0</v>
      </c>
      <c r="CA16" s="32" t="n">
        <f aca="false">IF(N(Tasks[[#This Row],[Pred2 UID]])=0,0,IFERROR(MATCH(Tasks[[#This Row],[Pred2 UID]],Tasks[UID],0),-1))</f>
        <v>0</v>
      </c>
      <c r="CB16" s="32" t="n">
        <f aca="false">IF(N(Tasks[[#This Row],[Pred3 UID]])=0,0,IFERROR(MATCH(Tasks[[#This Row],[Pred3 UID]],Tasks[UID],0),-1))</f>
        <v>0</v>
      </c>
      <c r="CC16" s="32" t="n">
        <f aca="false">IF(N(Tasks[[#This Row],[Pred4 UID]])=0,0,IFERROR(MATCH(Tasks[[#This Row],[Pred4 UID]],Tasks[UID],0),-1))</f>
        <v>0</v>
      </c>
      <c r="CD1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 s="115" t="n">
        <f aca="false">IF(OR(Tasks[[#This Row],[_ConstraintCode]]=2,Tasks[[#This Row],[_ConstraintCode]]=3,Tasks[[#This Row],[_ConstraintCode]]=4,Tasks[[#This Row],[_ConstraintCode]]=6),Tasks[[#This Row],[_ConstraintStart]],0)</f>
        <v>0</v>
      </c>
      <c r="CG16" s="115" t="n">
        <f aca="false">IF(OR(Tasks[[#This Row],[_ConstraintCode]]=2,Tasks[[#This Row],[_ConstraintCode]]=3,Tasks[[#This Row],[_ConstraintCode]]=5,Tasks[[#This Row],[_ConstraintCode]]=7),Tasks[[#This Row],[_ConstraintStart]],2958465)</f>
        <v>2958465</v>
      </c>
      <c r="CH1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 s="115" t="str">
        <f aca="false">IF(NOT(Tasks[[#This Row],[_IsLeaf]]=1),"",IF(N(Tasks[[#This Row],[Duration]])&lt;=0,Tasks[[#This Row],[_LeafCalcStart]],WORKDAY.INTL(Tasks[[#This Row],[_LeafCalcStart]],Tasks[[#This Row],[Duration]]-1,WorkWeek,Holidays)))</f>
        <v/>
      </c>
      <c r="CJ1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 s="32" t="n">
        <f aca="false">IF(NOT(Tasks[[#This Row],[_IsLeaf]]=1),0,IF(N(Tasks[[#This Row],[Actual Finish]])&gt;0,1,MIN(1,N(Tasks[[#This Row],[% Complete]]))))</f>
        <v>0</v>
      </c>
      <c r="CM16" s="32" t="n">
        <f aca="false">IF(OR(NOT(Tasks[[#This Row],[_IsLeaf]]=1),Tasks[[#This Row],[Resource]]=""),0,N(Tasks[[#This Row],[Duration]])*HoursPerDay*IF(Tasks[[#This Row],[Units]]="",DefaultUnits,Tasks[[#This Row],[Units]]))</f>
        <v>0</v>
      </c>
      <c r="CN16" s="32" t="n">
        <f aca="false">IF(Tasks[[#This Row],[_LeafWork]]=0,0,Tasks[[#This Row],[_LeafWork]]*IFERROR(INDEX(res_Rate,MATCH(Tasks[[#This Row],[Resource]],res_Name,0)),0))</f>
        <v>0</v>
      </c>
      <c r="CO16" s="32" t="n">
        <f aca="false">Tasks[[#This Row],[_LeafWork]]+IF(Tasks[[#This Row],[_IsLeaf]]=1,SUMIFS(asg_Work,asg_TaskUID,Tasks[[#This Row],[UID]],asg_Valid,1),0)</f>
        <v>0</v>
      </c>
      <c r="CP16" s="32" t="n">
        <f aca="false">Tasks[[#This Row],[_LeafCost]]+IF(Tasks[[#This Row],[_IsLeaf]]=1,SUMIFS(asg_Cost,asg_TaskUID,Tasks[[#This Row],[UID]],asg_Valid,1),0)</f>
        <v>0</v>
      </c>
      <c r="CQ16" s="32" t="n">
        <f aca="false">IF(Tasks[[#This Row],[_LeafTotalCost]]=0,Tasks[[#This Row],[_LeafAC]],Tasks[[#This Row],[_LeafAC]]*Tasks[[#This Row],[_LeafCost]]/Tasks[[#This Row],[_LeafTotalCost]])</f>
        <v>0</v>
      </c>
      <c r="CR1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 s="32" t="n">
        <f aca="false">IF(NOT(Tasks[[#This Row],[_IsLeaf]]=1),0,MAX(_xlfn.MAXIFS(Tasks[_Row],Tasks[Pred1 UID],Tasks[[#This Row],[UID]]),_xlfn.MAXIFS(Tasks[_Row],Tasks[Pred2 UID],Tasks[[#This Row],[UID]]),_xlfn.MAXIFS(Tasks[_Row],Tasks[Pred3 UID],Tasks[[#This Row],[UID]]),_xlfn.MAXIFS(Tasks[_Row],Tasks[Pred4 UID],Tasks[[#This Row],[UID]])))</f>
        <v>0</v>
      </c>
      <c r="DA1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 s="115" t="str">
        <f aca="false">IF(NOT(Tasks[[#This Row],[_IsLeaf]]=1),"",IF(N(Tasks[[#This Row],[Duration]])&lt;=0,Tasks[[#This Row],[_LeafLateFinish]],WORKDAY.INTL(Tasks[[#This Row],[_LeafLateFinish]],-(Tasks[[#This Row],[Duration]]-1),WorkWeek,Holidays)))</f>
        <v/>
      </c>
      <c r="DD1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 s="114" t="b">
        <f aca="false">AND(Tasks[[#This Row],[_IsLeaf]]=1,Tasks[[#This Row],[_LeafProgress]]&lt;1,N(Tasks[[#This Row],[_LeafTotalSlack]])&lt;=CriticalSlackDays)</f>
        <v>0</v>
      </c>
      <c r="DF16" s="32" t="n">
        <f aca="false">IF(AND(Tasks[[#This Row],[_IsLeaf]]=1,Tasks[[#This Row],[_ConstraintCode]]=1,Tasks[[#This Row],[Mode]]&lt;&gt;"Manual",N(Tasks[[#This Row],[Actual Start]])=0),MAX(0,N(Tasks[[#This Row],[Free Slack]])),0)</f>
        <v>0</v>
      </c>
      <c r="DG16" s="115" t="str">
        <f aca="false">IF(NOT(Tasks[[#This Row],[_IsLeaf]]=1),"",IF(Tasks[[#This Row],[_AlapShift]]=0,Tasks[[#This Row],[_LeafCalcStart]],WORKDAY.INTL(Tasks[[#This Row],[_LeafCalcStart]],Tasks[[#This Row],[_AlapShift]],WorkWeek,Holidays)))</f>
        <v/>
      </c>
      <c r="DH16" s="115" t="str">
        <f aca="false">IF(NOT(Tasks[[#This Row],[_IsLeaf]]=1),"",IF(Tasks[[#This Row],[_AlapShift]]=0,Tasks[[#This Row],[_LeafCalcFinish]],WORKDAY.INTL(Tasks[[#This Row],[_LeafCalcFinish]],Tasks[[#This Row],[_AlapShift]],WorkWeek,Holidays)))</f>
        <v/>
      </c>
      <c r="DI16" s="115" t="str">
        <f aca="false">IF(NOT(Tasks[[#This Row],[_IsLeaf]]=1),"",IF(Tasks[[#This Row],[_AlapShift]]=0,Tasks[[#This Row],[_LeafFcstStart]],WORKDAY.INTL(Tasks[[#This Row],[_LeafFcstStart]],Tasks[[#This Row],[_AlapShift]],WorkWeek,Holidays)))</f>
        <v/>
      </c>
      <c r="DJ16" s="115" t="str">
        <f aca="false">IF(NOT(Tasks[[#This Row],[_IsLeaf]]=1),"",IF(Tasks[[#This Row],[_AlapShift]]=0,Tasks[[#This Row],[_LeafFcstFinish]],WORKDAY.INTL(Tasks[[#This Row],[_LeafFcstFinish]],Tasks[[#This Row],[_AlapShift]],WorkWeek,Holidays)))</f>
        <v/>
      </c>
      <c r="DK16" s="115" t="n">
        <f aca="false">IF(Tasks[[#This Row],[Task Name]]="","",IF(Tasks[[#This Row],[_IsSummary]],MIN(INDEX(Tasks[_ShownCalcStart],Tasks[[#This Row],[_Row]]+1):INDEX(Tasks[_ShownCalcStart],Tasks[[#This Row],[_Row]]+Tasks[[#This Row],[_Descendants]])),Tasks[[#This Row],[_ShownCalcStart]]))</f>
        <v>46297</v>
      </c>
      <c r="DL16" s="115" t="n">
        <f aca="false">IF(Tasks[[#This Row],[Task Name]]="","",IF(Tasks[[#This Row],[_IsSummary]],MAX(INDEX(Tasks[_ShownCalcFinish],Tasks[[#This Row],[_Row]]+1):INDEX(Tasks[_ShownCalcFinish],Tasks[[#This Row],[_Row]]+Tasks[[#This Row],[_Descendants]])),Tasks[[#This Row],[_ShownCalcFinish]]))</f>
        <v>46325</v>
      </c>
      <c r="DM1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 s="32" t="n">
        <f aca="false">IF(AND(Tasks[[#This Row],[_IsLeaf]]=1,Tasks[[#This Row],[_LeafTotalWork]]&gt;0),NETWORKDAYS.INTL(ProjectStart,Tasks[[#This Row],[_ShownFcstStart]],WorkWeek,Holidays),0)</f>
        <v>0</v>
      </c>
      <c r="DZ16" s="32" t="n">
        <f aca="false">IF(AND(Tasks[[#This Row],[_IsLeaf]]=1,Tasks[[#This Row],[_LeafTotalWork]]&gt;0),MAX(Tasks[[#This Row],[_StartWorkday]],NETWORKDAYS.INTL(ProjectStart,Tasks[[#This Row],[_ShownFcstFinish]],WorkWeek,Holidays)),0)</f>
        <v>0</v>
      </c>
      <c r="EA16" s="32" t="n">
        <f aca="false">IF(AND(Tasks[[#This Row],[_IsLeaf]]=1,Tasks[[#This Row],[_LeafTotalWork]]&gt;0),Tasks[[#This Row],[_LeafWork]]/(Tasks[[#This Row],[_FinishWorkday]]-Tasks[[#This Row],[_StartWorkday]]+1),0)</f>
        <v>0</v>
      </c>
      <c r="EB16" s="32" t="n">
        <f aca="false">Tasks[[#This Row],[_WorkPerWorkday]]*(Tasks[[#This Row],[_StartWorkday]]-1)</f>
        <v>-0</v>
      </c>
      <c r="EC16" s="32" t="n">
        <f aca="false">IF(Tasks[[#This Row],[_IsLeaf]]=1,MAX(N(Tasks[[#This Row],[Duration]]),0.1),0)</f>
        <v>0</v>
      </c>
      <c r="ED16" s="32" t="n">
        <f aca="false">Tasks[[#This Row],[_WeightDur]]*Tasks[[#This Row],[_LeafProgress]]</f>
        <v>0</v>
      </c>
      <c r="EE1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 s="32" t="str">
        <f aca="false">IF(AND(Tasks[[#This Row],[_IsLeaf]]=1,N(Tasks[[#This Row],[Duration]])=0,Tasks[[#This Row],[_LeafProgress]]&lt;1),Tasks[[#This Row],[_ShownFcstFinish]]+Tasks[[#This Row],[_Row]]/100000,"")</f>
        <v/>
      </c>
      <c r="EG1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 s="32" t="n">
        <f aca="false">IF(NOT(Tasks[[#This Row],[_IsLeaf]]=1),0,IF(Tasks[[#This Row],[Baseline Cost]]="",Tasks[[#This Row],[_LeafTotalCost]],N(Tasks[[#This Row],[Baseline Cost]])))</f>
        <v>0</v>
      </c>
      <c r="EI16" s="32" t="n">
        <f aca="false">Tasks[[#This Row],[_LeafBudget]]*Tasks[[#This Row],[_PlannedPct]]</f>
        <v>0</v>
      </c>
      <c r="EJ16" s="32" t="n">
        <f aca="false">Tasks[[#This Row],[_LeafBudget]]*Tasks[[#This Row],[_LeafProgress]]</f>
        <v>0</v>
      </c>
      <c r="EK16" s="32" t="n">
        <f aca="false">IF(NOT(Tasks[[#This Row],[_IsLeaf]]=1),0,IF(Tasks[[#This Row],[Actual Cost]]="",Tasks[[#This Row],[_LeafTotalCost]]*Tasks[[#This Row],[_LeafProgress]],N(Tasks[[#This Row],[Actual Cost]])))</f>
        <v>0</v>
      </c>
      <c r="EL16" s="32" t="str">
        <f aca="false">IF(Tasks[[#This Row],[Task Name]]="","",LEFT(Tasks[[#This Row],[WBS]],FIND(".",Tasks[[#This Row],[WBS]]&amp;".")-1))</f>
        <v>3</v>
      </c>
      <c r="EM16" s="32" t="str">
        <f aca="false">IF(AND(Tasks[[#This Row],[Task Name]]&lt;&gt;"",Tasks[[#This Row],[_Level]]=1),Tasks[[#This Row],[_Row]],"")</f>
        <v/>
      </c>
      <c r="EN16" s="32" t="str">
        <f aca="false">IF(AND(Tasks[[#This Row],[_IsLeaf]]=1,N(Tasks[[#This Row],[Duration]])=0),Tasks[[#This Row],[Planned Finish]]+Tasks[[#This Row],[_Row]]/100000,"")</f>
        <v/>
      </c>
      <c r="EO16" s="32" t="str">
        <f aca="false">IF(AND(Tasks[[#This Row],[_IsLeaf]]=1,Tasks[[#This Row],[_LeafProgress]]&lt;1,OR(N(Tasks[[#This Row],[Finish Var]])&gt;0,Tasks[[#This Row],[Status]]="Late Start")),MAX(0,Tasks[[#This Row],[Finish Var]])+1-Tasks[[#This Row],[_Row]]/1000000,"")</f>
        <v/>
      </c>
      <c r="EP16" s="32" t="str">
        <f aca="false">IF(AND(Tasks[[#This Row],[_IsLeaf]]=1,N(Tasks[[#This Row],[Actual Start]])=0,Tasks[[#This Row],[_ShownFcstStart]]&gt;=StatusDate,Tasks[[#This Row],[_ShownFcstStart]]&lt;=LookaheadEnd),Tasks[[#This Row],[_ShownFcstStart]]+Tasks[[#This Row],[_Row]]/100000,"")</f>
        <v/>
      </c>
      <c r="EQ16" s="32" t="str">
        <f aca="false">IF(AND(Tasks[[#This Row],[_IsLeaf]]=1,Tasks[[#This Row],[_LeafProgress]]&lt;1,Tasks[[#This Row],[_ShownFcstFinish]]&gt;=StatusDate,Tasks[[#This Row],[_ShownFcstFinish]]&lt;=LookaheadEnd),Tasks[[#This Row],[_ShownFcstFinish]]+Tasks[[#This Row],[_Row]]/100000,"")</f>
        <v/>
      </c>
      <c r="ER16" s="32" t="str">
        <f aca="false">IF(Tasks[[#This Row],[_LeafCritical]],Tasks[[#This Row],[_ShownFcstStart]]+Tasks[[#This Row],[_Row]]/100000,"")</f>
        <v/>
      </c>
      <c r="ES16" s="32" t="n">
        <f aca="false">Tasks[[#This Row],[_LeafWork]]*Tasks[[#This Row],[_LeafProgress]]</f>
        <v>0</v>
      </c>
      <c r="ET16" s="115" t="str">
        <f aca="false">IF(AND(Tasks[[#This Row],[_IsLeaf]]=1,Tasks[[#This Row],[_LeafProgress]]&gt;=1),IF(N(Tasks[[#This Row],[Actual Finish]])&gt;0,Tasks[[#This Row],[Actual Finish]],Tasks[[#This Row],[_ShownFcstFinish]]),"")</f>
        <v/>
      </c>
      <c r="EU16" s="32" t="n">
        <f aca="false">IF(Tasks[[#This Row],[_IsLeaf]]=1,N(Tasks[[#This Row],[Story Points]]),0)</f>
        <v>0</v>
      </c>
      <c r="EV16" s="32" t="str">
        <f aca="false">IF(AND(Tasks[[#This Row],[_IsLeaf]]=1,CurrentSprint&lt;&gt;"",Tasks[[#This Row],[Sprint]]=CurrentSprint),Tasks[[#This Row],[_Row]],"")</f>
        <v/>
      </c>
    </row>
    <row r="17" customFormat="false" ht="15" hidden="false" customHeight="false" outlineLevel="2" collapsed="false">
      <c r="A17" s="45" t="n">
        <f aca="false">IF(Tasks[[#This Row],[Task Name]]="","",COUNTA(Tasks[[#Headers],[Task Name]]:Tasks[[#This Row],[Task Name]])-1)</f>
        <v>12</v>
      </c>
      <c r="B17" s="46" t="n">
        <v>12</v>
      </c>
      <c r="C1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3.1.1</v>
      </c>
      <c r="D17" s="46" t="n">
        <v>3</v>
      </c>
      <c r="E17" s="45" t="str">
        <f aca="false">IF(Tasks[[#This Row],[Task Name]]="","",IF(Tasks[[#This Row],[_Level]]&lt;=OutlineShowLevel,"Yes","No"))</f>
        <v>Yes</v>
      </c>
      <c r="F17" s="47" t="s">
        <v>661</v>
      </c>
      <c r="G17" s="46" t="s">
        <v>642</v>
      </c>
      <c r="H17" s="46" t="n">
        <v>5</v>
      </c>
      <c r="I17" s="46" t="n">
        <v>9</v>
      </c>
      <c r="J17" s="46" t="s">
        <v>647</v>
      </c>
      <c r="K17" s="46"/>
      <c r="L17" s="46"/>
      <c r="M17" s="46"/>
      <c r="N17" s="46"/>
      <c r="O17" s="46"/>
      <c r="P17" s="46"/>
      <c r="Q17" s="46"/>
      <c r="R17" s="46"/>
      <c r="S17" s="46"/>
      <c r="T17" s="46"/>
      <c r="U17" s="47"/>
      <c r="V17" s="88"/>
      <c r="W17" s="88"/>
      <c r="X17" s="25" t="n">
        <f aca="false">IF(Tasks[[#This Row],[Task Name]]="","",IF(N(Tasks[[#This Row],[Baseline Start]])&gt;0,Tasks[[#This Row],[Baseline Start]],Tasks[[#This Row],[_CalcStart]]))</f>
        <v>46297</v>
      </c>
      <c r="Y17" s="25" t="n">
        <f aca="false">IF(Tasks[[#This Row],[Task Name]]="","",IF(N(Tasks[[#This Row],[Baseline Finish]])&gt;0,Tasks[[#This Row],[Baseline Finish]],Tasks[[#This Row],[_CalcFinish]]))</f>
        <v>46303</v>
      </c>
      <c r="Z17" s="88" t="n">
        <v>46302</v>
      </c>
      <c r="AA17" s="88" t="n">
        <v>46309</v>
      </c>
      <c r="AB17" s="25" t="n">
        <f aca="false">IF(Tasks[[#This Row],[Task Name]]="","",IF(Tasks[[#This Row],[_IsSummary]],MIN(INDEX(Tasks[_ShownFcstStart],Tasks[[#This Row],[_Row]]+1):INDEX(Tasks[_ShownFcstStart],Tasks[[#This Row],[_Row]]+Tasks[[#This Row],[_Descendants]])),Tasks[[#This Row],[_ShownFcstStart]]))</f>
        <v>46302</v>
      </c>
      <c r="AC17" s="25" t="n">
        <f aca="false">IF(Tasks[[#This Row],[Task Name]]="","",IF(Tasks[[#This Row],[_IsSummary]],MAX(INDEX(Tasks[_ShownFcstFinish],Tasks[[#This Row],[_Row]]+1):INDEX(Tasks[_ShownFcstFinish],Tasks[[#This Row],[_Row]]+Tasks[[#This Row],[_Descendants]])),Tasks[[#This Row],[_ShownFcstFinish]]))</f>
        <v>46309</v>
      </c>
      <c r="AD17"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17" s="56" t="n">
        <f aca="false">IF(Tasks[[#This Row],[Task Name]]="","",IF(Tasks[[#This Row],[Forecast Finish]]&gt;=Tasks[[#This Row],[Planned Finish]],NETWORKDAYS.INTL(Tasks[[#This Row],[Planned Finish]],Tasks[[#This Row],[Forecast Finish]],WorkWeek,Holidays)-1,1-NETWORKDAYS.INTL(Tasks[[#This Row],[Forecast Finish]],Tasks[[#This Row],[Planned Finish]],WorkWeek,Holidays)))</f>
        <v>4</v>
      </c>
      <c r="AF17" s="25" t="n">
        <f aca="false">IF(Tasks[[#This Row],[Task Name]]="","",IF(Tasks[[#This Row],[_IsSummary]],MIN(INDEX(Tasks[_LeafLateStart],Tasks[[#This Row],[_Row]]+1):INDEX(Tasks[_LeafLateStart],Tasks[[#This Row],[_Row]]+Tasks[[#This Row],[_Descendants]])),Tasks[[#This Row],[_LeafLateStart]]))</f>
        <v>46304</v>
      </c>
      <c r="AG17" s="25" t="n">
        <f aca="false">IF(Tasks[[#This Row],[Task Name]]="","",IF(Tasks[[#This Row],[_IsSummary]],MAX(INDEX(Tasks[_LeafLateFinish],Tasks[[#This Row],[_Row]]+1):INDEX(Tasks[_LeafLateFinish],Tasks[[#This Row],[_Row]]+Tasks[[#This Row],[_Descendants]])),Tasks[[#This Row],[_LeafLateFinish]]))</f>
        <v>46310</v>
      </c>
      <c r="AH17" s="56" t="n">
        <f aca="false">IF(Tasks[[#This Row],[Task Name]]="","",IF(Tasks[[#This Row],[_IsSummary]],MIN(INDEX(Tasks[_LeafTotalSlack],Tasks[[#This Row],[_Row]]+1):INDEX(Tasks[_LeafTotalSlack],Tasks[[#This Row],[_Row]]+Tasks[[#This Row],[_Descendants]])),Tasks[[#This Row],[_LeafTotalSlack]]))</f>
        <v>1</v>
      </c>
      <c r="AI17"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17" s="45" t="str">
        <f aca="false">IF(Tasks[[#This Row],[Task Name]]="","",IF(IF(Tasks[[#This Row],[_IsSummary]],COUNTIF(INDEX(Tasks[_LeafCritical],Tasks[[#This Row],[_Row]]+1):INDEX(Tasks[_LeafCritical],Tasks[[#This Row],[_Row]]+Tasks[[#This Row],[_Descendants]]),TRUE())&gt;0,Tasks[[#This Row],[_LeafCritical]]),"Yes",""))</f>
        <v/>
      </c>
      <c r="AK1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 s="102" t="n">
        <v>1</v>
      </c>
      <c r="AN17"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17" s="45" t="str">
        <f aca="false">IF(Tasks[[#This Row],[Task Name]]="","",IF(Tasks[[#This Row],[Progress]]&gt;=1,"Complete",IF(OR(N(Tasks[[#This Row],[Actual Start]])&gt;0,Tasks[[#This Row],[Progress]]&gt;0),IF(Tasks[[#This Row],[Finish Var]]&gt;0,"Behind","In Progress"),IF(Tasks[[#This Row],[Planned Start]]&lt;StatusDate,"Late Start","Not Started"))))</f>
        <v>Complete</v>
      </c>
      <c r="AP17" s="47" t="s">
        <v>299</v>
      </c>
      <c r="AQ17" s="102"/>
      <c r="AR1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Jordan Lee</v>
      </c>
      <c r="AS1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 s="110" t="n">
        <f aca="false">IF(Tasks[[#This Row],[Task Name]]="","",IF(Tasks[[#This Row],[_IsSummary]],SUM(INDEX(Tasks[_LeafTotalWork],Tasks[[#This Row],[_Row]]+1):INDEX(Tasks[_LeafTotalWork],Tasks[[#This Row],[_Row]]+Tasks[[#This Row],[_Descendants]])),Tasks[[#This Row],[_LeafTotalWork]]))</f>
        <v>40</v>
      </c>
      <c r="AU17" s="111" t="n">
        <f aca="false">IF(Tasks[[#This Row],[Task Name]]="","",IF(Tasks[[#This Row],[_IsSummary]],SUM(INDEX(Tasks[_LeafTotalCost],Tasks[[#This Row],[_Row]]+1):INDEX(Tasks[_LeafTotalCost],Tasks[[#This Row],[_Row]]+Tasks[[#This Row],[_Descendants]])),Tasks[[#This Row],[_LeafTotalCost]]))</f>
        <v>3400</v>
      </c>
      <c r="AV17" s="112"/>
      <c r="AW17" s="46"/>
      <c r="AX1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3</v>
      </c>
      <c r="AY17" s="96" t="n">
        <v>5</v>
      </c>
      <c r="AZ1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9</v>
      </c>
      <c r="BA17" s="47"/>
      <c r="BB17" s="25" t="n">
        <f aca="false">IF(Tasks[[#This Row],[Task Name]]="","",Tasks[[#This Row],[Forecast Start]])</f>
        <v>46302</v>
      </c>
      <c r="BC17" s="25" t="n">
        <f aca="false">IF(Tasks[[#This Row],[Task Name]]="","",Tasks[[#This Row],[Forecast Finish]])</f>
        <v>46309</v>
      </c>
      <c r="BD17" s="45" t="n">
        <f aca="false">IF(Tasks[[#This Row],[Task Name]]="","",IF(Tasks[[#This Row],[_IsSummary]],NETWORKDAYS.INTL(Tasks[[#This Row],[Forecast Start]],Tasks[[#This Row],[Forecast Finish]],WorkWeek,Holidays),N(Tasks[[#This Row],[Duration]])))</f>
        <v>5</v>
      </c>
      <c r="BE17" s="110" t="n">
        <f aca="false">IF(Tasks[[#This Row],[Task Name]]="","",Tasks[[#This Row],[Work]])</f>
        <v>40</v>
      </c>
      <c r="BF17" s="111" t="n">
        <f aca="false">IF(Tasks[[#This Row],[Task Name]]="","",Tasks[[#This Row],[Cost]])</f>
        <v>3400</v>
      </c>
      <c r="BG17" s="88"/>
      <c r="BH17" s="88"/>
      <c r="BI17" s="46"/>
      <c r="BJ17" s="113"/>
      <c r="BK17" s="112"/>
      <c r="BL17" s="45" t="str">
        <f aca="false">IF(OR(Tasks[[#This Row],[Task Name]]="",Tasks[[#This Row],[Baseline Duration]]=""),"",Tasks[[#This Row],[BL Source Duration]]-N(Tasks[[#This Row],[Baseline Duration]]))</f>
        <v/>
      </c>
      <c r="BM17" s="110" t="str">
        <f aca="false">IF(OR(Tasks[[#This Row],[Task Name]]="",Tasks[[#This Row],[Baseline Work]]=""),"",Tasks[[#This Row],[Work]]-N(Tasks[[#This Row],[Baseline Work]]))</f>
        <v/>
      </c>
      <c r="BN17" s="111" t="str">
        <f aca="false">IF(OR(Tasks[[#This Row],[Task Name]]="",Tasks[[#This Row],[Baseline Cost]]=""),"",Tasks[[#This Row],[Cost]]-N(Tasks[[#This Row],[Baseline Cost]]))</f>
        <v/>
      </c>
      <c r="BO17" s="111" t="n">
        <f aca="false">IF(Tasks[[#This Row],[Task Name]]="","",IF(Tasks[[#This Row],[_IsSummary]],SUM(INDEX(Tasks[_LeafBudget],Tasks[[#This Row],[_Row]]+1):INDEX(Tasks[_LeafBudget],Tasks[[#This Row],[_Row]]+Tasks[[#This Row],[_Descendants]])),Tasks[[#This Row],[_LeafBudget]]))</f>
        <v>3400</v>
      </c>
      <c r="BP17" s="111" t="n">
        <f aca="false">IF(Tasks[[#This Row],[Task Name]]="","",IF(Tasks[[#This Row],[_IsSummary]],SUM(INDEX(Tasks[_LeafPV],Tasks[[#This Row],[_Row]]+1):INDEX(Tasks[_LeafPV],Tasks[[#This Row],[_Row]]+Tasks[[#This Row],[_Descendants]])),Tasks[[#This Row],[_LeafPV]]))</f>
        <v>3400</v>
      </c>
      <c r="BQ17" s="111" t="n">
        <f aca="false">IF(Tasks[[#This Row],[Task Name]]="","",IF(Tasks[[#This Row],[_IsSummary]],SUM(INDEX(Tasks[_LeafEV],Tasks[[#This Row],[_Row]]+1):INDEX(Tasks[_LeafEV],Tasks[[#This Row],[_Row]]+Tasks[[#This Row],[_Descendants]])),Tasks[[#This Row],[_LeafEV]]))</f>
        <v>3400</v>
      </c>
      <c r="BR17" s="111" t="n">
        <f aca="false">IF(Tasks[[#This Row],[Task Name]]="","",IF(Tasks[[#This Row],[_IsSummary]],SUM(INDEX(Tasks[_LeafAC],Tasks[[#This Row],[_Row]]+1):INDEX(Tasks[_LeafAC],Tasks[[#This Row],[_Row]]+Tasks[[#This Row],[_Descendants]])),Tasks[[#This Row],[_LeafAC]]))</f>
        <v>3400</v>
      </c>
      <c r="BS17" s="32" t="n">
        <f aca="false">IF(Tasks[[#This Row],[Task Name]]="","",MAX(1,N(Tasks[[#This Row],[Level]])))</f>
        <v>3</v>
      </c>
      <c r="BT17" s="32" t="n">
        <f aca="false">ROW()-ROW(Tasks[[#Headers],[ID]])</f>
        <v>12</v>
      </c>
      <c r="BU17" s="32" t="n">
        <f aca="false">IF(OR(Tasks[[#This Row],[Task Name]]="",Tasks[[#This Row],[_Level]]&lt;=1),0,IFERROR(LOOKUP(2,1/(Tasks[[#Headers],[_Level]]:Tasks[[#This Row],[_Level]]=Tasks[[#This Row],[_Level]]-1),ROW(Tasks[[#Headers],[_Level]]:Tasks[[#This Row],[_Level]])),0))</f>
        <v>16</v>
      </c>
      <c r="BV17" s="32" t="n">
        <f aca="false">IFERROR(N(INDEX(Tasks[_Level],Tasks[[#This Row],[_Row]]+1)),0)</f>
        <v>3</v>
      </c>
      <c r="BW17" s="114" t="b">
        <f aca="false">AND(Tasks[[#This Row],[Task Name]]&lt;&gt;"",Tasks[[#This Row],[_NextLevel]]&gt;Tasks[[#This Row],[_Level]])</f>
        <v>0</v>
      </c>
      <c r="BX17" s="32" t="n">
        <f aca="false">IF(Tasks[[#This Row],[_IsSummary]],COUNTIF(Tasks[WBS],Tasks[[#This Row],[WBS]]&amp;".*"),0)</f>
        <v>0</v>
      </c>
      <c r="BY17" s="32" t="n">
        <f aca="false">IF(AND(Tasks[[#This Row],[Task Name]]&lt;&gt;"",NOT(Tasks[[#This Row],[_IsSummary]])),1,0)</f>
        <v>1</v>
      </c>
      <c r="BZ17" s="32" t="n">
        <f aca="false">IF(N(Tasks[[#This Row],[Pred1 UID]])=0,0,IFERROR(MATCH(Tasks[[#This Row],[Pred1 UID]],Tasks[UID],0),-1))</f>
        <v>9</v>
      </c>
      <c r="CA17" s="32" t="n">
        <f aca="false">IF(N(Tasks[[#This Row],[Pred2 UID]])=0,0,IFERROR(MATCH(Tasks[[#This Row],[Pred2 UID]],Tasks[UID],0),-1))</f>
        <v>0</v>
      </c>
      <c r="CB17" s="32" t="n">
        <f aca="false">IF(N(Tasks[[#This Row],[Pred3 UID]])=0,0,IFERROR(MATCH(Tasks[[#This Row],[Pred3 UID]],Tasks[UID],0),-1))</f>
        <v>0</v>
      </c>
      <c r="CC17" s="32" t="n">
        <f aca="false">IF(N(Tasks[[#This Row],[Pred4 UID]])=0,0,IFERROR(MATCH(Tasks[[#This Row],[Pred4 UID]],Tasks[UID],0),-1))</f>
        <v>0</v>
      </c>
      <c r="CD17"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 s="115" t="n">
        <f aca="false">IF(OR(Tasks[[#This Row],[_ConstraintCode]]=2,Tasks[[#This Row],[_ConstraintCode]]=3,Tasks[[#This Row],[_ConstraintCode]]=4,Tasks[[#This Row],[_ConstraintCode]]=6),Tasks[[#This Row],[_ConstraintStart]],0)</f>
        <v>0</v>
      </c>
      <c r="CG17" s="115" t="n">
        <f aca="false">IF(OR(Tasks[[#This Row],[_ConstraintCode]]=2,Tasks[[#This Row],[_ConstraintCode]]=3,Tasks[[#This Row],[_ConstraintCode]]=5,Tasks[[#This Row],[_ConstraintCode]]=7),Tasks[[#This Row],[_ConstraintStart]],2958465)</f>
        <v>2958465</v>
      </c>
      <c r="CH17"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CI17" s="115" t="n">
        <f aca="false">IF(NOT(Tasks[[#This Row],[_IsLeaf]]=1),"",IF(N(Tasks[[#This Row],[Duration]])&lt;=0,Tasks[[#This Row],[_LeafCalcStart]],WORKDAY.INTL(Tasks[[#This Row],[_LeafCalcStart]],Tasks[[#This Row],[Duration]]-1,WorkWeek,Holidays)))</f>
        <v>46303</v>
      </c>
      <c r="CJ17"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CK17"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46309</v>
      </c>
      <c r="CL17" s="32" t="n">
        <f aca="false">IF(NOT(Tasks[[#This Row],[_IsLeaf]]=1),0,IF(N(Tasks[[#This Row],[Actual Finish]])&gt;0,1,MIN(1,N(Tasks[[#This Row],[% Complete]]))))</f>
        <v>1</v>
      </c>
      <c r="CM17" s="32" t="n">
        <f aca="false">IF(OR(NOT(Tasks[[#This Row],[_IsLeaf]]=1),Tasks[[#This Row],[Resource]]=""),0,N(Tasks[[#This Row],[Duration]])*HoursPerDay*IF(Tasks[[#This Row],[Units]]="",DefaultUnits,Tasks[[#This Row],[Units]]))</f>
        <v>40</v>
      </c>
      <c r="CN17" s="32" t="n">
        <f aca="false">IF(Tasks[[#This Row],[_LeafWork]]=0,0,Tasks[[#This Row],[_LeafWork]]*IFERROR(INDEX(res_Rate,MATCH(Tasks[[#This Row],[Resource]],res_Name,0)),0))</f>
        <v>3400</v>
      </c>
      <c r="CO17" s="32" t="n">
        <f aca="false">Tasks[[#This Row],[_LeafWork]]+IF(Tasks[[#This Row],[_IsLeaf]]=1,SUMIFS(asg_Work,asg_TaskUID,Tasks[[#This Row],[UID]],asg_Valid,1),0)</f>
        <v>40</v>
      </c>
      <c r="CP17" s="32" t="n">
        <f aca="false">Tasks[[#This Row],[_LeafCost]]+IF(Tasks[[#This Row],[_IsLeaf]]=1,SUMIFS(asg_Cost,asg_TaskUID,Tasks[[#This Row],[UID]],asg_Valid,1),0)</f>
        <v>3400</v>
      </c>
      <c r="CQ17" s="32" t="n">
        <f aca="false">IF(Tasks[[#This Row],[_LeafTotalCost]]=0,Tasks[[#This Row],[_LeafAC]],Tasks[[#This Row],[_LeafAC]]*Tasks[[#This Row],[_LeafCost]]/Tasks[[#This Row],[_LeafTotalCost]])</f>
        <v>3400</v>
      </c>
      <c r="CR17"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2912162</v>
      </c>
      <c r="CS1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 s="32" t="n">
        <f aca="false">IF(NOT(Tasks[[#This Row],[_IsLeaf]]=1),0,MAX(_xlfn.MAXIFS(Tasks[_Row],Tasks[Pred1 UID],Tasks[[#This Row],[UID]]),_xlfn.MAXIFS(Tasks[_Row],Tasks[Pred2 UID],Tasks[[#This Row],[UID]]),_xlfn.MAXIFS(Tasks[_Row],Tasks[Pred3 UID],Tasks[[#This Row],[UID]]),_xlfn.MAXIFS(Tasks[_Row],Tasks[Pred4 UID],Tasks[[#This Row],[UID]])))</f>
        <v>13</v>
      </c>
      <c r="DA17"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46310</v>
      </c>
      <c r="DB17"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46310</v>
      </c>
      <c r="DC17" s="115" t="n">
        <f aca="false">IF(NOT(Tasks[[#This Row],[_IsLeaf]]=1),"",IF(N(Tasks[[#This Row],[Duration]])&lt;=0,Tasks[[#This Row],[_LeafLateFinish]],WORKDAY.INTL(Tasks[[#This Row],[_LeafLateFinish]],-(Tasks[[#This Row],[Duration]]-1),WorkWeek,Holidays)))</f>
        <v>46304</v>
      </c>
      <c r="DD17"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DE17" s="114" t="b">
        <f aca="false">AND(Tasks[[#This Row],[_IsLeaf]]=1,Tasks[[#This Row],[_LeafProgress]]&lt;1,N(Tasks[[#This Row],[_LeafTotalSlack]])&lt;=CriticalSlackDays)</f>
        <v>0</v>
      </c>
      <c r="DF17" s="32" t="n">
        <f aca="false">IF(AND(Tasks[[#This Row],[_IsLeaf]]=1,Tasks[[#This Row],[_ConstraintCode]]=1,Tasks[[#This Row],[Mode]]&lt;&gt;"Manual",N(Tasks[[#This Row],[Actual Start]])=0),MAX(0,N(Tasks[[#This Row],[Free Slack]])),0)</f>
        <v>0</v>
      </c>
      <c r="DG17" s="115" t="n">
        <f aca="false">IF(NOT(Tasks[[#This Row],[_IsLeaf]]=1),"",IF(Tasks[[#This Row],[_AlapShift]]=0,Tasks[[#This Row],[_LeafCalcStart]],WORKDAY.INTL(Tasks[[#This Row],[_LeafCalcStart]],Tasks[[#This Row],[_AlapShift]],WorkWeek,Holidays)))</f>
        <v>46297</v>
      </c>
      <c r="DH17" s="115" t="n">
        <f aca="false">IF(NOT(Tasks[[#This Row],[_IsLeaf]]=1),"",IF(Tasks[[#This Row],[_AlapShift]]=0,Tasks[[#This Row],[_LeafCalcFinish]],WORKDAY.INTL(Tasks[[#This Row],[_LeafCalcFinish]],Tasks[[#This Row],[_AlapShift]],WorkWeek,Holidays)))</f>
        <v>46303</v>
      </c>
      <c r="DI17" s="115" t="n">
        <f aca="false">IF(NOT(Tasks[[#This Row],[_IsLeaf]]=1),"",IF(Tasks[[#This Row],[_AlapShift]]=0,Tasks[[#This Row],[_LeafFcstStart]],WORKDAY.INTL(Tasks[[#This Row],[_LeafFcstStart]],Tasks[[#This Row],[_AlapShift]],WorkWeek,Holidays)))</f>
        <v>46302</v>
      </c>
      <c r="DJ17" s="115" t="n">
        <f aca="false">IF(NOT(Tasks[[#This Row],[_IsLeaf]]=1),"",IF(Tasks[[#This Row],[_AlapShift]]=0,Tasks[[#This Row],[_LeafFcstFinish]],WORKDAY.INTL(Tasks[[#This Row],[_LeafFcstFinish]],Tasks[[#This Row],[_AlapShift]],WorkWeek,Holidays)))</f>
        <v>46309</v>
      </c>
      <c r="DK17" s="115" t="n">
        <f aca="false">IF(Tasks[[#This Row],[Task Name]]="","",IF(Tasks[[#This Row],[_IsSummary]],MIN(INDEX(Tasks[_ShownCalcStart],Tasks[[#This Row],[_Row]]+1):INDEX(Tasks[_ShownCalcStart],Tasks[[#This Row],[_Row]]+Tasks[[#This Row],[_Descendants]])),Tasks[[#This Row],[_ShownCalcStart]]))</f>
        <v>46297</v>
      </c>
      <c r="DL17" s="115" t="n">
        <f aca="false">IF(Tasks[[#This Row],[Task Name]]="","",IF(Tasks[[#This Row],[_IsSummary]],MAX(INDEX(Tasks[_ShownCalcFinish],Tasks[[#This Row],[_Row]]+1):INDEX(Tasks[_ShownCalcFinish],Tasks[[#This Row],[_Row]]+Tasks[[#This Row],[_Descendants]])),Tasks[[#This Row],[_ShownCalcFinish]]))</f>
        <v>46303</v>
      </c>
      <c r="DM1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46297</v>
      </c>
      <c r="DR1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46302</v>
      </c>
      <c r="DV1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 s="32" t="n">
        <f aca="false">IF(AND(Tasks[[#This Row],[_IsLeaf]]=1,Tasks[[#This Row],[_LeafTotalWork]]&gt;0),NETWORKDAYS.INTL(ProjectStart,Tasks[[#This Row],[_ShownFcstStart]],WorkWeek,Holidays),0)</f>
        <v>23</v>
      </c>
      <c r="DZ17" s="32" t="n">
        <f aca="false">IF(AND(Tasks[[#This Row],[_IsLeaf]]=1,Tasks[[#This Row],[_LeafTotalWork]]&gt;0),MAX(Tasks[[#This Row],[_StartWorkday]],NETWORKDAYS.INTL(ProjectStart,Tasks[[#This Row],[_ShownFcstFinish]],WorkWeek,Holidays)),0)</f>
        <v>28</v>
      </c>
      <c r="EA17" s="32" t="n">
        <f aca="false">IF(AND(Tasks[[#This Row],[_IsLeaf]]=1,Tasks[[#This Row],[_LeafTotalWork]]&gt;0),Tasks[[#This Row],[_LeafWork]]/(Tasks[[#This Row],[_FinishWorkday]]-Tasks[[#This Row],[_StartWorkday]]+1),0)</f>
        <v>6.66666666666667</v>
      </c>
      <c r="EB17" s="32" t="n">
        <f aca="false">Tasks[[#This Row],[_WorkPerWorkday]]*(Tasks[[#This Row],[_StartWorkday]]-1)</f>
        <v>146.666666666667</v>
      </c>
      <c r="EC17" s="32" t="n">
        <f aca="false">IF(Tasks[[#This Row],[_IsLeaf]]=1,MAX(N(Tasks[[#This Row],[Duration]]),0.1),0)</f>
        <v>5</v>
      </c>
      <c r="ED17" s="32" t="n">
        <f aca="false">Tasks[[#This Row],[_WeightDur]]*Tasks[[#This Row],[_LeafProgress]]</f>
        <v>5</v>
      </c>
      <c r="EE1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9</v>
      </c>
      <c r="EF17" s="32" t="str">
        <f aca="false">IF(AND(Tasks[[#This Row],[_IsLeaf]]=1,N(Tasks[[#This Row],[Duration]])=0,Tasks[[#This Row],[_LeafProgress]]&lt;1),Tasks[[#This Row],[_ShownFcstFinish]]+Tasks[[#This Row],[_Row]]/100000,"")</f>
        <v/>
      </c>
      <c r="EG1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7" s="32" t="n">
        <f aca="false">IF(NOT(Tasks[[#This Row],[_IsLeaf]]=1),0,IF(Tasks[[#This Row],[Baseline Cost]]="",Tasks[[#This Row],[_LeafTotalCost]],N(Tasks[[#This Row],[Baseline Cost]])))</f>
        <v>3400</v>
      </c>
      <c r="EI17" s="32" t="n">
        <f aca="false">Tasks[[#This Row],[_LeafBudget]]*Tasks[[#This Row],[_PlannedPct]]</f>
        <v>3400</v>
      </c>
      <c r="EJ17" s="32" t="n">
        <f aca="false">Tasks[[#This Row],[_LeafBudget]]*Tasks[[#This Row],[_LeafProgress]]</f>
        <v>3400</v>
      </c>
      <c r="EK17" s="32" t="n">
        <f aca="false">IF(NOT(Tasks[[#This Row],[_IsLeaf]]=1),0,IF(Tasks[[#This Row],[Actual Cost]]="",Tasks[[#This Row],[_LeafTotalCost]]*Tasks[[#This Row],[_LeafProgress]],N(Tasks[[#This Row],[Actual Cost]])))</f>
        <v>3400</v>
      </c>
      <c r="EL17" s="32" t="str">
        <f aca="false">IF(Tasks[[#This Row],[Task Name]]="","",LEFT(Tasks[[#This Row],[WBS]],FIND(".",Tasks[[#This Row],[WBS]]&amp;".")-1))</f>
        <v>3</v>
      </c>
      <c r="EM17" s="32" t="str">
        <f aca="false">IF(AND(Tasks[[#This Row],[Task Name]]&lt;&gt;"",Tasks[[#This Row],[_Level]]=1),Tasks[[#This Row],[_Row]],"")</f>
        <v/>
      </c>
      <c r="EN17" s="32" t="str">
        <f aca="false">IF(AND(Tasks[[#This Row],[_IsLeaf]]=1,N(Tasks[[#This Row],[Duration]])=0),Tasks[[#This Row],[Planned Finish]]+Tasks[[#This Row],[_Row]]/100000,"")</f>
        <v/>
      </c>
      <c r="EO17" s="32" t="str">
        <f aca="false">IF(AND(Tasks[[#This Row],[_IsLeaf]]=1,Tasks[[#This Row],[_LeafProgress]]&lt;1,OR(N(Tasks[[#This Row],[Finish Var]])&gt;0,Tasks[[#This Row],[Status]]="Late Start")),MAX(0,Tasks[[#This Row],[Finish Var]])+1-Tasks[[#This Row],[_Row]]/1000000,"")</f>
        <v/>
      </c>
      <c r="EP17" s="32" t="str">
        <f aca="false">IF(AND(Tasks[[#This Row],[_IsLeaf]]=1,N(Tasks[[#This Row],[Actual Start]])=0,Tasks[[#This Row],[_ShownFcstStart]]&gt;=StatusDate,Tasks[[#This Row],[_ShownFcstStart]]&lt;=LookaheadEnd),Tasks[[#This Row],[_ShownFcstStart]]+Tasks[[#This Row],[_Row]]/100000,"")</f>
        <v/>
      </c>
      <c r="EQ17" s="32" t="str">
        <f aca="false">IF(AND(Tasks[[#This Row],[_IsLeaf]]=1,Tasks[[#This Row],[_LeafProgress]]&lt;1,Tasks[[#This Row],[_ShownFcstFinish]]&gt;=StatusDate,Tasks[[#This Row],[_ShownFcstFinish]]&lt;=LookaheadEnd),Tasks[[#This Row],[_ShownFcstFinish]]+Tasks[[#This Row],[_Row]]/100000,"")</f>
        <v/>
      </c>
      <c r="ER17" s="32" t="str">
        <f aca="false">IF(Tasks[[#This Row],[_LeafCritical]],Tasks[[#This Row],[_ShownFcstStart]]+Tasks[[#This Row],[_Row]]/100000,"")</f>
        <v/>
      </c>
      <c r="ES17" s="32" t="n">
        <f aca="false">Tasks[[#This Row],[_LeafWork]]*Tasks[[#This Row],[_LeafProgress]]</f>
        <v>40</v>
      </c>
      <c r="ET17" s="115" t="n">
        <f aca="false">IF(AND(Tasks[[#This Row],[_IsLeaf]]=1,Tasks[[#This Row],[_LeafProgress]]&gt;=1),IF(N(Tasks[[#This Row],[Actual Finish]])&gt;0,Tasks[[#This Row],[Actual Finish]],Tasks[[#This Row],[_ShownFcstFinish]]),"")</f>
        <v>46309</v>
      </c>
      <c r="EU17" s="32" t="n">
        <f aca="false">IF(Tasks[[#This Row],[_IsLeaf]]=1,N(Tasks[[#This Row],[Story Points]]),0)</f>
        <v>5</v>
      </c>
      <c r="EV17" s="32" t="str">
        <f aca="false">IF(AND(Tasks[[#This Row],[_IsLeaf]]=1,CurrentSprint&lt;&gt;"",Tasks[[#This Row],[Sprint]]=CurrentSprint),Tasks[[#This Row],[_Row]],"")</f>
        <v/>
      </c>
    </row>
    <row r="18" customFormat="false" ht="15" hidden="false" customHeight="false" outlineLevel="2" collapsed="false">
      <c r="A18" s="45" t="n">
        <f aca="false">IF(Tasks[[#This Row],[Task Name]]="","",COUNTA(Tasks[[#Headers],[Task Name]]:Tasks[[#This Row],[Task Name]])-1)</f>
        <v>13</v>
      </c>
      <c r="B18" s="46" t="n">
        <v>13</v>
      </c>
      <c r="C1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3.1.2</v>
      </c>
      <c r="D18" s="46" t="n">
        <v>3</v>
      </c>
      <c r="E18" s="45" t="str">
        <f aca="false">IF(Tasks[[#This Row],[Task Name]]="","",IF(Tasks[[#This Row],[_Level]]&lt;=OutlineShowLevel,"Yes","No"))</f>
        <v>Yes</v>
      </c>
      <c r="F18" s="47" t="s">
        <v>662</v>
      </c>
      <c r="G18" s="46" t="s">
        <v>642</v>
      </c>
      <c r="H18" s="46" t="n">
        <v>10</v>
      </c>
      <c r="I18" s="46" t="n">
        <v>12</v>
      </c>
      <c r="J18" s="46" t="s">
        <v>647</v>
      </c>
      <c r="K18" s="46"/>
      <c r="L18" s="46"/>
      <c r="M18" s="46"/>
      <c r="N18" s="46"/>
      <c r="O18" s="46"/>
      <c r="P18" s="46"/>
      <c r="Q18" s="46"/>
      <c r="R18" s="46"/>
      <c r="S18" s="46"/>
      <c r="T18" s="46"/>
      <c r="U18" s="47"/>
      <c r="V18" s="88"/>
      <c r="W18" s="88"/>
      <c r="X18" s="25" t="n">
        <f aca="false">IF(Tasks[[#This Row],[Task Name]]="","",IF(N(Tasks[[#This Row],[Baseline Start]])&gt;0,Tasks[[#This Row],[Baseline Start]],Tasks[[#This Row],[_CalcStart]]))</f>
        <v>46304</v>
      </c>
      <c r="Y18" s="25" t="n">
        <f aca="false">IF(Tasks[[#This Row],[Task Name]]="","",IF(N(Tasks[[#This Row],[Baseline Finish]])&gt;0,Tasks[[#This Row],[Baseline Finish]],Tasks[[#This Row],[_CalcFinish]]))</f>
        <v>46317</v>
      </c>
      <c r="Z18" s="88" t="n">
        <v>46310</v>
      </c>
      <c r="AA18" s="88"/>
      <c r="AB18" s="25" t="n">
        <f aca="false">IF(Tasks[[#This Row],[Task Name]]="","",IF(Tasks[[#This Row],[_IsSummary]],MIN(INDEX(Tasks[_ShownFcstStart],Tasks[[#This Row],[_Row]]+1):INDEX(Tasks[_ShownFcstStart],Tasks[[#This Row],[_Row]]+Tasks[[#This Row],[_Descendants]])),Tasks[[#This Row],[_ShownFcstStart]]))</f>
        <v>46310</v>
      </c>
      <c r="AC18" s="25" t="n">
        <f aca="false">IF(Tasks[[#This Row],[Task Name]]="","",IF(Tasks[[#This Row],[_IsSummary]],MAX(INDEX(Tasks[_ShownFcstFinish],Tasks[[#This Row],[_Row]]+1):INDEX(Tasks[_ShownFcstFinish],Tasks[[#This Row],[_Row]]+Tasks[[#This Row],[_Descendants]])),Tasks[[#This Row],[_ShownFcstFinish]]))</f>
        <v>46325</v>
      </c>
      <c r="AD18" s="56" t="n">
        <f aca="false">IF(Tasks[[#This Row],[Task Name]]="","",IF(Tasks[[#This Row],[Forecast Start]]&gt;=Tasks[[#This Row],[Planned Start]],NETWORKDAYS.INTL(Tasks[[#This Row],[Planned Start]],Tasks[[#This Row],[Forecast Start]],WorkWeek,Holidays)-1,1-NETWORKDAYS.INTL(Tasks[[#This Row],[Forecast Start]],Tasks[[#This Row],[Planned Start]],WorkWeek,Holidays)))</f>
        <v>4</v>
      </c>
      <c r="AE18"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18" s="25" t="n">
        <f aca="false">IF(Tasks[[#This Row],[Task Name]]="","",IF(Tasks[[#This Row],[_IsSummary]],MIN(INDEX(Tasks[_LeafLateStart],Tasks[[#This Row],[_Row]]+1):INDEX(Tasks[_LeafLateStart],Tasks[[#This Row],[_Row]]+Tasks[[#This Row],[_Descendants]])),Tasks[[#This Row],[_LeafLateStart]]))</f>
        <v>46311</v>
      </c>
      <c r="AG18" s="25" t="n">
        <f aca="false">IF(Tasks[[#This Row],[Task Name]]="","",IF(Tasks[[#This Row],[_IsSummary]],MAX(INDEX(Tasks[_LeafLateFinish],Tasks[[#This Row],[_Row]]+1):INDEX(Tasks[_LeafLateFinish],Tasks[[#This Row],[_Row]]+Tasks[[#This Row],[_Descendants]])),Tasks[[#This Row],[_LeafLateFinish]]))</f>
        <v>46324</v>
      </c>
      <c r="AH18" s="56" t="n">
        <f aca="false">IF(Tasks[[#This Row],[Task Name]]="","",IF(Tasks[[#This Row],[_IsSummary]],MIN(INDEX(Tasks[_LeafTotalSlack],Tasks[[#This Row],[_Row]]+1):INDEX(Tasks[_LeafTotalSlack],Tasks[[#This Row],[_Row]]+Tasks[[#This Row],[_Descendants]])),Tasks[[#This Row],[_LeafTotalSlack]]))</f>
        <v>-1</v>
      </c>
      <c r="AI18"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-1</v>
      </c>
      <c r="AJ18" s="45" t="str">
        <f aca="false">IF(Tasks[[#This Row],[Task Name]]="","",IF(IF(Tasks[[#This Row],[_IsSummary]],COUNTIF(INDEX(Tasks[_LeafCritical],Tasks[[#This Row],[_Row]]+1):INDEX(Tasks[_LeafCritical],Tasks[[#This Row],[_Row]]+Tasks[[#This Row],[_Descendants]]),TRUE())&gt;0,Tasks[[#This Row],[_LeafCritical]]),"Yes",""))</f>
        <v>Yes</v>
      </c>
      <c r="AK1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 s="102" t="n">
        <v>0.5</v>
      </c>
      <c r="AN18"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0.5</v>
      </c>
      <c r="AO18" s="45" t="str">
        <f aca="false">IF(Tasks[[#This Row],[Task Name]]="","",IF(Tasks[[#This Row],[Progress]]&gt;=1,"Complete",IF(OR(N(Tasks[[#This Row],[Actual Start]])&gt;0,Tasks[[#This Row],[Progress]]&gt;0),IF(Tasks[[#This Row],[Finish Var]]&gt;0,"Behind","In Progress"),IF(Tasks[[#This Row],[Planned Start]]&lt;StatusDate,"Late Start","Not Started"))))</f>
        <v>Behind</v>
      </c>
      <c r="AP18" s="47" t="s">
        <v>299</v>
      </c>
      <c r="AQ18" s="102"/>
      <c r="AR1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Jordan Lee</v>
      </c>
      <c r="AS1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Yes</v>
      </c>
      <c r="AT18" s="110" t="n">
        <f aca="false">IF(Tasks[[#This Row],[Task Name]]="","",IF(Tasks[[#This Row],[_IsSummary]],SUM(INDEX(Tasks[_LeafTotalWork],Tasks[[#This Row],[_Row]]+1):INDEX(Tasks[_LeafTotalWork],Tasks[[#This Row],[_Row]]+Tasks[[#This Row],[_Descendants]])),Tasks[[#This Row],[_LeafTotalWork]]))</f>
        <v>80</v>
      </c>
      <c r="AU18" s="111" t="n">
        <f aca="false">IF(Tasks[[#This Row],[Task Name]]="","",IF(Tasks[[#This Row],[_IsSummary]],SUM(INDEX(Tasks[_LeafTotalCost],Tasks[[#This Row],[_Row]]+1):INDEX(Tasks[_LeafTotalCost],Tasks[[#This Row],[_Row]]+Tasks[[#This Row],[_Descendants]])),Tasks[[#This Row],[_LeafTotalCost]]))</f>
        <v>6800</v>
      </c>
      <c r="AV18" s="112" t="n">
        <v>4080</v>
      </c>
      <c r="AW18" s="46"/>
      <c r="AX1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3</v>
      </c>
      <c r="AY18" s="96" t="n">
        <v>8</v>
      </c>
      <c r="AZ1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12</v>
      </c>
      <c r="BA18" s="47" t="s">
        <v>663</v>
      </c>
      <c r="BB18" s="25" t="n">
        <f aca="false">IF(Tasks[[#This Row],[Task Name]]="","",Tasks[[#This Row],[Forecast Start]])</f>
        <v>46310</v>
      </c>
      <c r="BC18" s="25" t="n">
        <f aca="false">IF(Tasks[[#This Row],[Task Name]]="","",Tasks[[#This Row],[Forecast Finish]])</f>
        <v>46325</v>
      </c>
      <c r="BD18" s="45" t="n">
        <f aca="false">IF(Tasks[[#This Row],[Task Name]]="","",IF(Tasks[[#This Row],[_IsSummary]],NETWORKDAYS.INTL(Tasks[[#This Row],[Forecast Start]],Tasks[[#This Row],[Forecast Finish]],WorkWeek,Holidays),N(Tasks[[#This Row],[Duration]])))</f>
        <v>10</v>
      </c>
      <c r="BE18" s="110" t="n">
        <f aca="false">IF(Tasks[[#This Row],[Task Name]]="","",Tasks[[#This Row],[Work]])</f>
        <v>80</v>
      </c>
      <c r="BF18" s="111" t="n">
        <f aca="false">IF(Tasks[[#This Row],[Task Name]]="","",Tasks[[#This Row],[Cost]])</f>
        <v>6800</v>
      </c>
      <c r="BG18" s="88"/>
      <c r="BH18" s="88"/>
      <c r="BI18" s="46"/>
      <c r="BJ18" s="113"/>
      <c r="BK18" s="112"/>
      <c r="BL18" s="45" t="str">
        <f aca="false">IF(OR(Tasks[[#This Row],[Task Name]]="",Tasks[[#This Row],[Baseline Duration]]=""),"",Tasks[[#This Row],[BL Source Duration]]-N(Tasks[[#This Row],[Baseline Duration]]))</f>
        <v/>
      </c>
      <c r="BM18" s="110" t="str">
        <f aca="false">IF(OR(Tasks[[#This Row],[Task Name]]="",Tasks[[#This Row],[Baseline Work]]=""),"",Tasks[[#This Row],[Work]]-N(Tasks[[#This Row],[Baseline Work]]))</f>
        <v/>
      </c>
      <c r="BN18" s="111" t="str">
        <f aca="false">IF(OR(Tasks[[#This Row],[Task Name]]="",Tasks[[#This Row],[Baseline Cost]]=""),"",Tasks[[#This Row],[Cost]]-N(Tasks[[#This Row],[Baseline Cost]]))</f>
        <v/>
      </c>
      <c r="BO18" s="111" t="n">
        <f aca="false">IF(Tasks[[#This Row],[Task Name]]="","",IF(Tasks[[#This Row],[_IsSummary]],SUM(INDEX(Tasks[_LeafBudget],Tasks[[#This Row],[_Row]]+1):INDEX(Tasks[_LeafBudget],Tasks[[#This Row],[_Row]]+Tasks[[#This Row],[_Descendants]])),Tasks[[#This Row],[_LeafBudget]]))</f>
        <v>6800</v>
      </c>
      <c r="BP18" s="111" t="n">
        <f aca="false">IF(Tasks[[#This Row],[Task Name]]="","",IF(Tasks[[#This Row],[_IsSummary]],SUM(INDEX(Tasks[_LeafPV],Tasks[[#This Row],[_Row]]+1):INDEX(Tasks[_LeafPV],Tasks[[#This Row],[_Row]]+Tasks[[#This Row],[_Descendants]])),Tasks[[#This Row],[_LeafPV]]))</f>
        <v>6800</v>
      </c>
      <c r="BQ18" s="111" t="n">
        <f aca="false">IF(Tasks[[#This Row],[Task Name]]="","",IF(Tasks[[#This Row],[_IsSummary]],SUM(INDEX(Tasks[_LeafEV],Tasks[[#This Row],[_Row]]+1):INDEX(Tasks[_LeafEV],Tasks[[#This Row],[_Row]]+Tasks[[#This Row],[_Descendants]])),Tasks[[#This Row],[_LeafEV]]))</f>
        <v>3400</v>
      </c>
      <c r="BR18" s="111" t="n">
        <f aca="false">IF(Tasks[[#This Row],[Task Name]]="","",IF(Tasks[[#This Row],[_IsSummary]],SUM(INDEX(Tasks[_LeafAC],Tasks[[#This Row],[_Row]]+1):INDEX(Tasks[_LeafAC],Tasks[[#This Row],[_Row]]+Tasks[[#This Row],[_Descendants]])),Tasks[[#This Row],[_LeafAC]]))</f>
        <v>4080</v>
      </c>
      <c r="BS18" s="32" t="n">
        <f aca="false">IF(Tasks[[#This Row],[Task Name]]="","",MAX(1,N(Tasks[[#This Row],[Level]])))</f>
        <v>3</v>
      </c>
      <c r="BT18" s="32" t="n">
        <f aca="false">ROW()-ROW(Tasks[[#Headers],[ID]])</f>
        <v>13</v>
      </c>
      <c r="BU18" s="32" t="n">
        <f aca="false">IF(OR(Tasks[[#This Row],[Task Name]]="",Tasks[[#This Row],[_Level]]&lt;=1),0,IFERROR(LOOKUP(2,1/(Tasks[[#Headers],[_Level]]:Tasks[[#This Row],[_Level]]=Tasks[[#This Row],[_Level]]-1),ROW(Tasks[[#Headers],[_Level]]:Tasks[[#This Row],[_Level]])),0))</f>
        <v>16</v>
      </c>
      <c r="BV18" s="32" t="n">
        <f aca="false">IFERROR(N(INDEX(Tasks[_Level],Tasks[[#This Row],[_Row]]+1)),0)</f>
        <v>3</v>
      </c>
      <c r="BW18" s="114" t="b">
        <f aca="false">AND(Tasks[[#This Row],[Task Name]]&lt;&gt;"",Tasks[[#This Row],[_NextLevel]]&gt;Tasks[[#This Row],[_Level]])</f>
        <v>0</v>
      </c>
      <c r="BX18" s="32" t="n">
        <f aca="false">IF(Tasks[[#This Row],[_IsSummary]],COUNTIF(Tasks[WBS],Tasks[[#This Row],[WBS]]&amp;".*"),0)</f>
        <v>0</v>
      </c>
      <c r="BY18" s="32" t="n">
        <f aca="false">IF(AND(Tasks[[#This Row],[Task Name]]&lt;&gt;"",NOT(Tasks[[#This Row],[_IsSummary]])),1,0)</f>
        <v>1</v>
      </c>
      <c r="BZ18" s="32" t="n">
        <f aca="false">IF(N(Tasks[[#This Row],[Pred1 UID]])=0,0,IFERROR(MATCH(Tasks[[#This Row],[Pred1 UID]],Tasks[UID],0),-1))</f>
        <v>12</v>
      </c>
      <c r="CA18" s="32" t="n">
        <f aca="false">IF(N(Tasks[[#This Row],[Pred2 UID]])=0,0,IFERROR(MATCH(Tasks[[#This Row],[Pred2 UID]],Tasks[UID],0),-1))</f>
        <v>0</v>
      </c>
      <c r="CB18" s="32" t="n">
        <f aca="false">IF(N(Tasks[[#This Row],[Pred3 UID]])=0,0,IFERROR(MATCH(Tasks[[#This Row],[Pred3 UID]],Tasks[UID],0),-1))</f>
        <v>0</v>
      </c>
      <c r="CC18" s="32" t="n">
        <f aca="false">IF(N(Tasks[[#This Row],[Pred4 UID]])=0,0,IFERROR(MATCH(Tasks[[#This Row],[Pred4 UID]],Tasks[UID],0),-1))</f>
        <v>0</v>
      </c>
      <c r="CD18"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 s="115" t="n">
        <f aca="false">IF(OR(Tasks[[#This Row],[_ConstraintCode]]=2,Tasks[[#This Row],[_ConstraintCode]]=3,Tasks[[#This Row],[_ConstraintCode]]=4,Tasks[[#This Row],[_ConstraintCode]]=6),Tasks[[#This Row],[_ConstraintStart]],0)</f>
        <v>0</v>
      </c>
      <c r="CG18" s="115" t="n">
        <f aca="false">IF(OR(Tasks[[#This Row],[_ConstraintCode]]=2,Tasks[[#This Row],[_ConstraintCode]]=3,Tasks[[#This Row],[_ConstraintCode]]=5,Tasks[[#This Row],[_ConstraintCode]]=7),Tasks[[#This Row],[_ConstraintStart]],2958465)</f>
        <v>2958465</v>
      </c>
      <c r="CH18"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46304</v>
      </c>
      <c r="CI18" s="115" t="n">
        <f aca="false">IF(NOT(Tasks[[#This Row],[_IsLeaf]]=1),"",IF(N(Tasks[[#This Row],[Duration]])&lt;=0,Tasks[[#This Row],[_LeafCalcStart]],WORKDAY.INTL(Tasks[[#This Row],[_LeafCalcStart]],Tasks[[#This Row],[Duration]]-1,WorkWeek,Holidays)))</f>
        <v>46317</v>
      </c>
      <c r="CJ18"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46310</v>
      </c>
      <c r="CK18"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46325</v>
      </c>
      <c r="CL18" s="32" t="n">
        <f aca="false">IF(NOT(Tasks[[#This Row],[_IsLeaf]]=1),0,IF(N(Tasks[[#This Row],[Actual Finish]])&gt;0,1,MIN(1,N(Tasks[[#This Row],[% Complete]]))))</f>
        <v>0.5</v>
      </c>
      <c r="CM18" s="32" t="n">
        <f aca="false">IF(OR(NOT(Tasks[[#This Row],[_IsLeaf]]=1),Tasks[[#This Row],[Resource]]=""),0,N(Tasks[[#This Row],[Duration]])*HoursPerDay*IF(Tasks[[#This Row],[Units]]="",DefaultUnits,Tasks[[#This Row],[Units]]))</f>
        <v>80</v>
      </c>
      <c r="CN18" s="32" t="n">
        <f aca="false">IF(Tasks[[#This Row],[_LeafWork]]=0,0,Tasks[[#This Row],[_LeafWork]]*IFERROR(INDEX(res_Rate,MATCH(Tasks[[#This Row],[Resource]],res_Name,0)),0))</f>
        <v>6800</v>
      </c>
      <c r="CO18" s="32" t="n">
        <f aca="false">Tasks[[#This Row],[_LeafWork]]+IF(Tasks[[#This Row],[_IsLeaf]]=1,SUMIFS(asg_Work,asg_TaskUID,Tasks[[#This Row],[UID]],asg_Valid,1),0)</f>
        <v>80</v>
      </c>
      <c r="CP18" s="32" t="n">
        <f aca="false">Tasks[[#This Row],[_LeafCost]]+IF(Tasks[[#This Row],[_IsLeaf]]=1,SUMIFS(asg_Cost,asg_TaskUID,Tasks[[#This Row],[UID]],asg_Valid,1),0)</f>
        <v>6800</v>
      </c>
      <c r="CQ18" s="32" t="n">
        <f aca="false">IF(Tasks[[#This Row],[_LeafTotalCost]]=0,Tasks[[#This Row],[_LeafAC]],Tasks[[#This Row],[_LeafAC]]*Tasks[[#This Row],[_LeafCost]]/Tasks[[#This Row],[_LeafTotalCost]])</f>
        <v>4080</v>
      </c>
      <c r="CR18"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2912155</v>
      </c>
      <c r="CS1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 s="32" t="n">
        <f aca="false">IF(NOT(Tasks[[#This Row],[_IsLeaf]]=1),0,MAX(_xlfn.MAXIFS(Tasks[_Row],Tasks[Pred1 UID],Tasks[[#This Row],[UID]]),_xlfn.MAXIFS(Tasks[_Row],Tasks[Pred2 UID],Tasks[[#This Row],[UID]]),_xlfn.MAXIFS(Tasks[_Row],Tasks[Pred3 UID],Tasks[[#This Row],[UID]]),_xlfn.MAXIFS(Tasks[_Row],Tasks[Pred4 UID],Tasks[[#This Row],[UID]])))</f>
        <v>17</v>
      </c>
      <c r="DA18"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46324</v>
      </c>
      <c r="DB18"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46324</v>
      </c>
      <c r="DC18" s="115" t="n">
        <f aca="false">IF(NOT(Tasks[[#This Row],[_IsLeaf]]=1),"",IF(N(Tasks[[#This Row],[Duration]])&lt;=0,Tasks[[#This Row],[_LeafLateFinish]],WORKDAY.INTL(Tasks[[#This Row],[_LeafLateFinish]],-(Tasks[[#This Row],[Duration]]-1),WorkWeek,Holidays)))</f>
        <v>46311</v>
      </c>
      <c r="DD18"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DE18" s="114" t="b">
        <f aca="false">AND(Tasks[[#This Row],[_IsLeaf]]=1,Tasks[[#This Row],[_LeafProgress]]&lt;1,N(Tasks[[#This Row],[_LeafTotalSlack]])&lt;=CriticalSlackDays)</f>
        <v>1</v>
      </c>
      <c r="DF18" s="32" t="n">
        <f aca="false">IF(AND(Tasks[[#This Row],[_IsLeaf]]=1,Tasks[[#This Row],[_ConstraintCode]]=1,Tasks[[#This Row],[Mode]]&lt;&gt;"Manual",N(Tasks[[#This Row],[Actual Start]])=0),MAX(0,N(Tasks[[#This Row],[Free Slack]])),0)</f>
        <v>0</v>
      </c>
      <c r="DG18" s="115" t="n">
        <f aca="false">IF(NOT(Tasks[[#This Row],[_IsLeaf]]=1),"",IF(Tasks[[#This Row],[_AlapShift]]=0,Tasks[[#This Row],[_LeafCalcStart]],WORKDAY.INTL(Tasks[[#This Row],[_LeafCalcStart]],Tasks[[#This Row],[_AlapShift]],WorkWeek,Holidays)))</f>
        <v>46304</v>
      </c>
      <c r="DH18" s="115" t="n">
        <f aca="false">IF(NOT(Tasks[[#This Row],[_IsLeaf]]=1),"",IF(Tasks[[#This Row],[_AlapShift]]=0,Tasks[[#This Row],[_LeafCalcFinish]],WORKDAY.INTL(Tasks[[#This Row],[_LeafCalcFinish]],Tasks[[#This Row],[_AlapShift]],WorkWeek,Holidays)))</f>
        <v>46317</v>
      </c>
      <c r="DI18" s="115" t="n">
        <f aca="false">IF(NOT(Tasks[[#This Row],[_IsLeaf]]=1),"",IF(Tasks[[#This Row],[_AlapShift]]=0,Tasks[[#This Row],[_LeafFcstStart]],WORKDAY.INTL(Tasks[[#This Row],[_LeafFcstStart]],Tasks[[#This Row],[_AlapShift]],WorkWeek,Holidays)))</f>
        <v>46310</v>
      </c>
      <c r="DJ18" s="115" t="n">
        <f aca="false">IF(NOT(Tasks[[#This Row],[_IsLeaf]]=1),"",IF(Tasks[[#This Row],[_AlapShift]]=0,Tasks[[#This Row],[_LeafFcstFinish]],WORKDAY.INTL(Tasks[[#This Row],[_LeafFcstFinish]],Tasks[[#This Row],[_AlapShift]],WorkWeek,Holidays)))</f>
        <v>46325</v>
      </c>
      <c r="DK18" s="115" t="n">
        <f aca="false">IF(Tasks[[#This Row],[Task Name]]="","",IF(Tasks[[#This Row],[_IsSummary]],MIN(INDEX(Tasks[_ShownCalcStart],Tasks[[#This Row],[_Row]]+1):INDEX(Tasks[_ShownCalcStart],Tasks[[#This Row],[_Row]]+Tasks[[#This Row],[_Descendants]])),Tasks[[#This Row],[_ShownCalcStart]]))</f>
        <v>46304</v>
      </c>
      <c r="DL18" s="115" t="n">
        <f aca="false">IF(Tasks[[#This Row],[Task Name]]="","",IF(Tasks[[#This Row],[_IsSummary]],MAX(INDEX(Tasks[_ShownCalcFinish],Tasks[[#This Row],[_Row]]+1):INDEX(Tasks[_ShownCalcFinish],Tasks[[#This Row],[_Row]]+Tasks[[#This Row],[_Descendants]])),Tasks[[#This Row],[_ShownCalcFinish]]))</f>
        <v>46317</v>
      </c>
      <c r="DM1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46304</v>
      </c>
      <c r="DR1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46310</v>
      </c>
      <c r="DV1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 s="32" t="n">
        <f aca="false">IF(AND(Tasks[[#This Row],[_IsLeaf]]=1,Tasks[[#This Row],[_LeafTotalWork]]&gt;0),NETWORKDAYS.INTL(ProjectStart,Tasks[[#This Row],[_ShownFcstStart]],WorkWeek,Holidays),0)</f>
        <v>29</v>
      </c>
      <c r="DZ18" s="32" t="n">
        <f aca="false">IF(AND(Tasks[[#This Row],[_IsLeaf]]=1,Tasks[[#This Row],[_LeafTotalWork]]&gt;0),MAX(Tasks[[#This Row],[_StartWorkday]],NETWORKDAYS.INTL(ProjectStart,Tasks[[#This Row],[_ShownFcstFinish]],WorkWeek,Holidays)),0)</f>
        <v>40</v>
      </c>
      <c r="EA18" s="32" t="n">
        <f aca="false">IF(AND(Tasks[[#This Row],[_IsLeaf]]=1,Tasks[[#This Row],[_LeafTotalWork]]&gt;0),Tasks[[#This Row],[_LeafWork]]/(Tasks[[#This Row],[_FinishWorkday]]-Tasks[[#This Row],[_StartWorkday]]+1),0)</f>
        <v>6.66666666666667</v>
      </c>
      <c r="EB18" s="32" t="n">
        <f aca="false">Tasks[[#This Row],[_WorkPerWorkday]]*(Tasks[[#This Row],[_StartWorkday]]-1)</f>
        <v>186.666666666667</v>
      </c>
      <c r="EC18" s="32" t="n">
        <f aca="false">IF(Tasks[[#This Row],[_IsLeaf]]=1,MAX(N(Tasks[[#This Row],[Duration]]),0.1),0)</f>
        <v>10</v>
      </c>
      <c r="ED18" s="32" t="n">
        <f aca="false">Tasks[[#This Row],[_WeightDur]]*Tasks[[#This Row],[_LeafProgress]]</f>
        <v>5</v>
      </c>
      <c r="EE1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12</v>
      </c>
      <c r="EF18" s="32" t="str">
        <f aca="false">IF(AND(Tasks[[#This Row],[_IsLeaf]]=1,N(Tasks[[#This Row],[Duration]])=0,Tasks[[#This Row],[_LeafProgress]]&lt;1),Tasks[[#This Row],[_ShownFcstFinish]]+Tasks[[#This Row],[_Row]]/100000,"")</f>
        <v/>
      </c>
      <c r="EG1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18" s="32" t="n">
        <f aca="false">IF(NOT(Tasks[[#This Row],[_IsLeaf]]=1),0,IF(Tasks[[#This Row],[Baseline Cost]]="",Tasks[[#This Row],[_LeafTotalCost]],N(Tasks[[#This Row],[Baseline Cost]])))</f>
        <v>6800</v>
      </c>
      <c r="EI18" s="32" t="n">
        <f aca="false">Tasks[[#This Row],[_LeafBudget]]*Tasks[[#This Row],[_PlannedPct]]</f>
        <v>6800</v>
      </c>
      <c r="EJ18" s="32" t="n">
        <f aca="false">Tasks[[#This Row],[_LeafBudget]]*Tasks[[#This Row],[_LeafProgress]]</f>
        <v>3400</v>
      </c>
      <c r="EK18" s="32" t="n">
        <f aca="false">IF(NOT(Tasks[[#This Row],[_IsLeaf]]=1),0,IF(Tasks[[#This Row],[Actual Cost]]="",Tasks[[#This Row],[_LeafTotalCost]]*Tasks[[#This Row],[_LeafProgress]],N(Tasks[[#This Row],[Actual Cost]])))</f>
        <v>4080</v>
      </c>
      <c r="EL18" s="32" t="str">
        <f aca="false">IF(Tasks[[#This Row],[Task Name]]="","",LEFT(Tasks[[#This Row],[WBS]],FIND(".",Tasks[[#This Row],[WBS]]&amp;".")-1))</f>
        <v>3</v>
      </c>
      <c r="EM18" s="32" t="str">
        <f aca="false">IF(AND(Tasks[[#This Row],[Task Name]]&lt;&gt;"",Tasks[[#This Row],[_Level]]=1),Tasks[[#This Row],[_Row]],"")</f>
        <v/>
      </c>
      <c r="EN18" s="32" t="str">
        <f aca="false">IF(AND(Tasks[[#This Row],[_IsLeaf]]=1,N(Tasks[[#This Row],[Duration]])=0),Tasks[[#This Row],[Planned Finish]]+Tasks[[#This Row],[_Row]]/100000,"")</f>
        <v/>
      </c>
      <c r="EO18" s="32" t="n">
        <f aca="false">IF(AND(Tasks[[#This Row],[_IsLeaf]]=1,Tasks[[#This Row],[_LeafProgress]]&lt;1,OR(N(Tasks[[#This Row],[Finish Var]])&gt;0,Tasks[[#This Row],[Status]]="Late Start")),MAX(0,Tasks[[#This Row],[Finish Var]])+1-Tasks[[#This Row],[_Row]]/1000000,"")</f>
        <v>6.999987</v>
      </c>
      <c r="EP18" s="32" t="str">
        <f aca="false">IF(AND(Tasks[[#This Row],[_IsLeaf]]=1,N(Tasks[[#This Row],[Actual Start]])=0,Tasks[[#This Row],[_ShownFcstStart]]&gt;=StatusDate,Tasks[[#This Row],[_ShownFcstStart]]&lt;=LookaheadEnd),Tasks[[#This Row],[_ShownFcstStart]]+Tasks[[#This Row],[_Row]]/100000,"")</f>
        <v/>
      </c>
      <c r="EQ18" s="116" t="n">
        <f aca="false">IF(AND(Tasks[[#This Row],[_IsLeaf]]=1,Tasks[[#This Row],[_LeafProgress]]&lt;1,Tasks[[#This Row],[_ShownFcstFinish]]&gt;=StatusDate,Tasks[[#This Row],[_ShownFcstFinish]]&lt;=LookaheadEnd),Tasks[[#This Row],[_ShownFcstFinish]]+Tasks[[#This Row],[_Row]]/100000,"")</f>
        <v>46325.00013</v>
      </c>
      <c r="ER18" s="116" t="n">
        <f aca="false">IF(Tasks[[#This Row],[_LeafCritical]],Tasks[[#This Row],[_ShownFcstStart]]+Tasks[[#This Row],[_Row]]/100000,"")</f>
        <v>46310.00013</v>
      </c>
      <c r="ES18" s="32" t="n">
        <f aca="false">Tasks[[#This Row],[_LeafWork]]*Tasks[[#This Row],[_LeafProgress]]</f>
        <v>40</v>
      </c>
      <c r="ET18" s="115" t="str">
        <f aca="false">IF(AND(Tasks[[#This Row],[_IsLeaf]]=1,Tasks[[#This Row],[_LeafProgress]]&gt;=1),IF(N(Tasks[[#This Row],[Actual Finish]])&gt;0,Tasks[[#This Row],[Actual Finish]],Tasks[[#This Row],[_ShownFcstFinish]]),"")</f>
        <v/>
      </c>
      <c r="EU18" s="32" t="n">
        <f aca="false">IF(Tasks[[#This Row],[_IsLeaf]]=1,N(Tasks[[#This Row],[Story Points]]),0)</f>
        <v>8</v>
      </c>
      <c r="EV18" s="32" t="str">
        <f aca="false">IF(AND(Tasks[[#This Row],[_IsLeaf]]=1,CurrentSprint&lt;&gt;"",Tasks[[#This Row],[Sprint]]=CurrentSprint),Tasks[[#This Row],[_Row]],"")</f>
        <v/>
      </c>
    </row>
    <row r="19" customFormat="false" ht="15" hidden="false" customHeight="false" outlineLevel="2" collapsed="false">
      <c r="A19" s="45" t="n">
        <f aca="false">IF(Tasks[[#This Row],[Task Name]]="","",COUNTA(Tasks[[#Headers],[Task Name]]:Tasks[[#This Row],[Task Name]])-1)</f>
        <v>14</v>
      </c>
      <c r="B19" s="46" t="n">
        <v>14</v>
      </c>
      <c r="C1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3.1.3</v>
      </c>
      <c r="D19" s="46" t="n">
        <v>3</v>
      </c>
      <c r="E19" s="45" t="str">
        <f aca="false">IF(Tasks[[#This Row],[Task Name]]="","",IF(Tasks[[#This Row],[_Level]]&lt;=OutlineShowLevel,"Yes","No"))</f>
        <v>Yes</v>
      </c>
      <c r="F19" s="47" t="s">
        <v>664</v>
      </c>
      <c r="G19" s="46" t="s">
        <v>642</v>
      </c>
      <c r="H19" s="46" t="n">
        <v>6</v>
      </c>
      <c r="I19" s="46" t="n">
        <v>13</v>
      </c>
      <c r="J19" s="46" t="s">
        <v>647</v>
      </c>
      <c r="K19" s="46"/>
      <c r="L19" s="46"/>
      <c r="M19" s="46"/>
      <c r="N19" s="46"/>
      <c r="O19" s="46"/>
      <c r="P19" s="46"/>
      <c r="Q19" s="46"/>
      <c r="R19" s="46"/>
      <c r="S19" s="46"/>
      <c r="T19" s="46"/>
      <c r="U19" s="47"/>
      <c r="V19" s="88"/>
      <c r="W19" s="88"/>
      <c r="X19" s="25" t="n">
        <f aca="false">IF(Tasks[[#This Row],[Task Name]]="","",IF(N(Tasks[[#This Row],[Baseline Start]])&gt;0,Tasks[[#This Row],[Baseline Start]],Tasks[[#This Row],[_CalcStart]]))</f>
        <v>46318</v>
      </c>
      <c r="Y19" s="25" t="n">
        <f aca="false">IF(Tasks[[#This Row],[Task Name]]="","",IF(N(Tasks[[#This Row],[Baseline Finish]])&gt;0,Tasks[[#This Row],[Baseline Finish]],Tasks[[#This Row],[_CalcFinish]]))</f>
        <v>46325</v>
      </c>
      <c r="Z19" s="88"/>
      <c r="AA19" s="88"/>
      <c r="AB19" s="25" t="n">
        <f aca="false">IF(Tasks[[#This Row],[Task Name]]="","",IF(Tasks[[#This Row],[_IsSummary]],MIN(INDEX(Tasks[_ShownFcstStart],Tasks[[#This Row],[_Row]]+1):INDEX(Tasks[_ShownFcstStart],Tasks[[#This Row],[_Row]]+Tasks[[#This Row],[_Descendants]])),Tasks[[#This Row],[_ShownFcstStart]]))</f>
        <v>46328</v>
      </c>
      <c r="AC19" s="25" t="n">
        <f aca="false">IF(Tasks[[#This Row],[Task Name]]="","",IF(Tasks[[#This Row],[_IsSummary]],MAX(INDEX(Tasks[_ShownFcstFinish],Tasks[[#This Row],[_Row]]+1):INDEX(Tasks[_ShownFcstFinish],Tasks[[#This Row],[_Row]]+Tasks[[#This Row],[_Descendants]])),Tasks[[#This Row],[_ShownFcstFinish]]))</f>
        <v>46335</v>
      </c>
      <c r="AD19"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19"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19" s="25" t="n">
        <f aca="false">IF(Tasks[[#This Row],[Task Name]]="","",IF(Tasks[[#This Row],[_IsSummary]],MIN(INDEX(Tasks[_LeafLateStart],Tasks[[#This Row],[_Row]]+1):INDEX(Tasks[_LeafLateStart],Tasks[[#This Row],[_Row]]+Tasks[[#This Row],[_Descendants]])),Tasks[[#This Row],[_LeafLateStart]]))</f>
        <v>46325</v>
      </c>
      <c r="AG19" s="25" t="n">
        <f aca="false">IF(Tasks[[#This Row],[Task Name]]="","",IF(Tasks[[#This Row],[_IsSummary]],MAX(INDEX(Tasks[_LeafLateFinish],Tasks[[#This Row],[_Row]]+1):INDEX(Tasks[_LeafLateFinish],Tasks[[#This Row],[_Row]]+Tasks[[#This Row],[_Descendants]])),Tasks[[#This Row],[_LeafLateFinish]]))</f>
        <v>46332</v>
      </c>
      <c r="AH19" s="56" t="n">
        <f aca="false">IF(Tasks[[#This Row],[Task Name]]="","",IF(Tasks[[#This Row],[_IsSummary]],MIN(INDEX(Tasks[_LeafTotalSlack],Tasks[[#This Row],[_Row]]+1):INDEX(Tasks[_LeafTotalSlack],Tasks[[#This Row],[_Row]]+Tasks[[#This Row],[_Descendants]])),Tasks[[#This Row],[_LeafTotalSlack]]))</f>
        <v>-1</v>
      </c>
      <c r="AI19"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-1</v>
      </c>
      <c r="AJ19" s="45" t="str">
        <f aca="false">IF(Tasks[[#This Row],[Task Name]]="","",IF(IF(Tasks[[#This Row],[_IsSummary]],COUNTIF(INDEX(Tasks[_LeafCritical],Tasks[[#This Row],[_Row]]+1):INDEX(Tasks[_LeafCritical],Tasks[[#This Row],[_Row]]+Tasks[[#This Row],[_Descendants]]),TRUE())&gt;0,Tasks[[#This Row],[_LeafCritical]]),"Yes",""))</f>
        <v>Yes</v>
      </c>
      <c r="AK1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 s="102"/>
      <c r="AN19"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19" s="45" t="str">
        <f aca="false">IF(Tasks[[#This Row],[Task Name]]="","",IF(Tasks[[#This Row],[Progress]]&gt;=1,"Complete",IF(OR(N(Tasks[[#This Row],[Actual Start]])&gt;0,Tasks[[#This Row],[Progress]]&gt;0),IF(Tasks[[#This Row],[Finish Var]]&gt;0,"Behind","In Progress"),IF(Tasks[[#This Row],[Planned Start]]&lt;StatusDate,"Late Start","Not Started"))))</f>
        <v>Late Start</v>
      </c>
      <c r="AP19" s="47" t="s">
        <v>299</v>
      </c>
      <c r="AQ19" s="102"/>
      <c r="AR1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Jordan Lee</v>
      </c>
      <c r="AS1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 s="110" t="n">
        <f aca="false">IF(Tasks[[#This Row],[Task Name]]="","",IF(Tasks[[#This Row],[_IsSummary]],SUM(INDEX(Tasks[_LeafTotalWork],Tasks[[#This Row],[_Row]]+1):INDEX(Tasks[_LeafTotalWork],Tasks[[#This Row],[_Row]]+Tasks[[#This Row],[_Descendants]])),Tasks[[#This Row],[_LeafTotalWork]]))</f>
        <v>48</v>
      </c>
      <c r="AU19" s="111" t="n">
        <f aca="false">IF(Tasks[[#This Row],[Task Name]]="","",IF(Tasks[[#This Row],[_IsSummary]],SUM(INDEX(Tasks[_LeafTotalCost],Tasks[[#This Row],[_Row]]+1):INDEX(Tasks[_LeafTotalCost],Tasks[[#This Row],[_Row]]+Tasks[[#This Row],[_Descendants]])),Tasks[[#This Row],[_LeafTotalCost]]))</f>
        <v>4080</v>
      </c>
      <c r="AV19" s="112"/>
      <c r="AW19" s="46"/>
      <c r="AX1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5</v>
      </c>
      <c r="AY19" s="96" t="n">
        <v>5</v>
      </c>
      <c r="AZ1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13</v>
      </c>
      <c r="BA19" s="47"/>
      <c r="BB19" s="25" t="n">
        <f aca="false">IF(Tasks[[#This Row],[Task Name]]="","",Tasks[[#This Row],[Forecast Start]])</f>
        <v>46328</v>
      </c>
      <c r="BC19" s="25" t="n">
        <f aca="false">IF(Tasks[[#This Row],[Task Name]]="","",Tasks[[#This Row],[Forecast Finish]])</f>
        <v>46335</v>
      </c>
      <c r="BD19" s="45" t="n">
        <f aca="false">IF(Tasks[[#This Row],[Task Name]]="","",IF(Tasks[[#This Row],[_IsSummary]],NETWORKDAYS.INTL(Tasks[[#This Row],[Forecast Start]],Tasks[[#This Row],[Forecast Finish]],WorkWeek,Holidays),N(Tasks[[#This Row],[Duration]])))</f>
        <v>6</v>
      </c>
      <c r="BE19" s="110" t="n">
        <f aca="false">IF(Tasks[[#This Row],[Task Name]]="","",Tasks[[#This Row],[Work]])</f>
        <v>48</v>
      </c>
      <c r="BF19" s="111" t="n">
        <f aca="false">IF(Tasks[[#This Row],[Task Name]]="","",Tasks[[#This Row],[Cost]])</f>
        <v>4080</v>
      </c>
      <c r="BG19" s="88"/>
      <c r="BH19" s="88"/>
      <c r="BI19" s="46"/>
      <c r="BJ19" s="113"/>
      <c r="BK19" s="112"/>
      <c r="BL19" s="45" t="str">
        <f aca="false">IF(OR(Tasks[[#This Row],[Task Name]]="",Tasks[[#This Row],[Baseline Duration]]=""),"",Tasks[[#This Row],[BL Source Duration]]-N(Tasks[[#This Row],[Baseline Duration]]))</f>
        <v/>
      </c>
      <c r="BM19" s="110" t="str">
        <f aca="false">IF(OR(Tasks[[#This Row],[Task Name]]="",Tasks[[#This Row],[Baseline Work]]=""),"",Tasks[[#This Row],[Work]]-N(Tasks[[#This Row],[Baseline Work]]))</f>
        <v/>
      </c>
      <c r="BN19" s="111" t="str">
        <f aca="false">IF(OR(Tasks[[#This Row],[Task Name]]="",Tasks[[#This Row],[Baseline Cost]]=""),"",Tasks[[#This Row],[Cost]]-N(Tasks[[#This Row],[Baseline Cost]]))</f>
        <v/>
      </c>
      <c r="BO19" s="111" t="n">
        <f aca="false">IF(Tasks[[#This Row],[Task Name]]="","",IF(Tasks[[#This Row],[_IsSummary]],SUM(INDEX(Tasks[_LeafBudget],Tasks[[#This Row],[_Row]]+1):INDEX(Tasks[_LeafBudget],Tasks[[#This Row],[_Row]]+Tasks[[#This Row],[_Descendants]])),Tasks[[#This Row],[_LeafBudget]]))</f>
        <v>4080</v>
      </c>
      <c r="BP19" s="111" t="n">
        <f aca="false">IF(Tasks[[#This Row],[Task Name]]="","",IF(Tasks[[#This Row],[_IsSummary]],SUM(INDEX(Tasks[_LeafPV],Tasks[[#This Row],[_Row]]+1):INDEX(Tasks[_LeafPV],Tasks[[#This Row],[_Row]]+Tasks[[#This Row],[_Descendants]])),Tasks[[#This Row],[_LeafPV]]))</f>
        <v>680</v>
      </c>
      <c r="BQ19" s="111" t="n">
        <f aca="false">IF(Tasks[[#This Row],[Task Name]]="","",IF(Tasks[[#This Row],[_IsSummary]],SUM(INDEX(Tasks[_LeafEV],Tasks[[#This Row],[_Row]]+1):INDEX(Tasks[_LeafEV],Tasks[[#This Row],[_Row]]+Tasks[[#This Row],[_Descendants]])),Tasks[[#This Row],[_LeafEV]]))</f>
        <v>0</v>
      </c>
      <c r="BR19" s="111" t="n">
        <f aca="false">IF(Tasks[[#This Row],[Task Name]]="","",IF(Tasks[[#This Row],[_IsSummary]],SUM(INDEX(Tasks[_LeafAC],Tasks[[#This Row],[_Row]]+1):INDEX(Tasks[_LeafAC],Tasks[[#This Row],[_Row]]+Tasks[[#This Row],[_Descendants]])),Tasks[[#This Row],[_LeafAC]]))</f>
        <v>0</v>
      </c>
      <c r="BS19" s="32" t="n">
        <f aca="false">IF(Tasks[[#This Row],[Task Name]]="","",MAX(1,N(Tasks[[#This Row],[Level]])))</f>
        <v>3</v>
      </c>
      <c r="BT19" s="32" t="n">
        <f aca="false">ROW()-ROW(Tasks[[#Headers],[ID]])</f>
        <v>14</v>
      </c>
      <c r="BU19" s="32" t="n">
        <f aca="false">IF(OR(Tasks[[#This Row],[Task Name]]="",Tasks[[#This Row],[_Level]]&lt;=1),0,IFERROR(LOOKUP(2,1/(Tasks[[#Headers],[_Level]]:Tasks[[#This Row],[_Level]]=Tasks[[#This Row],[_Level]]-1),ROW(Tasks[[#Headers],[_Level]]:Tasks[[#This Row],[_Level]])),0))</f>
        <v>16</v>
      </c>
      <c r="BV19" s="32" t="n">
        <f aca="false">IFERROR(N(INDEX(Tasks[_Level],Tasks[[#This Row],[_Row]]+1)),0)</f>
        <v>2</v>
      </c>
      <c r="BW19" s="114" t="b">
        <f aca="false">AND(Tasks[[#This Row],[Task Name]]&lt;&gt;"",Tasks[[#This Row],[_NextLevel]]&gt;Tasks[[#This Row],[_Level]])</f>
        <v>0</v>
      </c>
      <c r="BX19" s="32" t="n">
        <f aca="false">IF(Tasks[[#This Row],[_IsSummary]],COUNTIF(Tasks[WBS],Tasks[[#This Row],[WBS]]&amp;".*"),0)</f>
        <v>0</v>
      </c>
      <c r="BY19" s="32" t="n">
        <f aca="false">IF(AND(Tasks[[#This Row],[Task Name]]&lt;&gt;"",NOT(Tasks[[#This Row],[_IsSummary]])),1,0)</f>
        <v>1</v>
      </c>
      <c r="BZ19" s="32" t="n">
        <f aca="false">IF(N(Tasks[[#This Row],[Pred1 UID]])=0,0,IFERROR(MATCH(Tasks[[#This Row],[Pred1 UID]],Tasks[UID],0),-1))</f>
        <v>13</v>
      </c>
      <c r="CA19" s="32" t="n">
        <f aca="false">IF(N(Tasks[[#This Row],[Pred2 UID]])=0,0,IFERROR(MATCH(Tasks[[#This Row],[Pred2 UID]],Tasks[UID],0),-1))</f>
        <v>0</v>
      </c>
      <c r="CB19" s="32" t="n">
        <f aca="false">IF(N(Tasks[[#This Row],[Pred3 UID]])=0,0,IFERROR(MATCH(Tasks[[#This Row],[Pred3 UID]],Tasks[UID],0),-1))</f>
        <v>0</v>
      </c>
      <c r="CC19" s="32" t="n">
        <f aca="false">IF(N(Tasks[[#This Row],[Pred4 UID]])=0,0,IFERROR(MATCH(Tasks[[#This Row],[Pred4 UID]],Tasks[UID],0),-1))</f>
        <v>0</v>
      </c>
      <c r="CD19"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1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 s="115" t="n">
        <f aca="false">IF(OR(Tasks[[#This Row],[_ConstraintCode]]=2,Tasks[[#This Row],[_ConstraintCode]]=3,Tasks[[#This Row],[_ConstraintCode]]=4,Tasks[[#This Row],[_ConstraintCode]]=6),Tasks[[#This Row],[_ConstraintStart]],0)</f>
        <v>0</v>
      </c>
      <c r="CG19" s="115" t="n">
        <f aca="false">IF(OR(Tasks[[#This Row],[_ConstraintCode]]=2,Tasks[[#This Row],[_ConstraintCode]]=3,Tasks[[#This Row],[_ConstraintCode]]=5,Tasks[[#This Row],[_ConstraintCode]]=7),Tasks[[#This Row],[_ConstraintStart]],2958465)</f>
        <v>2958465</v>
      </c>
      <c r="CH19"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I19" s="115" t="n">
        <f aca="false">IF(NOT(Tasks[[#This Row],[_IsLeaf]]=1),"",IF(N(Tasks[[#This Row],[Duration]])&lt;=0,Tasks[[#This Row],[_LeafCalcStart]],WORKDAY.INTL(Tasks[[#This Row],[_LeafCalcStart]],Tasks[[#This Row],[Duration]]-1,WorkWeek,Holidays)))</f>
        <v>46325</v>
      </c>
      <c r="CJ19"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46328</v>
      </c>
      <c r="CK19"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46335</v>
      </c>
      <c r="CL19" s="32" t="n">
        <f aca="false">IF(NOT(Tasks[[#This Row],[_IsLeaf]]=1),0,IF(N(Tasks[[#This Row],[Actual Finish]])&gt;0,1,MIN(1,N(Tasks[[#This Row],[% Complete]]))))</f>
        <v>0</v>
      </c>
      <c r="CM19" s="32" t="n">
        <f aca="false">IF(OR(NOT(Tasks[[#This Row],[_IsLeaf]]=1),Tasks[[#This Row],[Resource]]=""),0,N(Tasks[[#This Row],[Duration]])*HoursPerDay*IF(Tasks[[#This Row],[Units]]="",DefaultUnits,Tasks[[#This Row],[Units]]))</f>
        <v>48</v>
      </c>
      <c r="CN19" s="32" t="n">
        <f aca="false">IF(Tasks[[#This Row],[_LeafWork]]=0,0,Tasks[[#This Row],[_LeafWork]]*IFERROR(INDEX(res_Rate,MATCH(Tasks[[#This Row],[Resource]],res_Name,0)),0))</f>
        <v>4080</v>
      </c>
      <c r="CO19" s="32" t="n">
        <f aca="false">Tasks[[#This Row],[_LeafWork]]+IF(Tasks[[#This Row],[_IsLeaf]]=1,SUMIFS(asg_Work,asg_TaskUID,Tasks[[#This Row],[UID]],asg_Valid,1),0)</f>
        <v>48</v>
      </c>
      <c r="CP19" s="32" t="n">
        <f aca="false">Tasks[[#This Row],[_LeafCost]]+IF(Tasks[[#This Row],[_IsLeaf]]=1,SUMIFS(asg_Cost,asg_TaskUID,Tasks[[#This Row],[UID]],asg_Valid,1),0)</f>
        <v>4080</v>
      </c>
      <c r="CQ19" s="32" t="n">
        <f aca="false">IF(Tasks[[#This Row],[_LeafTotalCost]]=0,Tasks[[#This Row],[_LeafAC]],Tasks[[#This Row],[_LeafAC]]*Tasks[[#This Row],[_LeafCost]]/Tasks[[#This Row],[_LeafTotalCost]])</f>
        <v>0</v>
      </c>
      <c r="CR19"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2912141</v>
      </c>
      <c r="CS1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1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 s="32" t="n">
        <f aca="false">IF(NOT(Tasks[[#This Row],[_IsLeaf]]=1),0,MAX(_xlfn.MAXIFS(Tasks[_Row],Tasks[Pred1 UID],Tasks[[#This Row],[UID]]),_xlfn.MAXIFS(Tasks[_Row],Tasks[Pred2 UID],Tasks[[#This Row],[UID]]),_xlfn.MAXIFS(Tasks[_Row],Tasks[Pred3 UID],Tasks[[#This Row],[UID]]),_xlfn.MAXIFS(Tasks[_Row],Tasks[Pred4 UID],Tasks[[#This Row],[UID]])))</f>
        <v>19</v>
      </c>
      <c r="DA19"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46332</v>
      </c>
      <c r="DB19"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DC19" s="115" t="n">
        <f aca="false">IF(NOT(Tasks[[#This Row],[_IsLeaf]]=1),"",IF(N(Tasks[[#This Row],[Duration]])&lt;=0,Tasks[[#This Row],[_LeafLateFinish]],WORKDAY.INTL(Tasks[[#This Row],[_LeafLateFinish]],-(Tasks[[#This Row],[Duration]]-1),WorkWeek,Holidays)))</f>
        <v>46325</v>
      </c>
      <c r="DD19"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DE19" s="114" t="b">
        <f aca="false">AND(Tasks[[#This Row],[_IsLeaf]]=1,Tasks[[#This Row],[_LeafProgress]]&lt;1,N(Tasks[[#This Row],[_LeafTotalSlack]])&lt;=CriticalSlackDays)</f>
        <v>1</v>
      </c>
      <c r="DF19" s="32" t="n">
        <f aca="false">IF(AND(Tasks[[#This Row],[_IsLeaf]]=1,Tasks[[#This Row],[_ConstraintCode]]=1,Tasks[[#This Row],[Mode]]&lt;&gt;"Manual",N(Tasks[[#This Row],[Actual Start]])=0),MAX(0,N(Tasks[[#This Row],[Free Slack]])),0)</f>
        <v>0</v>
      </c>
      <c r="DG19" s="115" t="n">
        <f aca="false">IF(NOT(Tasks[[#This Row],[_IsLeaf]]=1),"",IF(Tasks[[#This Row],[_AlapShift]]=0,Tasks[[#This Row],[_LeafCalcStart]],WORKDAY.INTL(Tasks[[#This Row],[_LeafCalcStart]],Tasks[[#This Row],[_AlapShift]],WorkWeek,Holidays)))</f>
        <v>46318</v>
      </c>
      <c r="DH19" s="115" t="n">
        <f aca="false">IF(NOT(Tasks[[#This Row],[_IsLeaf]]=1),"",IF(Tasks[[#This Row],[_AlapShift]]=0,Tasks[[#This Row],[_LeafCalcFinish]],WORKDAY.INTL(Tasks[[#This Row],[_LeafCalcFinish]],Tasks[[#This Row],[_AlapShift]],WorkWeek,Holidays)))</f>
        <v>46325</v>
      </c>
      <c r="DI19" s="115" t="n">
        <f aca="false">IF(NOT(Tasks[[#This Row],[_IsLeaf]]=1),"",IF(Tasks[[#This Row],[_AlapShift]]=0,Tasks[[#This Row],[_LeafFcstStart]],WORKDAY.INTL(Tasks[[#This Row],[_LeafFcstStart]],Tasks[[#This Row],[_AlapShift]],WorkWeek,Holidays)))</f>
        <v>46328</v>
      </c>
      <c r="DJ19" s="115" t="n">
        <f aca="false">IF(NOT(Tasks[[#This Row],[_IsLeaf]]=1),"",IF(Tasks[[#This Row],[_AlapShift]]=0,Tasks[[#This Row],[_LeafFcstFinish]],WORKDAY.INTL(Tasks[[#This Row],[_LeafFcstFinish]],Tasks[[#This Row],[_AlapShift]],WorkWeek,Holidays)))</f>
        <v>46335</v>
      </c>
      <c r="DK19" s="115" t="n">
        <f aca="false">IF(Tasks[[#This Row],[Task Name]]="","",IF(Tasks[[#This Row],[_IsSummary]],MIN(INDEX(Tasks[_ShownCalcStart],Tasks[[#This Row],[_Row]]+1):INDEX(Tasks[_ShownCalcStart],Tasks[[#This Row],[_Row]]+Tasks[[#This Row],[_Descendants]])),Tasks[[#This Row],[_ShownCalcStart]]))</f>
        <v>46318</v>
      </c>
      <c r="DL19" s="115" t="n">
        <f aca="false">IF(Tasks[[#This Row],[Task Name]]="","",IF(Tasks[[#This Row],[_IsSummary]],MAX(INDEX(Tasks[_ShownCalcFinish],Tasks[[#This Row],[_Row]]+1):INDEX(Tasks[_ShownCalcFinish],Tasks[[#This Row],[_Row]]+Tasks[[#This Row],[_Descendants]])),Tasks[[#This Row],[_ShownCalcFinish]]))</f>
        <v>46325</v>
      </c>
      <c r="DM1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46318</v>
      </c>
      <c r="DR1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46328</v>
      </c>
      <c r="DV1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 s="32" t="n">
        <f aca="false">IF(AND(Tasks[[#This Row],[_IsLeaf]]=1,Tasks[[#This Row],[_LeafTotalWork]]&gt;0),NETWORKDAYS.INTL(ProjectStart,Tasks[[#This Row],[_ShownFcstStart]],WorkWeek,Holidays),0)</f>
        <v>41</v>
      </c>
      <c r="DZ19" s="32" t="n">
        <f aca="false">IF(AND(Tasks[[#This Row],[_IsLeaf]]=1,Tasks[[#This Row],[_LeafTotalWork]]&gt;0),MAX(Tasks[[#This Row],[_StartWorkday]],NETWORKDAYS.INTL(ProjectStart,Tasks[[#This Row],[_ShownFcstFinish]],WorkWeek,Holidays)),0)</f>
        <v>46</v>
      </c>
      <c r="EA19" s="32" t="n">
        <f aca="false">IF(AND(Tasks[[#This Row],[_IsLeaf]]=1,Tasks[[#This Row],[_LeafTotalWork]]&gt;0),Tasks[[#This Row],[_LeafWork]]/(Tasks[[#This Row],[_FinishWorkday]]-Tasks[[#This Row],[_StartWorkday]]+1),0)</f>
        <v>8</v>
      </c>
      <c r="EB19" s="32" t="n">
        <f aca="false">Tasks[[#This Row],[_WorkPerWorkday]]*(Tasks[[#This Row],[_StartWorkday]]-1)</f>
        <v>320</v>
      </c>
      <c r="EC19" s="32" t="n">
        <f aca="false">IF(Tasks[[#This Row],[_IsLeaf]]=1,MAX(N(Tasks[[#This Row],[Duration]]),0.1),0)</f>
        <v>6</v>
      </c>
      <c r="ED19" s="32" t="n">
        <f aca="false">Tasks[[#This Row],[_WeightDur]]*Tasks[[#This Row],[_LeafProgress]]</f>
        <v>0</v>
      </c>
      <c r="EE1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13</v>
      </c>
      <c r="EF19" s="32" t="str">
        <f aca="false">IF(AND(Tasks[[#This Row],[_IsLeaf]]=1,N(Tasks[[#This Row],[Duration]])=0,Tasks[[#This Row],[_LeafProgress]]&lt;1),Tasks[[#This Row],[_ShownFcstFinish]]+Tasks[[#This Row],[_Row]]/100000,"")</f>
        <v/>
      </c>
      <c r="EG1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0.166666666666667</v>
      </c>
      <c r="EH19" s="32" t="n">
        <f aca="false">IF(NOT(Tasks[[#This Row],[_IsLeaf]]=1),0,IF(Tasks[[#This Row],[Baseline Cost]]="",Tasks[[#This Row],[_LeafTotalCost]],N(Tasks[[#This Row],[Baseline Cost]])))</f>
        <v>4080</v>
      </c>
      <c r="EI19" s="32" t="n">
        <f aca="false">Tasks[[#This Row],[_LeafBudget]]*Tasks[[#This Row],[_PlannedPct]]</f>
        <v>680</v>
      </c>
      <c r="EJ19" s="32" t="n">
        <f aca="false">Tasks[[#This Row],[_LeafBudget]]*Tasks[[#This Row],[_LeafProgress]]</f>
        <v>0</v>
      </c>
      <c r="EK19" s="32" t="n">
        <f aca="false">IF(NOT(Tasks[[#This Row],[_IsLeaf]]=1),0,IF(Tasks[[#This Row],[Actual Cost]]="",Tasks[[#This Row],[_LeafTotalCost]]*Tasks[[#This Row],[_LeafProgress]],N(Tasks[[#This Row],[Actual Cost]])))</f>
        <v>0</v>
      </c>
      <c r="EL19" s="32" t="str">
        <f aca="false">IF(Tasks[[#This Row],[Task Name]]="","",LEFT(Tasks[[#This Row],[WBS]],FIND(".",Tasks[[#This Row],[WBS]]&amp;".")-1))</f>
        <v>3</v>
      </c>
      <c r="EM19" s="32" t="str">
        <f aca="false">IF(AND(Tasks[[#This Row],[Task Name]]&lt;&gt;"",Tasks[[#This Row],[_Level]]=1),Tasks[[#This Row],[_Row]],"")</f>
        <v/>
      </c>
      <c r="EN19" s="32" t="str">
        <f aca="false">IF(AND(Tasks[[#This Row],[_IsLeaf]]=1,N(Tasks[[#This Row],[Duration]])=0),Tasks[[#This Row],[Planned Finish]]+Tasks[[#This Row],[_Row]]/100000,"")</f>
        <v/>
      </c>
      <c r="EO19" s="32" t="n">
        <f aca="false">IF(AND(Tasks[[#This Row],[_IsLeaf]]=1,Tasks[[#This Row],[_LeafProgress]]&lt;1,OR(N(Tasks[[#This Row],[Finish Var]])&gt;0,Tasks[[#This Row],[Status]]="Late Start")),MAX(0,Tasks[[#This Row],[Finish Var]])+1-Tasks[[#This Row],[_Row]]/1000000,"")</f>
        <v>6.999986</v>
      </c>
      <c r="EP19" s="116" t="n">
        <f aca="false">IF(AND(Tasks[[#This Row],[_IsLeaf]]=1,N(Tasks[[#This Row],[Actual Start]])=0,Tasks[[#This Row],[_ShownFcstStart]]&gt;=StatusDate,Tasks[[#This Row],[_ShownFcstStart]]&lt;=LookaheadEnd),Tasks[[#This Row],[_ShownFcstStart]]+Tasks[[#This Row],[_Row]]/100000,"")</f>
        <v>46328.00014</v>
      </c>
      <c r="EQ19" s="32" t="str">
        <f aca="false">IF(AND(Tasks[[#This Row],[_IsLeaf]]=1,Tasks[[#This Row],[_LeafProgress]]&lt;1,Tasks[[#This Row],[_ShownFcstFinish]]&gt;=StatusDate,Tasks[[#This Row],[_ShownFcstFinish]]&lt;=LookaheadEnd),Tasks[[#This Row],[_ShownFcstFinish]]+Tasks[[#This Row],[_Row]]/100000,"")</f>
        <v/>
      </c>
      <c r="ER19" s="116" t="n">
        <f aca="false">IF(Tasks[[#This Row],[_LeafCritical]],Tasks[[#This Row],[_ShownFcstStart]]+Tasks[[#This Row],[_Row]]/100000,"")</f>
        <v>46328.00014</v>
      </c>
      <c r="ES19" s="32" t="n">
        <f aca="false">Tasks[[#This Row],[_LeafWork]]*Tasks[[#This Row],[_LeafProgress]]</f>
        <v>0</v>
      </c>
      <c r="ET19" s="115" t="str">
        <f aca="false">IF(AND(Tasks[[#This Row],[_IsLeaf]]=1,Tasks[[#This Row],[_LeafProgress]]&gt;=1),IF(N(Tasks[[#This Row],[Actual Finish]])&gt;0,Tasks[[#This Row],[Actual Finish]],Tasks[[#This Row],[_ShownFcstFinish]]),"")</f>
        <v/>
      </c>
      <c r="EU19" s="32" t="n">
        <f aca="false">IF(Tasks[[#This Row],[_IsLeaf]]=1,N(Tasks[[#This Row],[Story Points]]),0)</f>
        <v>5</v>
      </c>
      <c r="EV19" s="32" t="str">
        <f aca="false">IF(AND(Tasks[[#This Row],[_IsLeaf]]=1,CurrentSprint&lt;&gt;"",Tasks[[#This Row],[Sprint]]=CurrentSprint),Tasks[[#This Row],[_Row]],"")</f>
        <v/>
      </c>
    </row>
    <row r="20" customFormat="false" ht="15" hidden="false" customHeight="false" outlineLevel="1" collapsed="false">
      <c r="A20" s="45" t="n">
        <f aca="false">IF(Tasks[[#This Row],[Task Name]]="","",COUNTA(Tasks[[#Headers],[Task Name]]:Tasks[[#This Row],[Task Name]])-1)</f>
        <v>15</v>
      </c>
      <c r="B20" s="46" t="n">
        <v>15</v>
      </c>
      <c r="C2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v>
      </c>
      <c r="D20" s="46" t="n">
        <v>2</v>
      </c>
      <c r="E20" s="45" t="str">
        <f aca="false">IF(Tasks[[#This Row],[Task Name]]="","",IF(Tasks[[#This Row],[_Level]]&lt;=OutlineShowLevel,"Yes","No"))</f>
        <v>Yes</v>
      </c>
      <c r="F20" s="47" t="s">
        <v>665</v>
      </c>
      <c r="G20" s="46" t="s">
        <v>642</v>
      </c>
      <c r="H20" s="46"/>
      <c r="I20" s="46"/>
      <c r="J20" s="46"/>
      <c r="K20" s="46"/>
      <c r="L20" s="46"/>
      <c r="M20" s="46"/>
      <c r="N20" s="46"/>
      <c r="O20" s="46"/>
      <c r="P20" s="46"/>
      <c r="Q20" s="46"/>
      <c r="R20" s="46"/>
      <c r="S20" s="46"/>
      <c r="T20" s="46"/>
      <c r="U20" s="47"/>
      <c r="V20" s="88"/>
      <c r="W20" s="88"/>
      <c r="X20" s="25" t="n">
        <f aca="false">IF(Tasks[[#This Row],[Task Name]]="","",IF(N(Tasks[[#This Row],[Baseline Start]])&gt;0,Tasks[[#This Row],[Baseline Start]],Tasks[[#This Row],[_CalcStart]]))</f>
        <v>46297</v>
      </c>
      <c r="Y20" s="25" t="n">
        <f aca="false">IF(Tasks[[#This Row],[Task Name]]="","",IF(N(Tasks[[#This Row],[Baseline Finish]])&gt;0,Tasks[[#This Row],[Baseline Finish]],Tasks[[#This Row],[_CalcFinish]]))</f>
        <v>46324</v>
      </c>
      <c r="Z20" s="88"/>
      <c r="AA20" s="88"/>
      <c r="AB20" s="25" t="n">
        <f aca="false">IF(Tasks[[#This Row],[Task Name]]="","",IF(Tasks[[#This Row],[_IsSummary]],MIN(INDEX(Tasks[_ShownFcstStart],Tasks[[#This Row],[_Row]]+1):INDEX(Tasks[_ShownFcstStart],Tasks[[#This Row],[_Row]]+Tasks[[#This Row],[_Descendants]])),Tasks[[#This Row],[_ShownFcstStart]]))</f>
        <v>46302</v>
      </c>
      <c r="AC20" s="25" t="n">
        <f aca="false">IF(Tasks[[#This Row],[Task Name]]="","",IF(Tasks[[#This Row],[_IsSummary]],MAX(INDEX(Tasks[_ShownFcstFinish],Tasks[[#This Row],[_Row]]+1):INDEX(Tasks[_ShownFcstFinish],Tasks[[#This Row],[_Row]]+Tasks[[#This Row],[_Descendants]])),Tasks[[#This Row],[_ShownFcstFinish]]))</f>
        <v>46332</v>
      </c>
      <c r="AD20"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20"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0" s="25" t="n">
        <f aca="false">IF(Tasks[[#This Row],[Task Name]]="","",IF(Tasks[[#This Row],[_IsSummary]],MIN(INDEX(Tasks[_LeafLateStart],Tasks[[#This Row],[_Row]]+1):INDEX(Tasks[_LeafLateStart],Tasks[[#This Row],[_Row]]+Tasks[[#This Row],[_Descendants]])),Tasks[[#This Row],[_LeafLateStart]]))</f>
        <v>46308</v>
      </c>
      <c r="AG20" s="25" t="n">
        <f aca="false">IF(Tasks[[#This Row],[Task Name]]="","",IF(Tasks[[#This Row],[_IsSummary]],MAX(INDEX(Tasks[_LeafLateFinish],Tasks[[#This Row],[_Row]]+1):INDEX(Tasks[_LeafLateFinish],Tasks[[#This Row],[_Row]]+Tasks[[#This Row],[_Descendants]])),Tasks[[#This Row],[_LeafLateFinish]]))</f>
        <v>46332</v>
      </c>
      <c r="AH20" s="56" t="n">
        <f aca="false">IF(Tasks[[#This Row],[Task Name]]="","",IF(Tasks[[#This Row],[_IsSummary]],MIN(INDEX(Tasks[_LeafTotalSlack],Tasks[[#This Row],[_Row]]+1):INDEX(Tasks[_LeafTotalSlack],Tasks[[#This Row],[_Row]]+Tasks[[#This Row],[_Descendants]])),Tasks[[#This Row],[_LeafTotalSlack]]))</f>
        <v>0</v>
      </c>
      <c r="AI2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 s="45" t="str">
        <f aca="false">IF(Tasks[[#This Row],[Task Name]]="","",IF(IF(Tasks[[#This Row],[_IsSummary]],COUNTIF(INDEX(Tasks[_LeafCritical],Tasks[[#This Row],[_Row]]+1):INDEX(Tasks[_LeafCritical],Tasks[[#This Row],[_Row]]+Tasks[[#This Row],[_Descendants]]),TRUE())&gt;0,Tasks[[#This Row],[_LeafCritical]]),"Yes",""))</f>
        <v>Yes</v>
      </c>
      <c r="AK2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 s="102"/>
      <c r="AN20"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0.428571428571429</v>
      </c>
      <c r="AO20" s="45" t="str">
        <f aca="false">IF(Tasks[[#This Row],[Task Name]]="","",IF(Tasks[[#This Row],[Progress]]&gt;=1,"Complete",IF(OR(N(Tasks[[#This Row],[Actual Start]])&gt;0,Tasks[[#This Row],[Progress]]&gt;0),IF(Tasks[[#This Row],[Finish Var]]&gt;0,"Behind","In Progress"),IF(Tasks[[#This Row],[Planned Start]]&lt;StatusDate,"Late Start","Not Started"))))</f>
        <v>Behind</v>
      </c>
      <c r="AP20" s="47"/>
      <c r="AQ20" s="102"/>
      <c r="AR2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 s="110" t="n">
        <f aca="false">IF(Tasks[[#This Row],[Task Name]]="","",IF(Tasks[[#This Row],[_IsSummary]],SUM(INDEX(Tasks[_LeafTotalWork],Tasks[[#This Row],[_Row]]+1):INDEX(Tasks[_LeafTotalWork],Tasks[[#This Row],[_Row]]+Tasks[[#This Row],[_Descendants]])),Tasks[[#This Row],[_LeafTotalWork]]))</f>
        <v>204</v>
      </c>
      <c r="AU20" s="111" t="n">
        <f aca="false">IF(Tasks[[#This Row],[Task Name]]="","",IF(Tasks[[#This Row],[_IsSummary]],SUM(INDEX(Tasks[_LeafTotalCost],Tasks[[#This Row],[_Row]]+1):INDEX(Tasks[_LeafTotalCost],Tasks[[#This Row],[_Row]]+Tasks[[#This Row],[_Descendants]])),Tasks[[#This Row],[_LeafTotalCost]]))</f>
        <v>16020</v>
      </c>
      <c r="AV20" s="112"/>
      <c r="AW20" s="46"/>
      <c r="AX2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 s="96"/>
      <c r="AZ2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 s="47"/>
      <c r="BB20" s="25" t="n">
        <f aca="false">IF(Tasks[[#This Row],[Task Name]]="","",Tasks[[#This Row],[Forecast Start]])</f>
        <v>46302</v>
      </c>
      <c r="BC20" s="25" t="n">
        <f aca="false">IF(Tasks[[#This Row],[Task Name]]="","",Tasks[[#This Row],[Forecast Finish]])</f>
        <v>46332</v>
      </c>
      <c r="BD20" s="45" t="n">
        <f aca="false">IF(Tasks[[#This Row],[Task Name]]="","",IF(Tasks[[#This Row],[_IsSummary]],NETWORKDAYS.INTL(Tasks[[#This Row],[Forecast Start]],Tasks[[#This Row],[Forecast Finish]],WorkWeek,Holidays),N(Tasks[[#This Row],[Duration]])))</f>
        <v>23</v>
      </c>
      <c r="BE20" s="110" t="n">
        <f aca="false">IF(Tasks[[#This Row],[Task Name]]="","",Tasks[[#This Row],[Work]])</f>
        <v>204</v>
      </c>
      <c r="BF20" s="111" t="n">
        <f aca="false">IF(Tasks[[#This Row],[Task Name]]="","",Tasks[[#This Row],[Cost]])</f>
        <v>16020</v>
      </c>
      <c r="BG20" s="88"/>
      <c r="BH20" s="88"/>
      <c r="BI20" s="46"/>
      <c r="BJ20" s="113"/>
      <c r="BK20" s="112"/>
      <c r="BL20" s="45" t="str">
        <f aca="false">IF(OR(Tasks[[#This Row],[Task Name]]="",Tasks[[#This Row],[Baseline Duration]]=""),"",Tasks[[#This Row],[BL Source Duration]]-N(Tasks[[#This Row],[Baseline Duration]]))</f>
        <v/>
      </c>
      <c r="BM20" s="110" t="str">
        <f aca="false">IF(OR(Tasks[[#This Row],[Task Name]]="",Tasks[[#This Row],[Baseline Work]]=""),"",Tasks[[#This Row],[Work]]-N(Tasks[[#This Row],[Baseline Work]]))</f>
        <v/>
      </c>
      <c r="BN20" s="111" t="str">
        <f aca="false">IF(OR(Tasks[[#This Row],[Task Name]]="",Tasks[[#This Row],[Baseline Cost]]=""),"",Tasks[[#This Row],[Cost]]-N(Tasks[[#This Row],[Baseline Cost]]))</f>
        <v/>
      </c>
      <c r="BO20" s="111" t="n">
        <f aca="false">IF(Tasks[[#This Row],[Task Name]]="","",IF(Tasks[[#This Row],[_IsSummary]],SUM(INDEX(Tasks[_LeafBudget],Tasks[[#This Row],[_Row]]+1):INDEX(Tasks[_LeafBudget],Tasks[[#This Row],[_Row]]+Tasks[[#This Row],[_Descendants]])),Tasks[[#This Row],[_LeafBudget]]))</f>
        <v>16020</v>
      </c>
      <c r="BP20" s="111" t="n">
        <f aca="false">IF(Tasks[[#This Row],[Task Name]]="","",IF(Tasks[[#This Row],[_IsSummary]],SUM(INDEX(Tasks[_LeafPV],Tasks[[#This Row],[_Row]]+1):INDEX(Tasks[_LeafPV],Tasks[[#This Row],[_Row]]+Tasks[[#This Row],[_Descendants]])),Tasks[[#This Row],[_LeafPV]]))</f>
        <v>12300</v>
      </c>
      <c r="BQ20" s="111" t="n">
        <f aca="false">IF(Tasks[[#This Row],[Task Name]]="","",IF(Tasks[[#This Row],[_IsSummary]],SUM(INDEX(Tasks[_LeafEV],Tasks[[#This Row],[_Row]]+1):INDEX(Tasks[_LeafEV],Tasks[[#This Row],[_Row]]+Tasks[[#This Row],[_Descendants]])),Tasks[[#This Row],[_LeafEV]]))</f>
        <v>6660</v>
      </c>
      <c r="BR20" s="111" t="n">
        <f aca="false">IF(Tasks[[#This Row],[Task Name]]="","",IF(Tasks[[#This Row],[_IsSummary]],SUM(INDEX(Tasks[_LeafAC],Tasks[[#This Row],[_Row]]+1):INDEX(Tasks[_LeafAC],Tasks[[#This Row],[_Row]]+Tasks[[#This Row],[_Descendants]])),Tasks[[#This Row],[_LeafAC]]))</f>
        <v>6660</v>
      </c>
      <c r="BS20" s="32" t="n">
        <f aca="false">IF(Tasks[[#This Row],[Task Name]]="","",MAX(1,N(Tasks[[#This Row],[Level]])))</f>
        <v>2</v>
      </c>
      <c r="BT20" s="32" t="n">
        <f aca="false">ROW()-ROW(Tasks[[#Headers],[ID]])</f>
        <v>15</v>
      </c>
      <c r="BU20" s="32" t="n">
        <f aca="false">IF(OR(Tasks[[#This Row],[Task Name]]="",Tasks[[#This Row],[_Level]]&lt;=1),0,IFERROR(LOOKUP(2,1/(Tasks[[#Headers],[_Level]]:Tasks[[#This Row],[_Level]]=Tasks[[#This Row],[_Level]]-1),ROW(Tasks[[#Headers],[_Level]]:Tasks[[#This Row],[_Level]])),0))</f>
        <v>15</v>
      </c>
      <c r="BV20" s="32" t="n">
        <f aca="false">IFERROR(N(INDEX(Tasks[_Level],Tasks[[#This Row],[_Row]]+1)),0)</f>
        <v>3</v>
      </c>
      <c r="BW20" s="114" t="b">
        <f aca="false">AND(Tasks[[#This Row],[Task Name]]&lt;&gt;"",Tasks[[#This Row],[_NextLevel]]&gt;Tasks[[#This Row],[_Level]])</f>
        <v>1</v>
      </c>
      <c r="BX20" s="32" t="n">
        <f aca="false">IF(Tasks[[#This Row],[_IsSummary]],COUNTIF(Tasks[WBS],Tasks[[#This Row],[WBS]]&amp;".*"),0)</f>
        <v>3</v>
      </c>
      <c r="BY20" s="32" t="n">
        <f aca="false">IF(AND(Tasks[[#This Row],[Task Name]]&lt;&gt;"",NOT(Tasks[[#This Row],[_IsSummary]])),1,0)</f>
        <v>0</v>
      </c>
      <c r="BZ20" s="32" t="n">
        <f aca="false">IF(N(Tasks[[#This Row],[Pred1 UID]])=0,0,IFERROR(MATCH(Tasks[[#This Row],[Pred1 UID]],Tasks[UID],0),-1))</f>
        <v>0</v>
      </c>
      <c r="CA20" s="32" t="n">
        <f aca="false">IF(N(Tasks[[#This Row],[Pred2 UID]])=0,0,IFERROR(MATCH(Tasks[[#This Row],[Pred2 UID]],Tasks[UID],0),-1))</f>
        <v>0</v>
      </c>
      <c r="CB20" s="32" t="n">
        <f aca="false">IF(N(Tasks[[#This Row],[Pred3 UID]])=0,0,IFERROR(MATCH(Tasks[[#This Row],[Pred3 UID]],Tasks[UID],0),-1))</f>
        <v>0</v>
      </c>
      <c r="CC20" s="32" t="n">
        <f aca="false">IF(N(Tasks[[#This Row],[Pred4 UID]])=0,0,IFERROR(MATCH(Tasks[[#This Row],[Pred4 UID]],Tasks[UID],0),-1))</f>
        <v>0</v>
      </c>
      <c r="CD2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 s="115" t="n">
        <f aca="false">IF(OR(Tasks[[#This Row],[_ConstraintCode]]=2,Tasks[[#This Row],[_ConstraintCode]]=3,Tasks[[#This Row],[_ConstraintCode]]=4,Tasks[[#This Row],[_ConstraintCode]]=6),Tasks[[#This Row],[_ConstraintStart]],0)</f>
        <v>0</v>
      </c>
      <c r="CG20" s="115" t="n">
        <f aca="false">IF(OR(Tasks[[#This Row],[_ConstraintCode]]=2,Tasks[[#This Row],[_ConstraintCode]]=3,Tasks[[#This Row],[_ConstraintCode]]=5,Tasks[[#This Row],[_ConstraintCode]]=7),Tasks[[#This Row],[_ConstraintStart]],2958465)</f>
        <v>2958465</v>
      </c>
      <c r="CH2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 s="115" t="str">
        <f aca="false">IF(NOT(Tasks[[#This Row],[_IsLeaf]]=1),"",IF(N(Tasks[[#This Row],[Duration]])&lt;=0,Tasks[[#This Row],[_LeafCalcStart]],WORKDAY.INTL(Tasks[[#This Row],[_LeafCalcStart]],Tasks[[#This Row],[Duration]]-1,WorkWeek,Holidays)))</f>
        <v/>
      </c>
      <c r="CJ2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 s="32" t="n">
        <f aca="false">IF(NOT(Tasks[[#This Row],[_IsLeaf]]=1),0,IF(N(Tasks[[#This Row],[Actual Finish]])&gt;0,1,MIN(1,N(Tasks[[#This Row],[% Complete]]))))</f>
        <v>0</v>
      </c>
      <c r="CM20" s="32" t="n">
        <f aca="false">IF(OR(NOT(Tasks[[#This Row],[_IsLeaf]]=1),Tasks[[#This Row],[Resource]]=""),0,N(Tasks[[#This Row],[Duration]])*HoursPerDay*IF(Tasks[[#This Row],[Units]]="",DefaultUnits,Tasks[[#This Row],[Units]]))</f>
        <v>0</v>
      </c>
      <c r="CN20" s="32" t="n">
        <f aca="false">IF(Tasks[[#This Row],[_LeafWork]]=0,0,Tasks[[#This Row],[_LeafWork]]*IFERROR(INDEX(res_Rate,MATCH(Tasks[[#This Row],[Resource]],res_Name,0)),0))</f>
        <v>0</v>
      </c>
      <c r="CO20" s="32" t="n">
        <f aca="false">Tasks[[#This Row],[_LeafWork]]+IF(Tasks[[#This Row],[_IsLeaf]]=1,SUMIFS(asg_Work,asg_TaskUID,Tasks[[#This Row],[UID]],asg_Valid,1),0)</f>
        <v>0</v>
      </c>
      <c r="CP20" s="32" t="n">
        <f aca="false">Tasks[[#This Row],[_LeafCost]]+IF(Tasks[[#This Row],[_IsLeaf]]=1,SUMIFS(asg_Cost,asg_TaskUID,Tasks[[#This Row],[UID]],asg_Valid,1),0)</f>
        <v>0</v>
      </c>
      <c r="CQ20" s="32" t="n">
        <f aca="false">IF(Tasks[[#This Row],[_LeafTotalCost]]=0,Tasks[[#This Row],[_LeafAC]],Tasks[[#This Row],[_LeafAC]]*Tasks[[#This Row],[_LeafCost]]/Tasks[[#This Row],[_LeafTotalCost]])</f>
        <v>0</v>
      </c>
      <c r="CR2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 s="32" t="n">
        <f aca="false">IF(NOT(Tasks[[#This Row],[_IsLeaf]]=1),0,MAX(_xlfn.MAXIFS(Tasks[_Row],Tasks[Pred1 UID],Tasks[[#This Row],[UID]]),_xlfn.MAXIFS(Tasks[_Row],Tasks[Pred2 UID],Tasks[[#This Row],[UID]]),_xlfn.MAXIFS(Tasks[_Row],Tasks[Pred3 UID],Tasks[[#This Row],[UID]]),_xlfn.MAXIFS(Tasks[_Row],Tasks[Pred4 UID],Tasks[[#This Row],[UID]])))</f>
        <v>0</v>
      </c>
      <c r="DA2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 s="115" t="str">
        <f aca="false">IF(NOT(Tasks[[#This Row],[_IsLeaf]]=1),"",IF(N(Tasks[[#This Row],[Duration]])&lt;=0,Tasks[[#This Row],[_LeafLateFinish]],WORKDAY.INTL(Tasks[[#This Row],[_LeafLateFinish]],-(Tasks[[#This Row],[Duration]]-1),WorkWeek,Holidays)))</f>
        <v/>
      </c>
      <c r="DD2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 s="114" t="b">
        <f aca="false">AND(Tasks[[#This Row],[_IsLeaf]]=1,Tasks[[#This Row],[_LeafProgress]]&lt;1,N(Tasks[[#This Row],[_LeafTotalSlack]])&lt;=CriticalSlackDays)</f>
        <v>0</v>
      </c>
      <c r="DF20" s="32" t="n">
        <f aca="false">IF(AND(Tasks[[#This Row],[_IsLeaf]]=1,Tasks[[#This Row],[_ConstraintCode]]=1,Tasks[[#This Row],[Mode]]&lt;&gt;"Manual",N(Tasks[[#This Row],[Actual Start]])=0),MAX(0,N(Tasks[[#This Row],[Free Slack]])),0)</f>
        <v>0</v>
      </c>
      <c r="DG20" s="115" t="str">
        <f aca="false">IF(NOT(Tasks[[#This Row],[_IsLeaf]]=1),"",IF(Tasks[[#This Row],[_AlapShift]]=0,Tasks[[#This Row],[_LeafCalcStart]],WORKDAY.INTL(Tasks[[#This Row],[_LeafCalcStart]],Tasks[[#This Row],[_AlapShift]],WorkWeek,Holidays)))</f>
        <v/>
      </c>
      <c r="DH20" s="115" t="str">
        <f aca="false">IF(NOT(Tasks[[#This Row],[_IsLeaf]]=1),"",IF(Tasks[[#This Row],[_AlapShift]]=0,Tasks[[#This Row],[_LeafCalcFinish]],WORKDAY.INTL(Tasks[[#This Row],[_LeafCalcFinish]],Tasks[[#This Row],[_AlapShift]],WorkWeek,Holidays)))</f>
        <v/>
      </c>
      <c r="DI20" s="115" t="str">
        <f aca="false">IF(NOT(Tasks[[#This Row],[_IsLeaf]]=1),"",IF(Tasks[[#This Row],[_AlapShift]]=0,Tasks[[#This Row],[_LeafFcstStart]],WORKDAY.INTL(Tasks[[#This Row],[_LeafFcstStart]],Tasks[[#This Row],[_AlapShift]],WorkWeek,Holidays)))</f>
        <v/>
      </c>
      <c r="DJ20" s="115" t="str">
        <f aca="false">IF(NOT(Tasks[[#This Row],[_IsLeaf]]=1),"",IF(Tasks[[#This Row],[_AlapShift]]=0,Tasks[[#This Row],[_LeafFcstFinish]],WORKDAY.INTL(Tasks[[#This Row],[_LeafFcstFinish]],Tasks[[#This Row],[_AlapShift]],WorkWeek,Holidays)))</f>
        <v/>
      </c>
      <c r="DK20" s="115" t="n">
        <f aca="false">IF(Tasks[[#This Row],[Task Name]]="","",IF(Tasks[[#This Row],[_IsSummary]],MIN(INDEX(Tasks[_ShownCalcStart],Tasks[[#This Row],[_Row]]+1):INDEX(Tasks[_ShownCalcStart],Tasks[[#This Row],[_Row]]+Tasks[[#This Row],[_Descendants]])),Tasks[[#This Row],[_ShownCalcStart]]))</f>
        <v>46297</v>
      </c>
      <c r="DL20" s="115" t="n">
        <f aca="false">IF(Tasks[[#This Row],[Task Name]]="","",IF(Tasks[[#This Row],[_IsSummary]],MAX(INDEX(Tasks[_ShownCalcFinish],Tasks[[#This Row],[_Row]]+1):INDEX(Tasks[_ShownCalcFinish],Tasks[[#This Row],[_Row]]+Tasks[[#This Row],[_Descendants]])),Tasks[[#This Row],[_ShownCalcFinish]]))</f>
        <v>46324</v>
      </c>
      <c r="DM2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 s="32" t="n">
        <f aca="false">IF(AND(Tasks[[#This Row],[_IsLeaf]]=1,Tasks[[#This Row],[_LeafTotalWork]]&gt;0),NETWORKDAYS.INTL(ProjectStart,Tasks[[#This Row],[_ShownFcstStart]],WorkWeek,Holidays),0)</f>
        <v>0</v>
      </c>
      <c r="DZ20" s="32" t="n">
        <f aca="false">IF(AND(Tasks[[#This Row],[_IsLeaf]]=1,Tasks[[#This Row],[_LeafTotalWork]]&gt;0),MAX(Tasks[[#This Row],[_StartWorkday]],NETWORKDAYS.INTL(ProjectStart,Tasks[[#This Row],[_ShownFcstFinish]],WorkWeek,Holidays)),0)</f>
        <v>0</v>
      </c>
      <c r="EA20" s="32" t="n">
        <f aca="false">IF(AND(Tasks[[#This Row],[_IsLeaf]]=1,Tasks[[#This Row],[_LeafTotalWork]]&gt;0),Tasks[[#This Row],[_LeafWork]]/(Tasks[[#This Row],[_FinishWorkday]]-Tasks[[#This Row],[_StartWorkday]]+1),0)</f>
        <v>0</v>
      </c>
      <c r="EB20" s="32" t="n">
        <f aca="false">Tasks[[#This Row],[_WorkPerWorkday]]*(Tasks[[#This Row],[_StartWorkday]]-1)</f>
        <v>-0</v>
      </c>
      <c r="EC20" s="32" t="n">
        <f aca="false">IF(Tasks[[#This Row],[_IsLeaf]]=1,MAX(N(Tasks[[#This Row],[Duration]]),0.1),0)</f>
        <v>0</v>
      </c>
      <c r="ED20" s="32" t="n">
        <f aca="false">Tasks[[#This Row],[_WeightDur]]*Tasks[[#This Row],[_LeafProgress]]</f>
        <v>0</v>
      </c>
      <c r="EE2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 s="32" t="str">
        <f aca="false">IF(AND(Tasks[[#This Row],[_IsLeaf]]=1,N(Tasks[[#This Row],[Duration]])=0,Tasks[[#This Row],[_LeafProgress]]&lt;1),Tasks[[#This Row],[_ShownFcstFinish]]+Tasks[[#This Row],[_Row]]/100000,"")</f>
        <v/>
      </c>
      <c r="EG2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 s="32" t="n">
        <f aca="false">IF(NOT(Tasks[[#This Row],[_IsLeaf]]=1),0,IF(Tasks[[#This Row],[Baseline Cost]]="",Tasks[[#This Row],[_LeafTotalCost]],N(Tasks[[#This Row],[Baseline Cost]])))</f>
        <v>0</v>
      </c>
      <c r="EI20" s="32" t="n">
        <f aca="false">Tasks[[#This Row],[_LeafBudget]]*Tasks[[#This Row],[_PlannedPct]]</f>
        <v>0</v>
      </c>
      <c r="EJ20" s="32" t="n">
        <f aca="false">Tasks[[#This Row],[_LeafBudget]]*Tasks[[#This Row],[_LeafProgress]]</f>
        <v>0</v>
      </c>
      <c r="EK20" s="32" t="n">
        <f aca="false">IF(NOT(Tasks[[#This Row],[_IsLeaf]]=1),0,IF(Tasks[[#This Row],[Actual Cost]]="",Tasks[[#This Row],[_LeafTotalCost]]*Tasks[[#This Row],[_LeafProgress]],N(Tasks[[#This Row],[Actual Cost]])))</f>
        <v>0</v>
      </c>
      <c r="EL20" s="32" t="str">
        <f aca="false">IF(Tasks[[#This Row],[Task Name]]="","",LEFT(Tasks[[#This Row],[WBS]],FIND(".",Tasks[[#This Row],[WBS]]&amp;".")-1))</f>
        <v>3</v>
      </c>
      <c r="EM20" s="32" t="str">
        <f aca="false">IF(AND(Tasks[[#This Row],[Task Name]]&lt;&gt;"",Tasks[[#This Row],[_Level]]=1),Tasks[[#This Row],[_Row]],"")</f>
        <v/>
      </c>
      <c r="EN20" s="32" t="str">
        <f aca="false">IF(AND(Tasks[[#This Row],[_IsLeaf]]=1,N(Tasks[[#This Row],[Duration]])=0),Tasks[[#This Row],[Planned Finish]]+Tasks[[#This Row],[_Row]]/100000,"")</f>
        <v/>
      </c>
      <c r="EO20" s="32" t="str">
        <f aca="false">IF(AND(Tasks[[#This Row],[_IsLeaf]]=1,Tasks[[#This Row],[_LeafProgress]]&lt;1,OR(N(Tasks[[#This Row],[Finish Var]])&gt;0,Tasks[[#This Row],[Status]]="Late Start")),MAX(0,Tasks[[#This Row],[Finish Var]])+1-Tasks[[#This Row],[_Row]]/1000000,"")</f>
        <v/>
      </c>
      <c r="EP20" s="32" t="str">
        <f aca="false">IF(AND(Tasks[[#This Row],[_IsLeaf]]=1,N(Tasks[[#This Row],[Actual Start]])=0,Tasks[[#This Row],[_ShownFcstStart]]&gt;=StatusDate,Tasks[[#This Row],[_ShownFcstStart]]&lt;=LookaheadEnd),Tasks[[#This Row],[_ShownFcstStart]]+Tasks[[#This Row],[_Row]]/100000,"")</f>
        <v/>
      </c>
      <c r="EQ20" s="32" t="str">
        <f aca="false">IF(AND(Tasks[[#This Row],[_IsLeaf]]=1,Tasks[[#This Row],[_LeafProgress]]&lt;1,Tasks[[#This Row],[_ShownFcstFinish]]&gt;=StatusDate,Tasks[[#This Row],[_ShownFcstFinish]]&lt;=LookaheadEnd),Tasks[[#This Row],[_ShownFcstFinish]]+Tasks[[#This Row],[_Row]]/100000,"")</f>
        <v/>
      </c>
      <c r="ER20" s="32" t="str">
        <f aca="false">IF(Tasks[[#This Row],[_LeafCritical]],Tasks[[#This Row],[_ShownFcstStart]]+Tasks[[#This Row],[_Row]]/100000,"")</f>
        <v/>
      </c>
      <c r="ES20" s="32" t="n">
        <f aca="false">Tasks[[#This Row],[_LeafWork]]*Tasks[[#This Row],[_LeafProgress]]</f>
        <v>0</v>
      </c>
      <c r="ET20" s="115" t="str">
        <f aca="false">IF(AND(Tasks[[#This Row],[_IsLeaf]]=1,Tasks[[#This Row],[_LeafProgress]]&gt;=1),IF(N(Tasks[[#This Row],[Actual Finish]])&gt;0,Tasks[[#This Row],[Actual Finish]],Tasks[[#This Row],[_ShownFcstFinish]]),"")</f>
        <v/>
      </c>
      <c r="EU20" s="32" t="n">
        <f aca="false">IF(Tasks[[#This Row],[_IsLeaf]]=1,N(Tasks[[#This Row],[Story Points]]),0)</f>
        <v>0</v>
      </c>
      <c r="EV20" s="32" t="str">
        <f aca="false">IF(AND(Tasks[[#This Row],[_IsLeaf]]=1,CurrentSprint&lt;&gt;"",Tasks[[#This Row],[Sprint]]=CurrentSprint),Tasks[[#This Row],[_Row]],"")</f>
        <v/>
      </c>
    </row>
    <row r="21" customFormat="false" ht="15" hidden="false" customHeight="false" outlineLevel="2" collapsed="false">
      <c r="A21" s="45" t="n">
        <f aca="false">IF(Tasks[[#This Row],[Task Name]]="","",COUNTA(Tasks[[#Headers],[Task Name]]:Tasks[[#This Row],[Task Name]])-1)</f>
        <v>16</v>
      </c>
      <c r="B21" s="46" t="n">
        <v>16</v>
      </c>
      <c r="C2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3.2.1</v>
      </c>
      <c r="D21" s="46" t="n">
        <v>3</v>
      </c>
      <c r="E21" s="45" t="str">
        <f aca="false">IF(Tasks[[#This Row],[Task Name]]="","",IF(Tasks[[#This Row],[_Level]]&lt;=OutlineShowLevel,"Yes","No"))</f>
        <v>Yes</v>
      </c>
      <c r="F21" s="47" t="s">
        <v>666</v>
      </c>
      <c r="G21" s="46" t="s">
        <v>642</v>
      </c>
      <c r="H21" s="46" t="n">
        <v>6</v>
      </c>
      <c r="I21" s="46" t="n">
        <v>9</v>
      </c>
      <c r="J21" s="46" t="s">
        <v>647</v>
      </c>
      <c r="K21" s="46"/>
      <c r="L21" s="46"/>
      <c r="M21" s="46"/>
      <c r="N21" s="46"/>
      <c r="O21" s="46"/>
      <c r="P21" s="46"/>
      <c r="Q21" s="46"/>
      <c r="R21" s="46"/>
      <c r="S21" s="46"/>
      <c r="T21" s="46"/>
      <c r="U21" s="47"/>
      <c r="V21" s="88"/>
      <c r="W21" s="88"/>
      <c r="X21" s="25" t="n">
        <f aca="false">IF(Tasks[[#This Row],[Task Name]]="","",IF(N(Tasks[[#This Row],[Baseline Start]])&gt;0,Tasks[[#This Row],[Baseline Start]],Tasks[[#This Row],[_CalcStart]]))</f>
        <v>46297</v>
      </c>
      <c r="Y21" s="25" t="n">
        <f aca="false">IF(Tasks[[#This Row],[Task Name]]="","",IF(N(Tasks[[#This Row],[Baseline Finish]])&gt;0,Tasks[[#This Row],[Baseline Finish]],Tasks[[#This Row],[_CalcFinish]]))</f>
        <v>46304</v>
      </c>
      <c r="Z21" s="88" t="n">
        <v>46302</v>
      </c>
      <c r="AA21" s="88" t="n">
        <v>46311</v>
      </c>
      <c r="AB21" s="25" t="n">
        <f aca="false">IF(Tasks[[#This Row],[Task Name]]="","",IF(Tasks[[#This Row],[_IsSummary]],MIN(INDEX(Tasks[_ShownFcstStart],Tasks[[#This Row],[_Row]]+1):INDEX(Tasks[_ShownFcstStart],Tasks[[#This Row],[_Row]]+Tasks[[#This Row],[_Descendants]])),Tasks[[#This Row],[_ShownFcstStart]]))</f>
        <v>46302</v>
      </c>
      <c r="AC21" s="25" t="n">
        <f aca="false">IF(Tasks[[#This Row],[Task Name]]="","",IF(Tasks[[#This Row],[_IsSummary]],MAX(INDEX(Tasks[_ShownFcstFinish],Tasks[[#This Row],[_Row]]+1):INDEX(Tasks[_ShownFcstFinish],Tasks[[#This Row],[_Row]]+Tasks[[#This Row],[_Descendants]])),Tasks[[#This Row],[_ShownFcstFinish]]))</f>
        <v>46311</v>
      </c>
      <c r="AD21" s="56" t="n">
        <f aca="false">IF(Tasks[[#This Row],[Task Name]]="","",IF(Tasks[[#This Row],[Forecast Start]]&gt;=Tasks[[#This Row],[Planned Start]],NETWORKDAYS.INTL(Tasks[[#This Row],[Planned Start]],Tasks[[#This Row],[Forecast Start]],WorkWeek,Holidays)-1,1-NETWORKDAYS.INTL(Tasks[[#This Row],[Forecast Start]],Tasks[[#This Row],[Planned Start]],WorkWeek,Holidays)))</f>
        <v>3</v>
      </c>
      <c r="AE21" s="56" t="n">
        <f aca="false">IF(Tasks[[#This Row],[Task Name]]="","",IF(Tasks[[#This Row],[Forecast Finish]]&gt;=Tasks[[#This Row],[Planned Finish]],NETWORKDAYS.INTL(Tasks[[#This Row],[Planned Finish]],Tasks[[#This Row],[Forecast Finish]],WorkWeek,Holidays)-1,1-NETWORKDAYS.INTL(Tasks[[#This Row],[Forecast Finish]],Tasks[[#This Row],[Planned Finish]],WorkWeek,Holidays)))</f>
        <v>5</v>
      </c>
      <c r="AF21" s="25" t="n">
        <f aca="false">IF(Tasks[[#This Row],[Task Name]]="","",IF(Tasks[[#This Row],[_IsSummary]],MIN(INDEX(Tasks[_LeafLateStart],Tasks[[#This Row],[_Row]]+1):INDEX(Tasks[_LeafLateStart],Tasks[[#This Row],[_Row]]+Tasks[[#This Row],[_Descendants]])),Tasks[[#This Row],[_LeafLateStart]]))</f>
        <v>46308</v>
      </c>
      <c r="AG21" s="25" t="n">
        <f aca="false">IF(Tasks[[#This Row],[Task Name]]="","",IF(Tasks[[#This Row],[_IsSummary]],MAX(INDEX(Tasks[_LeafLateFinish],Tasks[[#This Row],[_Row]]+1):INDEX(Tasks[_LeafLateFinish],Tasks[[#This Row],[_Row]]+Tasks[[#This Row],[_Descendants]])),Tasks[[#This Row],[_LeafLateFinish]]))</f>
        <v>46315</v>
      </c>
      <c r="AH21" s="56" t="n">
        <f aca="false">IF(Tasks[[#This Row],[Task Name]]="","",IF(Tasks[[#This Row],[_IsSummary]],MIN(INDEX(Tasks[_LeafTotalSlack],Tasks[[#This Row],[_Row]]+1):INDEX(Tasks[_LeafTotalSlack],Tasks[[#This Row],[_Row]]+Tasks[[#This Row],[_Descendants]])),Tasks[[#This Row],[_LeafTotalSlack]]))</f>
        <v>2</v>
      </c>
      <c r="AI21"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1" s="45" t="str">
        <f aca="false">IF(Tasks[[#This Row],[Task Name]]="","",IF(IF(Tasks[[#This Row],[_IsSummary]],COUNTIF(INDEX(Tasks[_LeafCritical],Tasks[[#This Row],[_Row]]+1):INDEX(Tasks[_LeafCritical],Tasks[[#This Row],[_Row]]+Tasks[[#This Row],[_Descendants]]),TRUE())&gt;0,Tasks[[#This Row],[_LeafCritical]]),"Yes",""))</f>
        <v/>
      </c>
      <c r="AK2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1" s="102" t="n">
        <v>1</v>
      </c>
      <c r="AN21"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O21" s="45" t="str">
        <f aca="false">IF(Tasks[[#This Row],[Task Name]]="","",IF(Tasks[[#This Row],[Progress]]&gt;=1,"Complete",IF(OR(N(Tasks[[#This Row],[Actual Start]])&gt;0,Tasks[[#This Row],[Progress]]&gt;0),IF(Tasks[[#This Row],[Finish Var]]&gt;0,"Behind","In Progress"),IF(Tasks[[#This Row],[Planned Start]]&lt;StatusDate,"Late Start","Not Started"))))</f>
        <v>Complete</v>
      </c>
      <c r="AP21" s="47" t="s">
        <v>667</v>
      </c>
      <c r="AQ21" s="102"/>
      <c r="AR2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Sam Rivera</v>
      </c>
      <c r="AS2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1" s="110" t="n">
        <f aca="false">IF(Tasks[[#This Row],[Task Name]]="","",IF(Tasks[[#This Row],[_IsSummary]],SUM(INDEX(Tasks[_LeafTotalWork],Tasks[[#This Row],[_Row]]+1):INDEX(Tasks[_LeafTotalWork],Tasks[[#This Row],[_Row]]+Tasks[[#This Row],[_Descendants]])),Tasks[[#This Row],[_LeafTotalWork]]))</f>
        <v>48</v>
      </c>
      <c r="AU21" s="111" t="n">
        <f aca="false">IF(Tasks[[#This Row],[Task Name]]="","",IF(Tasks[[#This Row],[_IsSummary]],SUM(INDEX(Tasks[_LeafTotalCost],Tasks[[#This Row],[_Row]]+1):INDEX(Tasks[_LeafTotalCost],Tasks[[#This Row],[_Row]]+Tasks[[#This Row],[_Descendants]])),Tasks[[#This Row],[_LeafTotalCost]]))</f>
        <v>3840</v>
      </c>
      <c r="AV21" s="112"/>
      <c r="AW21" s="46"/>
      <c r="AX2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3</v>
      </c>
      <c r="AY21" s="96" t="n">
        <v>5</v>
      </c>
      <c r="AZ2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9</v>
      </c>
      <c r="BA21" s="47"/>
      <c r="BB21" s="25" t="n">
        <f aca="false">IF(Tasks[[#This Row],[Task Name]]="","",Tasks[[#This Row],[Forecast Start]])</f>
        <v>46302</v>
      </c>
      <c r="BC21" s="25" t="n">
        <f aca="false">IF(Tasks[[#This Row],[Task Name]]="","",Tasks[[#This Row],[Forecast Finish]])</f>
        <v>46311</v>
      </c>
      <c r="BD21" s="45" t="n">
        <f aca="false">IF(Tasks[[#This Row],[Task Name]]="","",IF(Tasks[[#This Row],[_IsSummary]],NETWORKDAYS.INTL(Tasks[[#This Row],[Forecast Start]],Tasks[[#This Row],[Forecast Finish]],WorkWeek,Holidays),N(Tasks[[#This Row],[Duration]])))</f>
        <v>6</v>
      </c>
      <c r="BE21" s="110" t="n">
        <f aca="false">IF(Tasks[[#This Row],[Task Name]]="","",Tasks[[#This Row],[Work]])</f>
        <v>48</v>
      </c>
      <c r="BF21" s="111" t="n">
        <f aca="false">IF(Tasks[[#This Row],[Task Name]]="","",Tasks[[#This Row],[Cost]])</f>
        <v>3840</v>
      </c>
      <c r="BG21" s="88"/>
      <c r="BH21" s="88"/>
      <c r="BI21" s="46"/>
      <c r="BJ21" s="113"/>
      <c r="BK21" s="112"/>
      <c r="BL21" s="45" t="str">
        <f aca="false">IF(OR(Tasks[[#This Row],[Task Name]]="",Tasks[[#This Row],[Baseline Duration]]=""),"",Tasks[[#This Row],[BL Source Duration]]-N(Tasks[[#This Row],[Baseline Duration]]))</f>
        <v/>
      </c>
      <c r="BM21" s="110" t="str">
        <f aca="false">IF(OR(Tasks[[#This Row],[Task Name]]="",Tasks[[#This Row],[Baseline Work]]=""),"",Tasks[[#This Row],[Work]]-N(Tasks[[#This Row],[Baseline Work]]))</f>
        <v/>
      </c>
      <c r="BN21" s="111" t="str">
        <f aca="false">IF(OR(Tasks[[#This Row],[Task Name]]="",Tasks[[#This Row],[Baseline Cost]]=""),"",Tasks[[#This Row],[Cost]]-N(Tasks[[#This Row],[Baseline Cost]]))</f>
        <v/>
      </c>
      <c r="BO21" s="111" t="n">
        <f aca="false">IF(Tasks[[#This Row],[Task Name]]="","",IF(Tasks[[#This Row],[_IsSummary]],SUM(INDEX(Tasks[_LeafBudget],Tasks[[#This Row],[_Row]]+1):INDEX(Tasks[_LeafBudget],Tasks[[#This Row],[_Row]]+Tasks[[#This Row],[_Descendants]])),Tasks[[#This Row],[_LeafBudget]]))</f>
        <v>3840</v>
      </c>
      <c r="BP21" s="111" t="n">
        <f aca="false">IF(Tasks[[#This Row],[Task Name]]="","",IF(Tasks[[#This Row],[_IsSummary]],SUM(INDEX(Tasks[_LeafPV],Tasks[[#This Row],[_Row]]+1):INDEX(Tasks[_LeafPV],Tasks[[#This Row],[_Row]]+Tasks[[#This Row],[_Descendants]])),Tasks[[#This Row],[_LeafPV]]))</f>
        <v>3840</v>
      </c>
      <c r="BQ21" s="111" t="n">
        <f aca="false">IF(Tasks[[#This Row],[Task Name]]="","",IF(Tasks[[#This Row],[_IsSummary]],SUM(INDEX(Tasks[_LeafEV],Tasks[[#This Row],[_Row]]+1):INDEX(Tasks[_LeafEV],Tasks[[#This Row],[_Row]]+Tasks[[#This Row],[_Descendants]])),Tasks[[#This Row],[_LeafEV]]))</f>
        <v>3840</v>
      </c>
      <c r="BR21" s="111" t="n">
        <f aca="false">IF(Tasks[[#This Row],[Task Name]]="","",IF(Tasks[[#This Row],[_IsSummary]],SUM(INDEX(Tasks[_LeafAC],Tasks[[#This Row],[_Row]]+1):INDEX(Tasks[_LeafAC],Tasks[[#This Row],[_Row]]+Tasks[[#This Row],[_Descendants]])),Tasks[[#This Row],[_LeafAC]]))</f>
        <v>3840</v>
      </c>
      <c r="BS21" s="32" t="n">
        <f aca="false">IF(Tasks[[#This Row],[Task Name]]="","",MAX(1,N(Tasks[[#This Row],[Level]])))</f>
        <v>3</v>
      </c>
      <c r="BT21" s="32" t="n">
        <f aca="false">ROW()-ROW(Tasks[[#Headers],[ID]])</f>
        <v>16</v>
      </c>
      <c r="BU21" s="32" t="n">
        <f aca="false">IF(OR(Tasks[[#This Row],[Task Name]]="",Tasks[[#This Row],[_Level]]&lt;=1),0,IFERROR(LOOKUP(2,1/(Tasks[[#Headers],[_Level]]:Tasks[[#This Row],[_Level]]=Tasks[[#This Row],[_Level]]-1),ROW(Tasks[[#Headers],[_Level]]:Tasks[[#This Row],[_Level]])),0))</f>
        <v>20</v>
      </c>
      <c r="BV21" s="32" t="n">
        <f aca="false">IFERROR(N(INDEX(Tasks[_Level],Tasks[[#This Row],[_Row]]+1)),0)</f>
        <v>3</v>
      </c>
      <c r="BW21" s="114" t="b">
        <f aca="false">AND(Tasks[[#This Row],[Task Name]]&lt;&gt;"",Tasks[[#This Row],[_NextLevel]]&gt;Tasks[[#This Row],[_Level]])</f>
        <v>0</v>
      </c>
      <c r="BX21" s="32" t="n">
        <f aca="false">IF(Tasks[[#This Row],[_IsSummary]],COUNTIF(Tasks[WBS],Tasks[[#This Row],[WBS]]&amp;".*"),0)</f>
        <v>0</v>
      </c>
      <c r="BY21" s="32" t="n">
        <f aca="false">IF(AND(Tasks[[#This Row],[Task Name]]&lt;&gt;"",NOT(Tasks[[#This Row],[_IsSummary]])),1,0)</f>
        <v>1</v>
      </c>
      <c r="BZ21" s="32" t="n">
        <f aca="false">IF(N(Tasks[[#This Row],[Pred1 UID]])=0,0,IFERROR(MATCH(Tasks[[#This Row],[Pred1 UID]],Tasks[UID],0),-1))</f>
        <v>9</v>
      </c>
      <c r="CA21" s="32" t="n">
        <f aca="false">IF(N(Tasks[[#This Row],[Pred2 UID]])=0,0,IFERROR(MATCH(Tasks[[#This Row],[Pred2 UID]],Tasks[UID],0),-1))</f>
        <v>0</v>
      </c>
      <c r="CB21" s="32" t="n">
        <f aca="false">IF(N(Tasks[[#This Row],[Pred3 UID]])=0,0,IFERROR(MATCH(Tasks[[#This Row],[Pred3 UID]],Tasks[UID],0),-1))</f>
        <v>0</v>
      </c>
      <c r="CC21" s="32" t="n">
        <f aca="false">IF(N(Tasks[[#This Row],[Pred4 UID]])=0,0,IFERROR(MATCH(Tasks[[#This Row],[Pred4 UID]],Tasks[UID],0),-1))</f>
        <v>0</v>
      </c>
      <c r="CD21"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1" s="115" t="n">
        <f aca="false">IF(OR(Tasks[[#This Row],[_ConstraintCode]]=2,Tasks[[#This Row],[_ConstraintCode]]=3,Tasks[[#This Row],[_ConstraintCode]]=4,Tasks[[#This Row],[_ConstraintCode]]=6),Tasks[[#This Row],[_ConstraintStart]],0)</f>
        <v>0</v>
      </c>
      <c r="CG21" s="115" t="n">
        <f aca="false">IF(OR(Tasks[[#This Row],[_ConstraintCode]]=2,Tasks[[#This Row],[_ConstraintCode]]=3,Tasks[[#This Row],[_ConstraintCode]]=5,Tasks[[#This Row],[_ConstraintCode]]=7),Tasks[[#This Row],[_ConstraintStart]],2958465)</f>
        <v>2958465</v>
      </c>
      <c r="CH21"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CI21" s="115" t="n">
        <f aca="false">IF(NOT(Tasks[[#This Row],[_IsLeaf]]=1),"",IF(N(Tasks[[#This Row],[Duration]])&lt;=0,Tasks[[#This Row],[_LeafCalcStart]],WORKDAY.INTL(Tasks[[#This Row],[_LeafCalcStart]],Tasks[[#This Row],[Duration]]-1,WorkWeek,Holidays)))</f>
        <v>46304</v>
      </c>
      <c r="CJ21"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CK21"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46311</v>
      </c>
      <c r="CL21" s="32" t="n">
        <f aca="false">IF(NOT(Tasks[[#This Row],[_IsLeaf]]=1),0,IF(N(Tasks[[#This Row],[Actual Finish]])&gt;0,1,MIN(1,N(Tasks[[#This Row],[% Complete]]))))</f>
        <v>1</v>
      </c>
      <c r="CM21" s="32" t="n">
        <f aca="false">IF(OR(NOT(Tasks[[#This Row],[_IsLeaf]]=1),Tasks[[#This Row],[Resource]]=""),0,N(Tasks[[#This Row],[Duration]])*HoursPerDay*IF(Tasks[[#This Row],[Units]]="",DefaultUnits,Tasks[[#This Row],[Units]]))</f>
        <v>48</v>
      </c>
      <c r="CN21" s="32" t="n">
        <f aca="false">IF(Tasks[[#This Row],[_LeafWork]]=0,0,Tasks[[#This Row],[_LeafWork]]*IFERROR(INDEX(res_Rate,MATCH(Tasks[[#This Row],[Resource]],res_Name,0)),0))</f>
        <v>3840</v>
      </c>
      <c r="CO21" s="32" t="n">
        <f aca="false">Tasks[[#This Row],[_LeafWork]]+IF(Tasks[[#This Row],[_IsLeaf]]=1,SUMIFS(asg_Work,asg_TaskUID,Tasks[[#This Row],[UID]],asg_Valid,1),0)</f>
        <v>48</v>
      </c>
      <c r="CP21" s="32" t="n">
        <f aca="false">Tasks[[#This Row],[_LeafCost]]+IF(Tasks[[#This Row],[_IsLeaf]]=1,SUMIFS(asg_Cost,asg_TaskUID,Tasks[[#This Row],[UID]],asg_Valid,1),0)</f>
        <v>3840</v>
      </c>
      <c r="CQ21" s="32" t="n">
        <f aca="false">IF(Tasks[[#This Row],[_LeafTotalCost]]=0,Tasks[[#This Row],[_LeafAC]],Tasks[[#This Row],[_LeafAC]]*Tasks[[#This Row],[_LeafCost]]/Tasks[[#This Row],[_LeafTotalCost]])</f>
        <v>3840</v>
      </c>
      <c r="CR21"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2912158</v>
      </c>
      <c r="CS2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1"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1" s="32" t="n">
        <f aca="false">IF(NOT(Tasks[[#This Row],[_IsLeaf]]=1),0,MAX(_xlfn.MAXIFS(Tasks[_Row],Tasks[Pred1 UID],Tasks[[#This Row],[UID]]),_xlfn.MAXIFS(Tasks[_Row],Tasks[Pred2 UID],Tasks[[#This Row],[UID]]),_xlfn.MAXIFS(Tasks[_Row],Tasks[Pred3 UID],Tasks[[#This Row],[UID]]),_xlfn.MAXIFS(Tasks[_Row],Tasks[Pred4 UID],Tasks[[#This Row],[UID]])))</f>
        <v>17</v>
      </c>
      <c r="DA21"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46315</v>
      </c>
      <c r="DB21"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46315</v>
      </c>
      <c r="DC21" s="115" t="n">
        <f aca="false">IF(NOT(Tasks[[#This Row],[_IsLeaf]]=1),"",IF(N(Tasks[[#This Row],[Duration]])&lt;=0,Tasks[[#This Row],[_LeafLateFinish]],WORKDAY.INTL(Tasks[[#This Row],[_LeafLateFinish]],-(Tasks[[#This Row],[Duration]]-1),WorkWeek,Holidays)))</f>
        <v>46308</v>
      </c>
      <c r="DD21"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DE21" s="114" t="b">
        <f aca="false">AND(Tasks[[#This Row],[_IsLeaf]]=1,Tasks[[#This Row],[_LeafProgress]]&lt;1,N(Tasks[[#This Row],[_LeafTotalSlack]])&lt;=CriticalSlackDays)</f>
        <v>0</v>
      </c>
      <c r="DF21" s="32" t="n">
        <f aca="false">IF(AND(Tasks[[#This Row],[_IsLeaf]]=1,Tasks[[#This Row],[_ConstraintCode]]=1,Tasks[[#This Row],[Mode]]&lt;&gt;"Manual",N(Tasks[[#This Row],[Actual Start]])=0),MAX(0,N(Tasks[[#This Row],[Free Slack]])),0)</f>
        <v>0</v>
      </c>
      <c r="DG21" s="115" t="n">
        <f aca="false">IF(NOT(Tasks[[#This Row],[_IsLeaf]]=1),"",IF(Tasks[[#This Row],[_AlapShift]]=0,Tasks[[#This Row],[_LeafCalcStart]],WORKDAY.INTL(Tasks[[#This Row],[_LeafCalcStart]],Tasks[[#This Row],[_AlapShift]],WorkWeek,Holidays)))</f>
        <v>46297</v>
      </c>
      <c r="DH21" s="115" t="n">
        <f aca="false">IF(NOT(Tasks[[#This Row],[_IsLeaf]]=1),"",IF(Tasks[[#This Row],[_AlapShift]]=0,Tasks[[#This Row],[_LeafCalcFinish]],WORKDAY.INTL(Tasks[[#This Row],[_LeafCalcFinish]],Tasks[[#This Row],[_AlapShift]],WorkWeek,Holidays)))</f>
        <v>46304</v>
      </c>
      <c r="DI21" s="115" t="n">
        <f aca="false">IF(NOT(Tasks[[#This Row],[_IsLeaf]]=1),"",IF(Tasks[[#This Row],[_AlapShift]]=0,Tasks[[#This Row],[_LeafFcstStart]],WORKDAY.INTL(Tasks[[#This Row],[_LeafFcstStart]],Tasks[[#This Row],[_AlapShift]],WorkWeek,Holidays)))</f>
        <v>46302</v>
      </c>
      <c r="DJ21" s="115" t="n">
        <f aca="false">IF(NOT(Tasks[[#This Row],[_IsLeaf]]=1),"",IF(Tasks[[#This Row],[_AlapShift]]=0,Tasks[[#This Row],[_LeafFcstFinish]],WORKDAY.INTL(Tasks[[#This Row],[_LeafFcstFinish]],Tasks[[#This Row],[_AlapShift]],WorkWeek,Holidays)))</f>
        <v>46311</v>
      </c>
      <c r="DK21" s="115" t="n">
        <f aca="false">IF(Tasks[[#This Row],[Task Name]]="","",IF(Tasks[[#This Row],[_IsSummary]],MIN(INDEX(Tasks[_ShownCalcStart],Tasks[[#This Row],[_Row]]+1):INDEX(Tasks[_ShownCalcStart],Tasks[[#This Row],[_Row]]+Tasks[[#This Row],[_Descendants]])),Tasks[[#This Row],[_ShownCalcStart]]))</f>
        <v>46297</v>
      </c>
      <c r="DL21" s="115" t="n">
        <f aca="false">IF(Tasks[[#This Row],[Task Name]]="","",IF(Tasks[[#This Row],[_IsSummary]],MAX(INDEX(Tasks[_ShownCalcFinish],Tasks[[#This Row],[_Row]]+1):INDEX(Tasks[_ShownCalcFinish],Tasks[[#This Row],[_Row]]+Tasks[[#This Row],[_Descendants]])),Tasks[[#This Row],[_ShownCalcFinish]]))</f>
        <v>46304</v>
      </c>
      <c r="DM2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46297</v>
      </c>
      <c r="DR2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46302</v>
      </c>
      <c r="DV2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1" s="32" t="n">
        <f aca="false">IF(AND(Tasks[[#This Row],[_IsLeaf]]=1,Tasks[[#This Row],[_LeafTotalWork]]&gt;0),NETWORKDAYS.INTL(ProjectStart,Tasks[[#This Row],[_ShownFcstStart]],WorkWeek,Holidays),0)</f>
        <v>23</v>
      </c>
      <c r="DZ21" s="32" t="n">
        <f aca="false">IF(AND(Tasks[[#This Row],[_IsLeaf]]=1,Tasks[[#This Row],[_LeafTotalWork]]&gt;0),MAX(Tasks[[#This Row],[_StartWorkday]],NETWORKDAYS.INTL(ProjectStart,Tasks[[#This Row],[_ShownFcstFinish]],WorkWeek,Holidays)),0)</f>
        <v>30</v>
      </c>
      <c r="EA21" s="32" t="n">
        <f aca="false">IF(AND(Tasks[[#This Row],[_IsLeaf]]=1,Tasks[[#This Row],[_LeafTotalWork]]&gt;0),Tasks[[#This Row],[_LeafWork]]/(Tasks[[#This Row],[_FinishWorkday]]-Tasks[[#This Row],[_StartWorkday]]+1),0)</f>
        <v>6</v>
      </c>
      <c r="EB21" s="32" t="n">
        <f aca="false">Tasks[[#This Row],[_WorkPerWorkday]]*(Tasks[[#This Row],[_StartWorkday]]-1)</f>
        <v>132</v>
      </c>
      <c r="EC21" s="32" t="n">
        <f aca="false">IF(Tasks[[#This Row],[_IsLeaf]]=1,MAX(N(Tasks[[#This Row],[Duration]]),0.1),0)</f>
        <v>6</v>
      </c>
      <c r="ED21" s="32" t="n">
        <f aca="false">Tasks[[#This Row],[_WeightDur]]*Tasks[[#This Row],[_LeafProgress]]</f>
        <v>6</v>
      </c>
      <c r="EE2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9</v>
      </c>
      <c r="EF21" s="32" t="str">
        <f aca="false">IF(AND(Tasks[[#This Row],[_IsLeaf]]=1,N(Tasks[[#This Row],[Duration]])=0,Tasks[[#This Row],[_LeafProgress]]&lt;1),Tasks[[#This Row],[_ShownFcstFinish]]+Tasks[[#This Row],[_Row]]/100000,"")</f>
        <v/>
      </c>
      <c r="EG2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EH21" s="32" t="n">
        <f aca="false">IF(NOT(Tasks[[#This Row],[_IsLeaf]]=1),0,IF(Tasks[[#This Row],[Baseline Cost]]="",Tasks[[#This Row],[_LeafTotalCost]],N(Tasks[[#This Row],[Baseline Cost]])))</f>
        <v>3840</v>
      </c>
      <c r="EI21" s="32" t="n">
        <f aca="false">Tasks[[#This Row],[_LeafBudget]]*Tasks[[#This Row],[_PlannedPct]]</f>
        <v>3840</v>
      </c>
      <c r="EJ21" s="32" t="n">
        <f aca="false">Tasks[[#This Row],[_LeafBudget]]*Tasks[[#This Row],[_LeafProgress]]</f>
        <v>3840</v>
      </c>
      <c r="EK21" s="32" t="n">
        <f aca="false">IF(NOT(Tasks[[#This Row],[_IsLeaf]]=1),0,IF(Tasks[[#This Row],[Actual Cost]]="",Tasks[[#This Row],[_LeafTotalCost]]*Tasks[[#This Row],[_LeafProgress]],N(Tasks[[#This Row],[Actual Cost]])))</f>
        <v>3840</v>
      </c>
      <c r="EL21" s="32" t="str">
        <f aca="false">IF(Tasks[[#This Row],[Task Name]]="","",LEFT(Tasks[[#This Row],[WBS]],FIND(".",Tasks[[#This Row],[WBS]]&amp;".")-1))</f>
        <v>3</v>
      </c>
      <c r="EM21" s="32" t="str">
        <f aca="false">IF(AND(Tasks[[#This Row],[Task Name]]&lt;&gt;"",Tasks[[#This Row],[_Level]]=1),Tasks[[#This Row],[_Row]],"")</f>
        <v/>
      </c>
      <c r="EN21" s="32" t="str">
        <f aca="false">IF(AND(Tasks[[#This Row],[_IsLeaf]]=1,N(Tasks[[#This Row],[Duration]])=0),Tasks[[#This Row],[Planned Finish]]+Tasks[[#This Row],[_Row]]/100000,"")</f>
        <v/>
      </c>
      <c r="EO21" s="32" t="str">
        <f aca="false">IF(AND(Tasks[[#This Row],[_IsLeaf]]=1,Tasks[[#This Row],[_LeafProgress]]&lt;1,OR(N(Tasks[[#This Row],[Finish Var]])&gt;0,Tasks[[#This Row],[Status]]="Late Start")),MAX(0,Tasks[[#This Row],[Finish Var]])+1-Tasks[[#This Row],[_Row]]/1000000,"")</f>
        <v/>
      </c>
      <c r="EP21" s="32" t="str">
        <f aca="false">IF(AND(Tasks[[#This Row],[_IsLeaf]]=1,N(Tasks[[#This Row],[Actual Start]])=0,Tasks[[#This Row],[_ShownFcstStart]]&gt;=StatusDate,Tasks[[#This Row],[_ShownFcstStart]]&lt;=LookaheadEnd),Tasks[[#This Row],[_ShownFcstStart]]+Tasks[[#This Row],[_Row]]/100000,"")</f>
        <v/>
      </c>
      <c r="EQ21" s="32" t="str">
        <f aca="false">IF(AND(Tasks[[#This Row],[_IsLeaf]]=1,Tasks[[#This Row],[_LeafProgress]]&lt;1,Tasks[[#This Row],[_ShownFcstFinish]]&gt;=StatusDate,Tasks[[#This Row],[_ShownFcstFinish]]&lt;=LookaheadEnd),Tasks[[#This Row],[_ShownFcstFinish]]+Tasks[[#This Row],[_Row]]/100000,"")</f>
        <v/>
      </c>
      <c r="ER21" s="32" t="str">
        <f aca="false">IF(Tasks[[#This Row],[_LeafCritical]],Tasks[[#This Row],[_ShownFcstStart]]+Tasks[[#This Row],[_Row]]/100000,"")</f>
        <v/>
      </c>
      <c r="ES21" s="32" t="n">
        <f aca="false">Tasks[[#This Row],[_LeafWork]]*Tasks[[#This Row],[_LeafProgress]]</f>
        <v>48</v>
      </c>
      <c r="ET21" s="115" t="n">
        <f aca="false">IF(AND(Tasks[[#This Row],[_IsLeaf]]=1,Tasks[[#This Row],[_LeafProgress]]&gt;=1),IF(N(Tasks[[#This Row],[Actual Finish]])&gt;0,Tasks[[#This Row],[Actual Finish]],Tasks[[#This Row],[_ShownFcstFinish]]),"")</f>
        <v>46311</v>
      </c>
      <c r="EU21" s="32" t="n">
        <f aca="false">IF(Tasks[[#This Row],[_IsLeaf]]=1,N(Tasks[[#This Row],[Story Points]]),0)</f>
        <v>5</v>
      </c>
      <c r="EV21" s="32" t="str">
        <f aca="false">IF(AND(Tasks[[#This Row],[_IsLeaf]]=1,CurrentSprint&lt;&gt;"",Tasks[[#This Row],[Sprint]]=CurrentSprint),Tasks[[#This Row],[_Row]],"")</f>
        <v/>
      </c>
    </row>
    <row r="22" customFormat="false" ht="15" hidden="false" customHeight="false" outlineLevel="2" collapsed="false">
      <c r="A22" s="45" t="n">
        <f aca="false">IF(Tasks[[#This Row],[Task Name]]="","",COUNTA(Tasks[[#Headers],[Task Name]]:Tasks[[#This Row],[Task Name]])-1)</f>
        <v>17</v>
      </c>
      <c r="B22" s="46" t="n">
        <v>17</v>
      </c>
      <c r="C2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3.2.2</v>
      </c>
      <c r="D22" s="46" t="n">
        <v>3</v>
      </c>
      <c r="E22" s="45" t="str">
        <f aca="false">IF(Tasks[[#This Row],[Task Name]]="","",IF(Tasks[[#This Row],[_Level]]&lt;=OutlineShowLevel,"Yes","No"))</f>
        <v>Yes</v>
      </c>
      <c r="F22" s="47" t="s">
        <v>668</v>
      </c>
      <c r="G22" s="46" t="s">
        <v>642</v>
      </c>
      <c r="H22" s="46" t="n">
        <v>12</v>
      </c>
      <c r="I22" s="46" t="n">
        <v>16</v>
      </c>
      <c r="J22" s="46" t="s">
        <v>647</v>
      </c>
      <c r="K22" s="46"/>
      <c r="L22" s="46" t="n">
        <v>13</v>
      </c>
      <c r="M22" s="46" t="s">
        <v>653</v>
      </c>
      <c r="N22" s="46" t="n">
        <v>2</v>
      </c>
      <c r="O22" s="46"/>
      <c r="P22" s="46"/>
      <c r="Q22" s="46"/>
      <c r="R22" s="46"/>
      <c r="S22" s="46"/>
      <c r="T22" s="46"/>
      <c r="U22" s="47"/>
      <c r="V22" s="88"/>
      <c r="W22" s="88"/>
      <c r="X22" s="25" t="n">
        <f aca="false">IF(Tasks[[#This Row],[Task Name]]="","",IF(N(Tasks[[#This Row],[Baseline Start]])&gt;0,Tasks[[#This Row],[Baseline Start]],Tasks[[#This Row],[_CalcStart]]))</f>
        <v>46308</v>
      </c>
      <c r="Y22" s="25" t="n">
        <f aca="false">IF(Tasks[[#This Row],[Task Name]]="","",IF(N(Tasks[[#This Row],[Baseline Finish]])&gt;0,Tasks[[#This Row],[Baseline Finish]],Tasks[[#This Row],[_CalcFinish]]))</f>
        <v>46323</v>
      </c>
      <c r="Z22" s="88" t="n">
        <v>46314</v>
      </c>
      <c r="AA22" s="88"/>
      <c r="AB22" s="25" t="n">
        <f aca="false">IF(Tasks[[#This Row],[Task Name]]="","",IF(Tasks[[#This Row],[_IsSummary]],MIN(INDEX(Tasks[_ShownFcstStart],Tasks[[#This Row],[_Row]]+1):INDEX(Tasks[_ShownFcstStart],Tasks[[#This Row],[_Row]]+Tasks[[#This Row],[_Descendants]])),Tasks[[#This Row],[_ShownFcstStart]]))</f>
        <v>46314</v>
      </c>
      <c r="AC22" s="25" t="n">
        <f aca="false">IF(Tasks[[#This Row],[Task Name]]="","",IF(Tasks[[#This Row],[_IsSummary]],MAX(INDEX(Tasks[_ShownFcstFinish],Tasks[[#This Row],[_Row]]+1):INDEX(Tasks[_ShownFcstFinish],Tasks[[#This Row],[_Row]]+Tasks[[#This Row],[_Descendants]])),Tasks[[#This Row],[_ShownFcstFinish]]))</f>
        <v>46331</v>
      </c>
      <c r="AD22" s="56" t="n">
        <f aca="false">IF(Tasks[[#This Row],[Task Name]]="","",IF(Tasks[[#This Row],[Forecast Start]]&gt;=Tasks[[#This Row],[Planned Start]],NETWORKDAYS.INTL(Tasks[[#This Row],[Planned Start]],Tasks[[#This Row],[Forecast Start]],WorkWeek,Holidays)-1,1-NETWORKDAYS.INTL(Tasks[[#This Row],[Forecast Start]],Tasks[[#This Row],[Planned Start]],WorkWeek,Holidays)))</f>
        <v>4</v>
      </c>
      <c r="AE22"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2" s="25" t="n">
        <f aca="false">IF(Tasks[[#This Row],[Task Name]]="","",IF(Tasks[[#This Row],[_IsSummary]],MIN(INDEX(Tasks[_LeafLateStart],Tasks[[#This Row],[_Row]]+1):INDEX(Tasks[_LeafLateStart],Tasks[[#This Row],[_Row]]+Tasks[[#This Row],[_Descendants]])),Tasks[[#This Row],[_LeafLateStart]]))</f>
        <v>46316</v>
      </c>
      <c r="AG22" s="25" t="n">
        <f aca="false">IF(Tasks[[#This Row],[Task Name]]="","",IF(Tasks[[#This Row],[_IsSummary]],MAX(INDEX(Tasks[_LeafLateFinish],Tasks[[#This Row],[_Row]]+1):INDEX(Tasks[_LeafLateFinish],Tasks[[#This Row],[_Row]]+Tasks[[#This Row],[_Descendants]])),Tasks[[#This Row],[_LeafLateFinish]]))</f>
        <v>46331</v>
      </c>
      <c r="AH22" s="56" t="n">
        <f aca="false">IF(Tasks[[#This Row],[Task Name]]="","",IF(Tasks[[#This Row],[_IsSummary]],MIN(INDEX(Tasks[_LeafTotalSlack],Tasks[[#This Row],[_Row]]+1):INDEX(Tasks[_LeafTotalSlack],Tasks[[#This Row],[_Row]]+Tasks[[#This Row],[_Descendants]])),Tasks[[#This Row],[_LeafTotalSlack]]))</f>
        <v>0</v>
      </c>
      <c r="AI22"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2" s="45" t="str">
        <f aca="false">IF(Tasks[[#This Row],[Task Name]]="","",IF(IF(Tasks[[#This Row],[_IsSummary]],COUNTIF(INDEX(Tasks[_LeafCritical],Tasks[[#This Row],[_Row]]+1):INDEX(Tasks[_LeafCritical],Tasks[[#This Row],[_Row]]+Tasks[[#This Row],[_Descendants]]),TRUE())&gt;0,Tasks[[#This Row],[_LeafCritical]]),"Yes",""))</f>
        <v>Yes</v>
      </c>
      <c r="AK2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2" s="102" t="n">
        <v>0.25</v>
      </c>
      <c r="AN22"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0.25</v>
      </c>
      <c r="AO22" s="45" t="str">
        <f aca="false">IF(Tasks[[#This Row],[Task Name]]="","",IF(Tasks[[#This Row],[Progress]]&gt;=1,"Complete",IF(OR(N(Tasks[[#This Row],[Actual Start]])&gt;0,Tasks[[#This Row],[Progress]]&gt;0),IF(Tasks[[#This Row],[Finish Var]]&gt;0,"Behind","In Progress"),IF(Tasks[[#This Row],[Planned Start]]&lt;StatusDate,"Late Start","Not Started"))))</f>
        <v>Behind</v>
      </c>
      <c r="AP22" s="47" t="s">
        <v>667</v>
      </c>
      <c r="AQ22" s="102"/>
      <c r="AR2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Sam Rivera, Casey Kim[50%]</v>
      </c>
      <c r="AS2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2" s="110" t="n">
        <f aca="false">IF(Tasks[[#This Row],[Task Name]]="","",IF(Tasks[[#This Row],[_IsSummary]],SUM(INDEX(Tasks[_LeafTotalWork],Tasks[[#This Row],[_Row]]+1):INDEX(Tasks[_LeafTotalWork],Tasks[[#This Row],[_Row]]+Tasks[[#This Row],[_Descendants]])),Tasks[[#This Row],[_LeafTotalWork]]))</f>
        <v>144</v>
      </c>
      <c r="AU22" s="111" t="n">
        <f aca="false">IF(Tasks[[#This Row],[Task Name]]="","",IF(Tasks[[#This Row],[_IsSummary]],SUM(INDEX(Tasks[_LeafTotalCost],Tasks[[#This Row],[_Row]]+1):INDEX(Tasks[_LeafTotalCost],Tasks[[#This Row],[_Row]]+Tasks[[#This Row],[_Descendants]])),Tasks[[#This Row],[_LeafTotalCost]]))</f>
        <v>11280</v>
      </c>
      <c r="AV22" s="112"/>
      <c r="AW22" s="46"/>
      <c r="AX2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4</v>
      </c>
      <c r="AY22" s="96" t="n">
        <v>8</v>
      </c>
      <c r="AZ2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16,13SS+2d</v>
      </c>
      <c r="BA22" s="47"/>
      <c r="BB22" s="25" t="n">
        <f aca="false">IF(Tasks[[#This Row],[Task Name]]="","",Tasks[[#This Row],[Forecast Start]])</f>
        <v>46314</v>
      </c>
      <c r="BC22" s="25" t="n">
        <f aca="false">IF(Tasks[[#This Row],[Task Name]]="","",Tasks[[#This Row],[Forecast Finish]])</f>
        <v>46331</v>
      </c>
      <c r="BD22" s="45" t="n">
        <f aca="false">IF(Tasks[[#This Row],[Task Name]]="","",IF(Tasks[[#This Row],[_IsSummary]],NETWORKDAYS.INTL(Tasks[[#This Row],[Forecast Start]],Tasks[[#This Row],[Forecast Finish]],WorkWeek,Holidays),N(Tasks[[#This Row],[Duration]])))</f>
        <v>12</v>
      </c>
      <c r="BE22" s="110" t="n">
        <f aca="false">IF(Tasks[[#This Row],[Task Name]]="","",Tasks[[#This Row],[Work]])</f>
        <v>144</v>
      </c>
      <c r="BF22" s="111" t="n">
        <f aca="false">IF(Tasks[[#This Row],[Task Name]]="","",Tasks[[#This Row],[Cost]])</f>
        <v>11280</v>
      </c>
      <c r="BG22" s="88"/>
      <c r="BH22" s="88"/>
      <c r="BI22" s="46"/>
      <c r="BJ22" s="113"/>
      <c r="BK22" s="112"/>
      <c r="BL22" s="45" t="str">
        <f aca="false">IF(OR(Tasks[[#This Row],[Task Name]]="",Tasks[[#This Row],[Baseline Duration]]=""),"",Tasks[[#This Row],[BL Source Duration]]-N(Tasks[[#This Row],[Baseline Duration]]))</f>
        <v/>
      </c>
      <c r="BM22" s="110" t="str">
        <f aca="false">IF(OR(Tasks[[#This Row],[Task Name]]="",Tasks[[#This Row],[Baseline Work]]=""),"",Tasks[[#This Row],[Work]]-N(Tasks[[#This Row],[Baseline Work]]))</f>
        <v/>
      </c>
      <c r="BN22" s="111" t="str">
        <f aca="false">IF(OR(Tasks[[#This Row],[Task Name]]="",Tasks[[#This Row],[Baseline Cost]]=""),"",Tasks[[#This Row],[Cost]]-N(Tasks[[#This Row],[Baseline Cost]]))</f>
        <v/>
      </c>
      <c r="BO22" s="111" t="n">
        <f aca="false">IF(Tasks[[#This Row],[Task Name]]="","",IF(Tasks[[#This Row],[_IsSummary]],SUM(INDEX(Tasks[_LeafBudget],Tasks[[#This Row],[_Row]]+1):INDEX(Tasks[_LeafBudget],Tasks[[#This Row],[_Row]]+Tasks[[#This Row],[_Descendants]])),Tasks[[#This Row],[_LeafBudget]]))</f>
        <v>11280</v>
      </c>
      <c r="BP22" s="111" t="n">
        <f aca="false">IF(Tasks[[#This Row],[Task Name]]="","",IF(Tasks[[#This Row],[_IsSummary]],SUM(INDEX(Tasks[_LeafPV],Tasks[[#This Row],[_Row]]+1):INDEX(Tasks[_LeafPV],Tasks[[#This Row],[_Row]]+Tasks[[#This Row],[_Descendants]])),Tasks[[#This Row],[_LeafPV]]))</f>
        <v>8460</v>
      </c>
      <c r="BQ22" s="111" t="n">
        <f aca="false">IF(Tasks[[#This Row],[Task Name]]="","",IF(Tasks[[#This Row],[_IsSummary]],SUM(INDEX(Tasks[_LeafEV],Tasks[[#This Row],[_Row]]+1):INDEX(Tasks[_LeafEV],Tasks[[#This Row],[_Row]]+Tasks[[#This Row],[_Descendants]])),Tasks[[#This Row],[_LeafEV]]))</f>
        <v>2820</v>
      </c>
      <c r="BR22" s="111" t="n">
        <f aca="false">IF(Tasks[[#This Row],[Task Name]]="","",IF(Tasks[[#This Row],[_IsSummary]],SUM(INDEX(Tasks[_LeafAC],Tasks[[#This Row],[_Row]]+1):INDEX(Tasks[_LeafAC],Tasks[[#This Row],[_Row]]+Tasks[[#This Row],[_Descendants]])),Tasks[[#This Row],[_LeafAC]]))</f>
        <v>2820</v>
      </c>
      <c r="BS22" s="32" t="n">
        <f aca="false">IF(Tasks[[#This Row],[Task Name]]="","",MAX(1,N(Tasks[[#This Row],[Level]])))</f>
        <v>3</v>
      </c>
      <c r="BT22" s="32" t="n">
        <f aca="false">ROW()-ROW(Tasks[[#Headers],[ID]])</f>
        <v>17</v>
      </c>
      <c r="BU22" s="32" t="n">
        <f aca="false">IF(OR(Tasks[[#This Row],[Task Name]]="",Tasks[[#This Row],[_Level]]&lt;=1),0,IFERROR(LOOKUP(2,1/(Tasks[[#Headers],[_Level]]:Tasks[[#This Row],[_Level]]=Tasks[[#This Row],[_Level]]-1),ROW(Tasks[[#Headers],[_Level]]:Tasks[[#This Row],[_Level]])),0))</f>
        <v>20</v>
      </c>
      <c r="BV22" s="32" t="n">
        <f aca="false">IFERROR(N(INDEX(Tasks[_Level],Tasks[[#This Row],[_Row]]+1)),0)</f>
        <v>3</v>
      </c>
      <c r="BW22" s="114" t="b">
        <f aca="false">AND(Tasks[[#This Row],[Task Name]]&lt;&gt;"",Tasks[[#This Row],[_NextLevel]]&gt;Tasks[[#This Row],[_Level]])</f>
        <v>0</v>
      </c>
      <c r="BX22" s="32" t="n">
        <f aca="false">IF(Tasks[[#This Row],[_IsSummary]],COUNTIF(Tasks[WBS],Tasks[[#This Row],[WBS]]&amp;".*"),0)</f>
        <v>0</v>
      </c>
      <c r="BY22" s="32" t="n">
        <f aca="false">IF(AND(Tasks[[#This Row],[Task Name]]&lt;&gt;"",NOT(Tasks[[#This Row],[_IsSummary]])),1,0)</f>
        <v>1</v>
      </c>
      <c r="BZ22" s="32" t="n">
        <f aca="false">IF(N(Tasks[[#This Row],[Pred1 UID]])=0,0,IFERROR(MATCH(Tasks[[#This Row],[Pred1 UID]],Tasks[UID],0),-1))</f>
        <v>16</v>
      </c>
      <c r="CA22" s="32" t="n">
        <f aca="false">IF(N(Tasks[[#This Row],[Pred2 UID]])=0,0,IFERROR(MATCH(Tasks[[#This Row],[Pred2 UID]],Tasks[UID],0),-1))</f>
        <v>13</v>
      </c>
      <c r="CB22" s="32" t="n">
        <f aca="false">IF(N(Tasks[[#This Row],[Pred3 UID]])=0,0,IFERROR(MATCH(Tasks[[#This Row],[Pred3 UID]],Tasks[UID],0),-1))</f>
        <v>0</v>
      </c>
      <c r="CC22" s="32" t="n">
        <f aca="false">IF(N(Tasks[[#This Row],[Pred4 UID]])=0,0,IFERROR(MATCH(Tasks[[#This Row],[Pred4 UID]],Tasks[UID],0),-1))</f>
        <v>0</v>
      </c>
      <c r="CD22"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2" s="115" t="n">
        <f aca="false">IF(OR(Tasks[[#This Row],[_ConstraintCode]]=2,Tasks[[#This Row],[_ConstraintCode]]=3,Tasks[[#This Row],[_ConstraintCode]]=4,Tasks[[#This Row],[_ConstraintCode]]=6),Tasks[[#This Row],[_ConstraintStart]],0)</f>
        <v>0</v>
      </c>
      <c r="CG22" s="115" t="n">
        <f aca="false">IF(OR(Tasks[[#This Row],[_ConstraintCode]]=2,Tasks[[#This Row],[_ConstraintCode]]=3,Tasks[[#This Row],[_ConstraintCode]]=5,Tasks[[#This Row],[_ConstraintCode]]=7),Tasks[[#This Row],[_ConstraintStart]],2958465)</f>
        <v>2958465</v>
      </c>
      <c r="CH22"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46308</v>
      </c>
      <c r="CI22" s="115" t="n">
        <f aca="false">IF(NOT(Tasks[[#This Row],[_IsLeaf]]=1),"",IF(N(Tasks[[#This Row],[Duration]])&lt;=0,Tasks[[#This Row],[_LeafCalcStart]],WORKDAY.INTL(Tasks[[#This Row],[_LeafCalcStart]],Tasks[[#This Row],[Duration]]-1,WorkWeek,Holidays)))</f>
        <v>46323</v>
      </c>
      <c r="CJ22"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46314</v>
      </c>
      <c r="CK22"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46331</v>
      </c>
      <c r="CL22" s="32" t="n">
        <f aca="false">IF(NOT(Tasks[[#This Row],[_IsLeaf]]=1),0,IF(N(Tasks[[#This Row],[Actual Finish]])&gt;0,1,MIN(1,N(Tasks[[#This Row],[% Complete]]))))</f>
        <v>0.25</v>
      </c>
      <c r="CM22" s="32" t="n">
        <f aca="false">IF(OR(NOT(Tasks[[#This Row],[_IsLeaf]]=1),Tasks[[#This Row],[Resource]]=""),0,N(Tasks[[#This Row],[Duration]])*HoursPerDay*IF(Tasks[[#This Row],[Units]]="",DefaultUnits,Tasks[[#This Row],[Units]]))</f>
        <v>96</v>
      </c>
      <c r="CN22" s="32" t="n">
        <f aca="false">IF(Tasks[[#This Row],[_LeafWork]]=0,0,Tasks[[#This Row],[_LeafWork]]*IFERROR(INDEX(res_Rate,MATCH(Tasks[[#This Row],[Resource]],res_Name,0)),0))</f>
        <v>7680</v>
      </c>
      <c r="CO22" s="32" t="n">
        <f aca="false">Tasks[[#This Row],[_LeafWork]]+IF(Tasks[[#This Row],[_IsLeaf]]=1,SUMIFS(asg_Work,asg_TaskUID,Tasks[[#This Row],[UID]],asg_Valid,1),0)</f>
        <v>144</v>
      </c>
      <c r="CP22" s="32" t="n">
        <f aca="false">Tasks[[#This Row],[_LeafCost]]+IF(Tasks[[#This Row],[_IsLeaf]]=1,SUMIFS(asg_Cost,asg_TaskUID,Tasks[[#This Row],[UID]],asg_Valid,1),0)</f>
        <v>11280</v>
      </c>
      <c r="CQ22" s="32" t="n">
        <f aca="false">IF(Tasks[[#This Row],[_LeafTotalCost]]=0,Tasks[[#This Row],[_LeafAC]],Tasks[[#This Row],[_LeafAC]]*Tasks[[#This Row],[_LeafCost]]/Tasks[[#This Row],[_LeafTotalCost]])</f>
        <v>1920</v>
      </c>
      <c r="CR22"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2912150</v>
      </c>
      <c r="CS22" s="116" t="n">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2912140</v>
      </c>
      <c r="CT2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2"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2" s="32"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100000</v>
      </c>
      <c r="CX2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2" s="32" t="n">
        <f aca="false">IF(NOT(Tasks[[#This Row],[_IsLeaf]]=1),0,MAX(_xlfn.MAXIFS(Tasks[_Row],Tasks[Pred1 UID],Tasks[[#This Row],[UID]]),_xlfn.MAXIFS(Tasks[_Row],Tasks[Pred2 UID],Tasks[[#This Row],[UID]]),_xlfn.MAXIFS(Tasks[_Row],Tasks[Pred3 UID],Tasks[[#This Row],[UID]]),_xlfn.MAXIFS(Tasks[_Row],Tasks[Pred4 UID],Tasks[[#This Row],[UID]])))</f>
        <v>18</v>
      </c>
      <c r="DA22"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46331</v>
      </c>
      <c r="DB22"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46331</v>
      </c>
      <c r="DC22" s="115" t="n">
        <f aca="false">IF(NOT(Tasks[[#This Row],[_IsLeaf]]=1),"",IF(N(Tasks[[#This Row],[Duration]])&lt;=0,Tasks[[#This Row],[_LeafLateFinish]],WORKDAY.INTL(Tasks[[#This Row],[_LeafLateFinish]],-(Tasks[[#This Row],[Duration]]-1),WorkWeek,Holidays)))</f>
        <v>46316</v>
      </c>
      <c r="DD22"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22" s="114" t="b">
        <f aca="false">AND(Tasks[[#This Row],[_IsLeaf]]=1,Tasks[[#This Row],[_LeafProgress]]&lt;1,N(Tasks[[#This Row],[_LeafTotalSlack]])&lt;=CriticalSlackDays)</f>
        <v>1</v>
      </c>
      <c r="DF22" s="32" t="n">
        <f aca="false">IF(AND(Tasks[[#This Row],[_IsLeaf]]=1,Tasks[[#This Row],[_ConstraintCode]]=1,Tasks[[#This Row],[Mode]]&lt;&gt;"Manual",N(Tasks[[#This Row],[Actual Start]])=0),MAX(0,N(Tasks[[#This Row],[Free Slack]])),0)</f>
        <v>0</v>
      </c>
      <c r="DG22" s="115" t="n">
        <f aca="false">IF(NOT(Tasks[[#This Row],[_IsLeaf]]=1),"",IF(Tasks[[#This Row],[_AlapShift]]=0,Tasks[[#This Row],[_LeafCalcStart]],WORKDAY.INTL(Tasks[[#This Row],[_LeafCalcStart]],Tasks[[#This Row],[_AlapShift]],WorkWeek,Holidays)))</f>
        <v>46308</v>
      </c>
      <c r="DH22" s="115" t="n">
        <f aca="false">IF(NOT(Tasks[[#This Row],[_IsLeaf]]=1),"",IF(Tasks[[#This Row],[_AlapShift]]=0,Tasks[[#This Row],[_LeafCalcFinish]],WORKDAY.INTL(Tasks[[#This Row],[_LeafCalcFinish]],Tasks[[#This Row],[_AlapShift]],WorkWeek,Holidays)))</f>
        <v>46323</v>
      </c>
      <c r="DI22" s="115" t="n">
        <f aca="false">IF(NOT(Tasks[[#This Row],[_IsLeaf]]=1),"",IF(Tasks[[#This Row],[_AlapShift]]=0,Tasks[[#This Row],[_LeafFcstStart]],WORKDAY.INTL(Tasks[[#This Row],[_LeafFcstStart]],Tasks[[#This Row],[_AlapShift]],WorkWeek,Holidays)))</f>
        <v>46314</v>
      </c>
      <c r="DJ22" s="115" t="n">
        <f aca="false">IF(NOT(Tasks[[#This Row],[_IsLeaf]]=1),"",IF(Tasks[[#This Row],[_AlapShift]]=0,Tasks[[#This Row],[_LeafFcstFinish]],WORKDAY.INTL(Tasks[[#This Row],[_LeafFcstFinish]],Tasks[[#This Row],[_AlapShift]],WorkWeek,Holidays)))</f>
        <v>46331</v>
      </c>
      <c r="DK22" s="115" t="n">
        <f aca="false">IF(Tasks[[#This Row],[Task Name]]="","",IF(Tasks[[#This Row],[_IsSummary]],MIN(INDEX(Tasks[_ShownCalcStart],Tasks[[#This Row],[_Row]]+1):INDEX(Tasks[_ShownCalcStart],Tasks[[#This Row],[_Row]]+Tasks[[#This Row],[_Descendants]])),Tasks[[#This Row],[_ShownCalcStart]]))</f>
        <v>46308</v>
      </c>
      <c r="DL22" s="115" t="n">
        <f aca="false">IF(Tasks[[#This Row],[Task Name]]="","",IF(Tasks[[#This Row],[_IsSummary]],MAX(INDEX(Tasks[_ShownCalcFinish],Tasks[[#This Row],[_Row]]+1):INDEX(Tasks[_ShownCalcFinish],Tasks[[#This Row],[_Row]]+Tasks[[#This Row],[_Descendants]])),Tasks[[#This Row],[_ShownCalcFinish]]))</f>
        <v>46323</v>
      </c>
      <c r="DM2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46307</v>
      </c>
      <c r="DR2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46308</v>
      </c>
      <c r="DS2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46314</v>
      </c>
      <c r="DV2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46314</v>
      </c>
      <c r="DW2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2" s="32" t="n">
        <f aca="false">IF(AND(Tasks[[#This Row],[_IsLeaf]]=1,Tasks[[#This Row],[_LeafTotalWork]]&gt;0),NETWORKDAYS.INTL(ProjectStart,Tasks[[#This Row],[_ShownFcstStart]],WorkWeek,Holidays),0)</f>
        <v>31</v>
      </c>
      <c r="DZ22" s="32" t="n">
        <f aca="false">IF(AND(Tasks[[#This Row],[_IsLeaf]]=1,Tasks[[#This Row],[_LeafTotalWork]]&gt;0),MAX(Tasks[[#This Row],[_StartWorkday]],NETWORKDAYS.INTL(ProjectStart,Tasks[[#This Row],[_ShownFcstFinish]],WorkWeek,Holidays)),0)</f>
        <v>44</v>
      </c>
      <c r="EA22" s="32" t="n">
        <f aca="false">IF(AND(Tasks[[#This Row],[_IsLeaf]]=1,Tasks[[#This Row],[_LeafTotalWork]]&gt;0),Tasks[[#This Row],[_LeafWork]]/(Tasks[[#This Row],[_FinishWorkday]]-Tasks[[#This Row],[_StartWorkday]]+1),0)</f>
        <v>6.85714285714286</v>
      </c>
      <c r="EB22" s="32" t="n">
        <f aca="false">Tasks[[#This Row],[_WorkPerWorkday]]*(Tasks[[#This Row],[_StartWorkday]]-1)</f>
        <v>205.714285714286</v>
      </c>
      <c r="EC22" s="32" t="n">
        <f aca="false">IF(Tasks[[#This Row],[_IsLeaf]]=1,MAX(N(Tasks[[#This Row],[Duration]]),0.1),0)</f>
        <v>12</v>
      </c>
      <c r="ED22" s="32" t="n">
        <f aca="false">Tasks[[#This Row],[_WeightDur]]*Tasks[[#This Row],[_LeafProgress]]</f>
        <v>3</v>
      </c>
      <c r="EE2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16,13SS+2d</v>
      </c>
      <c r="EF22" s="32" t="str">
        <f aca="false">IF(AND(Tasks[[#This Row],[_IsLeaf]]=1,N(Tasks[[#This Row],[Duration]])=0,Tasks[[#This Row],[_LeafProgress]]&lt;1),Tasks[[#This Row],[_ShownFcstFinish]]+Tasks[[#This Row],[_Row]]/100000,"")</f>
        <v/>
      </c>
      <c r="EG2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0.75</v>
      </c>
      <c r="EH22" s="32" t="n">
        <f aca="false">IF(NOT(Tasks[[#This Row],[_IsLeaf]]=1),0,IF(Tasks[[#This Row],[Baseline Cost]]="",Tasks[[#This Row],[_LeafTotalCost]],N(Tasks[[#This Row],[Baseline Cost]])))</f>
        <v>11280</v>
      </c>
      <c r="EI22" s="32" t="n">
        <f aca="false">Tasks[[#This Row],[_LeafBudget]]*Tasks[[#This Row],[_PlannedPct]]</f>
        <v>8460</v>
      </c>
      <c r="EJ22" s="32" t="n">
        <f aca="false">Tasks[[#This Row],[_LeafBudget]]*Tasks[[#This Row],[_LeafProgress]]</f>
        <v>2820</v>
      </c>
      <c r="EK22" s="32" t="n">
        <f aca="false">IF(NOT(Tasks[[#This Row],[_IsLeaf]]=1),0,IF(Tasks[[#This Row],[Actual Cost]]="",Tasks[[#This Row],[_LeafTotalCost]]*Tasks[[#This Row],[_LeafProgress]],N(Tasks[[#This Row],[Actual Cost]])))</f>
        <v>2820</v>
      </c>
      <c r="EL22" s="32" t="str">
        <f aca="false">IF(Tasks[[#This Row],[Task Name]]="","",LEFT(Tasks[[#This Row],[WBS]],FIND(".",Tasks[[#This Row],[WBS]]&amp;".")-1))</f>
        <v>3</v>
      </c>
      <c r="EM22" s="32" t="str">
        <f aca="false">IF(AND(Tasks[[#This Row],[Task Name]]&lt;&gt;"",Tasks[[#This Row],[_Level]]=1),Tasks[[#This Row],[_Row]],"")</f>
        <v/>
      </c>
      <c r="EN22" s="32" t="str">
        <f aca="false">IF(AND(Tasks[[#This Row],[_IsLeaf]]=1,N(Tasks[[#This Row],[Duration]])=0),Tasks[[#This Row],[Planned Finish]]+Tasks[[#This Row],[_Row]]/100000,"")</f>
        <v/>
      </c>
      <c r="EO22" s="32" t="n">
        <f aca="false">IF(AND(Tasks[[#This Row],[_IsLeaf]]=1,Tasks[[#This Row],[_LeafProgress]]&lt;1,OR(N(Tasks[[#This Row],[Finish Var]])&gt;0,Tasks[[#This Row],[Status]]="Late Start")),MAX(0,Tasks[[#This Row],[Finish Var]])+1-Tasks[[#This Row],[_Row]]/1000000,"")</f>
        <v>6.999983</v>
      </c>
      <c r="EP22" s="32" t="str">
        <f aca="false">IF(AND(Tasks[[#This Row],[_IsLeaf]]=1,N(Tasks[[#This Row],[Actual Start]])=0,Tasks[[#This Row],[_ShownFcstStart]]&gt;=StatusDate,Tasks[[#This Row],[_ShownFcstStart]]&lt;=LookaheadEnd),Tasks[[#This Row],[_ShownFcstStart]]+Tasks[[#This Row],[_Row]]/100000,"")</f>
        <v/>
      </c>
      <c r="EQ22" s="116" t="n">
        <f aca="false">IF(AND(Tasks[[#This Row],[_IsLeaf]]=1,Tasks[[#This Row],[_LeafProgress]]&lt;1,Tasks[[#This Row],[_ShownFcstFinish]]&gt;=StatusDate,Tasks[[#This Row],[_ShownFcstFinish]]&lt;=LookaheadEnd),Tasks[[#This Row],[_ShownFcstFinish]]+Tasks[[#This Row],[_Row]]/100000,"")</f>
        <v>46331.00017</v>
      </c>
      <c r="ER22" s="116" t="n">
        <f aca="false">IF(Tasks[[#This Row],[_LeafCritical]],Tasks[[#This Row],[_ShownFcstStart]]+Tasks[[#This Row],[_Row]]/100000,"")</f>
        <v>46314.00017</v>
      </c>
      <c r="ES22" s="32" t="n">
        <f aca="false">Tasks[[#This Row],[_LeafWork]]*Tasks[[#This Row],[_LeafProgress]]</f>
        <v>24</v>
      </c>
      <c r="ET22" s="115" t="str">
        <f aca="false">IF(AND(Tasks[[#This Row],[_IsLeaf]]=1,Tasks[[#This Row],[_LeafProgress]]&gt;=1),IF(N(Tasks[[#This Row],[Actual Finish]])&gt;0,Tasks[[#This Row],[Actual Finish]],Tasks[[#This Row],[_ShownFcstFinish]]),"")</f>
        <v/>
      </c>
      <c r="EU22" s="32" t="n">
        <f aca="false">IF(Tasks[[#This Row],[_IsLeaf]]=1,N(Tasks[[#This Row],[Story Points]]),0)</f>
        <v>8</v>
      </c>
      <c r="EV22" s="32" t="n">
        <f aca="false">IF(AND(Tasks[[#This Row],[_IsLeaf]]=1,CurrentSprint&lt;&gt;"",Tasks[[#This Row],[Sprint]]=CurrentSprint),Tasks[[#This Row],[_Row]],"")</f>
        <v>17</v>
      </c>
    </row>
    <row r="23" customFormat="false" ht="15" hidden="false" customHeight="false" outlineLevel="2" collapsed="false">
      <c r="A23" s="45" t="n">
        <f aca="false">IF(Tasks[[#This Row],[Task Name]]="","",COUNTA(Tasks[[#Headers],[Task Name]]:Tasks[[#This Row],[Task Name]])-1)</f>
        <v>18</v>
      </c>
      <c r="B23" s="46" t="n">
        <v>18</v>
      </c>
      <c r="C2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3.2.3</v>
      </c>
      <c r="D23" s="46" t="n">
        <v>3</v>
      </c>
      <c r="E23" s="45" t="str">
        <f aca="false">IF(Tasks[[#This Row],[Task Name]]="","",IF(Tasks[[#This Row],[_Level]]&lt;=OutlineShowLevel,"Yes","No"))</f>
        <v>Yes</v>
      </c>
      <c r="F23" s="47" t="s">
        <v>669</v>
      </c>
      <c r="G23" s="46" t="s">
        <v>642</v>
      </c>
      <c r="H23" s="46" t="n">
        <v>3</v>
      </c>
      <c r="I23" s="46" t="n">
        <v>17</v>
      </c>
      <c r="J23" s="46" t="s">
        <v>670</v>
      </c>
      <c r="K23" s="46" t="n">
        <v>1</v>
      </c>
      <c r="L23" s="46"/>
      <c r="M23" s="46"/>
      <c r="N23" s="46"/>
      <c r="O23" s="46"/>
      <c r="P23" s="46"/>
      <c r="Q23" s="46"/>
      <c r="R23" s="46"/>
      <c r="S23" s="46"/>
      <c r="T23" s="46"/>
      <c r="U23" s="47"/>
      <c r="V23" s="88"/>
      <c r="W23" s="88"/>
      <c r="X23" s="25" t="n">
        <f aca="false">IF(Tasks[[#This Row],[Task Name]]="","",IF(N(Tasks[[#This Row],[Baseline Start]])&gt;0,Tasks[[#This Row],[Baseline Start]],Tasks[[#This Row],[_CalcStart]]))</f>
        <v>46322</v>
      </c>
      <c r="Y23" s="25" t="n">
        <f aca="false">IF(Tasks[[#This Row],[Task Name]]="","",IF(N(Tasks[[#This Row],[Baseline Finish]])&gt;0,Tasks[[#This Row],[Baseline Finish]],Tasks[[#This Row],[_CalcFinish]]))</f>
        <v>46324</v>
      </c>
      <c r="Z23" s="88"/>
      <c r="AA23" s="88"/>
      <c r="AB23" s="25" t="n">
        <f aca="false">IF(Tasks[[#This Row],[Task Name]]="","",IF(Tasks[[#This Row],[_IsSummary]],MIN(INDEX(Tasks[_ShownFcstStart],Tasks[[#This Row],[_Row]]+1):INDEX(Tasks[_ShownFcstStart],Tasks[[#This Row],[_Row]]+Tasks[[#This Row],[_Descendants]])),Tasks[[#This Row],[_ShownFcstStart]]))</f>
        <v>46330</v>
      </c>
      <c r="AC23" s="25" t="n">
        <f aca="false">IF(Tasks[[#This Row],[Task Name]]="","",IF(Tasks[[#This Row],[_IsSummary]],MAX(INDEX(Tasks[_ShownFcstFinish],Tasks[[#This Row],[_Row]]+1):INDEX(Tasks[_ShownFcstFinish],Tasks[[#This Row],[_Row]]+Tasks[[#This Row],[_Descendants]])),Tasks[[#This Row],[_ShownFcstFinish]]))</f>
        <v>46332</v>
      </c>
      <c r="AD23"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23"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3" s="25" t="n">
        <f aca="false">IF(Tasks[[#This Row],[Task Name]]="","",IF(Tasks[[#This Row],[_IsSummary]],MIN(INDEX(Tasks[_LeafLateStart],Tasks[[#This Row],[_Row]]+1):INDEX(Tasks[_LeafLateStart],Tasks[[#This Row],[_Row]]+Tasks[[#This Row],[_Descendants]])),Tasks[[#This Row],[_LeafLateStart]]))</f>
        <v>46330</v>
      </c>
      <c r="AG23" s="25" t="n">
        <f aca="false">IF(Tasks[[#This Row],[Task Name]]="","",IF(Tasks[[#This Row],[_IsSummary]],MAX(INDEX(Tasks[_LeafLateFinish],Tasks[[#This Row],[_Row]]+1):INDEX(Tasks[_LeafLateFinish],Tasks[[#This Row],[_Row]]+Tasks[[#This Row],[_Descendants]])),Tasks[[#This Row],[_LeafLateFinish]]))</f>
        <v>46332</v>
      </c>
      <c r="AH23" s="56" t="n">
        <f aca="false">IF(Tasks[[#This Row],[Task Name]]="","",IF(Tasks[[#This Row],[_IsSummary]],MIN(INDEX(Tasks[_LeafTotalSlack],Tasks[[#This Row],[_Row]]+1):INDEX(Tasks[_LeafTotalSlack],Tasks[[#This Row],[_Row]]+Tasks[[#This Row],[_Descendants]])),Tasks[[#This Row],[_LeafTotalSlack]]))</f>
        <v>0</v>
      </c>
      <c r="AI23"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3" s="45" t="str">
        <f aca="false">IF(Tasks[[#This Row],[Task Name]]="","",IF(IF(Tasks[[#This Row],[_IsSummary]],COUNTIF(INDEX(Tasks[_LeafCritical],Tasks[[#This Row],[_Row]]+1):INDEX(Tasks[_LeafCritical],Tasks[[#This Row],[_Row]]+Tasks[[#This Row],[_Descendants]]),TRUE())&gt;0,Tasks[[#This Row],[_LeafCritical]]),"Yes",""))</f>
        <v>Yes</v>
      </c>
      <c r="AK2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3" s="102"/>
      <c r="AN23"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3" s="45" t="str">
        <f aca="false">IF(Tasks[[#This Row],[Task Name]]="","",IF(Tasks[[#This Row],[Progress]]&gt;=1,"Complete",IF(OR(N(Tasks[[#This Row],[Actual Start]])&gt;0,Tasks[[#This Row],[Progress]]&gt;0),IF(Tasks[[#This Row],[Finish Var]]&gt;0,"Behind","In Progress"),IF(Tasks[[#This Row],[Planned Start]]&lt;StatusDate,"Late Start","Not Started"))))</f>
        <v>Not Started</v>
      </c>
      <c r="AP23" s="47" t="s">
        <v>304</v>
      </c>
      <c r="AQ23" s="102" t="n">
        <v>0.5</v>
      </c>
      <c r="AR2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Casey Kim[50%]</v>
      </c>
      <c r="AS2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3" s="110" t="n">
        <f aca="false">IF(Tasks[[#This Row],[Task Name]]="","",IF(Tasks[[#This Row],[_IsSummary]],SUM(INDEX(Tasks[_LeafTotalWork],Tasks[[#This Row],[_Row]]+1):INDEX(Tasks[_LeafTotalWork],Tasks[[#This Row],[_Row]]+Tasks[[#This Row],[_Descendants]])),Tasks[[#This Row],[_LeafTotalWork]]))</f>
        <v>12</v>
      </c>
      <c r="AU23" s="111" t="n">
        <f aca="false">IF(Tasks[[#This Row],[Task Name]]="","",IF(Tasks[[#This Row],[_IsSummary]],SUM(INDEX(Tasks[_LeafTotalCost],Tasks[[#This Row],[_Row]]+1):INDEX(Tasks[_LeafTotalCost],Tasks[[#This Row],[_Row]]+Tasks[[#This Row],[_Descendants]])),Tasks[[#This Row],[_LeafTotalCost]]))</f>
        <v>900</v>
      </c>
      <c r="AV23" s="112"/>
      <c r="AW23" s="46"/>
      <c r="AX2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5</v>
      </c>
      <c r="AY23" s="96" t="n">
        <v>3</v>
      </c>
      <c r="AZ2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17FF+1d</v>
      </c>
      <c r="BA23" s="47" t="s">
        <v>671</v>
      </c>
      <c r="BB23" s="25" t="n">
        <f aca="false">IF(Tasks[[#This Row],[Task Name]]="","",Tasks[[#This Row],[Forecast Start]])</f>
        <v>46330</v>
      </c>
      <c r="BC23" s="25" t="n">
        <f aca="false">IF(Tasks[[#This Row],[Task Name]]="","",Tasks[[#This Row],[Forecast Finish]])</f>
        <v>46332</v>
      </c>
      <c r="BD23" s="45" t="n">
        <f aca="false">IF(Tasks[[#This Row],[Task Name]]="","",IF(Tasks[[#This Row],[_IsSummary]],NETWORKDAYS.INTL(Tasks[[#This Row],[Forecast Start]],Tasks[[#This Row],[Forecast Finish]],WorkWeek,Holidays),N(Tasks[[#This Row],[Duration]])))</f>
        <v>3</v>
      </c>
      <c r="BE23" s="110" t="n">
        <f aca="false">IF(Tasks[[#This Row],[Task Name]]="","",Tasks[[#This Row],[Work]])</f>
        <v>12</v>
      </c>
      <c r="BF23" s="111" t="n">
        <f aca="false">IF(Tasks[[#This Row],[Task Name]]="","",Tasks[[#This Row],[Cost]])</f>
        <v>900</v>
      </c>
      <c r="BG23" s="88"/>
      <c r="BH23" s="88"/>
      <c r="BI23" s="46"/>
      <c r="BJ23" s="113"/>
      <c r="BK23" s="112"/>
      <c r="BL23" s="45" t="str">
        <f aca="false">IF(OR(Tasks[[#This Row],[Task Name]]="",Tasks[[#This Row],[Baseline Duration]]=""),"",Tasks[[#This Row],[BL Source Duration]]-N(Tasks[[#This Row],[Baseline Duration]]))</f>
        <v/>
      </c>
      <c r="BM23" s="110" t="str">
        <f aca="false">IF(OR(Tasks[[#This Row],[Task Name]]="",Tasks[[#This Row],[Baseline Work]]=""),"",Tasks[[#This Row],[Work]]-N(Tasks[[#This Row],[Baseline Work]]))</f>
        <v/>
      </c>
      <c r="BN23" s="111" t="str">
        <f aca="false">IF(OR(Tasks[[#This Row],[Task Name]]="",Tasks[[#This Row],[Baseline Cost]]=""),"",Tasks[[#This Row],[Cost]]-N(Tasks[[#This Row],[Baseline Cost]]))</f>
        <v/>
      </c>
      <c r="BO23" s="111" t="n">
        <f aca="false">IF(Tasks[[#This Row],[Task Name]]="","",IF(Tasks[[#This Row],[_IsSummary]],SUM(INDEX(Tasks[_LeafBudget],Tasks[[#This Row],[_Row]]+1):INDEX(Tasks[_LeafBudget],Tasks[[#This Row],[_Row]]+Tasks[[#This Row],[_Descendants]])),Tasks[[#This Row],[_LeafBudget]]))</f>
        <v>900</v>
      </c>
      <c r="BP23" s="111" t="n">
        <f aca="false">IF(Tasks[[#This Row],[Task Name]]="","",IF(Tasks[[#This Row],[_IsSummary]],SUM(INDEX(Tasks[_LeafPV],Tasks[[#This Row],[_Row]]+1):INDEX(Tasks[_LeafPV],Tasks[[#This Row],[_Row]]+Tasks[[#This Row],[_Descendants]])),Tasks[[#This Row],[_LeafPV]]))</f>
        <v>0</v>
      </c>
      <c r="BQ23" s="111" t="n">
        <f aca="false">IF(Tasks[[#This Row],[Task Name]]="","",IF(Tasks[[#This Row],[_IsSummary]],SUM(INDEX(Tasks[_LeafEV],Tasks[[#This Row],[_Row]]+1):INDEX(Tasks[_LeafEV],Tasks[[#This Row],[_Row]]+Tasks[[#This Row],[_Descendants]])),Tasks[[#This Row],[_LeafEV]]))</f>
        <v>0</v>
      </c>
      <c r="BR23" s="111" t="n">
        <f aca="false">IF(Tasks[[#This Row],[Task Name]]="","",IF(Tasks[[#This Row],[_IsSummary]],SUM(INDEX(Tasks[_LeafAC],Tasks[[#This Row],[_Row]]+1):INDEX(Tasks[_LeafAC],Tasks[[#This Row],[_Row]]+Tasks[[#This Row],[_Descendants]])),Tasks[[#This Row],[_LeafAC]]))</f>
        <v>0</v>
      </c>
      <c r="BS23" s="32" t="n">
        <f aca="false">IF(Tasks[[#This Row],[Task Name]]="","",MAX(1,N(Tasks[[#This Row],[Level]])))</f>
        <v>3</v>
      </c>
      <c r="BT23" s="32" t="n">
        <f aca="false">ROW()-ROW(Tasks[[#Headers],[ID]])</f>
        <v>18</v>
      </c>
      <c r="BU23" s="32" t="n">
        <f aca="false">IF(OR(Tasks[[#This Row],[Task Name]]="",Tasks[[#This Row],[_Level]]&lt;=1),0,IFERROR(LOOKUP(2,1/(Tasks[[#Headers],[_Level]]:Tasks[[#This Row],[_Level]]=Tasks[[#This Row],[_Level]]-1),ROW(Tasks[[#Headers],[_Level]]:Tasks[[#This Row],[_Level]])),0))</f>
        <v>20</v>
      </c>
      <c r="BV23" s="32" t="n">
        <f aca="false">IFERROR(N(INDEX(Tasks[_Level],Tasks[[#This Row],[_Row]]+1)),0)</f>
        <v>2</v>
      </c>
      <c r="BW23" s="114" t="b">
        <f aca="false">AND(Tasks[[#This Row],[Task Name]]&lt;&gt;"",Tasks[[#This Row],[_NextLevel]]&gt;Tasks[[#This Row],[_Level]])</f>
        <v>0</v>
      </c>
      <c r="BX23" s="32" t="n">
        <f aca="false">IF(Tasks[[#This Row],[_IsSummary]],COUNTIF(Tasks[WBS],Tasks[[#This Row],[WBS]]&amp;".*"),0)</f>
        <v>0</v>
      </c>
      <c r="BY23" s="32" t="n">
        <f aca="false">IF(AND(Tasks[[#This Row],[Task Name]]&lt;&gt;"",NOT(Tasks[[#This Row],[_IsSummary]])),1,0)</f>
        <v>1</v>
      </c>
      <c r="BZ23" s="32" t="n">
        <f aca="false">IF(N(Tasks[[#This Row],[Pred1 UID]])=0,0,IFERROR(MATCH(Tasks[[#This Row],[Pred1 UID]],Tasks[UID],0),-1))</f>
        <v>17</v>
      </c>
      <c r="CA23" s="32" t="n">
        <f aca="false">IF(N(Tasks[[#This Row],[Pred2 UID]])=0,0,IFERROR(MATCH(Tasks[[#This Row],[Pred2 UID]],Tasks[UID],0),-1))</f>
        <v>0</v>
      </c>
      <c r="CB23" s="32" t="n">
        <f aca="false">IF(N(Tasks[[#This Row],[Pred3 UID]])=0,0,IFERROR(MATCH(Tasks[[#This Row],[Pred3 UID]],Tasks[UID],0),-1))</f>
        <v>0</v>
      </c>
      <c r="CC23" s="32" t="n">
        <f aca="false">IF(N(Tasks[[#This Row],[Pred4 UID]])=0,0,IFERROR(MATCH(Tasks[[#This Row],[Pred4 UID]],Tasks[UID],0),-1))</f>
        <v>0</v>
      </c>
      <c r="CD23"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3" s="115" t="n">
        <f aca="false">IF(OR(Tasks[[#This Row],[_ConstraintCode]]=2,Tasks[[#This Row],[_ConstraintCode]]=3,Tasks[[#This Row],[_ConstraintCode]]=4,Tasks[[#This Row],[_ConstraintCode]]=6),Tasks[[#This Row],[_ConstraintStart]],0)</f>
        <v>0</v>
      </c>
      <c r="CG23" s="115" t="n">
        <f aca="false">IF(OR(Tasks[[#This Row],[_ConstraintCode]]=2,Tasks[[#This Row],[_ConstraintCode]]=3,Tasks[[#This Row],[_ConstraintCode]]=5,Tasks[[#This Row],[_ConstraintCode]]=7),Tasks[[#This Row],[_ConstraintStart]],2958465)</f>
        <v>2958465</v>
      </c>
      <c r="CH23"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46322</v>
      </c>
      <c r="CI23" s="115" t="n">
        <f aca="false">IF(NOT(Tasks[[#This Row],[_IsLeaf]]=1),"",IF(N(Tasks[[#This Row],[Duration]])&lt;=0,Tasks[[#This Row],[_LeafCalcStart]],WORKDAY.INTL(Tasks[[#This Row],[_LeafCalcStart]],Tasks[[#This Row],[Duration]]-1,WorkWeek,Holidays)))</f>
        <v>46324</v>
      </c>
      <c r="CJ23"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46330</v>
      </c>
      <c r="CK23"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46332</v>
      </c>
      <c r="CL23" s="32" t="n">
        <f aca="false">IF(NOT(Tasks[[#This Row],[_IsLeaf]]=1),0,IF(N(Tasks[[#This Row],[Actual Finish]])&gt;0,1,MIN(1,N(Tasks[[#This Row],[% Complete]]))))</f>
        <v>0</v>
      </c>
      <c r="CM23" s="32" t="n">
        <f aca="false">IF(OR(NOT(Tasks[[#This Row],[_IsLeaf]]=1),Tasks[[#This Row],[Resource]]=""),0,N(Tasks[[#This Row],[Duration]])*HoursPerDay*IF(Tasks[[#This Row],[Units]]="",DefaultUnits,Tasks[[#This Row],[Units]]))</f>
        <v>12</v>
      </c>
      <c r="CN23" s="32" t="n">
        <f aca="false">IF(Tasks[[#This Row],[_LeafWork]]=0,0,Tasks[[#This Row],[_LeafWork]]*IFERROR(INDEX(res_Rate,MATCH(Tasks[[#This Row],[Resource]],res_Name,0)),0))</f>
        <v>900</v>
      </c>
      <c r="CO23" s="32" t="n">
        <f aca="false">Tasks[[#This Row],[_LeafWork]]+IF(Tasks[[#This Row],[_IsLeaf]]=1,SUMIFS(asg_Work,asg_TaskUID,Tasks[[#This Row],[UID]],asg_Valid,1),0)</f>
        <v>12</v>
      </c>
      <c r="CP23" s="32" t="n">
        <f aca="false">Tasks[[#This Row],[_LeafCost]]+IF(Tasks[[#This Row],[_IsLeaf]]=1,SUMIFS(asg_Cost,asg_TaskUID,Tasks[[#This Row],[UID]],asg_Valid,1),0)</f>
        <v>900</v>
      </c>
      <c r="CQ23" s="32" t="n">
        <f aca="false">IF(Tasks[[#This Row],[_LeafTotalCost]]=0,Tasks[[#This Row],[_LeafAC]],Tasks[[#This Row],[_LeafAC]]*Tasks[[#This Row],[_LeafCost]]/Tasks[[#This Row],[_LeafTotalCost]])</f>
        <v>0</v>
      </c>
      <c r="CR23"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2912134</v>
      </c>
      <c r="CS2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3"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3" s="32" t="n">
        <f aca="false">IF(NOT(Tasks[[#This Row],[_IsLeaf]]=1),0,MAX(_xlfn.MAXIFS(Tasks[_Row],Tasks[Pred1 UID],Tasks[[#This Row],[UID]]),_xlfn.MAXIFS(Tasks[_Row],Tasks[Pred2 UID],Tasks[[#This Row],[UID]]),_xlfn.MAXIFS(Tasks[_Row],Tasks[Pred3 UID],Tasks[[#This Row],[UID]]),_xlfn.MAXIFS(Tasks[_Row],Tasks[Pred4 UID],Tasks[[#This Row],[UID]])))</f>
        <v>19</v>
      </c>
      <c r="DA23"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46332</v>
      </c>
      <c r="DB23"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DC23" s="115" t="n">
        <f aca="false">IF(NOT(Tasks[[#This Row],[_IsLeaf]]=1),"",IF(N(Tasks[[#This Row],[Duration]])&lt;=0,Tasks[[#This Row],[_LeafLateFinish]],WORKDAY.INTL(Tasks[[#This Row],[_LeafLateFinish]],-(Tasks[[#This Row],[Duration]]-1),WorkWeek,Holidays)))</f>
        <v>46330</v>
      </c>
      <c r="DD23"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23" s="114" t="b">
        <f aca="false">AND(Tasks[[#This Row],[_IsLeaf]]=1,Tasks[[#This Row],[_LeafProgress]]&lt;1,N(Tasks[[#This Row],[_LeafTotalSlack]])&lt;=CriticalSlackDays)</f>
        <v>1</v>
      </c>
      <c r="DF23" s="32" t="n">
        <f aca="false">IF(AND(Tasks[[#This Row],[_IsLeaf]]=1,Tasks[[#This Row],[_ConstraintCode]]=1,Tasks[[#This Row],[Mode]]&lt;&gt;"Manual",N(Tasks[[#This Row],[Actual Start]])=0),MAX(0,N(Tasks[[#This Row],[Free Slack]])),0)</f>
        <v>0</v>
      </c>
      <c r="DG23" s="115" t="n">
        <f aca="false">IF(NOT(Tasks[[#This Row],[_IsLeaf]]=1),"",IF(Tasks[[#This Row],[_AlapShift]]=0,Tasks[[#This Row],[_LeafCalcStart]],WORKDAY.INTL(Tasks[[#This Row],[_LeafCalcStart]],Tasks[[#This Row],[_AlapShift]],WorkWeek,Holidays)))</f>
        <v>46322</v>
      </c>
      <c r="DH23" s="115" t="n">
        <f aca="false">IF(NOT(Tasks[[#This Row],[_IsLeaf]]=1),"",IF(Tasks[[#This Row],[_AlapShift]]=0,Tasks[[#This Row],[_LeafCalcFinish]],WORKDAY.INTL(Tasks[[#This Row],[_LeafCalcFinish]],Tasks[[#This Row],[_AlapShift]],WorkWeek,Holidays)))</f>
        <v>46324</v>
      </c>
      <c r="DI23" s="115" t="n">
        <f aca="false">IF(NOT(Tasks[[#This Row],[_IsLeaf]]=1),"",IF(Tasks[[#This Row],[_AlapShift]]=0,Tasks[[#This Row],[_LeafFcstStart]],WORKDAY.INTL(Tasks[[#This Row],[_LeafFcstStart]],Tasks[[#This Row],[_AlapShift]],WorkWeek,Holidays)))</f>
        <v>46330</v>
      </c>
      <c r="DJ23" s="115" t="n">
        <f aca="false">IF(NOT(Tasks[[#This Row],[_IsLeaf]]=1),"",IF(Tasks[[#This Row],[_AlapShift]]=0,Tasks[[#This Row],[_LeafFcstFinish]],WORKDAY.INTL(Tasks[[#This Row],[_LeafFcstFinish]],Tasks[[#This Row],[_AlapShift]],WorkWeek,Holidays)))</f>
        <v>46332</v>
      </c>
      <c r="DK23" s="115" t="n">
        <f aca="false">IF(Tasks[[#This Row],[Task Name]]="","",IF(Tasks[[#This Row],[_IsSummary]],MIN(INDEX(Tasks[_ShownCalcStart],Tasks[[#This Row],[_Row]]+1):INDEX(Tasks[_ShownCalcStart],Tasks[[#This Row],[_Row]]+Tasks[[#This Row],[_Descendants]])),Tasks[[#This Row],[_ShownCalcStart]]))</f>
        <v>46322</v>
      </c>
      <c r="DL23" s="115" t="n">
        <f aca="false">IF(Tasks[[#This Row],[Task Name]]="","",IF(Tasks[[#This Row],[_IsSummary]],MAX(INDEX(Tasks[_ShownCalcFinish],Tasks[[#This Row],[_Row]]+1):INDEX(Tasks[_ShownCalcFinish],Tasks[[#This Row],[_Row]]+Tasks[[#This Row],[_Descendants]])),Tasks[[#This Row],[_ShownCalcFinish]]))</f>
        <v>46324</v>
      </c>
      <c r="DM2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46322</v>
      </c>
      <c r="DR2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46330</v>
      </c>
      <c r="DV2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3" s="32" t="n">
        <f aca="false">IF(AND(Tasks[[#This Row],[_IsLeaf]]=1,Tasks[[#This Row],[_LeafTotalWork]]&gt;0),NETWORKDAYS.INTL(ProjectStart,Tasks[[#This Row],[_ShownFcstStart]],WorkWeek,Holidays),0)</f>
        <v>43</v>
      </c>
      <c r="DZ23" s="32" t="n">
        <f aca="false">IF(AND(Tasks[[#This Row],[_IsLeaf]]=1,Tasks[[#This Row],[_LeafTotalWork]]&gt;0),MAX(Tasks[[#This Row],[_StartWorkday]],NETWORKDAYS.INTL(ProjectStart,Tasks[[#This Row],[_ShownFcstFinish]],WorkWeek,Holidays)),0)</f>
        <v>45</v>
      </c>
      <c r="EA23" s="32" t="n">
        <f aca="false">IF(AND(Tasks[[#This Row],[_IsLeaf]]=1,Tasks[[#This Row],[_LeafTotalWork]]&gt;0),Tasks[[#This Row],[_LeafWork]]/(Tasks[[#This Row],[_FinishWorkday]]-Tasks[[#This Row],[_StartWorkday]]+1),0)</f>
        <v>4</v>
      </c>
      <c r="EB23" s="32" t="n">
        <f aca="false">Tasks[[#This Row],[_WorkPerWorkday]]*(Tasks[[#This Row],[_StartWorkday]]-1)</f>
        <v>168</v>
      </c>
      <c r="EC23" s="32" t="n">
        <f aca="false">IF(Tasks[[#This Row],[_IsLeaf]]=1,MAX(N(Tasks[[#This Row],[Duration]]),0.1),0)</f>
        <v>3</v>
      </c>
      <c r="ED23" s="32" t="n">
        <f aca="false">Tasks[[#This Row],[_WeightDur]]*Tasks[[#This Row],[_LeafProgress]]</f>
        <v>0</v>
      </c>
      <c r="EE2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17FF+1d</v>
      </c>
      <c r="EF23" s="32" t="str">
        <f aca="false">IF(AND(Tasks[[#This Row],[_IsLeaf]]=1,N(Tasks[[#This Row],[Duration]])=0,Tasks[[#This Row],[_LeafProgress]]&lt;1),Tasks[[#This Row],[_ShownFcstFinish]]+Tasks[[#This Row],[_Row]]/100000,"")</f>
        <v/>
      </c>
      <c r="EG2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3" s="32" t="n">
        <f aca="false">IF(NOT(Tasks[[#This Row],[_IsLeaf]]=1),0,IF(Tasks[[#This Row],[Baseline Cost]]="",Tasks[[#This Row],[_LeafTotalCost]],N(Tasks[[#This Row],[Baseline Cost]])))</f>
        <v>900</v>
      </c>
      <c r="EI23" s="32" t="n">
        <f aca="false">Tasks[[#This Row],[_LeafBudget]]*Tasks[[#This Row],[_PlannedPct]]</f>
        <v>0</v>
      </c>
      <c r="EJ23" s="32" t="n">
        <f aca="false">Tasks[[#This Row],[_LeafBudget]]*Tasks[[#This Row],[_LeafProgress]]</f>
        <v>0</v>
      </c>
      <c r="EK23" s="32" t="n">
        <f aca="false">IF(NOT(Tasks[[#This Row],[_IsLeaf]]=1),0,IF(Tasks[[#This Row],[Actual Cost]]="",Tasks[[#This Row],[_LeafTotalCost]]*Tasks[[#This Row],[_LeafProgress]],N(Tasks[[#This Row],[Actual Cost]])))</f>
        <v>0</v>
      </c>
      <c r="EL23" s="32" t="str">
        <f aca="false">IF(Tasks[[#This Row],[Task Name]]="","",LEFT(Tasks[[#This Row],[WBS]],FIND(".",Tasks[[#This Row],[WBS]]&amp;".")-1))</f>
        <v>3</v>
      </c>
      <c r="EM23" s="32" t="str">
        <f aca="false">IF(AND(Tasks[[#This Row],[Task Name]]&lt;&gt;"",Tasks[[#This Row],[_Level]]=1),Tasks[[#This Row],[_Row]],"")</f>
        <v/>
      </c>
      <c r="EN23" s="32" t="str">
        <f aca="false">IF(AND(Tasks[[#This Row],[_IsLeaf]]=1,N(Tasks[[#This Row],[Duration]])=0),Tasks[[#This Row],[Planned Finish]]+Tasks[[#This Row],[_Row]]/100000,"")</f>
        <v/>
      </c>
      <c r="EO23" s="32" t="n">
        <f aca="false">IF(AND(Tasks[[#This Row],[_IsLeaf]]=1,Tasks[[#This Row],[_LeafProgress]]&lt;1,OR(N(Tasks[[#This Row],[Finish Var]])&gt;0,Tasks[[#This Row],[Status]]="Late Start")),MAX(0,Tasks[[#This Row],[Finish Var]])+1-Tasks[[#This Row],[_Row]]/1000000,"")</f>
        <v>6.999982</v>
      </c>
      <c r="EP23" s="116" t="n">
        <f aca="false">IF(AND(Tasks[[#This Row],[_IsLeaf]]=1,N(Tasks[[#This Row],[Actual Start]])=0,Tasks[[#This Row],[_ShownFcstStart]]&gt;=StatusDate,Tasks[[#This Row],[_ShownFcstStart]]&lt;=LookaheadEnd),Tasks[[#This Row],[_ShownFcstStart]]+Tasks[[#This Row],[_Row]]/100000,"")</f>
        <v>46330.00018</v>
      </c>
      <c r="EQ23" s="116" t="n">
        <f aca="false">IF(AND(Tasks[[#This Row],[_IsLeaf]]=1,Tasks[[#This Row],[_LeafProgress]]&lt;1,Tasks[[#This Row],[_ShownFcstFinish]]&gt;=StatusDate,Tasks[[#This Row],[_ShownFcstFinish]]&lt;=LookaheadEnd),Tasks[[#This Row],[_ShownFcstFinish]]+Tasks[[#This Row],[_Row]]/100000,"")</f>
        <v>46332.00018</v>
      </c>
      <c r="ER23" s="116" t="n">
        <f aca="false">IF(Tasks[[#This Row],[_LeafCritical]],Tasks[[#This Row],[_ShownFcstStart]]+Tasks[[#This Row],[_Row]]/100000,"")</f>
        <v>46330.00018</v>
      </c>
      <c r="ES23" s="32" t="n">
        <f aca="false">Tasks[[#This Row],[_LeafWork]]*Tasks[[#This Row],[_LeafProgress]]</f>
        <v>0</v>
      </c>
      <c r="ET23" s="115" t="str">
        <f aca="false">IF(AND(Tasks[[#This Row],[_IsLeaf]]=1,Tasks[[#This Row],[_LeafProgress]]&gt;=1),IF(N(Tasks[[#This Row],[Actual Finish]])&gt;0,Tasks[[#This Row],[Actual Finish]],Tasks[[#This Row],[_ShownFcstFinish]]),"")</f>
        <v/>
      </c>
      <c r="EU23" s="32" t="n">
        <f aca="false">IF(Tasks[[#This Row],[_IsLeaf]]=1,N(Tasks[[#This Row],[Story Points]]),0)</f>
        <v>3</v>
      </c>
      <c r="EV23" s="32" t="str">
        <f aca="false">IF(AND(Tasks[[#This Row],[_IsLeaf]]=1,CurrentSprint&lt;&gt;"",Tasks[[#This Row],[Sprint]]=CurrentSprint),Tasks[[#This Row],[_Row]],"")</f>
        <v/>
      </c>
    </row>
    <row r="24" customFormat="false" ht="15" hidden="false" customHeight="false" outlineLevel="1" collapsed="false">
      <c r="A24" s="45" t="n">
        <f aca="false">IF(Tasks[[#This Row],[Task Name]]="","",COUNTA(Tasks[[#Headers],[Task Name]]:Tasks[[#This Row],[Task Name]])-1)</f>
        <v>19</v>
      </c>
      <c r="B24" s="46" t="n">
        <v>19</v>
      </c>
      <c r="C2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3.3</v>
      </c>
      <c r="D24" s="46" t="n">
        <v>2</v>
      </c>
      <c r="E24" s="45" t="str">
        <f aca="false">IF(Tasks[[#This Row],[Task Name]]="","",IF(Tasks[[#This Row],[_Level]]&lt;=OutlineShowLevel,"Yes","No"))</f>
        <v>Yes</v>
      </c>
      <c r="F24" s="47" t="s">
        <v>672</v>
      </c>
      <c r="G24" s="46" t="s">
        <v>642</v>
      </c>
      <c r="H24" s="46" t="n">
        <v>0</v>
      </c>
      <c r="I24" s="46" t="n">
        <v>14</v>
      </c>
      <c r="J24" s="46" t="s">
        <v>647</v>
      </c>
      <c r="K24" s="46"/>
      <c r="L24" s="46" t="n">
        <v>18</v>
      </c>
      <c r="M24" s="46" t="s">
        <v>647</v>
      </c>
      <c r="N24" s="46"/>
      <c r="O24" s="46"/>
      <c r="P24" s="46"/>
      <c r="Q24" s="46"/>
      <c r="R24" s="46"/>
      <c r="S24" s="46"/>
      <c r="T24" s="46"/>
      <c r="U24" s="47"/>
      <c r="V24" s="88"/>
      <c r="W24" s="88" t="n">
        <v>46332</v>
      </c>
      <c r="X24" s="25" t="n">
        <f aca="false">IF(Tasks[[#This Row],[Task Name]]="","",IF(N(Tasks[[#This Row],[Baseline Start]])&gt;0,Tasks[[#This Row],[Baseline Start]],Tasks[[#This Row],[_CalcStart]]))</f>
        <v>46325</v>
      </c>
      <c r="Y24" s="25" t="n">
        <f aca="false">IF(Tasks[[#This Row],[Task Name]]="","",IF(N(Tasks[[#This Row],[Baseline Finish]])&gt;0,Tasks[[#This Row],[Baseline Finish]],Tasks[[#This Row],[_CalcFinish]]))</f>
        <v>46325</v>
      </c>
      <c r="Z24" s="88"/>
      <c r="AA24" s="88"/>
      <c r="AB24" s="25" t="n">
        <f aca="false">IF(Tasks[[#This Row],[Task Name]]="","",IF(Tasks[[#This Row],[_IsSummary]],MIN(INDEX(Tasks[_ShownFcstStart],Tasks[[#This Row],[_Row]]+1):INDEX(Tasks[_ShownFcstStart],Tasks[[#This Row],[_Row]]+Tasks[[#This Row],[_Descendants]])),Tasks[[#This Row],[_ShownFcstStart]]))</f>
        <v>46335</v>
      </c>
      <c r="AC24" s="25" t="n">
        <f aca="false">IF(Tasks[[#This Row],[Task Name]]="","",IF(Tasks[[#This Row],[_IsSummary]],MAX(INDEX(Tasks[_ShownFcstFinish],Tasks[[#This Row],[_Row]]+1):INDEX(Tasks[_ShownFcstFinish],Tasks[[#This Row],[_Row]]+Tasks[[#This Row],[_Descendants]])),Tasks[[#This Row],[_ShownFcstFinish]]))</f>
        <v>46335</v>
      </c>
      <c r="AD24"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24"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4" s="25" t="n">
        <f aca="false">IF(Tasks[[#This Row],[Task Name]]="","",IF(Tasks[[#This Row],[_IsSummary]],MIN(INDEX(Tasks[_LeafLateStart],Tasks[[#This Row],[_Row]]+1):INDEX(Tasks[_LeafLateStart],Tasks[[#This Row],[_Row]]+Tasks[[#This Row],[_Descendants]])),Tasks[[#This Row],[_LeafLateStart]]))</f>
        <v>46332</v>
      </c>
      <c r="AG24" s="25" t="n">
        <f aca="false">IF(Tasks[[#This Row],[Task Name]]="","",IF(Tasks[[#This Row],[_IsSummary]],MAX(INDEX(Tasks[_LeafLateFinish],Tasks[[#This Row],[_Row]]+1):INDEX(Tasks[_LeafLateFinish],Tasks[[#This Row],[_Row]]+Tasks[[#This Row],[_Descendants]])),Tasks[[#This Row],[_LeafLateFinish]]))</f>
        <v>46332</v>
      </c>
      <c r="AH24" s="56" t="n">
        <f aca="false">IF(Tasks[[#This Row],[Task Name]]="","",IF(Tasks[[#This Row],[_IsSummary]],MIN(INDEX(Tasks[_LeafTotalSlack],Tasks[[#This Row],[_Row]]+1):INDEX(Tasks[_LeafTotalSlack],Tasks[[#This Row],[_Row]]+Tasks[[#This Row],[_Descendants]])),Tasks[[#This Row],[_LeafTotalSlack]]))</f>
        <v>-1</v>
      </c>
      <c r="AI24"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-1</v>
      </c>
      <c r="AJ24" s="45" t="str">
        <f aca="false">IF(Tasks[[#This Row],[Task Name]]="","",IF(IF(Tasks[[#This Row],[_IsSummary]],COUNTIF(INDEX(Tasks[_LeafCritical],Tasks[[#This Row],[_Row]]+1):INDEX(Tasks[_LeafCritical],Tasks[[#This Row],[_Row]]+Tasks[[#This Row],[_Descendants]]),TRUE())&gt;0,Tasks[[#This Row],[_LeafCritical]]),"Yes",""))</f>
        <v>Yes</v>
      </c>
      <c r="AK2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Late by 1d</v>
      </c>
      <c r="AL2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4" s="102"/>
      <c r="AN24"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4" s="45" t="str">
        <f aca="false">IF(Tasks[[#This Row],[Task Name]]="","",IF(Tasks[[#This Row],[Progress]]&gt;=1,"Complete",IF(OR(N(Tasks[[#This Row],[Actual Start]])&gt;0,Tasks[[#This Row],[Progress]]&gt;0),IF(Tasks[[#This Row],[Finish Var]]&gt;0,"Behind","In Progress"),IF(Tasks[[#This Row],[Planned Start]]&lt;StatusDate,"Late Start","Not Started"))))</f>
        <v>Not Started</v>
      </c>
      <c r="AP24" s="47"/>
      <c r="AQ24" s="102"/>
      <c r="AR2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4" s="110" t="n">
        <f aca="false">IF(Tasks[[#This Row],[Task Name]]="","",IF(Tasks[[#This Row],[_IsSummary]],SUM(INDEX(Tasks[_LeafTotalWork],Tasks[[#This Row],[_Row]]+1):INDEX(Tasks[_LeafTotalWork],Tasks[[#This Row],[_Row]]+Tasks[[#This Row],[_Descendants]])),Tasks[[#This Row],[_LeafTotalWork]]))</f>
        <v>0</v>
      </c>
      <c r="AU24" s="111" t="n">
        <f aca="false">IF(Tasks[[#This Row],[Task Name]]="","",IF(Tasks[[#This Row],[_IsSummary]],SUM(INDEX(Tasks[_LeafTotalCost],Tasks[[#This Row],[_Row]]+1):INDEX(Tasks[_LeafTotalCost],Tasks[[#This Row],[_Row]]+Tasks[[#This Row],[_Descendants]])),Tasks[[#This Row],[_LeafTotalCost]]))</f>
        <v>0</v>
      </c>
      <c r="AV24" s="112"/>
      <c r="AW24" s="46"/>
      <c r="AX2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5</v>
      </c>
      <c r="AY24" s="96"/>
      <c r="AZ2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14,18</v>
      </c>
      <c r="BA24" s="47" t="s">
        <v>673</v>
      </c>
      <c r="BB24" s="25" t="n">
        <f aca="false">IF(Tasks[[#This Row],[Task Name]]="","",Tasks[[#This Row],[Forecast Start]])</f>
        <v>46335</v>
      </c>
      <c r="BC24" s="25" t="n">
        <f aca="false">IF(Tasks[[#This Row],[Task Name]]="","",Tasks[[#This Row],[Forecast Finish]])</f>
        <v>46335</v>
      </c>
      <c r="BD24" s="45" t="n">
        <f aca="false">IF(Tasks[[#This Row],[Task Name]]="","",IF(Tasks[[#This Row],[_IsSummary]],NETWORKDAYS.INTL(Tasks[[#This Row],[Forecast Start]],Tasks[[#This Row],[Forecast Finish]],WorkWeek,Holidays),N(Tasks[[#This Row],[Duration]])))</f>
        <v>0</v>
      </c>
      <c r="BE24" s="110" t="n">
        <f aca="false">IF(Tasks[[#This Row],[Task Name]]="","",Tasks[[#This Row],[Work]])</f>
        <v>0</v>
      </c>
      <c r="BF24" s="111" t="n">
        <f aca="false">IF(Tasks[[#This Row],[Task Name]]="","",Tasks[[#This Row],[Cost]])</f>
        <v>0</v>
      </c>
      <c r="BG24" s="88"/>
      <c r="BH24" s="88"/>
      <c r="BI24" s="46"/>
      <c r="BJ24" s="113"/>
      <c r="BK24" s="112"/>
      <c r="BL24" s="45" t="str">
        <f aca="false">IF(OR(Tasks[[#This Row],[Task Name]]="",Tasks[[#This Row],[Baseline Duration]]=""),"",Tasks[[#This Row],[BL Source Duration]]-N(Tasks[[#This Row],[Baseline Duration]]))</f>
        <v/>
      </c>
      <c r="BM24" s="110" t="str">
        <f aca="false">IF(OR(Tasks[[#This Row],[Task Name]]="",Tasks[[#This Row],[Baseline Work]]=""),"",Tasks[[#This Row],[Work]]-N(Tasks[[#This Row],[Baseline Work]]))</f>
        <v/>
      </c>
      <c r="BN24" s="111" t="str">
        <f aca="false">IF(OR(Tasks[[#This Row],[Task Name]]="",Tasks[[#This Row],[Baseline Cost]]=""),"",Tasks[[#This Row],[Cost]]-N(Tasks[[#This Row],[Baseline Cost]]))</f>
        <v/>
      </c>
      <c r="BO24" s="111" t="n">
        <f aca="false">IF(Tasks[[#This Row],[Task Name]]="","",IF(Tasks[[#This Row],[_IsSummary]],SUM(INDEX(Tasks[_LeafBudget],Tasks[[#This Row],[_Row]]+1):INDEX(Tasks[_LeafBudget],Tasks[[#This Row],[_Row]]+Tasks[[#This Row],[_Descendants]])),Tasks[[#This Row],[_LeafBudget]]))</f>
        <v>0</v>
      </c>
      <c r="BP24" s="111" t="n">
        <f aca="false">IF(Tasks[[#This Row],[Task Name]]="","",IF(Tasks[[#This Row],[_IsSummary]],SUM(INDEX(Tasks[_LeafPV],Tasks[[#This Row],[_Row]]+1):INDEX(Tasks[_LeafPV],Tasks[[#This Row],[_Row]]+Tasks[[#This Row],[_Descendants]])),Tasks[[#This Row],[_LeafPV]]))</f>
        <v>0</v>
      </c>
      <c r="BQ24" s="111" t="n">
        <f aca="false">IF(Tasks[[#This Row],[Task Name]]="","",IF(Tasks[[#This Row],[_IsSummary]],SUM(INDEX(Tasks[_LeafEV],Tasks[[#This Row],[_Row]]+1):INDEX(Tasks[_LeafEV],Tasks[[#This Row],[_Row]]+Tasks[[#This Row],[_Descendants]])),Tasks[[#This Row],[_LeafEV]]))</f>
        <v>0</v>
      </c>
      <c r="BR24" s="111" t="n">
        <f aca="false">IF(Tasks[[#This Row],[Task Name]]="","",IF(Tasks[[#This Row],[_IsSummary]],SUM(INDEX(Tasks[_LeafAC],Tasks[[#This Row],[_Row]]+1):INDEX(Tasks[_LeafAC],Tasks[[#This Row],[_Row]]+Tasks[[#This Row],[_Descendants]])),Tasks[[#This Row],[_LeafAC]]))</f>
        <v>0</v>
      </c>
      <c r="BS24" s="32" t="n">
        <f aca="false">IF(Tasks[[#This Row],[Task Name]]="","",MAX(1,N(Tasks[[#This Row],[Level]])))</f>
        <v>2</v>
      </c>
      <c r="BT24" s="32" t="n">
        <f aca="false">ROW()-ROW(Tasks[[#Headers],[ID]])</f>
        <v>19</v>
      </c>
      <c r="BU24" s="32" t="n">
        <f aca="false">IF(OR(Tasks[[#This Row],[Task Name]]="",Tasks[[#This Row],[_Level]]&lt;=1),0,IFERROR(LOOKUP(2,1/(Tasks[[#Headers],[_Level]]:Tasks[[#This Row],[_Level]]=Tasks[[#This Row],[_Level]]-1),ROW(Tasks[[#Headers],[_Level]]:Tasks[[#This Row],[_Level]])),0))</f>
        <v>15</v>
      </c>
      <c r="BV24" s="32" t="n">
        <f aca="false">IFERROR(N(INDEX(Tasks[_Level],Tasks[[#This Row],[_Row]]+1)),0)</f>
        <v>1</v>
      </c>
      <c r="BW24" s="114" t="b">
        <f aca="false">AND(Tasks[[#This Row],[Task Name]]&lt;&gt;"",Tasks[[#This Row],[_NextLevel]]&gt;Tasks[[#This Row],[_Level]])</f>
        <v>0</v>
      </c>
      <c r="BX24" s="32" t="n">
        <f aca="false">IF(Tasks[[#This Row],[_IsSummary]],COUNTIF(Tasks[WBS],Tasks[[#This Row],[WBS]]&amp;".*"),0)</f>
        <v>0</v>
      </c>
      <c r="BY24" s="32" t="n">
        <f aca="false">IF(AND(Tasks[[#This Row],[Task Name]]&lt;&gt;"",NOT(Tasks[[#This Row],[_IsSummary]])),1,0)</f>
        <v>1</v>
      </c>
      <c r="BZ24" s="32" t="n">
        <f aca="false">IF(N(Tasks[[#This Row],[Pred1 UID]])=0,0,IFERROR(MATCH(Tasks[[#This Row],[Pred1 UID]],Tasks[UID],0),-1))</f>
        <v>14</v>
      </c>
      <c r="CA24" s="32" t="n">
        <f aca="false">IF(N(Tasks[[#This Row],[Pred2 UID]])=0,0,IFERROR(MATCH(Tasks[[#This Row],[Pred2 UID]],Tasks[UID],0),-1))</f>
        <v>18</v>
      </c>
      <c r="CB24" s="32" t="n">
        <f aca="false">IF(N(Tasks[[#This Row],[Pred3 UID]])=0,0,IFERROR(MATCH(Tasks[[#This Row],[Pred3 UID]],Tasks[UID],0),-1))</f>
        <v>0</v>
      </c>
      <c r="CC24" s="32" t="n">
        <f aca="false">IF(N(Tasks[[#This Row],[Pred4 UID]])=0,0,IFERROR(MATCH(Tasks[[#This Row],[Pred4 UID]],Tasks[UID],0),-1))</f>
        <v>0</v>
      </c>
      <c r="CD24"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4" s="115" t="n">
        <f aca="false">IF(OR(Tasks[[#This Row],[_ConstraintCode]]=2,Tasks[[#This Row],[_ConstraintCode]]=3,Tasks[[#This Row],[_ConstraintCode]]=4,Tasks[[#This Row],[_ConstraintCode]]=6),Tasks[[#This Row],[_ConstraintStart]],0)</f>
        <v>0</v>
      </c>
      <c r="CG24" s="115" t="n">
        <f aca="false">IF(OR(Tasks[[#This Row],[_ConstraintCode]]=2,Tasks[[#This Row],[_ConstraintCode]]=3,Tasks[[#This Row],[_ConstraintCode]]=5,Tasks[[#This Row],[_ConstraintCode]]=7),Tasks[[#This Row],[_ConstraintStart]],2958465)</f>
        <v>2958465</v>
      </c>
      <c r="CH24"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46325</v>
      </c>
      <c r="CI24" s="115" t="n">
        <f aca="false">IF(NOT(Tasks[[#This Row],[_IsLeaf]]=1),"",IF(N(Tasks[[#This Row],[Duration]])&lt;=0,Tasks[[#This Row],[_LeafCalcStart]],WORKDAY.INTL(Tasks[[#This Row],[_LeafCalcStart]],Tasks[[#This Row],[Duration]]-1,WorkWeek,Holidays)))</f>
        <v>46325</v>
      </c>
      <c r="CJ24"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46335</v>
      </c>
      <c r="CK24"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46335</v>
      </c>
      <c r="CL24" s="32" t="n">
        <f aca="false">IF(NOT(Tasks[[#This Row],[_IsLeaf]]=1),0,IF(N(Tasks[[#This Row],[Actual Finish]])&gt;0,1,MIN(1,N(Tasks[[#This Row],[% Complete]]))))</f>
        <v>0</v>
      </c>
      <c r="CM24" s="32" t="n">
        <f aca="false">IF(OR(NOT(Tasks[[#This Row],[_IsLeaf]]=1),Tasks[[#This Row],[Resource]]=""),0,N(Tasks[[#This Row],[Duration]])*HoursPerDay*IF(Tasks[[#This Row],[Units]]="",DefaultUnits,Tasks[[#This Row],[Units]]))</f>
        <v>0</v>
      </c>
      <c r="CN24" s="32" t="n">
        <f aca="false">IF(Tasks[[#This Row],[_LeafWork]]=0,0,Tasks[[#This Row],[_LeafWork]]*IFERROR(INDEX(res_Rate,MATCH(Tasks[[#This Row],[Resource]],res_Name,0)),0))</f>
        <v>0</v>
      </c>
      <c r="CO24" s="32" t="n">
        <f aca="false">Tasks[[#This Row],[_LeafWork]]+IF(Tasks[[#This Row],[_IsLeaf]]=1,SUMIFS(asg_Work,asg_TaskUID,Tasks[[#This Row],[UID]],asg_Valid,1),0)</f>
        <v>0</v>
      </c>
      <c r="CP24" s="32" t="n">
        <f aca="false">Tasks[[#This Row],[_LeafCost]]+IF(Tasks[[#This Row],[_IsLeaf]]=1,SUMIFS(asg_Cost,asg_TaskUID,Tasks[[#This Row],[UID]],asg_Valid,1),0)</f>
        <v>0</v>
      </c>
      <c r="CQ24" s="32" t="n">
        <f aca="false">IF(Tasks[[#This Row],[_LeafTotalCost]]=0,Tasks[[#This Row],[_LeafAC]],Tasks[[#This Row],[_LeafAC]]*Tasks[[#This Row],[_LeafCost]]/Tasks[[#This Row],[_LeafTotalCost]])</f>
        <v>0</v>
      </c>
      <c r="CR24"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2912133</v>
      </c>
      <c r="CS24" s="116" t="n">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2912133</v>
      </c>
      <c r="CT2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4"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4" s="32"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99999</v>
      </c>
      <c r="CX2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4" s="32" t="n">
        <f aca="false">IF(NOT(Tasks[[#This Row],[_IsLeaf]]=1),0,MAX(_xlfn.MAXIFS(Tasks[_Row],Tasks[Pred1 UID],Tasks[[#This Row],[UID]]),_xlfn.MAXIFS(Tasks[_Row],Tasks[Pred2 UID],Tasks[[#This Row],[UID]]),_xlfn.MAXIFS(Tasks[_Row],Tasks[Pred3 UID],Tasks[[#This Row],[UID]]),_xlfn.MAXIFS(Tasks[_Row],Tasks[Pred4 UID],Tasks[[#This Row],[UID]])))</f>
        <v>21</v>
      </c>
      <c r="DA24"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46350</v>
      </c>
      <c r="DB24"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DC24" s="115" t="n">
        <f aca="false">IF(NOT(Tasks[[#This Row],[_IsLeaf]]=1),"",IF(N(Tasks[[#This Row],[Duration]])&lt;=0,Tasks[[#This Row],[_LeafLateFinish]],WORKDAY.INTL(Tasks[[#This Row],[_LeafLateFinish]],-(Tasks[[#This Row],[Duration]]-1),WorkWeek,Holidays)))</f>
        <v>46332</v>
      </c>
      <c r="DD24"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DE24" s="114" t="b">
        <f aca="false">AND(Tasks[[#This Row],[_IsLeaf]]=1,Tasks[[#This Row],[_LeafProgress]]&lt;1,N(Tasks[[#This Row],[_LeafTotalSlack]])&lt;=CriticalSlackDays)</f>
        <v>1</v>
      </c>
      <c r="DF24" s="32" t="n">
        <f aca="false">IF(AND(Tasks[[#This Row],[_IsLeaf]]=1,Tasks[[#This Row],[_ConstraintCode]]=1,Tasks[[#This Row],[Mode]]&lt;&gt;"Manual",N(Tasks[[#This Row],[Actual Start]])=0),MAX(0,N(Tasks[[#This Row],[Free Slack]])),0)</f>
        <v>0</v>
      </c>
      <c r="DG24" s="115" t="n">
        <f aca="false">IF(NOT(Tasks[[#This Row],[_IsLeaf]]=1),"",IF(Tasks[[#This Row],[_AlapShift]]=0,Tasks[[#This Row],[_LeafCalcStart]],WORKDAY.INTL(Tasks[[#This Row],[_LeafCalcStart]],Tasks[[#This Row],[_AlapShift]],WorkWeek,Holidays)))</f>
        <v>46325</v>
      </c>
      <c r="DH24" s="115" t="n">
        <f aca="false">IF(NOT(Tasks[[#This Row],[_IsLeaf]]=1),"",IF(Tasks[[#This Row],[_AlapShift]]=0,Tasks[[#This Row],[_LeafCalcFinish]],WORKDAY.INTL(Tasks[[#This Row],[_LeafCalcFinish]],Tasks[[#This Row],[_AlapShift]],WorkWeek,Holidays)))</f>
        <v>46325</v>
      </c>
      <c r="DI24" s="115" t="n">
        <f aca="false">IF(NOT(Tasks[[#This Row],[_IsLeaf]]=1),"",IF(Tasks[[#This Row],[_AlapShift]]=0,Tasks[[#This Row],[_LeafFcstStart]],WORKDAY.INTL(Tasks[[#This Row],[_LeafFcstStart]],Tasks[[#This Row],[_AlapShift]],WorkWeek,Holidays)))</f>
        <v>46335</v>
      </c>
      <c r="DJ24" s="115" t="n">
        <f aca="false">IF(NOT(Tasks[[#This Row],[_IsLeaf]]=1),"",IF(Tasks[[#This Row],[_AlapShift]]=0,Tasks[[#This Row],[_LeafFcstFinish]],WORKDAY.INTL(Tasks[[#This Row],[_LeafFcstFinish]],Tasks[[#This Row],[_AlapShift]],WorkWeek,Holidays)))</f>
        <v>46335</v>
      </c>
      <c r="DK24" s="115" t="n">
        <f aca="false">IF(Tasks[[#This Row],[Task Name]]="","",IF(Tasks[[#This Row],[_IsSummary]],MIN(INDEX(Tasks[_ShownCalcStart],Tasks[[#This Row],[_Row]]+1):INDEX(Tasks[_ShownCalcStart],Tasks[[#This Row],[_Row]]+Tasks[[#This Row],[_Descendants]])),Tasks[[#This Row],[_ShownCalcStart]]))</f>
        <v>46325</v>
      </c>
      <c r="DL24" s="115" t="n">
        <f aca="false">IF(Tasks[[#This Row],[Task Name]]="","",IF(Tasks[[#This Row],[_IsSummary]],MAX(INDEX(Tasks[_ShownCalcFinish],Tasks[[#This Row],[_Row]]+1):INDEX(Tasks[_ShownCalcFinish],Tasks[[#This Row],[_Row]]+Tasks[[#This Row],[_Descendants]])),Tasks[[#This Row],[_ShownCalcFinish]]))</f>
        <v>46325</v>
      </c>
      <c r="DM2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46325</v>
      </c>
      <c r="DR2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46324</v>
      </c>
      <c r="DS2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46335</v>
      </c>
      <c r="DV2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46332</v>
      </c>
      <c r="DW2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4" s="32" t="n">
        <f aca="false">IF(AND(Tasks[[#This Row],[_IsLeaf]]=1,Tasks[[#This Row],[_LeafTotalWork]]&gt;0),NETWORKDAYS.INTL(ProjectStart,Tasks[[#This Row],[_ShownFcstStart]],WorkWeek,Holidays),0)</f>
        <v>0</v>
      </c>
      <c r="DZ24" s="32" t="n">
        <f aca="false">IF(AND(Tasks[[#This Row],[_IsLeaf]]=1,Tasks[[#This Row],[_LeafTotalWork]]&gt;0),MAX(Tasks[[#This Row],[_StartWorkday]],NETWORKDAYS.INTL(ProjectStart,Tasks[[#This Row],[_ShownFcstFinish]],WorkWeek,Holidays)),0)</f>
        <v>0</v>
      </c>
      <c r="EA24" s="32" t="n">
        <f aca="false">IF(AND(Tasks[[#This Row],[_IsLeaf]]=1,Tasks[[#This Row],[_LeafTotalWork]]&gt;0),Tasks[[#This Row],[_LeafWork]]/(Tasks[[#This Row],[_FinishWorkday]]-Tasks[[#This Row],[_StartWorkday]]+1),0)</f>
        <v>0</v>
      </c>
      <c r="EB24" s="32" t="n">
        <f aca="false">Tasks[[#This Row],[_WorkPerWorkday]]*(Tasks[[#This Row],[_StartWorkday]]-1)</f>
        <v>-0</v>
      </c>
      <c r="EC24" s="32" t="n">
        <f aca="false">IF(Tasks[[#This Row],[_IsLeaf]]=1,MAX(N(Tasks[[#This Row],[Duration]]),0.1),0)</f>
        <v>0.1</v>
      </c>
      <c r="ED24" s="32" t="n">
        <f aca="false">Tasks[[#This Row],[_WeightDur]]*Tasks[[#This Row],[_LeafProgress]]</f>
        <v>0</v>
      </c>
      <c r="EE2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14,18</v>
      </c>
      <c r="EF24" s="116" t="n">
        <f aca="false">IF(AND(Tasks[[#This Row],[_IsLeaf]]=1,N(Tasks[[#This Row],[Duration]])=0,Tasks[[#This Row],[_LeafProgress]]&lt;1),Tasks[[#This Row],[_ShownFcstFinish]]+Tasks[[#This Row],[_Row]]/100000,"")</f>
        <v>46335.00019</v>
      </c>
      <c r="EG2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4" s="32" t="n">
        <f aca="false">IF(NOT(Tasks[[#This Row],[_IsLeaf]]=1),0,IF(Tasks[[#This Row],[Baseline Cost]]="",Tasks[[#This Row],[_LeafTotalCost]],N(Tasks[[#This Row],[Baseline Cost]])))</f>
        <v>0</v>
      </c>
      <c r="EI24" s="32" t="n">
        <f aca="false">Tasks[[#This Row],[_LeafBudget]]*Tasks[[#This Row],[_PlannedPct]]</f>
        <v>0</v>
      </c>
      <c r="EJ24" s="32" t="n">
        <f aca="false">Tasks[[#This Row],[_LeafBudget]]*Tasks[[#This Row],[_LeafProgress]]</f>
        <v>0</v>
      </c>
      <c r="EK24" s="32" t="n">
        <f aca="false">IF(NOT(Tasks[[#This Row],[_IsLeaf]]=1),0,IF(Tasks[[#This Row],[Actual Cost]]="",Tasks[[#This Row],[_LeafTotalCost]]*Tasks[[#This Row],[_LeafProgress]],N(Tasks[[#This Row],[Actual Cost]])))</f>
        <v>0</v>
      </c>
      <c r="EL24" s="32" t="str">
        <f aca="false">IF(Tasks[[#This Row],[Task Name]]="","",LEFT(Tasks[[#This Row],[WBS]],FIND(".",Tasks[[#This Row],[WBS]]&amp;".")-1))</f>
        <v>3</v>
      </c>
      <c r="EM24" s="32" t="str">
        <f aca="false">IF(AND(Tasks[[#This Row],[Task Name]]&lt;&gt;"",Tasks[[#This Row],[_Level]]=1),Tasks[[#This Row],[_Row]],"")</f>
        <v/>
      </c>
      <c r="EN24" s="116" t="n">
        <f aca="false">IF(AND(Tasks[[#This Row],[_IsLeaf]]=1,N(Tasks[[#This Row],[Duration]])=0),Tasks[[#This Row],[Planned Finish]]+Tasks[[#This Row],[_Row]]/100000,"")</f>
        <v>46325.00019</v>
      </c>
      <c r="EO24" s="32" t="n">
        <f aca="false">IF(AND(Tasks[[#This Row],[_IsLeaf]]=1,Tasks[[#This Row],[_LeafProgress]]&lt;1,OR(N(Tasks[[#This Row],[Finish Var]])&gt;0,Tasks[[#This Row],[Status]]="Late Start")),MAX(0,Tasks[[#This Row],[Finish Var]])+1-Tasks[[#This Row],[_Row]]/1000000,"")</f>
        <v>6.999981</v>
      </c>
      <c r="EP24" s="32" t="str">
        <f aca="false">IF(AND(Tasks[[#This Row],[_IsLeaf]]=1,N(Tasks[[#This Row],[Actual Start]])=0,Tasks[[#This Row],[_ShownFcstStart]]&gt;=StatusDate,Tasks[[#This Row],[_ShownFcstStart]]&lt;=LookaheadEnd),Tasks[[#This Row],[_ShownFcstStart]]+Tasks[[#This Row],[_Row]]/100000,"")</f>
        <v/>
      </c>
      <c r="EQ24" s="32" t="str">
        <f aca="false">IF(AND(Tasks[[#This Row],[_IsLeaf]]=1,Tasks[[#This Row],[_LeafProgress]]&lt;1,Tasks[[#This Row],[_ShownFcstFinish]]&gt;=StatusDate,Tasks[[#This Row],[_ShownFcstFinish]]&lt;=LookaheadEnd),Tasks[[#This Row],[_ShownFcstFinish]]+Tasks[[#This Row],[_Row]]/100000,"")</f>
        <v/>
      </c>
      <c r="ER24" s="116" t="n">
        <f aca="false">IF(Tasks[[#This Row],[_LeafCritical]],Tasks[[#This Row],[_ShownFcstStart]]+Tasks[[#This Row],[_Row]]/100000,"")</f>
        <v>46335.00019</v>
      </c>
      <c r="ES24" s="32" t="n">
        <f aca="false">Tasks[[#This Row],[_LeafWork]]*Tasks[[#This Row],[_LeafProgress]]</f>
        <v>0</v>
      </c>
      <c r="ET24" s="115" t="str">
        <f aca="false">IF(AND(Tasks[[#This Row],[_IsLeaf]]=1,Tasks[[#This Row],[_LeafProgress]]&gt;=1),IF(N(Tasks[[#This Row],[Actual Finish]])&gt;0,Tasks[[#This Row],[Actual Finish]],Tasks[[#This Row],[_ShownFcstFinish]]),"")</f>
        <v/>
      </c>
      <c r="EU24" s="32" t="n">
        <f aca="false">IF(Tasks[[#This Row],[_IsLeaf]]=1,N(Tasks[[#This Row],[Story Points]]),0)</f>
        <v>0</v>
      </c>
      <c r="EV24" s="32" t="str">
        <f aca="false">IF(AND(Tasks[[#This Row],[_IsLeaf]]=1,CurrentSprint&lt;&gt;"",Tasks[[#This Row],[Sprint]]=CurrentSprint),Tasks[[#This Row],[_Row]],"")</f>
        <v/>
      </c>
    </row>
    <row r="25" customFormat="false" ht="15" hidden="false" customHeight="false" outlineLevel="0" collapsed="false">
      <c r="A25" s="45" t="n">
        <f aca="false">IF(Tasks[[#This Row],[Task Name]]="","",COUNTA(Tasks[[#Headers],[Task Name]]:Tasks[[#This Row],[Task Name]])-1)</f>
        <v>20</v>
      </c>
      <c r="B25" s="46" t="n">
        <v>20</v>
      </c>
      <c r="C2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v>
      </c>
      <c r="D25" s="46" t="n">
        <v>1</v>
      </c>
      <c r="E25" s="45" t="str">
        <f aca="false">IF(Tasks[[#This Row],[Task Name]]="","",IF(Tasks[[#This Row],[_Level]]&lt;=OutlineShowLevel,"Yes","No"))</f>
        <v>Yes</v>
      </c>
      <c r="F25" s="47" t="s">
        <v>674</v>
      </c>
      <c r="G25" s="46" t="s">
        <v>642</v>
      </c>
      <c r="H25" s="46"/>
      <c r="I25" s="46"/>
      <c r="J25" s="46"/>
      <c r="K25" s="46"/>
      <c r="L25" s="46"/>
      <c r="M25" s="46"/>
      <c r="N25" s="46"/>
      <c r="O25" s="46"/>
      <c r="P25" s="46"/>
      <c r="Q25" s="46"/>
      <c r="R25" s="46"/>
      <c r="S25" s="46"/>
      <c r="T25" s="46"/>
      <c r="U25" s="47"/>
      <c r="V25" s="88"/>
      <c r="W25" s="88"/>
      <c r="X25" s="25" t="n">
        <f aca="false">IF(Tasks[[#This Row],[Task Name]]="","",IF(N(Tasks[[#This Row],[Baseline Start]])&gt;0,Tasks[[#This Row],[Baseline Start]],Tasks[[#This Row],[_CalcStart]]))</f>
        <v>46328</v>
      </c>
      <c r="Y25" s="25" t="n">
        <f aca="false">IF(Tasks[[#This Row],[Task Name]]="","",IF(N(Tasks[[#This Row],[Baseline Finish]])&gt;0,Tasks[[#This Row],[Baseline Finish]],Tasks[[#This Row],[_CalcFinish]]))</f>
        <v>46391</v>
      </c>
      <c r="Z25" s="88"/>
      <c r="AA25" s="88"/>
      <c r="AB25" s="25" t="n">
        <f aca="false">IF(Tasks[[#This Row],[Task Name]]="","",IF(Tasks[[#This Row],[_IsSummary]],MIN(INDEX(Tasks[_ShownFcstStart],Tasks[[#This Row],[_Row]]+1):INDEX(Tasks[_ShownFcstStart],Tasks[[#This Row],[_Row]]+Tasks[[#This Row],[_Descendants]])),Tasks[[#This Row],[_ShownFcstStart]]))</f>
        <v>46336</v>
      </c>
      <c r="AC25" s="25" t="n">
        <f aca="false">IF(Tasks[[#This Row],[Task Name]]="","",IF(Tasks[[#This Row],[_IsSummary]],MAX(INDEX(Tasks[_ShownFcstFinish],Tasks[[#This Row],[_Row]]+1):INDEX(Tasks[_ShownFcstFinish],Tasks[[#This Row],[_Row]]+Tasks[[#This Row],[_Descendants]])),Tasks[[#This Row],[_ShownFcstFinish]]))</f>
        <v>46391</v>
      </c>
      <c r="AD25"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25"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25" s="25" t="n">
        <f aca="false">IF(Tasks[[#This Row],[Task Name]]="","",IF(Tasks[[#This Row],[_IsSummary]],MIN(INDEX(Tasks[_LeafLateStart],Tasks[[#This Row],[_Row]]+1):INDEX(Tasks[_LeafLateStart],Tasks[[#This Row],[_Row]]+Tasks[[#This Row],[_Descendants]])),Tasks[[#This Row],[_LeafLateStart]]))</f>
        <v>46351</v>
      </c>
      <c r="AG25" s="25" t="n">
        <f aca="false">IF(Tasks[[#This Row],[Task Name]]="","",IF(Tasks[[#This Row],[_IsSummary]],MAX(INDEX(Tasks[_LeafLateFinish],Tasks[[#This Row],[_Row]]+1):INDEX(Tasks[_LeafLateFinish],Tasks[[#This Row],[_Row]]+Tasks[[#This Row],[_Descendants]])),Tasks[[#This Row],[_LeafLateFinish]]))</f>
        <v>46391</v>
      </c>
      <c r="AH25" s="56" t="n">
        <f aca="false">IF(Tasks[[#This Row],[Task Name]]="","",IF(Tasks[[#This Row],[_IsSummary]],MIN(INDEX(Tasks[_LeafTotalSlack],Tasks[[#This Row],[_Row]]+1):INDEX(Tasks[_LeafTotalSlack],Tasks[[#This Row],[_Row]]+Tasks[[#This Row],[_Descendants]])),Tasks[[#This Row],[_LeafTotalSlack]]))</f>
        <v>0</v>
      </c>
      <c r="AI2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5" s="45" t="str">
        <f aca="false">IF(Tasks[[#This Row],[Task Name]]="","",IF(IF(Tasks[[#This Row],[_IsSummary]],COUNTIF(INDEX(Tasks[_LeafCritical],Tasks[[#This Row],[_Row]]+1):INDEX(Tasks[_LeafCritical],Tasks[[#This Row],[_Row]]+Tasks[[#This Row],[_Descendants]]),TRUE())&gt;0,Tasks[[#This Row],[_LeafCritical]]),"Yes",""))</f>
        <v>Yes</v>
      </c>
      <c r="AK2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5" s="102"/>
      <c r="AN25"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5" s="45" t="str">
        <f aca="false">IF(Tasks[[#This Row],[Task Name]]="","",IF(Tasks[[#This Row],[Progress]]&gt;=1,"Complete",IF(OR(N(Tasks[[#This Row],[Actual Start]])&gt;0,Tasks[[#This Row],[Progress]]&gt;0),IF(Tasks[[#This Row],[Finish Var]]&gt;0,"Behind","In Progress"),IF(Tasks[[#This Row],[Planned Start]]&lt;StatusDate,"Late Start","Not Started"))))</f>
        <v>Not Started</v>
      </c>
      <c r="AP25" s="47"/>
      <c r="AQ25" s="102"/>
      <c r="AR2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5" s="110" t="n">
        <f aca="false">IF(Tasks[[#This Row],[Task Name]]="","",IF(Tasks[[#This Row],[_IsSummary]],SUM(INDEX(Tasks[_LeafTotalWork],Tasks[[#This Row],[_Row]]+1):INDEX(Tasks[_LeafTotalWork],Tasks[[#This Row],[_Row]]+Tasks[[#This Row],[_Descendants]])),Tasks[[#This Row],[_LeafTotalWork]]))</f>
        <v>260</v>
      </c>
      <c r="AU25" s="111" t="n">
        <f aca="false">IF(Tasks[[#This Row],[Task Name]]="","",IF(Tasks[[#This Row],[_IsSummary]],SUM(INDEX(Tasks[_LeafTotalCost],Tasks[[#This Row],[_Row]]+1):INDEX(Tasks[_LeafTotalCost],Tasks[[#This Row],[_Row]]+Tasks[[#This Row],[_Descendants]])),Tasks[[#This Row],[_LeafTotalCost]]))</f>
        <v>18860</v>
      </c>
      <c r="AV25" s="112"/>
      <c r="AW25" s="46"/>
      <c r="AX2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5" s="96"/>
      <c r="AZ2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5" s="47"/>
      <c r="BB25" s="25" t="n">
        <f aca="false">IF(Tasks[[#This Row],[Task Name]]="","",Tasks[[#This Row],[Forecast Start]])</f>
        <v>46336</v>
      </c>
      <c r="BC25" s="25" t="n">
        <f aca="false">IF(Tasks[[#This Row],[Task Name]]="","",Tasks[[#This Row],[Forecast Finish]])</f>
        <v>46391</v>
      </c>
      <c r="BD25" s="45" t="n">
        <f aca="false">IF(Tasks[[#This Row],[Task Name]]="","",IF(Tasks[[#This Row],[_IsSummary]],NETWORKDAYS.INTL(Tasks[[#This Row],[Forecast Start]],Tasks[[#This Row],[Forecast Finish]],WorkWeek,Holidays),N(Tasks[[#This Row],[Duration]])))</f>
        <v>36</v>
      </c>
      <c r="BE25" s="110" t="n">
        <f aca="false">IF(Tasks[[#This Row],[Task Name]]="","",Tasks[[#This Row],[Work]])</f>
        <v>260</v>
      </c>
      <c r="BF25" s="111" t="n">
        <f aca="false">IF(Tasks[[#This Row],[Task Name]]="","",Tasks[[#This Row],[Cost]])</f>
        <v>18860</v>
      </c>
      <c r="BG25" s="88"/>
      <c r="BH25" s="88"/>
      <c r="BI25" s="46"/>
      <c r="BJ25" s="113"/>
      <c r="BK25" s="112"/>
      <c r="BL25" s="45" t="str">
        <f aca="false">IF(OR(Tasks[[#This Row],[Task Name]]="",Tasks[[#This Row],[Baseline Duration]]=""),"",Tasks[[#This Row],[BL Source Duration]]-N(Tasks[[#This Row],[Baseline Duration]]))</f>
        <v/>
      </c>
      <c r="BM25" s="110" t="str">
        <f aca="false">IF(OR(Tasks[[#This Row],[Task Name]]="",Tasks[[#This Row],[Baseline Work]]=""),"",Tasks[[#This Row],[Work]]-N(Tasks[[#This Row],[Baseline Work]]))</f>
        <v/>
      </c>
      <c r="BN25" s="111" t="str">
        <f aca="false">IF(OR(Tasks[[#This Row],[Task Name]]="",Tasks[[#This Row],[Baseline Cost]]=""),"",Tasks[[#This Row],[Cost]]-N(Tasks[[#This Row],[Baseline Cost]]))</f>
        <v/>
      </c>
      <c r="BO25" s="111" t="n">
        <f aca="false">IF(Tasks[[#This Row],[Task Name]]="","",IF(Tasks[[#This Row],[_IsSummary]],SUM(INDEX(Tasks[_LeafBudget],Tasks[[#This Row],[_Row]]+1):INDEX(Tasks[_LeafBudget],Tasks[[#This Row],[_Row]]+Tasks[[#This Row],[_Descendants]])),Tasks[[#This Row],[_LeafBudget]]))</f>
        <v>18860</v>
      </c>
      <c r="BP25" s="111" t="n">
        <f aca="false">IF(Tasks[[#This Row],[Task Name]]="","",IF(Tasks[[#This Row],[_IsSummary]],SUM(INDEX(Tasks[_LeafPV],Tasks[[#This Row],[_Row]]+1):INDEX(Tasks[_LeafPV],Tasks[[#This Row],[_Row]]+Tasks[[#This Row],[_Descendants]])),Tasks[[#This Row],[_LeafPV]]))</f>
        <v>0</v>
      </c>
      <c r="BQ25" s="111" t="n">
        <f aca="false">IF(Tasks[[#This Row],[Task Name]]="","",IF(Tasks[[#This Row],[_IsSummary]],SUM(INDEX(Tasks[_LeafEV],Tasks[[#This Row],[_Row]]+1):INDEX(Tasks[_LeafEV],Tasks[[#This Row],[_Row]]+Tasks[[#This Row],[_Descendants]])),Tasks[[#This Row],[_LeafEV]]))</f>
        <v>0</v>
      </c>
      <c r="BR25" s="111" t="n">
        <f aca="false">IF(Tasks[[#This Row],[Task Name]]="","",IF(Tasks[[#This Row],[_IsSummary]],SUM(INDEX(Tasks[_LeafAC],Tasks[[#This Row],[_Row]]+1):INDEX(Tasks[_LeafAC],Tasks[[#This Row],[_Row]]+Tasks[[#This Row],[_Descendants]])),Tasks[[#This Row],[_LeafAC]]))</f>
        <v>0</v>
      </c>
      <c r="BS25" s="32" t="n">
        <f aca="false">IF(Tasks[[#This Row],[Task Name]]="","",MAX(1,N(Tasks[[#This Row],[Level]])))</f>
        <v>1</v>
      </c>
      <c r="BT25" s="32" t="n">
        <f aca="false">ROW()-ROW(Tasks[[#Headers],[ID]])</f>
        <v>20</v>
      </c>
      <c r="BU25" s="32" t="n">
        <f aca="false">IF(OR(Tasks[[#This Row],[Task Name]]="",Tasks[[#This Row],[_Level]]&lt;=1),0,IFERROR(LOOKUP(2,1/(Tasks[[#Headers],[_Level]]:Tasks[[#This Row],[_Level]]=Tasks[[#This Row],[_Level]]-1),ROW(Tasks[[#Headers],[_Level]]:Tasks[[#This Row],[_Level]])),0))</f>
        <v>0</v>
      </c>
      <c r="BV25" s="32" t="n">
        <f aca="false">IFERROR(N(INDEX(Tasks[_Level],Tasks[[#This Row],[_Row]]+1)),0)</f>
        <v>2</v>
      </c>
      <c r="BW25" s="114" t="b">
        <f aca="false">AND(Tasks[[#This Row],[Task Name]]&lt;&gt;"",Tasks[[#This Row],[_NextLevel]]&gt;Tasks[[#This Row],[_Level]])</f>
        <v>1</v>
      </c>
      <c r="BX25" s="32" t="n">
        <f aca="false">IF(Tasks[[#This Row],[_IsSummary]],COUNTIF(Tasks[WBS],Tasks[[#This Row],[WBS]]&amp;".*"),0)</f>
        <v>6</v>
      </c>
      <c r="BY25" s="32" t="n">
        <f aca="false">IF(AND(Tasks[[#This Row],[Task Name]]&lt;&gt;"",NOT(Tasks[[#This Row],[_IsSummary]])),1,0)</f>
        <v>0</v>
      </c>
      <c r="BZ25" s="32" t="n">
        <f aca="false">IF(N(Tasks[[#This Row],[Pred1 UID]])=0,0,IFERROR(MATCH(Tasks[[#This Row],[Pred1 UID]],Tasks[UID],0),-1))</f>
        <v>0</v>
      </c>
      <c r="CA25" s="32" t="n">
        <f aca="false">IF(N(Tasks[[#This Row],[Pred2 UID]])=0,0,IFERROR(MATCH(Tasks[[#This Row],[Pred2 UID]],Tasks[UID],0),-1))</f>
        <v>0</v>
      </c>
      <c r="CB25" s="32" t="n">
        <f aca="false">IF(N(Tasks[[#This Row],[Pred3 UID]])=0,0,IFERROR(MATCH(Tasks[[#This Row],[Pred3 UID]],Tasks[UID],0),-1))</f>
        <v>0</v>
      </c>
      <c r="CC25" s="32" t="n">
        <f aca="false">IF(N(Tasks[[#This Row],[Pred4 UID]])=0,0,IFERROR(MATCH(Tasks[[#This Row],[Pred4 UID]],Tasks[UID],0),-1))</f>
        <v>0</v>
      </c>
      <c r="CD2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5" s="115" t="n">
        <f aca="false">IF(OR(Tasks[[#This Row],[_ConstraintCode]]=2,Tasks[[#This Row],[_ConstraintCode]]=3,Tasks[[#This Row],[_ConstraintCode]]=4,Tasks[[#This Row],[_ConstraintCode]]=6),Tasks[[#This Row],[_ConstraintStart]],0)</f>
        <v>0</v>
      </c>
      <c r="CG25" s="115" t="n">
        <f aca="false">IF(OR(Tasks[[#This Row],[_ConstraintCode]]=2,Tasks[[#This Row],[_ConstraintCode]]=3,Tasks[[#This Row],[_ConstraintCode]]=5,Tasks[[#This Row],[_ConstraintCode]]=7),Tasks[[#This Row],[_ConstraintStart]],2958465)</f>
        <v>2958465</v>
      </c>
      <c r="CH2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5" s="115" t="str">
        <f aca="false">IF(NOT(Tasks[[#This Row],[_IsLeaf]]=1),"",IF(N(Tasks[[#This Row],[Duration]])&lt;=0,Tasks[[#This Row],[_LeafCalcStart]],WORKDAY.INTL(Tasks[[#This Row],[_LeafCalcStart]],Tasks[[#This Row],[Duration]]-1,WorkWeek,Holidays)))</f>
        <v/>
      </c>
      <c r="CJ2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5" s="32" t="n">
        <f aca="false">IF(NOT(Tasks[[#This Row],[_IsLeaf]]=1),0,IF(N(Tasks[[#This Row],[Actual Finish]])&gt;0,1,MIN(1,N(Tasks[[#This Row],[% Complete]]))))</f>
        <v>0</v>
      </c>
      <c r="CM25" s="32" t="n">
        <f aca="false">IF(OR(NOT(Tasks[[#This Row],[_IsLeaf]]=1),Tasks[[#This Row],[Resource]]=""),0,N(Tasks[[#This Row],[Duration]])*HoursPerDay*IF(Tasks[[#This Row],[Units]]="",DefaultUnits,Tasks[[#This Row],[Units]]))</f>
        <v>0</v>
      </c>
      <c r="CN25" s="32" t="n">
        <f aca="false">IF(Tasks[[#This Row],[_LeafWork]]=0,0,Tasks[[#This Row],[_LeafWork]]*IFERROR(INDEX(res_Rate,MATCH(Tasks[[#This Row],[Resource]],res_Name,0)),0))</f>
        <v>0</v>
      </c>
      <c r="CO25" s="32" t="n">
        <f aca="false">Tasks[[#This Row],[_LeafWork]]+IF(Tasks[[#This Row],[_IsLeaf]]=1,SUMIFS(asg_Work,asg_TaskUID,Tasks[[#This Row],[UID]],asg_Valid,1),0)</f>
        <v>0</v>
      </c>
      <c r="CP25" s="32" t="n">
        <f aca="false">Tasks[[#This Row],[_LeafCost]]+IF(Tasks[[#This Row],[_IsLeaf]]=1,SUMIFS(asg_Cost,asg_TaskUID,Tasks[[#This Row],[UID]],asg_Valid,1),0)</f>
        <v>0</v>
      </c>
      <c r="CQ25" s="32" t="n">
        <f aca="false">IF(Tasks[[#This Row],[_LeafTotalCost]]=0,Tasks[[#This Row],[_LeafAC]],Tasks[[#This Row],[_LeafAC]]*Tasks[[#This Row],[_LeafCost]]/Tasks[[#This Row],[_LeafTotalCost]])</f>
        <v>0</v>
      </c>
      <c r="CR2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5" s="32" t="n">
        <f aca="false">IF(NOT(Tasks[[#This Row],[_IsLeaf]]=1),0,MAX(_xlfn.MAXIFS(Tasks[_Row],Tasks[Pred1 UID],Tasks[[#This Row],[UID]]),_xlfn.MAXIFS(Tasks[_Row],Tasks[Pred2 UID],Tasks[[#This Row],[UID]]),_xlfn.MAXIFS(Tasks[_Row],Tasks[Pred3 UID],Tasks[[#This Row],[UID]]),_xlfn.MAXIFS(Tasks[_Row],Tasks[Pred4 UID],Tasks[[#This Row],[UID]])))</f>
        <v>0</v>
      </c>
      <c r="DA2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5" s="115" t="str">
        <f aca="false">IF(NOT(Tasks[[#This Row],[_IsLeaf]]=1),"",IF(N(Tasks[[#This Row],[Duration]])&lt;=0,Tasks[[#This Row],[_LeafLateFinish]],WORKDAY.INTL(Tasks[[#This Row],[_LeafLateFinish]],-(Tasks[[#This Row],[Duration]]-1),WorkWeek,Holidays)))</f>
        <v/>
      </c>
      <c r="DD2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5" s="114" t="b">
        <f aca="false">AND(Tasks[[#This Row],[_IsLeaf]]=1,Tasks[[#This Row],[_LeafProgress]]&lt;1,N(Tasks[[#This Row],[_LeafTotalSlack]])&lt;=CriticalSlackDays)</f>
        <v>0</v>
      </c>
      <c r="DF25" s="32" t="n">
        <f aca="false">IF(AND(Tasks[[#This Row],[_IsLeaf]]=1,Tasks[[#This Row],[_ConstraintCode]]=1,Tasks[[#This Row],[Mode]]&lt;&gt;"Manual",N(Tasks[[#This Row],[Actual Start]])=0),MAX(0,N(Tasks[[#This Row],[Free Slack]])),0)</f>
        <v>0</v>
      </c>
      <c r="DG25" s="115" t="str">
        <f aca="false">IF(NOT(Tasks[[#This Row],[_IsLeaf]]=1),"",IF(Tasks[[#This Row],[_AlapShift]]=0,Tasks[[#This Row],[_LeafCalcStart]],WORKDAY.INTL(Tasks[[#This Row],[_LeafCalcStart]],Tasks[[#This Row],[_AlapShift]],WorkWeek,Holidays)))</f>
        <v/>
      </c>
      <c r="DH25" s="115" t="str">
        <f aca="false">IF(NOT(Tasks[[#This Row],[_IsLeaf]]=1),"",IF(Tasks[[#This Row],[_AlapShift]]=0,Tasks[[#This Row],[_LeafCalcFinish]],WORKDAY.INTL(Tasks[[#This Row],[_LeafCalcFinish]],Tasks[[#This Row],[_AlapShift]],WorkWeek,Holidays)))</f>
        <v/>
      </c>
      <c r="DI25" s="115" t="str">
        <f aca="false">IF(NOT(Tasks[[#This Row],[_IsLeaf]]=1),"",IF(Tasks[[#This Row],[_AlapShift]]=0,Tasks[[#This Row],[_LeafFcstStart]],WORKDAY.INTL(Tasks[[#This Row],[_LeafFcstStart]],Tasks[[#This Row],[_AlapShift]],WorkWeek,Holidays)))</f>
        <v/>
      </c>
      <c r="DJ25" s="115" t="str">
        <f aca="false">IF(NOT(Tasks[[#This Row],[_IsLeaf]]=1),"",IF(Tasks[[#This Row],[_AlapShift]]=0,Tasks[[#This Row],[_LeafFcstFinish]],WORKDAY.INTL(Tasks[[#This Row],[_LeafFcstFinish]],Tasks[[#This Row],[_AlapShift]],WorkWeek,Holidays)))</f>
        <v/>
      </c>
      <c r="DK25" s="115" t="n">
        <f aca="false">IF(Tasks[[#This Row],[Task Name]]="","",IF(Tasks[[#This Row],[_IsSummary]],MIN(INDEX(Tasks[_ShownCalcStart],Tasks[[#This Row],[_Row]]+1):INDEX(Tasks[_ShownCalcStart],Tasks[[#This Row],[_Row]]+Tasks[[#This Row],[_Descendants]])),Tasks[[#This Row],[_ShownCalcStart]]))</f>
        <v>46328</v>
      </c>
      <c r="DL25" s="115" t="n">
        <f aca="false">IF(Tasks[[#This Row],[Task Name]]="","",IF(Tasks[[#This Row],[_IsSummary]],MAX(INDEX(Tasks[_ShownCalcFinish],Tasks[[#This Row],[_Row]]+1):INDEX(Tasks[_ShownCalcFinish],Tasks[[#This Row],[_Row]]+Tasks[[#This Row],[_Descendants]])),Tasks[[#This Row],[_ShownCalcFinish]]))</f>
        <v>46391</v>
      </c>
      <c r="DM2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5" s="32" t="n">
        <f aca="false">IF(AND(Tasks[[#This Row],[_IsLeaf]]=1,Tasks[[#This Row],[_LeafTotalWork]]&gt;0),NETWORKDAYS.INTL(ProjectStart,Tasks[[#This Row],[_ShownFcstStart]],WorkWeek,Holidays),0)</f>
        <v>0</v>
      </c>
      <c r="DZ25" s="32" t="n">
        <f aca="false">IF(AND(Tasks[[#This Row],[_IsLeaf]]=1,Tasks[[#This Row],[_LeafTotalWork]]&gt;0),MAX(Tasks[[#This Row],[_StartWorkday]],NETWORKDAYS.INTL(ProjectStart,Tasks[[#This Row],[_ShownFcstFinish]],WorkWeek,Holidays)),0)</f>
        <v>0</v>
      </c>
      <c r="EA25" s="32" t="n">
        <f aca="false">IF(AND(Tasks[[#This Row],[_IsLeaf]]=1,Tasks[[#This Row],[_LeafTotalWork]]&gt;0),Tasks[[#This Row],[_LeafWork]]/(Tasks[[#This Row],[_FinishWorkday]]-Tasks[[#This Row],[_StartWorkday]]+1),0)</f>
        <v>0</v>
      </c>
      <c r="EB25" s="32" t="n">
        <f aca="false">Tasks[[#This Row],[_WorkPerWorkday]]*(Tasks[[#This Row],[_StartWorkday]]-1)</f>
        <v>-0</v>
      </c>
      <c r="EC25" s="32" t="n">
        <f aca="false">IF(Tasks[[#This Row],[_IsLeaf]]=1,MAX(N(Tasks[[#This Row],[Duration]]),0.1),0)</f>
        <v>0</v>
      </c>
      <c r="ED25" s="32" t="n">
        <f aca="false">Tasks[[#This Row],[_WeightDur]]*Tasks[[#This Row],[_LeafProgress]]</f>
        <v>0</v>
      </c>
      <c r="EE2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5" s="32" t="str">
        <f aca="false">IF(AND(Tasks[[#This Row],[_IsLeaf]]=1,N(Tasks[[#This Row],[Duration]])=0,Tasks[[#This Row],[_LeafProgress]]&lt;1),Tasks[[#This Row],[_ShownFcstFinish]]+Tasks[[#This Row],[_Row]]/100000,"")</f>
        <v/>
      </c>
      <c r="EG2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5" s="32" t="n">
        <f aca="false">IF(NOT(Tasks[[#This Row],[_IsLeaf]]=1),0,IF(Tasks[[#This Row],[Baseline Cost]]="",Tasks[[#This Row],[_LeafTotalCost]],N(Tasks[[#This Row],[Baseline Cost]])))</f>
        <v>0</v>
      </c>
      <c r="EI25" s="32" t="n">
        <f aca="false">Tasks[[#This Row],[_LeafBudget]]*Tasks[[#This Row],[_PlannedPct]]</f>
        <v>0</v>
      </c>
      <c r="EJ25" s="32" t="n">
        <f aca="false">Tasks[[#This Row],[_LeafBudget]]*Tasks[[#This Row],[_LeafProgress]]</f>
        <v>0</v>
      </c>
      <c r="EK25" s="32" t="n">
        <f aca="false">IF(NOT(Tasks[[#This Row],[_IsLeaf]]=1),0,IF(Tasks[[#This Row],[Actual Cost]]="",Tasks[[#This Row],[_LeafTotalCost]]*Tasks[[#This Row],[_LeafProgress]],N(Tasks[[#This Row],[Actual Cost]])))</f>
        <v>0</v>
      </c>
      <c r="EL25" s="32" t="str">
        <f aca="false">IF(Tasks[[#This Row],[Task Name]]="","",LEFT(Tasks[[#This Row],[WBS]],FIND(".",Tasks[[#This Row],[WBS]]&amp;".")-1))</f>
        <v>4</v>
      </c>
      <c r="EM25" s="32" t="n">
        <f aca="false">IF(AND(Tasks[[#This Row],[Task Name]]&lt;&gt;"",Tasks[[#This Row],[_Level]]=1),Tasks[[#This Row],[_Row]],"")</f>
        <v>20</v>
      </c>
      <c r="EN25" s="32" t="str">
        <f aca="false">IF(AND(Tasks[[#This Row],[_IsLeaf]]=1,N(Tasks[[#This Row],[Duration]])=0),Tasks[[#This Row],[Planned Finish]]+Tasks[[#This Row],[_Row]]/100000,"")</f>
        <v/>
      </c>
      <c r="EO25" s="32" t="str">
        <f aca="false">IF(AND(Tasks[[#This Row],[_IsLeaf]]=1,Tasks[[#This Row],[_LeafProgress]]&lt;1,OR(N(Tasks[[#This Row],[Finish Var]])&gt;0,Tasks[[#This Row],[Status]]="Late Start")),MAX(0,Tasks[[#This Row],[Finish Var]])+1-Tasks[[#This Row],[_Row]]/1000000,"")</f>
        <v/>
      </c>
      <c r="EP25" s="32" t="str">
        <f aca="false">IF(AND(Tasks[[#This Row],[_IsLeaf]]=1,N(Tasks[[#This Row],[Actual Start]])=0,Tasks[[#This Row],[_ShownFcstStart]]&gt;=StatusDate,Tasks[[#This Row],[_ShownFcstStart]]&lt;=LookaheadEnd),Tasks[[#This Row],[_ShownFcstStart]]+Tasks[[#This Row],[_Row]]/100000,"")</f>
        <v/>
      </c>
      <c r="EQ25" s="32" t="str">
        <f aca="false">IF(AND(Tasks[[#This Row],[_IsLeaf]]=1,Tasks[[#This Row],[_LeafProgress]]&lt;1,Tasks[[#This Row],[_ShownFcstFinish]]&gt;=StatusDate,Tasks[[#This Row],[_ShownFcstFinish]]&lt;=LookaheadEnd),Tasks[[#This Row],[_ShownFcstFinish]]+Tasks[[#This Row],[_Row]]/100000,"")</f>
        <v/>
      </c>
      <c r="ER25" s="32" t="str">
        <f aca="false">IF(Tasks[[#This Row],[_LeafCritical]],Tasks[[#This Row],[_ShownFcstStart]]+Tasks[[#This Row],[_Row]]/100000,"")</f>
        <v/>
      </c>
      <c r="ES25" s="32" t="n">
        <f aca="false">Tasks[[#This Row],[_LeafWork]]*Tasks[[#This Row],[_LeafProgress]]</f>
        <v>0</v>
      </c>
      <c r="ET25" s="115" t="str">
        <f aca="false">IF(AND(Tasks[[#This Row],[_IsLeaf]]=1,Tasks[[#This Row],[_LeafProgress]]&gt;=1),IF(N(Tasks[[#This Row],[Actual Finish]])&gt;0,Tasks[[#This Row],[Actual Finish]],Tasks[[#This Row],[_ShownFcstFinish]]),"")</f>
        <v/>
      </c>
      <c r="EU25" s="32" t="n">
        <f aca="false">IF(Tasks[[#This Row],[_IsLeaf]]=1,N(Tasks[[#This Row],[Story Points]]),0)</f>
        <v>0</v>
      </c>
      <c r="EV25" s="32" t="str">
        <f aca="false">IF(AND(Tasks[[#This Row],[_IsLeaf]]=1,CurrentSprint&lt;&gt;"",Tasks[[#This Row],[Sprint]]=CurrentSprint),Tasks[[#This Row],[_Row]],"")</f>
        <v/>
      </c>
    </row>
    <row r="26" customFormat="false" ht="15" hidden="false" customHeight="false" outlineLevel="1" collapsed="false">
      <c r="A26" s="45" t="n">
        <f aca="false">IF(Tasks[[#This Row],[Task Name]]="","",COUNTA(Tasks[[#Headers],[Task Name]]:Tasks[[#This Row],[Task Name]])-1)</f>
        <v>21</v>
      </c>
      <c r="B26" s="46" t="n">
        <v>21</v>
      </c>
      <c r="C2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4.1</v>
      </c>
      <c r="D26" s="46" t="n">
        <v>2</v>
      </c>
      <c r="E26" s="45" t="str">
        <f aca="false">IF(Tasks[[#This Row],[Task Name]]="","",IF(Tasks[[#This Row],[_Level]]&lt;=OutlineShowLevel,"Yes","No"))</f>
        <v>Yes</v>
      </c>
      <c r="F26" s="47" t="s">
        <v>675</v>
      </c>
      <c r="G26" s="46" t="s">
        <v>642</v>
      </c>
      <c r="H26" s="46" t="n">
        <v>8</v>
      </c>
      <c r="I26" s="46" t="n">
        <v>19</v>
      </c>
      <c r="J26" s="46" t="s">
        <v>647</v>
      </c>
      <c r="K26" s="46"/>
      <c r="L26" s="46"/>
      <c r="M26" s="46"/>
      <c r="N26" s="46"/>
      <c r="O26" s="46"/>
      <c r="P26" s="46"/>
      <c r="Q26" s="46"/>
      <c r="R26" s="46"/>
      <c r="S26" s="46"/>
      <c r="T26" s="46"/>
      <c r="U26" s="47"/>
      <c r="V26" s="88"/>
      <c r="W26" s="88"/>
      <c r="X26" s="25" t="n">
        <f aca="false">IF(Tasks[[#This Row],[Task Name]]="","",IF(N(Tasks[[#This Row],[Baseline Start]])&gt;0,Tasks[[#This Row],[Baseline Start]],Tasks[[#This Row],[_CalcStart]]))</f>
        <v>46328</v>
      </c>
      <c r="Y26" s="25" t="n">
        <f aca="false">IF(Tasks[[#This Row],[Task Name]]="","",IF(N(Tasks[[#This Row],[Baseline Finish]])&gt;0,Tasks[[#This Row],[Baseline Finish]],Tasks[[#This Row],[_CalcFinish]]))</f>
        <v>46337</v>
      </c>
      <c r="Z26" s="88"/>
      <c r="AA26" s="88"/>
      <c r="AB26" s="25" t="n">
        <f aca="false">IF(Tasks[[#This Row],[Task Name]]="","",IF(Tasks[[#This Row],[_IsSummary]],MIN(INDEX(Tasks[_ShownFcstStart],Tasks[[#This Row],[_Row]]+1):INDEX(Tasks[_ShownFcstStart],Tasks[[#This Row],[_Row]]+Tasks[[#This Row],[_Descendants]])),Tasks[[#This Row],[_ShownFcstStart]]))</f>
        <v>46336</v>
      </c>
      <c r="AC26" s="25" t="n">
        <f aca="false">IF(Tasks[[#This Row],[Task Name]]="","",IF(Tasks[[#This Row],[_IsSummary]],MAX(INDEX(Tasks[_ShownFcstFinish],Tasks[[#This Row],[_Row]]+1):INDEX(Tasks[_ShownFcstFinish],Tasks[[#This Row],[_Row]]+Tasks[[#This Row],[_Descendants]])),Tasks[[#This Row],[_ShownFcstFinish]]))</f>
        <v>46345</v>
      </c>
      <c r="AD26"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26"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6" s="25" t="n">
        <f aca="false">IF(Tasks[[#This Row],[Task Name]]="","",IF(Tasks[[#This Row],[_IsSummary]],MIN(INDEX(Tasks[_LeafLateStart],Tasks[[#This Row],[_Row]]+1):INDEX(Tasks[_LeafLateStart],Tasks[[#This Row],[_Row]]+Tasks[[#This Row],[_Descendants]])),Tasks[[#This Row],[_LeafLateStart]]))</f>
        <v>46351</v>
      </c>
      <c r="AG26" s="25" t="n">
        <f aca="false">IF(Tasks[[#This Row],[Task Name]]="","",IF(Tasks[[#This Row],[_IsSummary]],MAX(INDEX(Tasks[_LeafLateFinish],Tasks[[#This Row],[_Row]]+1):INDEX(Tasks[_LeafLateFinish],Tasks[[#This Row],[_Row]]+Tasks[[#This Row],[_Descendants]])),Tasks[[#This Row],[_LeafLateFinish]]))</f>
        <v>46360</v>
      </c>
      <c r="AH26" s="56" t="n">
        <f aca="false">IF(Tasks[[#This Row],[Task Name]]="","",IF(Tasks[[#This Row],[_IsSummary]],MIN(INDEX(Tasks[_LeafTotalSlack],Tasks[[#This Row],[_Row]]+1):INDEX(Tasks[_LeafTotalSlack],Tasks[[#This Row],[_Row]]+Tasks[[#This Row],[_Descendants]])),Tasks[[#This Row],[_LeafTotalSlack]]))</f>
        <v>11</v>
      </c>
      <c r="AI26"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6" s="45" t="str">
        <f aca="false">IF(Tasks[[#This Row],[Task Name]]="","",IF(IF(Tasks[[#This Row],[_IsSummary]],COUNTIF(INDEX(Tasks[_LeafCritical],Tasks[[#This Row],[_Row]]+1):INDEX(Tasks[_LeafCritical],Tasks[[#This Row],[_Row]]+Tasks[[#This Row],[_Descendants]]),TRUE())&gt;0,Tasks[[#This Row],[_LeafCritical]]),"Yes",""))</f>
        <v/>
      </c>
      <c r="AK2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6" s="102"/>
      <c r="AN26"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6" s="45" t="str">
        <f aca="false">IF(Tasks[[#This Row],[Task Name]]="","",IF(Tasks[[#This Row],[Progress]]&gt;=1,"Complete",IF(OR(N(Tasks[[#This Row],[Actual Start]])&gt;0,Tasks[[#This Row],[Progress]]&gt;0),IF(Tasks[[#This Row],[Finish Var]]&gt;0,"Behind","In Progress"),IF(Tasks[[#This Row],[Planned Start]]&lt;StatusDate,"Late Start","Not Started"))))</f>
        <v>Not Started</v>
      </c>
      <c r="AP26" s="47" t="s">
        <v>676</v>
      </c>
      <c r="AQ26" s="102"/>
      <c r="AR2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Taylor Morgan, Sam Rivera[50%]</v>
      </c>
      <c r="AS2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6" s="110" t="n">
        <f aca="false">IF(Tasks[[#This Row],[Task Name]]="","",IF(Tasks[[#This Row],[_IsSummary]],SUM(INDEX(Tasks[_LeafTotalWork],Tasks[[#This Row],[_Row]]+1):INDEX(Tasks[_LeafTotalWork],Tasks[[#This Row],[_Row]]+Tasks[[#This Row],[_Descendants]])),Tasks[[#This Row],[_LeafTotalWork]]))</f>
        <v>96</v>
      </c>
      <c r="AU26" s="111" t="n">
        <f aca="false">IF(Tasks[[#This Row],[Task Name]]="","",IF(Tasks[[#This Row],[_IsSummary]],SUM(INDEX(Tasks[_LeafTotalCost],Tasks[[#This Row],[_Row]]+1):INDEX(Tasks[_LeafTotalCost],Tasks[[#This Row],[_Row]]+Tasks[[#This Row],[_Descendants]])),Tasks[[#This Row],[_LeafTotalCost]]))</f>
        <v>6720</v>
      </c>
      <c r="AV26" s="112"/>
      <c r="AW26" s="46"/>
      <c r="AX2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5</v>
      </c>
      <c r="AY26" s="96" t="n">
        <v>8</v>
      </c>
      <c r="AZ2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19</v>
      </c>
      <c r="BA26" s="47"/>
      <c r="BB26" s="25" t="n">
        <f aca="false">IF(Tasks[[#This Row],[Task Name]]="","",Tasks[[#This Row],[Forecast Start]])</f>
        <v>46336</v>
      </c>
      <c r="BC26" s="25" t="n">
        <f aca="false">IF(Tasks[[#This Row],[Task Name]]="","",Tasks[[#This Row],[Forecast Finish]])</f>
        <v>46345</v>
      </c>
      <c r="BD26" s="45" t="n">
        <f aca="false">IF(Tasks[[#This Row],[Task Name]]="","",IF(Tasks[[#This Row],[_IsSummary]],NETWORKDAYS.INTL(Tasks[[#This Row],[Forecast Start]],Tasks[[#This Row],[Forecast Finish]],WorkWeek,Holidays),N(Tasks[[#This Row],[Duration]])))</f>
        <v>8</v>
      </c>
      <c r="BE26" s="110" t="n">
        <f aca="false">IF(Tasks[[#This Row],[Task Name]]="","",Tasks[[#This Row],[Work]])</f>
        <v>96</v>
      </c>
      <c r="BF26" s="111" t="n">
        <f aca="false">IF(Tasks[[#This Row],[Task Name]]="","",Tasks[[#This Row],[Cost]])</f>
        <v>6720</v>
      </c>
      <c r="BG26" s="88"/>
      <c r="BH26" s="88"/>
      <c r="BI26" s="46"/>
      <c r="BJ26" s="113"/>
      <c r="BK26" s="112"/>
      <c r="BL26" s="45" t="str">
        <f aca="false">IF(OR(Tasks[[#This Row],[Task Name]]="",Tasks[[#This Row],[Baseline Duration]]=""),"",Tasks[[#This Row],[BL Source Duration]]-N(Tasks[[#This Row],[Baseline Duration]]))</f>
        <v/>
      </c>
      <c r="BM26" s="110" t="str">
        <f aca="false">IF(OR(Tasks[[#This Row],[Task Name]]="",Tasks[[#This Row],[Baseline Work]]=""),"",Tasks[[#This Row],[Work]]-N(Tasks[[#This Row],[Baseline Work]]))</f>
        <v/>
      </c>
      <c r="BN26" s="111" t="str">
        <f aca="false">IF(OR(Tasks[[#This Row],[Task Name]]="",Tasks[[#This Row],[Baseline Cost]]=""),"",Tasks[[#This Row],[Cost]]-N(Tasks[[#This Row],[Baseline Cost]]))</f>
        <v/>
      </c>
      <c r="BO26" s="111" t="n">
        <f aca="false">IF(Tasks[[#This Row],[Task Name]]="","",IF(Tasks[[#This Row],[_IsSummary]],SUM(INDEX(Tasks[_LeafBudget],Tasks[[#This Row],[_Row]]+1):INDEX(Tasks[_LeafBudget],Tasks[[#This Row],[_Row]]+Tasks[[#This Row],[_Descendants]])),Tasks[[#This Row],[_LeafBudget]]))</f>
        <v>6720</v>
      </c>
      <c r="BP26" s="111" t="n">
        <f aca="false">IF(Tasks[[#This Row],[Task Name]]="","",IF(Tasks[[#This Row],[_IsSummary]],SUM(INDEX(Tasks[_LeafPV],Tasks[[#This Row],[_Row]]+1):INDEX(Tasks[_LeafPV],Tasks[[#This Row],[_Row]]+Tasks[[#This Row],[_Descendants]])),Tasks[[#This Row],[_LeafPV]]))</f>
        <v>0</v>
      </c>
      <c r="BQ26" s="111" t="n">
        <f aca="false">IF(Tasks[[#This Row],[Task Name]]="","",IF(Tasks[[#This Row],[_IsSummary]],SUM(INDEX(Tasks[_LeafEV],Tasks[[#This Row],[_Row]]+1):INDEX(Tasks[_LeafEV],Tasks[[#This Row],[_Row]]+Tasks[[#This Row],[_Descendants]])),Tasks[[#This Row],[_LeafEV]]))</f>
        <v>0</v>
      </c>
      <c r="BR26" s="111" t="n">
        <f aca="false">IF(Tasks[[#This Row],[Task Name]]="","",IF(Tasks[[#This Row],[_IsSummary]],SUM(INDEX(Tasks[_LeafAC],Tasks[[#This Row],[_Row]]+1):INDEX(Tasks[_LeafAC],Tasks[[#This Row],[_Row]]+Tasks[[#This Row],[_Descendants]])),Tasks[[#This Row],[_LeafAC]]))</f>
        <v>0</v>
      </c>
      <c r="BS26" s="32" t="n">
        <f aca="false">IF(Tasks[[#This Row],[Task Name]]="","",MAX(1,N(Tasks[[#This Row],[Level]])))</f>
        <v>2</v>
      </c>
      <c r="BT26" s="32" t="n">
        <f aca="false">ROW()-ROW(Tasks[[#Headers],[ID]])</f>
        <v>21</v>
      </c>
      <c r="BU26" s="32" t="n">
        <f aca="false">IF(OR(Tasks[[#This Row],[Task Name]]="",Tasks[[#This Row],[_Level]]&lt;=1),0,IFERROR(LOOKUP(2,1/(Tasks[[#Headers],[_Level]]:Tasks[[#This Row],[_Level]]=Tasks[[#This Row],[_Level]]-1),ROW(Tasks[[#Headers],[_Level]]:Tasks[[#This Row],[_Level]])),0))</f>
        <v>25</v>
      </c>
      <c r="BV26" s="32" t="n">
        <f aca="false">IFERROR(N(INDEX(Tasks[_Level],Tasks[[#This Row],[_Row]]+1)),0)</f>
        <v>2</v>
      </c>
      <c r="BW26" s="114" t="b">
        <f aca="false">AND(Tasks[[#This Row],[Task Name]]&lt;&gt;"",Tasks[[#This Row],[_NextLevel]]&gt;Tasks[[#This Row],[_Level]])</f>
        <v>0</v>
      </c>
      <c r="BX26" s="32" t="n">
        <f aca="false">IF(Tasks[[#This Row],[_IsSummary]],COUNTIF(Tasks[WBS],Tasks[[#This Row],[WBS]]&amp;".*"),0)</f>
        <v>0</v>
      </c>
      <c r="BY26" s="32" t="n">
        <f aca="false">IF(AND(Tasks[[#This Row],[Task Name]]&lt;&gt;"",NOT(Tasks[[#This Row],[_IsSummary]])),1,0)</f>
        <v>1</v>
      </c>
      <c r="BZ26" s="32" t="n">
        <f aca="false">IF(N(Tasks[[#This Row],[Pred1 UID]])=0,0,IFERROR(MATCH(Tasks[[#This Row],[Pred1 UID]],Tasks[UID],0),-1))</f>
        <v>19</v>
      </c>
      <c r="CA26" s="32" t="n">
        <f aca="false">IF(N(Tasks[[#This Row],[Pred2 UID]])=0,0,IFERROR(MATCH(Tasks[[#This Row],[Pred2 UID]],Tasks[UID],0),-1))</f>
        <v>0</v>
      </c>
      <c r="CB26" s="32" t="n">
        <f aca="false">IF(N(Tasks[[#This Row],[Pred3 UID]])=0,0,IFERROR(MATCH(Tasks[[#This Row],[Pred3 UID]],Tasks[UID],0),-1))</f>
        <v>0</v>
      </c>
      <c r="CC26" s="32" t="n">
        <f aca="false">IF(N(Tasks[[#This Row],[Pred4 UID]])=0,0,IFERROR(MATCH(Tasks[[#This Row],[Pred4 UID]],Tasks[UID],0),-1))</f>
        <v>0</v>
      </c>
      <c r="CD26"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6" s="115" t="n">
        <f aca="false">IF(OR(Tasks[[#This Row],[_ConstraintCode]]=2,Tasks[[#This Row],[_ConstraintCode]]=3,Tasks[[#This Row],[_ConstraintCode]]=4,Tasks[[#This Row],[_ConstraintCode]]=6),Tasks[[#This Row],[_ConstraintStart]],0)</f>
        <v>0</v>
      </c>
      <c r="CG26" s="115" t="n">
        <f aca="false">IF(OR(Tasks[[#This Row],[_ConstraintCode]]=2,Tasks[[#This Row],[_ConstraintCode]]=3,Tasks[[#This Row],[_ConstraintCode]]=5,Tasks[[#This Row],[_ConstraintCode]]=7),Tasks[[#This Row],[_ConstraintStart]],2958465)</f>
        <v>2958465</v>
      </c>
      <c r="CH26"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46328</v>
      </c>
      <c r="CI26" s="115" t="n">
        <f aca="false">IF(NOT(Tasks[[#This Row],[_IsLeaf]]=1),"",IF(N(Tasks[[#This Row],[Duration]])&lt;=0,Tasks[[#This Row],[_LeafCalcStart]],WORKDAY.INTL(Tasks[[#This Row],[_LeafCalcStart]],Tasks[[#This Row],[Duration]]-1,WorkWeek,Holidays)))</f>
        <v>46337</v>
      </c>
      <c r="CJ26"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46336</v>
      </c>
      <c r="CK26"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46345</v>
      </c>
      <c r="CL26" s="32" t="n">
        <f aca="false">IF(NOT(Tasks[[#This Row],[_IsLeaf]]=1),0,IF(N(Tasks[[#This Row],[Actual Finish]])&gt;0,1,MIN(1,N(Tasks[[#This Row],[% Complete]]))))</f>
        <v>0</v>
      </c>
      <c r="CM26" s="32" t="n">
        <f aca="false">IF(OR(NOT(Tasks[[#This Row],[_IsLeaf]]=1),Tasks[[#This Row],[Resource]]=""),0,N(Tasks[[#This Row],[Duration]])*HoursPerDay*IF(Tasks[[#This Row],[Units]]="",DefaultUnits,Tasks[[#This Row],[Units]]))</f>
        <v>64</v>
      </c>
      <c r="CN26" s="32" t="n">
        <f aca="false">IF(Tasks[[#This Row],[_LeafWork]]=0,0,Tasks[[#This Row],[_LeafWork]]*IFERROR(INDEX(res_Rate,MATCH(Tasks[[#This Row],[Resource]],res_Name,0)),0))</f>
        <v>4160</v>
      </c>
      <c r="CO26" s="32" t="n">
        <f aca="false">Tasks[[#This Row],[_LeafWork]]+IF(Tasks[[#This Row],[_IsLeaf]]=1,SUMIFS(asg_Work,asg_TaskUID,Tasks[[#This Row],[UID]],asg_Valid,1),0)</f>
        <v>96</v>
      </c>
      <c r="CP26" s="32" t="n">
        <f aca="false">Tasks[[#This Row],[_LeafCost]]+IF(Tasks[[#This Row],[_IsLeaf]]=1,SUMIFS(asg_Cost,asg_TaskUID,Tasks[[#This Row],[UID]],asg_Valid,1),0)</f>
        <v>6720</v>
      </c>
      <c r="CQ26" s="32" t="n">
        <f aca="false">IF(Tasks[[#This Row],[_LeafTotalCost]]=0,Tasks[[#This Row],[_LeafAC]],Tasks[[#This Row],[_LeafAC]]*Tasks[[#This Row],[_LeafCost]]/Tasks[[#This Row],[_LeafTotalCost]])</f>
        <v>0</v>
      </c>
      <c r="CR26"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2912115</v>
      </c>
      <c r="CS2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6"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6" s="32" t="n">
        <f aca="false">IF(NOT(Tasks[[#This Row],[_IsLeaf]]=1),0,MAX(_xlfn.MAXIFS(Tasks[_Row],Tasks[Pred1 UID],Tasks[[#This Row],[UID]]),_xlfn.MAXIFS(Tasks[_Row],Tasks[Pred2 UID],Tasks[[#This Row],[UID]]),_xlfn.MAXIFS(Tasks[_Row],Tasks[Pred3 UID],Tasks[[#This Row],[UID]]),_xlfn.MAXIFS(Tasks[_Row],Tasks[Pred4 UID],Tasks[[#This Row],[UID]])))</f>
        <v>24</v>
      </c>
      <c r="DA26"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46360</v>
      </c>
      <c r="DB26"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46360</v>
      </c>
      <c r="DC26" s="115" t="n">
        <f aca="false">IF(NOT(Tasks[[#This Row],[_IsLeaf]]=1),"",IF(N(Tasks[[#This Row],[Duration]])&lt;=0,Tasks[[#This Row],[_LeafLateFinish]],WORKDAY.INTL(Tasks[[#This Row],[_LeafLateFinish]],-(Tasks[[#This Row],[Duration]]-1),WorkWeek,Holidays)))</f>
        <v>46351</v>
      </c>
      <c r="DD26"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11</v>
      </c>
      <c r="DE26" s="114" t="b">
        <f aca="false">AND(Tasks[[#This Row],[_IsLeaf]]=1,Tasks[[#This Row],[_LeafProgress]]&lt;1,N(Tasks[[#This Row],[_LeafTotalSlack]])&lt;=CriticalSlackDays)</f>
        <v>0</v>
      </c>
      <c r="DF26" s="32" t="n">
        <f aca="false">IF(AND(Tasks[[#This Row],[_IsLeaf]]=1,Tasks[[#This Row],[_ConstraintCode]]=1,Tasks[[#This Row],[Mode]]&lt;&gt;"Manual",N(Tasks[[#This Row],[Actual Start]])=0),MAX(0,N(Tasks[[#This Row],[Free Slack]])),0)</f>
        <v>0</v>
      </c>
      <c r="DG26" s="115" t="n">
        <f aca="false">IF(NOT(Tasks[[#This Row],[_IsLeaf]]=1),"",IF(Tasks[[#This Row],[_AlapShift]]=0,Tasks[[#This Row],[_LeafCalcStart]],WORKDAY.INTL(Tasks[[#This Row],[_LeafCalcStart]],Tasks[[#This Row],[_AlapShift]],WorkWeek,Holidays)))</f>
        <v>46328</v>
      </c>
      <c r="DH26" s="115" t="n">
        <f aca="false">IF(NOT(Tasks[[#This Row],[_IsLeaf]]=1),"",IF(Tasks[[#This Row],[_AlapShift]]=0,Tasks[[#This Row],[_LeafCalcFinish]],WORKDAY.INTL(Tasks[[#This Row],[_LeafCalcFinish]],Tasks[[#This Row],[_AlapShift]],WorkWeek,Holidays)))</f>
        <v>46337</v>
      </c>
      <c r="DI26" s="115" t="n">
        <f aca="false">IF(NOT(Tasks[[#This Row],[_IsLeaf]]=1),"",IF(Tasks[[#This Row],[_AlapShift]]=0,Tasks[[#This Row],[_LeafFcstStart]],WORKDAY.INTL(Tasks[[#This Row],[_LeafFcstStart]],Tasks[[#This Row],[_AlapShift]],WorkWeek,Holidays)))</f>
        <v>46336</v>
      </c>
      <c r="DJ26" s="115" t="n">
        <f aca="false">IF(NOT(Tasks[[#This Row],[_IsLeaf]]=1),"",IF(Tasks[[#This Row],[_AlapShift]]=0,Tasks[[#This Row],[_LeafFcstFinish]],WORKDAY.INTL(Tasks[[#This Row],[_LeafFcstFinish]],Tasks[[#This Row],[_AlapShift]],WorkWeek,Holidays)))</f>
        <v>46345</v>
      </c>
      <c r="DK26" s="115" t="n">
        <f aca="false">IF(Tasks[[#This Row],[Task Name]]="","",IF(Tasks[[#This Row],[_IsSummary]],MIN(INDEX(Tasks[_ShownCalcStart],Tasks[[#This Row],[_Row]]+1):INDEX(Tasks[_ShownCalcStart],Tasks[[#This Row],[_Row]]+Tasks[[#This Row],[_Descendants]])),Tasks[[#This Row],[_ShownCalcStart]]))</f>
        <v>46328</v>
      </c>
      <c r="DL26" s="115" t="n">
        <f aca="false">IF(Tasks[[#This Row],[Task Name]]="","",IF(Tasks[[#This Row],[_IsSummary]],MAX(INDEX(Tasks[_ShownCalcFinish],Tasks[[#This Row],[_Row]]+1):INDEX(Tasks[_ShownCalcFinish],Tasks[[#This Row],[_Row]]+Tasks[[#This Row],[_Descendants]])),Tasks[[#This Row],[_ShownCalcFinish]]))</f>
        <v>46337</v>
      </c>
      <c r="DM2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46328</v>
      </c>
      <c r="DR2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46336</v>
      </c>
      <c r="DV2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6" s="32" t="n">
        <f aca="false">IF(AND(Tasks[[#This Row],[_IsLeaf]]=1,Tasks[[#This Row],[_LeafTotalWork]]&gt;0),NETWORKDAYS.INTL(ProjectStart,Tasks[[#This Row],[_ShownFcstStart]],WorkWeek,Holidays),0)</f>
        <v>47</v>
      </c>
      <c r="DZ26" s="32" t="n">
        <f aca="false">IF(AND(Tasks[[#This Row],[_IsLeaf]]=1,Tasks[[#This Row],[_LeafTotalWork]]&gt;0),MAX(Tasks[[#This Row],[_StartWorkday]],NETWORKDAYS.INTL(ProjectStart,Tasks[[#This Row],[_ShownFcstFinish]],WorkWeek,Holidays)),0)</f>
        <v>54</v>
      </c>
      <c r="EA26" s="32" t="n">
        <f aca="false">IF(AND(Tasks[[#This Row],[_IsLeaf]]=1,Tasks[[#This Row],[_LeafTotalWork]]&gt;0),Tasks[[#This Row],[_LeafWork]]/(Tasks[[#This Row],[_FinishWorkday]]-Tasks[[#This Row],[_StartWorkday]]+1),0)</f>
        <v>8</v>
      </c>
      <c r="EB26" s="32" t="n">
        <f aca="false">Tasks[[#This Row],[_WorkPerWorkday]]*(Tasks[[#This Row],[_StartWorkday]]-1)</f>
        <v>368</v>
      </c>
      <c r="EC26" s="32" t="n">
        <f aca="false">IF(Tasks[[#This Row],[_IsLeaf]]=1,MAX(N(Tasks[[#This Row],[Duration]]),0.1),0)</f>
        <v>8</v>
      </c>
      <c r="ED26" s="32" t="n">
        <f aca="false">Tasks[[#This Row],[_WeightDur]]*Tasks[[#This Row],[_LeafProgress]]</f>
        <v>0</v>
      </c>
      <c r="EE2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19</v>
      </c>
      <c r="EF26" s="32" t="str">
        <f aca="false">IF(AND(Tasks[[#This Row],[_IsLeaf]]=1,N(Tasks[[#This Row],[Duration]])=0,Tasks[[#This Row],[_LeafProgress]]&lt;1),Tasks[[#This Row],[_ShownFcstFinish]]+Tasks[[#This Row],[_Row]]/100000,"")</f>
        <v/>
      </c>
      <c r="EG2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6" s="32" t="n">
        <f aca="false">IF(NOT(Tasks[[#This Row],[_IsLeaf]]=1),0,IF(Tasks[[#This Row],[Baseline Cost]]="",Tasks[[#This Row],[_LeafTotalCost]],N(Tasks[[#This Row],[Baseline Cost]])))</f>
        <v>6720</v>
      </c>
      <c r="EI26" s="32" t="n">
        <f aca="false">Tasks[[#This Row],[_LeafBudget]]*Tasks[[#This Row],[_PlannedPct]]</f>
        <v>0</v>
      </c>
      <c r="EJ26" s="32" t="n">
        <f aca="false">Tasks[[#This Row],[_LeafBudget]]*Tasks[[#This Row],[_LeafProgress]]</f>
        <v>0</v>
      </c>
      <c r="EK26" s="32" t="n">
        <f aca="false">IF(NOT(Tasks[[#This Row],[_IsLeaf]]=1),0,IF(Tasks[[#This Row],[Actual Cost]]="",Tasks[[#This Row],[_LeafTotalCost]]*Tasks[[#This Row],[_LeafProgress]],N(Tasks[[#This Row],[Actual Cost]])))</f>
        <v>0</v>
      </c>
      <c r="EL26" s="32" t="str">
        <f aca="false">IF(Tasks[[#This Row],[Task Name]]="","",LEFT(Tasks[[#This Row],[WBS]],FIND(".",Tasks[[#This Row],[WBS]]&amp;".")-1))</f>
        <v>4</v>
      </c>
      <c r="EM26" s="32" t="str">
        <f aca="false">IF(AND(Tasks[[#This Row],[Task Name]]&lt;&gt;"",Tasks[[#This Row],[_Level]]=1),Tasks[[#This Row],[_Row]],"")</f>
        <v/>
      </c>
      <c r="EN26" s="32" t="str">
        <f aca="false">IF(AND(Tasks[[#This Row],[_IsLeaf]]=1,N(Tasks[[#This Row],[Duration]])=0),Tasks[[#This Row],[Planned Finish]]+Tasks[[#This Row],[_Row]]/100000,"")</f>
        <v/>
      </c>
      <c r="EO26" s="32" t="n">
        <f aca="false">IF(AND(Tasks[[#This Row],[_IsLeaf]]=1,Tasks[[#This Row],[_LeafProgress]]&lt;1,OR(N(Tasks[[#This Row],[Finish Var]])&gt;0,Tasks[[#This Row],[Status]]="Late Start")),MAX(0,Tasks[[#This Row],[Finish Var]])+1-Tasks[[#This Row],[_Row]]/1000000,"")</f>
        <v>6.999979</v>
      </c>
      <c r="EP26" s="32" t="str">
        <f aca="false">IF(AND(Tasks[[#This Row],[_IsLeaf]]=1,N(Tasks[[#This Row],[Actual Start]])=0,Tasks[[#This Row],[_ShownFcstStart]]&gt;=StatusDate,Tasks[[#This Row],[_ShownFcstStart]]&lt;=LookaheadEnd),Tasks[[#This Row],[_ShownFcstStart]]+Tasks[[#This Row],[_Row]]/100000,"")</f>
        <v/>
      </c>
      <c r="EQ26" s="32" t="str">
        <f aca="false">IF(AND(Tasks[[#This Row],[_IsLeaf]]=1,Tasks[[#This Row],[_LeafProgress]]&lt;1,Tasks[[#This Row],[_ShownFcstFinish]]&gt;=StatusDate,Tasks[[#This Row],[_ShownFcstFinish]]&lt;=LookaheadEnd),Tasks[[#This Row],[_ShownFcstFinish]]+Tasks[[#This Row],[_Row]]/100000,"")</f>
        <v/>
      </c>
      <c r="ER26" s="32" t="str">
        <f aca="false">IF(Tasks[[#This Row],[_LeafCritical]],Tasks[[#This Row],[_ShownFcstStart]]+Tasks[[#This Row],[_Row]]/100000,"")</f>
        <v/>
      </c>
      <c r="ES26" s="32" t="n">
        <f aca="false">Tasks[[#This Row],[_LeafWork]]*Tasks[[#This Row],[_LeafProgress]]</f>
        <v>0</v>
      </c>
      <c r="ET26" s="115" t="str">
        <f aca="false">IF(AND(Tasks[[#This Row],[_IsLeaf]]=1,Tasks[[#This Row],[_LeafProgress]]&gt;=1),IF(N(Tasks[[#This Row],[Actual Finish]])&gt;0,Tasks[[#This Row],[Actual Finish]],Tasks[[#This Row],[_ShownFcstFinish]]),"")</f>
        <v/>
      </c>
      <c r="EU26" s="32" t="n">
        <f aca="false">IF(Tasks[[#This Row],[_IsLeaf]]=1,N(Tasks[[#This Row],[Story Points]]),0)</f>
        <v>8</v>
      </c>
      <c r="EV26" s="32" t="str">
        <f aca="false">IF(AND(Tasks[[#This Row],[_IsLeaf]]=1,CurrentSprint&lt;&gt;"",Tasks[[#This Row],[Sprint]]=CurrentSprint),Tasks[[#This Row],[_Row]],"")</f>
        <v/>
      </c>
    </row>
    <row r="27" customFormat="false" ht="15" hidden="false" customHeight="false" outlineLevel="1" collapsed="false">
      <c r="A27" s="45" t="n">
        <f aca="false">IF(Tasks[[#This Row],[Task Name]]="","",COUNTA(Tasks[[#Headers],[Task Name]]:Tasks[[#This Row],[Task Name]])-1)</f>
        <v>22</v>
      </c>
      <c r="B27" s="46" t="n">
        <v>22</v>
      </c>
      <c r="C2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4.2</v>
      </c>
      <c r="D27" s="46" t="n">
        <v>2</v>
      </c>
      <c r="E27" s="45" t="str">
        <f aca="false">IF(Tasks[[#This Row],[Task Name]]="","",IF(Tasks[[#This Row],[_Level]]&lt;=OutlineShowLevel,"Yes","No"))</f>
        <v>Yes</v>
      </c>
      <c r="F27" s="47" t="s">
        <v>677</v>
      </c>
      <c r="G27" s="46" t="s">
        <v>642</v>
      </c>
      <c r="H27" s="46" t="n">
        <v>6</v>
      </c>
      <c r="I27" s="46" t="n">
        <v>21</v>
      </c>
      <c r="J27" s="46" t="s">
        <v>647</v>
      </c>
      <c r="K27" s="46"/>
      <c r="L27" s="46"/>
      <c r="M27" s="46"/>
      <c r="N27" s="46"/>
      <c r="O27" s="46"/>
      <c r="P27" s="46"/>
      <c r="Q27" s="46"/>
      <c r="R27" s="46"/>
      <c r="S27" s="46"/>
      <c r="T27" s="46"/>
      <c r="U27" s="47" t="s">
        <v>678</v>
      </c>
      <c r="V27" s="88" t="n">
        <v>46363</v>
      </c>
      <c r="W27" s="88"/>
      <c r="X27" s="25" t="n">
        <f aca="false">IF(Tasks[[#This Row],[Task Name]]="","",IF(N(Tasks[[#This Row],[Baseline Start]])&gt;0,Tasks[[#This Row],[Baseline Start]],Tasks[[#This Row],[_CalcStart]]))</f>
        <v>46363</v>
      </c>
      <c r="Y27" s="25" t="n">
        <f aca="false">IF(Tasks[[#This Row],[Task Name]]="","",IF(N(Tasks[[#This Row],[Baseline Finish]])&gt;0,Tasks[[#This Row],[Baseline Finish]],Tasks[[#This Row],[_CalcFinish]]))</f>
        <v>46370</v>
      </c>
      <c r="Z27" s="88"/>
      <c r="AA27" s="88"/>
      <c r="AB27" s="25" t="n">
        <f aca="false">IF(Tasks[[#This Row],[Task Name]]="","",IF(Tasks[[#This Row],[_IsSummary]],MIN(INDEX(Tasks[_ShownFcstStart],Tasks[[#This Row],[_Row]]+1):INDEX(Tasks[_ShownFcstStart],Tasks[[#This Row],[_Row]]+Tasks[[#This Row],[_Descendants]])),Tasks[[#This Row],[_ShownFcstStart]]))</f>
        <v>46363</v>
      </c>
      <c r="AC27" s="25" t="n">
        <f aca="false">IF(Tasks[[#This Row],[Task Name]]="","",IF(Tasks[[#This Row],[_IsSummary]],MAX(INDEX(Tasks[_ShownFcstFinish],Tasks[[#This Row],[_Row]]+1):INDEX(Tasks[_ShownFcstFinish],Tasks[[#This Row],[_Row]]+Tasks[[#This Row],[_Descendants]])),Tasks[[#This Row],[_ShownFcstFinish]]))</f>
        <v>46370</v>
      </c>
      <c r="AD27"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27"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27" s="25" t="n">
        <f aca="false">IF(Tasks[[#This Row],[Task Name]]="","",IF(Tasks[[#This Row],[_IsSummary]],MIN(INDEX(Tasks[_LeafLateStart],Tasks[[#This Row],[_Row]]+1):INDEX(Tasks[_LeafLateStart],Tasks[[#This Row],[_Row]]+Tasks[[#This Row],[_Descendants]])),Tasks[[#This Row],[_LeafLateStart]]))</f>
        <v>46363</v>
      </c>
      <c r="AG27" s="25" t="n">
        <f aca="false">IF(Tasks[[#This Row],[Task Name]]="","",IF(Tasks[[#This Row],[_IsSummary]],MAX(INDEX(Tasks[_LeafLateFinish],Tasks[[#This Row],[_Row]]+1):INDEX(Tasks[_LeafLateFinish],Tasks[[#This Row],[_Row]]+Tasks[[#This Row],[_Descendants]])),Tasks[[#This Row],[_LeafLateFinish]]))</f>
        <v>46370</v>
      </c>
      <c r="AH27" s="56" t="n">
        <f aca="false">IF(Tasks[[#This Row],[Task Name]]="","",IF(Tasks[[#This Row],[_IsSummary]],MIN(INDEX(Tasks[_LeafTotalSlack],Tasks[[#This Row],[_Row]]+1):INDEX(Tasks[_LeafTotalSlack],Tasks[[#This Row],[_Row]]+Tasks[[#This Row],[_Descendants]])),Tasks[[#This Row],[_LeafTotalSlack]]))</f>
        <v>0</v>
      </c>
      <c r="AI27"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7" s="45" t="str">
        <f aca="false">IF(Tasks[[#This Row],[Task Name]]="","",IF(IF(Tasks[[#This Row],[_IsSummary]],COUNTIF(INDEX(Tasks[_LeafCritical],Tasks[[#This Row],[_Row]]+1):INDEX(Tasks[_LeafCritical],Tasks[[#This Row],[_Row]]+Tasks[[#This Row],[_Descendants]]),TRUE())&gt;0,Tasks[[#This Row],[_LeafCritical]]),"Yes",""))</f>
        <v>Yes</v>
      </c>
      <c r="AK2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7" s="102"/>
      <c r="AN27"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7" s="45" t="str">
        <f aca="false">IF(Tasks[[#This Row],[Task Name]]="","",IF(Tasks[[#This Row],[Progress]]&gt;=1,"Complete",IF(OR(N(Tasks[[#This Row],[Actual Start]])&gt;0,Tasks[[#This Row],[Progress]]&gt;0),IF(Tasks[[#This Row],[Finish Var]]&gt;0,"Behind","In Progress"),IF(Tasks[[#This Row],[Planned Start]]&lt;StatusDate,"Late Start","Not Started"))))</f>
        <v>Not Started</v>
      </c>
      <c r="AP27" s="47" t="s">
        <v>313</v>
      </c>
      <c r="AQ27" s="102"/>
      <c r="AR2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Morgan Patel, Taylor Morgan</v>
      </c>
      <c r="AS2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7" s="110" t="n">
        <f aca="false">IF(Tasks[[#This Row],[Task Name]]="","",IF(Tasks[[#This Row],[_IsSummary]],SUM(INDEX(Tasks[_LeafTotalWork],Tasks[[#This Row],[_Row]]+1):INDEX(Tasks[_LeafTotalWork],Tasks[[#This Row],[_Row]]+Tasks[[#This Row],[_Descendants]])),Tasks[[#This Row],[_LeafTotalWork]]))</f>
        <v>96</v>
      </c>
      <c r="AU27" s="111" t="n">
        <f aca="false">IF(Tasks[[#This Row],[Task Name]]="","",IF(Tasks[[#This Row],[_IsSummary]],SUM(INDEX(Tasks[_LeafTotalCost],Tasks[[#This Row],[_Row]]+1):INDEX(Tasks[_LeafTotalCost],Tasks[[#This Row],[_Row]]+Tasks[[#This Row],[_Descendants]])),Tasks[[#This Row],[_LeafTotalCost]]))</f>
        <v>6480</v>
      </c>
      <c r="AV27" s="112"/>
      <c r="AW27" s="46"/>
      <c r="AX2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7</v>
      </c>
      <c r="AY27" s="96" t="n">
        <v>5</v>
      </c>
      <c r="AZ2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21</v>
      </c>
      <c r="BA27" s="47" t="s">
        <v>679</v>
      </c>
      <c r="BB27" s="25" t="n">
        <f aca="false">IF(Tasks[[#This Row],[Task Name]]="","",Tasks[[#This Row],[Forecast Start]])</f>
        <v>46363</v>
      </c>
      <c r="BC27" s="25" t="n">
        <f aca="false">IF(Tasks[[#This Row],[Task Name]]="","",Tasks[[#This Row],[Forecast Finish]])</f>
        <v>46370</v>
      </c>
      <c r="BD27" s="45" t="n">
        <f aca="false">IF(Tasks[[#This Row],[Task Name]]="","",IF(Tasks[[#This Row],[_IsSummary]],NETWORKDAYS.INTL(Tasks[[#This Row],[Forecast Start]],Tasks[[#This Row],[Forecast Finish]],WorkWeek,Holidays),N(Tasks[[#This Row],[Duration]])))</f>
        <v>6</v>
      </c>
      <c r="BE27" s="110" t="n">
        <f aca="false">IF(Tasks[[#This Row],[Task Name]]="","",Tasks[[#This Row],[Work]])</f>
        <v>96</v>
      </c>
      <c r="BF27" s="111" t="n">
        <f aca="false">IF(Tasks[[#This Row],[Task Name]]="","",Tasks[[#This Row],[Cost]])</f>
        <v>6480</v>
      </c>
      <c r="BG27" s="88"/>
      <c r="BH27" s="88"/>
      <c r="BI27" s="46"/>
      <c r="BJ27" s="113"/>
      <c r="BK27" s="112"/>
      <c r="BL27" s="45" t="str">
        <f aca="false">IF(OR(Tasks[[#This Row],[Task Name]]="",Tasks[[#This Row],[Baseline Duration]]=""),"",Tasks[[#This Row],[BL Source Duration]]-N(Tasks[[#This Row],[Baseline Duration]]))</f>
        <v/>
      </c>
      <c r="BM27" s="110" t="str">
        <f aca="false">IF(OR(Tasks[[#This Row],[Task Name]]="",Tasks[[#This Row],[Baseline Work]]=""),"",Tasks[[#This Row],[Work]]-N(Tasks[[#This Row],[Baseline Work]]))</f>
        <v/>
      </c>
      <c r="BN27" s="111" t="str">
        <f aca="false">IF(OR(Tasks[[#This Row],[Task Name]]="",Tasks[[#This Row],[Baseline Cost]]=""),"",Tasks[[#This Row],[Cost]]-N(Tasks[[#This Row],[Baseline Cost]]))</f>
        <v/>
      </c>
      <c r="BO27" s="111" t="n">
        <f aca="false">IF(Tasks[[#This Row],[Task Name]]="","",IF(Tasks[[#This Row],[_IsSummary]],SUM(INDEX(Tasks[_LeafBudget],Tasks[[#This Row],[_Row]]+1):INDEX(Tasks[_LeafBudget],Tasks[[#This Row],[_Row]]+Tasks[[#This Row],[_Descendants]])),Tasks[[#This Row],[_LeafBudget]]))</f>
        <v>6480</v>
      </c>
      <c r="BP27" s="111" t="n">
        <f aca="false">IF(Tasks[[#This Row],[Task Name]]="","",IF(Tasks[[#This Row],[_IsSummary]],SUM(INDEX(Tasks[_LeafPV],Tasks[[#This Row],[_Row]]+1):INDEX(Tasks[_LeafPV],Tasks[[#This Row],[_Row]]+Tasks[[#This Row],[_Descendants]])),Tasks[[#This Row],[_LeafPV]]))</f>
        <v>0</v>
      </c>
      <c r="BQ27" s="111" t="n">
        <f aca="false">IF(Tasks[[#This Row],[Task Name]]="","",IF(Tasks[[#This Row],[_IsSummary]],SUM(INDEX(Tasks[_LeafEV],Tasks[[#This Row],[_Row]]+1):INDEX(Tasks[_LeafEV],Tasks[[#This Row],[_Row]]+Tasks[[#This Row],[_Descendants]])),Tasks[[#This Row],[_LeafEV]]))</f>
        <v>0</v>
      </c>
      <c r="BR27" s="111" t="n">
        <f aca="false">IF(Tasks[[#This Row],[Task Name]]="","",IF(Tasks[[#This Row],[_IsSummary]],SUM(INDEX(Tasks[_LeafAC],Tasks[[#This Row],[_Row]]+1):INDEX(Tasks[_LeafAC],Tasks[[#This Row],[_Row]]+Tasks[[#This Row],[_Descendants]])),Tasks[[#This Row],[_LeafAC]]))</f>
        <v>0</v>
      </c>
      <c r="BS27" s="32" t="n">
        <f aca="false">IF(Tasks[[#This Row],[Task Name]]="","",MAX(1,N(Tasks[[#This Row],[Level]])))</f>
        <v>2</v>
      </c>
      <c r="BT27" s="32" t="n">
        <f aca="false">ROW()-ROW(Tasks[[#Headers],[ID]])</f>
        <v>22</v>
      </c>
      <c r="BU27" s="32" t="n">
        <f aca="false">IF(OR(Tasks[[#This Row],[Task Name]]="",Tasks[[#This Row],[_Level]]&lt;=1),0,IFERROR(LOOKUP(2,1/(Tasks[[#Headers],[_Level]]:Tasks[[#This Row],[_Level]]=Tasks[[#This Row],[_Level]]-1),ROW(Tasks[[#Headers],[_Level]]:Tasks[[#This Row],[_Level]])),0))</f>
        <v>25</v>
      </c>
      <c r="BV27" s="32" t="n">
        <f aca="false">IFERROR(N(INDEX(Tasks[_Level],Tasks[[#This Row],[_Row]]+1)),0)</f>
        <v>2</v>
      </c>
      <c r="BW27" s="114" t="b">
        <f aca="false">AND(Tasks[[#This Row],[Task Name]]&lt;&gt;"",Tasks[[#This Row],[_NextLevel]]&gt;Tasks[[#This Row],[_Level]])</f>
        <v>0</v>
      </c>
      <c r="BX27" s="32" t="n">
        <f aca="false">IF(Tasks[[#This Row],[_IsSummary]],COUNTIF(Tasks[WBS],Tasks[[#This Row],[WBS]]&amp;".*"),0)</f>
        <v>0</v>
      </c>
      <c r="BY27" s="32" t="n">
        <f aca="false">IF(AND(Tasks[[#This Row],[Task Name]]&lt;&gt;"",NOT(Tasks[[#This Row],[_IsSummary]])),1,0)</f>
        <v>1</v>
      </c>
      <c r="BZ27" s="32" t="n">
        <f aca="false">IF(N(Tasks[[#This Row],[Pred1 UID]])=0,0,IFERROR(MATCH(Tasks[[#This Row],[Pred1 UID]],Tasks[UID],0),-1))</f>
        <v>21</v>
      </c>
      <c r="CA27" s="32" t="n">
        <f aca="false">IF(N(Tasks[[#This Row],[Pred2 UID]])=0,0,IFERROR(MATCH(Tasks[[#This Row],[Pred2 UID]],Tasks[UID],0),-1))</f>
        <v>0</v>
      </c>
      <c r="CB27" s="32" t="n">
        <f aca="false">IF(N(Tasks[[#This Row],[Pred3 UID]])=0,0,IFERROR(MATCH(Tasks[[#This Row],[Pred3 UID]],Tasks[UID],0),-1))</f>
        <v>0</v>
      </c>
      <c r="CC27" s="32" t="n">
        <f aca="false">IF(N(Tasks[[#This Row],[Pred4 UID]])=0,0,IFERROR(MATCH(Tasks[[#This Row],[Pred4 UID]],Tasks[UID],0),-1))</f>
        <v>0</v>
      </c>
      <c r="CD27"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4</v>
      </c>
      <c r="CE2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46363</v>
      </c>
      <c r="CF27" s="115" t="n">
        <f aca="false">IF(OR(Tasks[[#This Row],[_ConstraintCode]]=2,Tasks[[#This Row],[_ConstraintCode]]=3,Tasks[[#This Row],[_ConstraintCode]]=4,Tasks[[#This Row],[_ConstraintCode]]=6),Tasks[[#This Row],[_ConstraintStart]],0)</f>
        <v>46363</v>
      </c>
      <c r="CG27" s="115" t="n">
        <f aca="false">IF(OR(Tasks[[#This Row],[_ConstraintCode]]=2,Tasks[[#This Row],[_ConstraintCode]]=3,Tasks[[#This Row],[_ConstraintCode]]=5,Tasks[[#This Row],[_ConstraintCode]]=7),Tasks[[#This Row],[_ConstraintStart]],2958465)</f>
        <v>2958465</v>
      </c>
      <c r="CH27"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46363</v>
      </c>
      <c r="CI27" s="115" t="n">
        <f aca="false">IF(NOT(Tasks[[#This Row],[_IsLeaf]]=1),"",IF(N(Tasks[[#This Row],[Duration]])&lt;=0,Tasks[[#This Row],[_LeafCalcStart]],WORKDAY.INTL(Tasks[[#This Row],[_LeafCalcStart]],Tasks[[#This Row],[Duration]]-1,WorkWeek,Holidays)))</f>
        <v>46370</v>
      </c>
      <c r="CJ27"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46363</v>
      </c>
      <c r="CK27"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46370</v>
      </c>
      <c r="CL27" s="32" t="n">
        <f aca="false">IF(NOT(Tasks[[#This Row],[_IsLeaf]]=1),0,IF(N(Tasks[[#This Row],[Actual Finish]])&gt;0,1,MIN(1,N(Tasks[[#This Row],[% Complete]]))))</f>
        <v>0</v>
      </c>
      <c r="CM27" s="32" t="n">
        <f aca="false">IF(OR(NOT(Tasks[[#This Row],[_IsLeaf]]=1),Tasks[[#This Row],[Resource]]=""),0,N(Tasks[[#This Row],[Duration]])*HoursPerDay*IF(Tasks[[#This Row],[Units]]="",DefaultUnits,Tasks[[#This Row],[Units]]))</f>
        <v>48</v>
      </c>
      <c r="CN27" s="32" t="n">
        <f aca="false">IF(Tasks[[#This Row],[_LeafWork]]=0,0,Tasks[[#This Row],[_LeafWork]]*IFERROR(INDEX(res_Rate,MATCH(Tasks[[#This Row],[Resource]],res_Name,0)),0))</f>
        <v>3360</v>
      </c>
      <c r="CO27" s="32" t="n">
        <f aca="false">Tasks[[#This Row],[_LeafWork]]+IF(Tasks[[#This Row],[_IsLeaf]]=1,SUMIFS(asg_Work,asg_TaskUID,Tasks[[#This Row],[UID]],asg_Valid,1),0)</f>
        <v>96</v>
      </c>
      <c r="CP27" s="32" t="n">
        <f aca="false">Tasks[[#This Row],[_LeafCost]]+IF(Tasks[[#This Row],[_IsLeaf]]=1,SUMIFS(asg_Cost,asg_TaskUID,Tasks[[#This Row],[UID]],asg_Valid,1),0)</f>
        <v>6480</v>
      </c>
      <c r="CQ27" s="32" t="n">
        <f aca="false">IF(Tasks[[#This Row],[_LeafTotalCost]]=0,Tasks[[#This Row],[_LeafAC]],Tasks[[#This Row],[_LeafAC]]*Tasks[[#This Row],[_LeafCost]]/Tasks[[#This Row],[_LeafTotalCost]])</f>
        <v>0</v>
      </c>
      <c r="CR27"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2912105</v>
      </c>
      <c r="CS2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7"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99989</v>
      </c>
      <c r="CW2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7" s="32" t="n">
        <f aca="false">IF(NOT(Tasks[[#This Row],[_IsLeaf]]=1),0,MAX(_xlfn.MAXIFS(Tasks[_Row],Tasks[Pred1 UID],Tasks[[#This Row],[UID]]),_xlfn.MAXIFS(Tasks[_Row],Tasks[Pred2 UID],Tasks[[#This Row],[UID]]),_xlfn.MAXIFS(Tasks[_Row],Tasks[Pred3 UID],Tasks[[#This Row],[UID]]),_xlfn.MAXIFS(Tasks[_Row],Tasks[Pred4 UID],Tasks[[#This Row],[UID]])))</f>
        <v>24</v>
      </c>
      <c r="DA27"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46370</v>
      </c>
      <c r="DB27"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46370</v>
      </c>
      <c r="DC27" s="115" t="n">
        <f aca="false">IF(NOT(Tasks[[#This Row],[_IsLeaf]]=1),"",IF(N(Tasks[[#This Row],[Duration]])&lt;=0,Tasks[[#This Row],[_LeafLateFinish]],WORKDAY.INTL(Tasks[[#This Row],[_LeafLateFinish]],-(Tasks[[#This Row],[Duration]]-1),WorkWeek,Holidays)))</f>
        <v>46363</v>
      </c>
      <c r="DD27"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27" s="114" t="b">
        <f aca="false">AND(Tasks[[#This Row],[_IsLeaf]]=1,Tasks[[#This Row],[_LeafProgress]]&lt;1,N(Tasks[[#This Row],[_LeafTotalSlack]])&lt;=CriticalSlackDays)</f>
        <v>1</v>
      </c>
      <c r="DF27" s="32" t="n">
        <f aca="false">IF(AND(Tasks[[#This Row],[_IsLeaf]]=1,Tasks[[#This Row],[_ConstraintCode]]=1,Tasks[[#This Row],[Mode]]&lt;&gt;"Manual",N(Tasks[[#This Row],[Actual Start]])=0),MAX(0,N(Tasks[[#This Row],[Free Slack]])),0)</f>
        <v>0</v>
      </c>
      <c r="DG27" s="115" t="n">
        <f aca="false">IF(NOT(Tasks[[#This Row],[_IsLeaf]]=1),"",IF(Tasks[[#This Row],[_AlapShift]]=0,Tasks[[#This Row],[_LeafCalcStart]],WORKDAY.INTL(Tasks[[#This Row],[_LeafCalcStart]],Tasks[[#This Row],[_AlapShift]],WorkWeek,Holidays)))</f>
        <v>46363</v>
      </c>
      <c r="DH27" s="115" t="n">
        <f aca="false">IF(NOT(Tasks[[#This Row],[_IsLeaf]]=1),"",IF(Tasks[[#This Row],[_AlapShift]]=0,Tasks[[#This Row],[_LeafCalcFinish]],WORKDAY.INTL(Tasks[[#This Row],[_LeafCalcFinish]],Tasks[[#This Row],[_AlapShift]],WorkWeek,Holidays)))</f>
        <v>46370</v>
      </c>
      <c r="DI27" s="115" t="n">
        <f aca="false">IF(NOT(Tasks[[#This Row],[_IsLeaf]]=1),"",IF(Tasks[[#This Row],[_AlapShift]]=0,Tasks[[#This Row],[_LeafFcstStart]],WORKDAY.INTL(Tasks[[#This Row],[_LeafFcstStart]],Tasks[[#This Row],[_AlapShift]],WorkWeek,Holidays)))</f>
        <v>46363</v>
      </c>
      <c r="DJ27" s="115" t="n">
        <f aca="false">IF(NOT(Tasks[[#This Row],[_IsLeaf]]=1),"",IF(Tasks[[#This Row],[_AlapShift]]=0,Tasks[[#This Row],[_LeafFcstFinish]],WORKDAY.INTL(Tasks[[#This Row],[_LeafFcstFinish]],Tasks[[#This Row],[_AlapShift]],WorkWeek,Holidays)))</f>
        <v>46370</v>
      </c>
      <c r="DK27" s="115" t="n">
        <f aca="false">IF(Tasks[[#This Row],[Task Name]]="","",IF(Tasks[[#This Row],[_IsSummary]],MIN(INDEX(Tasks[_ShownCalcStart],Tasks[[#This Row],[_Row]]+1):INDEX(Tasks[_ShownCalcStart],Tasks[[#This Row],[_Row]]+Tasks[[#This Row],[_Descendants]])),Tasks[[#This Row],[_ShownCalcStart]]))</f>
        <v>46363</v>
      </c>
      <c r="DL27" s="115" t="n">
        <f aca="false">IF(Tasks[[#This Row],[Task Name]]="","",IF(Tasks[[#This Row],[_IsSummary]],MAX(INDEX(Tasks[_ShownCalcFinish],Tasks[[#This Row],[_Row]]+1):INDEX(Tasks[_ShownCalcFinish],Tasks[[#This Row],[_Row]]+Tasks[[#This Row],[_Descendants]])),Tasks[[#This Row],[_ShownCalcFinish]]))</f>
        <v>46370</v>
      </c>
      <c r="DM2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46338</v>
      </c>
      <c r="DR2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46346</v>
      </c>
      <c r="DV2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7" s="32" t="n">
        <f aca="false">IF(AND(Tasks[[#This Row],[_IsLeaf]]=1,Tasks[[#This Row],[_LeafTotalWork]]&gt;0),NETWORKDAYS.INTL(ProjectStart,Tasks[[#This Row],[_ShownFcstStart]],WorkWeek,Holidays),0)</f>
        <v>66</v>
      </c>
      <c r="DZ27" s="32" t="n">
        <f aca="false">IF(AND(Tasks[[#This Row],[_IsLeaf]]=1,Tasks[[#This Row],[_LeafTotalWork]]&gt;0),MAX(Tasks[[#This Row],[_StartWorkday]],NETWORKDAYS.INTL(ProjectStart,Tasks[[#This Row],[_ShownFcstFinish]],WorkWeek,Holidays)),0)</f>
        <v>71</v>
      </c>
      <c r="EA27" s="32" t="n">
        <f aca="false">IF(AND(Tasks[[#This Row],[_IsLeaf]]=1,Tasks[[#This Row],[_LeafTotalWork]]&gt;0),Tasks[[#This Row],[_LeafWork]]/(Tasks[[#This Row],[_FinishWorkday]]-Tasks[[#This Row],[_StartWorkday]]+1),0)</f>
        <v>8</v>
      </c>
      <c r="EB27" s="32" t="n">
        <f aca="false">Tasks[[#This Row],[_WorkPerWorkday]]*(Tasks[[#This Row],[_StartWorkday]]-1)</f>
        <v>520</v>
      </c>
      <c r="EC27" s="32" t="n">
        <f aca="false">IF(Tasks[[#This Row],[_IsLeaf]]=1,MAX(N(Tasks[[#This Row],[Duration]]),0.1),0)</f>
        <v>6</v>
      </c>
      <c r="ED27" s="32" t="n">
        <f aca="false">Tasks[[#This Row],[_WeightDur]]*Tasks[[#This Row],[_LeafProgress]]</f>
        <v>0</v>
      </c>
      <c r="EE2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21</v>
      </c>
      <c r="EF27" s="32" t="str">
        <f aca="false">IF(AND(Tasks[[#This Row],[_IsLeaf]]=1,N(Tasks[[#This Row],[Duration]])=0,Tasks[[#This Row],[_LeafProgress]]&lt;1),Tasks[[#This Row],[_ShownFcstFinish]]+Tasks[[#This Row],[_Row]]/100000,"")</f>
        <v/>
      </c>
      <c r="EG2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7" s="32" t="n">
        <f aca="false">IF(NOT(Tasks[[#This Row],[_IsLeaf]]=1),0,IF(Tasks[[#This Row],[Baseline Cost]]="",Tasks[[#This Row],[_LeafTotalCost]],N(Tasks[[#This Row],[Baseline Cost]])))</f>
        <v>6480</v>
      </c>
      <c r="EI27" s="32" t="n">
        <f aca="false">Tasks[[#This Row],[_LeafBudget]]*Tasks[[#This Row],[_PlannedPct]]</f>
        <v>0</v>
      </c>
      <c r="EJ27" s="32" t="n">
        <f aca="false">Tasks[[#This Row],[_LeafBudget]]*Tasks[[#This Row],[_LeafProgress]]</f>
        <v>0</v>
      </c>
      <c r="EK27" s="32" t="n">
        <f aca="false">IF(NOT(Tasks[[#This Row],[_IsLeaf]]=1),0,IF(Tasks[[#This Row],[Actual Cost]]="",Tasks[[#This Row],[_LeafTotalCost]]*Tasks[[#This Row],[_LeafProgress]],N(Tasks[[#This Row],[Actual Cost]])))</f>
        <v>0</v>
      </c>
      <c r="EL27" s="32" t="str">
        <f aca="false">IF(Tasks[[#This Row],[Task Name]]="","",LEFT(Tasks[[#This Row],[WBS]],FIND(".",Tasks[[#This Row],[WBS]]&amp;".")-1))</f>
        <v>4</v>
      </c>
      <c r="EM27" s="32" t="str">
        <f aca="false">IF(AND(Tasks[[#This Row],[Task Name]]&lt;&gt;"",Tasks[[#This Row],[_Level]]=1),Tasks[[#This Row],[_Row]],"")</f>
        <v/>
      </c>
      <c r="EN27" s="32" t="str">
        <f aca="false">IF(AND(Tasks[[#This Row],[_IsLeaf]]=1,N(Tasks[[#This Row],[Duration]])=0),Tasks[[#This Row],[Planned Finish]]+Tasks[[#This Row],[_Row]]/100000,"")</f>
        <v/>
      </c>
      <c r="EO27" s="32" t="str">
        <f aca="false">IF(AND(Tasks[[#This Row],[_IsLeaf]]=1,Tasks[[#This Row],[_LeafProgress]]&lt;1,OR(N(Tasks[[#This Row],[Finish Var]])&gt;0,Tasks[[#This Row],[Status]]="Late Start")),MAX(0,Tasks[[#This Row],[Finish Var]])+1-Tasks[[#This Row],[_Row]]/1000000,"")</f>
        <v/>
      </c>
      <c r="EP27" s="32" t="str">
        <f aca="false">IF(AND(Tasks[[#This Row],[_IsLeaf]]=1,N(Tasks[[#This Row],[Actual Start]])=0,Tasks[[#This Row],[_ShownFcstStart]]&gt;=StatusDate,Tasks[[#This Row],[_ShownFcstStart]]&lt;=LookaheadEnd),Tasks[[#This Row],[_ShownFcstStart]]+Tasks[[#This Row],[_Row]]/100000,"")</f>
        <v/>
      </c>
      <c r="EQ27" s="32" t="str">
        <f aca="false">IF(AND(Tasks[[#This Row],[_IsLeaf]]=1,Tasks[[#This Row],[_LeafProgress]]&lt;1,Tasks[[#This Row],[_ShownFcstFinish]]&gt;=StatusDate,Tasks[[#This Row],[_ShownFcstFinish]]&lt;=LookaheadEnd),Tasks[[#This Row],[_ShownFcstFinish]]+Tasks[[#This Row],[_Row]]/100000,"")</f>
        <v/>
      </c>
      <c r="ER27" s="116" t="n">
        <f aca="false">IF(Tasks[[#This Row],[_LeafCritical]],Tasks[[#This Row],[_ShownFcstStart]]+Tasks[[#This Row],[_Row]]/100000,"")</f>
        <v>46363.00022</v>
      </c>
      <c r="ES27" s="32" t="n">
        <f aca="false">Tasks[[#This Row],[_LeafWork]]*Tasks[[#This Row],[_LeafProgress]]</f>
        <v>0</v>
      </c>
      <c r="ET27" s="115" t="str">
        <f aca="false">IF(AND(Tasks[[#This Row],[_IsLeaf]]=1,Tasks[[#This Row],[_LeafProgress]]&gt;=1),IF(N(Tasks[[#This Row],[Actual Finish]])&gt;0,Tasks[[#This Row],[Actual Finish]],Tasks[[#This Row],[_ShownFcstFinish]]),"")</f>
        <v/>
      </c>
      <c r="EU27" s="32" t="n">
        <f aca="false">IF(Tasks[[#This Row],[_IsLeaf]]=1,N(Tasks[[#This Row],[Story Points]]),0)</f>
        <v>5</v>
      </c>
      <c r="EV27" s="32" t="str">
        <f aca="false">IF(AND(Tasks[[#This Row],[_IsLeaf]]=1,CurrentSprint&lt;&gt;"",Tasks[[#This Row],[Sprint]]=CurrentSprint),Tasks[[#This Row],[_Row]],"")</f>
        <v/>
      </c>
    </row>
    <row r="28" customFormat="false" ht="15" hidden="false" customHeight="false" outlineLevel="1" collapsed="false">
      <c r="A28" s="45" t="n">
        <f aca="false">IF(Tasks[[#This Row],[Task Name]]="","",COUNTA(Tasks[[#Headers],[Task Name]]:Tasks[[#This Row],[Task Name]])-1)</f>
        <v>23</v>
      </c>
      <c r="B28" s="46" t="n">
        <v>23</v>
      </c>
      <c r="C2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4.3</v>
      </c>
      <c r="D28" s="46" t="n">
        <v>2</v>
      </c>
      <c r="E28" s="45" t="str">
        <f aca="false">IF(Tasks[[#This Row],[Task Name]]="","",IF(Tasks[[#This Row],[_Level]]&lt;=OutlineShowLevel,"Yes","No"))</f>
        <v>Yes</v>
      </c>
      <c r="F28" s="47" t="s">
        <v>680</v>
      </c>
      <c r="G28" s="46" t="s">
        <v>642</v>
      </c>
      <c r="H28" s="46" t="n">
        <v>5</v>
      </c>
      <c r="I28" s="46" t="n">
        <v>21</v>
      </c>
      <c r="J28" s="46" t="s">
        <v>653</v>
      </c>
      <c r="K28" s="46" t="n">
        <v>2</v>
      </c>
      <c r="L28" s="46"/>
      <c r="M28" s="46"/>
      <c r="N28" s="46"/>
      <c r="O28" s="46"/>
      <c r="P28" s="46"/>
      <c r="Q28" s="46"/>
      <c r="R28" s="46"/>
      <c r="S28" s="46"/>
      <c r="T28" s="46"/>
      <c r="U28" s="47"/>
      <c r="V28" s="88"/>
      <c r="W28" s="88"/>
      <c r="X28" s="25" t="n">
        <f aca="false">IF(Tasks[[#This Row],[Task Name]]="","",IF(N(Tasks[[#This Row],[Baseline Start]])&gt;0,Tasks[[#This Row],[Baseline Start]],Tasks[[#This Row],[_CalcStart]]))</f>
        <v>46330</v>
      </c>
      <c r="Y28" s="25" t="n">
        <f aca="false">IF(Tasks[[#This Row],[Task Name]]="","",IF(N(Tasks[[#This Row],[Baseline Finish]])&gt;0,Tasks[[#This Row],[Baseline Finish]],Tasks[[#This Row],[_CalcFinish]]))</f>
        <v>46336</v>
      </c>
      <c r="Z28" s="88"/>
      <c r="AA28" s="88"/>
      <c r="AB28" s="25" t="n">
        <f aca="false">IF(Tasks[[#This Row],[Task Name]]="","",IF(Tasks[[#This Row],[_IsSummary]],MIN(INDEX(Tasks[_ShownFcstStart],Tasks[[#This Row],[_Row]]+1):INDEX(Tasks[_ShownFcstStart],Tasks[[#This Row],[_Row]]+Tasks[[#This Row],[_Descendants]])),Tasks[[#This Row],[_ShownFcstStart]]))</f>
        <v>46338</v>
      </c>
      <c r="AC28" s="25" t="n">
        <f aca="false">IF(Tasks[[#This Row],[Task Name]]="","",IF(Tasks[[#This Row],[_IsSummary]],MAX(INDEX(Tasks[_ShownFcstFinish],Tasks[[#This Row],[_Row]]+1):INDEX(Tasks[_ShownFcstFinish],Tasks[[#This Row],[_Row]]+Tasks[[#This Row],[_Descendants]])),Tasks[[#This Row],[_ShownFcstFinish]]))</f>
        <v>46344</v>
      </c>
      <c r="AD28" s="56" t="n">
        <f aca="false">IF(Tasks[[#This Row],[Task Name]]="","",IF(Tasks[[#This Row],[Forecast Start]]&gt;=Tasks[[#This Row],[Planned Start]],NETWORKDAYS.INTL(Tasks[[#This Row],[Planned Start]],Tasks[[#This Row],[Forecast Start]],WorkWeek,Holidays)-1,1-NETWORKDAYS.INTL(Tasks[[#This Row],[Forecast Start]],Tasks[[#This Row],[Planned Start]],WorkWeek,Holidays)))</f>
        <v>6</v>
      </c>
      <c r="AE28" s="56" t="n">
        <f aca="false">IF(Tasks[[#This Row],[Task Name]]="","",IF(Tasks[[#This Row],[Forecast Finish]]&gt;=Tasks[[#This Row],[Planned Finish]],NETWORKDAYS.INTL(Tasks[[#This Row],[Planned Finish]],Tasks[[#This Row],[Forecast Finish]],WorkWeek,Holidays)-1,1-NETWORKDAYS.INTL(Tasks[[#This Row],[Forecast Finish]],Tasks[[#This Row],[Planned Finish]],WorkWeek,Holidays)))</f>
        <v>6</v>
      </c>
      <c r="AF28" s="25" t="n">
        <f aca="false">IF(Tasks[[#This Row],[Task Name]]="","",IF(Tasks[[#This Row],[_IsSummary]],MIN(INDEX(Tasks[_LeafLateStart],Tasks[[#This Row],[_Row]]+1):INDEX(Tasks[_LeafLateStart],Tasks[[#This Row],[_Row]]+Tasks[[#This Row],[_Descendants]])),Tasks[[#This Row],[_LeafLateStart]]))</f>
        <v>46364</v>
      </c>
      <c r="AG28" s="25" t="n">
        <f aca="false">IF(Tasks[[#This Row],[Task Name]]="","",IF(Tasks[[#This Row],[_IsSummary]],MAX(INDEX(Tasks[_LeafLateFinish],Tasks[[#This Row],[_Row]]+1):INDEX(Tasks[_LeafLateFinish],Tasks[[#This Row],[_Row]]+Tasks[[#This Row],[_Descendants]])),Tasks[[#This Row],[_LeafLateFinish]]))</f>
        <v>46370</v>
      </c>
      <c r="AH28" s="56" t="n">
        <f aca="false">IF(Tasks[[#This Row],[Task Name]]="","",IF(Tasks[[#This Row],[_IsSummary]],MIN(INDEX(Tasks[_LeafTotalSlack],Tasks[[#This Row],[_Row]]+1):INDEX(Tasks[_LeafTotalSlack],Tasks[[#This Row],[_Row]]+Tasks[[#This Row],[_Descendants]])),Tasks[[#This Row],[_LeafTotalSlack]]))</f>
        <v>18</v>
      </c>
      <c r="AI28"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18</v>
      </c>
      <c r="AJ28" s="45" t="str">
        <f aca="false">IF(Tasks[[#This Row],[Task Name]]="","",IF(IF(Tasks[[#This Row],[_IsSummary]],COUNTIF(INDEX(Tasks[_LeafCritical],Tasks[[#This Row],[_Row]]+1):INDEX(Tasks[_LeafCritical],Tasks[[#This Row],[_Row]]+Tasks[[#This Row],[_Descendants]]),TRUE())&gt;0,Tasks[[#This Row],[_LeafCritical]]),"Yes",""))</f>
        <v/>
      </c>
      <c r="AK2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8" s="102"/>
      <c r="AN28"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8" s="45" t="str">
        <f aca="false">IF(Tasks[[#This Row],[Task Name]]="","",IF(Tasks[[#This Row],[Progress]]&gt;=1,"Complete",IF(OR(N(Tasks[[#This Row],[Actual Start]])&gt;0,Tasks[[#This Row],[Progress]]&gt;0),IF(Tasks[[#This Row],[Finish Var]]&gt;0,"Behind","In Progress"),IF(Tasks[[#This Row],[Planned Start]]&lt;StatusDate,"Late Start","Not Started"))))</f>
        <v>Not Started</v>
      </c>
      <c r="AP28" s="47" t="s">
        <v>304</v>
      </c>
      <c r="AQ28" s="102" t="n">
        <v>0.5</v>
      </c>
      <c r="AR2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Casey Kim[50%]</v>
      </c>
      <c r="AS2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Yes</v>
      </c>
      <c r="AT28" s="110" t="n">
        <f aca="false">IF(Tasks[[#This Row],[Task Name]]="","",IF(Tasks[[#This Row],[_IsSummary]],SUM(INDEX(Tasks[_LeafTotalWork],Tasks[[#This Row],[_Row]]+1):INDEX(Tasks[_LeafTotalWork],Tasks[[#This Row],[_Row]]+Tasks[[#This Row],[_Descendants]])),Tasks[[#This Row],[_LeafTotalWork]]))</f>
        <v>20</v>
      </c>
      <c r="AU28" s="111" t="n">
        <f aca="false">IF(Tasks[[#This Row],[Task Name]]="","",IF(Tasks[[#This Row],[_IsSummary]],SUM(INDEX(Tasks[_LeafTotalCost],Tasks[[#This Row],[_Row]]+1):INDEX(Tasks[_LeafTotalCost],Tasks[[#This Row],[_Row]]+Tasks[[#This Row],[_Descendants]])),Tasks[[#This Row],[_LeafTotalCost]]))</f>
        <v>1500</v>
      </c>
      <c r="AV28" s="112"/>
      <c r="AW28" s="46"/>
      <c r="AX2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5</v>
      </c>
      <c r="AY28" s="96" t="n">
        <v>3</v>
      </c>
      <c r="AZ2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21SS+2d</v>
      </c>
      <c r="BA28" s="47"/>
      <c r="BB28" s="25" t="n">
        <f aca="false">IF(Tasks[[#This Row],[Task Name]]="","",Tasks[[#This Row],[Forecast Start]])</f>
        <v>46338</v>
      </c>
      <c r="BC28" s="25" t="n">
        <f aca="false">IF(Tasks[[#This Row],[Task Name]]="","",Tasks[[#This Row],[Forecast Finish]])</f>
        <v>46344</v>
      </c>
      <c r="BD28" s="45" t="n">
        <f aca="false">IF(Tasks[[#This Row],[Task Name]]="","",IF(Tasks[[#This Row],[_IsSummary]],NETWORKDAYS.INTL(Tasks[[#This Row],[Forecast Start]],Tasks[[#This Row],[Forecast Finish]],WorkWeek,Holidays),N(Tasks[[#This Row],[Duration]])))</f>
        <v>5</v>
      </c>
      <c r="BE28" s="110" t="n">
        <f aca="false">IF(Tasks[[#This Row],[Task Name]]="","",Tasks[[#This Row],[Work]])</f>
        <v>20</v>
      </c>
      <c r="BF28" s="111" t="n">
        <f aca="false">IF(Tasks[[#This Row],[Task Name]]="","",Tasks[[#This Row],[Cost]])</f>
        <v>1500</v>
      </c>
      <c r="BG28" s="88"/>
      <c r="BH28" s="88"/>
      <c r="BI28" s="46"/>
      <c r="BJ28" s="113"/>
      <c r="BK28" s="112"/>
      <c r="BL28" s="45" t="str">
        <f aca="false">IF(OR(Tasks[[#This Row],[Task Name]]="",Tasks[[#This Row],[Baseline Duration]]=""),"",Tasks[[#This Row],[BL Source Duration]]-N(Tasks[[#This Row],[Baseline Duration]]))</f>
        <v/>
      </c>
      <c r="BM28" s="110" t="str">
        <f aca="false">IF(OR(Tasks[[#This Row],[Task Name]]="",Tasks[[#This Row],[Baseline Work]]=""),"",Tasks[[#This Row],[Work]]-N(Tasks[[#This Row],[Baseline Work]]))</f>
        <v/>
      </c>
      <c r="BN28" s="111" t="str">
        <f aca="false">IF(OR(Tasks[[#This Row],[Task Name]]="",Tasks[[#This Row],[Baseline Cost]]=""),"",Tasks[[#This Row],[Cost]]-N(Tasks[[#This Row],[Baseline Cost]]))</f>
        <v/>
      </c>
      <c r="BO28" s="111" t="n">
        <f aca="false">IF(Tasks[[#This Row],[Task Name]]="","",IF(Tasks[[#This Row],[_IsSummary]],SUM(INDEX(Tasks[_LeafBudget],Tasks[[#This Row],[_Row]]+1):INDEX(Tasks[_LeafBudget],Tasks[[#This Row],[_Row]]+Tasks[[#This Row],[_Descendants]])),Tasks[[#This Row],[_LeafBudget]]))</f>
        <v>1500</v>
      </c>
      <c r="BP28" s="111" t="n">
        <f aca="false">IF(Tasks[[#This Row],[Task Name]]="","",IF(Tasks[[#This Row],[_IsSummary]],SUM(INDEX(Tasks[_LeafPV],Tasks[[#This Row],[_Row]]+1):INDEX(Tasks[_LeafPV],Tasks[[#This Row],[_Row]]+Tasks[[#This Row],[_Descendants]])),Tasks[[#This Row],[_LeafPV]]))</f>
        <v>0</v>
      </c>
      <c r="BQ28" s="111" t="n">
        <f aca="false">IF(Tasks[[#This Row],[Task Name]]="","",IF(Tasks[[#This Row],[_IsSummary]],SUM(INDEX(Tasks[_LeafEV],Tasks[[#This Row],[_Row]]+1):INDEX(Tasks[_LeafEV],Tasks[[#This Row],[_Row]]+Tasks[[#This Row],[_Descendants]])),Tasks[[#This Row],[_LeafEV]]))</f>
        <v>0</v>
      </c>
      <c r="BR28" s="111" t="n">
        <f aca="false">IF(Tasks[[#This Row],[Task Name]]="","",IF(Tasks[[#This Row],[_IsSummary]],SUM(INDEX(Tasks[_LeafAC],Tasks[[#This Row],[_Row]]+1):INDEX(Tasks[_LeafAC],Tasks[[#This Row],[_Row]]+Tasks[[#This Row],[_Descendants]])),Tasks[[#This Row],[_LeafAC]]))</f>
        <v>0</v>
      </c>
      <c r="BS28" s="32" t="n">
        <f aca="false">IF(Tasks[[#This Row],[Task Name]]="","",MAX(1,N(Tasks[[#This Row],[Level]])))</f>
        <v>2</v>
      </c>
      <c r="BT28" s="32" t="n">
        <f aca="false">ROW()-ROW(Tasks[[#Headers],[ID]])</f>
        <v>23</v>
      </c>
      <c r="BU28" s="32" t="n">
        <f aca="false">IF(OR(Tasks[[#This Row],[Task Name]]="",Tasks[[#This Row],[_Level]]&lt;=1),0,IFERROR(LOOKUP(2,1/(Tasks[[#Headers],[_Level]]:Tasks[[#This Row],[_Level]]=Tasks[[#This Row],[_Level]]-1),ROW(Tasks[[#Headers],[_Level]]:Tasks[[#This Row],[_Level]])),0))</f>
        <v>25</v>
      </c>
      <c r="BV28" s="32" t="n">
        <f aca="false">IFERROR(N(INDEX(Tasks[_Level],Tasks[[#This Row],[_Row]]+1)),0)</f>
        <v>2</v>
      </c>
      <c r="BW28" s="114" t="b">
        <f aca="false">AND(Tasks[[#This Row],[Task Name]]&lt;&gt;"",Tasks[[#This Row],[_NextLevel]]&gt;Tasks[[#This Row],[_Level]])</f>
        <v>0</v>
      </c>
      <c r="BX28" s="32" t="n">
        <f aca="false">IF(Tasks[[#This Row],[_IsSummary]],COUNTIF(Tasks[WBS],Tasks[[#This Row],[WBS]]&amp;".*"),0)</f>
        <v>0</v>
      </c>
      <c r="BY28" s="32" t="n">
        <f aca="false">IF(AND(Tasks[[#This Row],[Task Name]]&lt;&gt;"",NOT(Tasks[[#This Row],[_IsSummary]])),1,0)</f>
        <v>1</v>
      </c>
      <c r="BZ28" s="32" t="n">
        <f aca="false">IF(N(Tasks[[#This Row],[Pred1 UID]])=0,0,IFERROR(MATCH(Tasks[[#This Row],[Pred1 UID]],Tasks[UID],0),-1))</f>
        <v>21</v>
      </c>
      <c r="CA28" s="32" t="n">
        <f aca="false">IF(N(Tasks[[#This Row],[Pred2 UID]])=0,0,IFERROR(MATCH(Tasks[[#This Row],[Pred2 UID]],Tasks[UID],0),-1))</f>
        <v>0</v>
      </c>
      <c r="CB28" s="32" t="n">
        <f aca="false">IF(N(Tasks[[#This Row],[Pred3 UID]])=0,0,IFERROR(MATCH(Tasks[[#This Row],[Pred3 UID]],Tasks[UID],0),-1))</f>
        <v>0</v>
      </c>
      <c r="CC28" s="32" t="n">
        <f aca="false">IF(N(Tasks[[#This Row],[Pred4 UID]])=0,0,IFERROR(MATCH(Tasks[[#This Row],[Pred4 UID]],Tasks[UID],0),-1))</f>
        <v>0</v>
      </c>
      <c r="CD28"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8" s="115" t="n">
        <f aca="false">IF(OR(Tasks[[#This Row],[_ConstraintCode]]=2,Tasks[[#This Row],[_ConstraintCode]]=3,Tasks[[#This Row],[_ConstraintCode]]=4,Tasks[[#This Row],[_ConstraintCode]]=6),Tasks[[#This Row],[_ConstraintStart]],0)</f>
        <v>0</v>
      </c>
      <c r="CG28" s="115" t="n">
        <f aca="false">IF(OR(Tasks[[#This Row],[_ConstraintCode]]=2,Tasks[[#This Row],[_ConstraintCode]]=3,Tasks[[#This Row],[_ConstraintCode]]=5,Tasks[[#This Row],[_ConstraintCode]]=7),Tasks[[#This Row],[_ConstraintStart]],2958465)</f>
        <v>2958465</v>
      </c>
      <c r="CH28"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46330</v>
      </c>
      <c r="CI28" s="115" t="n">
        <f aca="false">IF(NOT(Tasks[[#This Row],[_IsLeaf]]=1),"",IF(N(Tasks[[#This Row],[Duration]])&lt;=0,Tasks[[#This Row],[_LeafCalcStart]],WORKDAY.INTL(Tasks[[#This Row],[_LeafCalcStart]],Tasks[[#This Row],[Duration]]-1,WorkWeek,Holidays)))</f>
        <v>46336</v>
      </c>
      <c r="CJ28"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46338</v>
      </c>
      <c r="CK28"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46344</v>
      </c>
      <c r="CL28" s="32" t="n">
        <f aca="false">IF(NOT(Tasks[[#This Row],[_IsLeaf]]=1),0,IF(N(Tasks[[#This Row],[Actual Finish]])&gt;0,1,MIN(1,N(Tasks[[#This Row],[% Complete]]))))</f>
        <v>0</v>
      </c>
      <c r="CM28" s="32" t="n">
        <f aca="false">IF(OR(NOT(Tasks[[#This Row],[_IsLeaf]]=1),Tasks[[#This Row],[Resource]]=""),0,N(Tasks[[#This Row],[Duration]])*HoursPerDay*IF(Tasks[[#This Row],[Units]]="",DefaultUnits,Tasks[[#This Row],[Units]]))</f>
        <v>20</v>
      </c>
      <c r="CN28" s="32" t="n">
        <f aca="false">IF(Tasks[[#This Row],[_LeafWork]]=0,0,Tasks[[#This Row],[_LeafWork]]*IFERROR(INDEX(res_Rate,MATCH(Tasks[[#This Row],[Resource]],res_Name,0)),0))</f>
        <v>1500</v>
      </c>
      <c r="CO28" s="32" t="n">
        <f aca="false">Tasks[[#This Row],[_LeafWork]]+IF(Tasks[[#This Row],[_IsLeaf]]=1,SUMIFS(asg_Work,asg_TaskUID,Tasks[[#This Row],[UID]],asg_Valid,1),0)</f>
        <v>20</v>
      </c>
      <c r="CP28" s="32" t="n">
        <f aca="false">Tasks[[#This Row],[_LeafCost]]+IF(Tasks[[#This Row],[_IsLeaf]]=1,SUMIFS(asg_Cost,asg_TaskUID,Tasks[[#This Row],[UID]],asg_Valid,1),0)</f>
        <v>1500</v>
      </c>
      <c r="CQ28" s="32" t="n">
        <f aca="false">IF(Tasks[[#This Row],[_LeafTotalCost]]=0,Tasks[[#This Row],[_LeafAC]],Tasks[[#This Row],[_LeafAC]]*Tasks[[#This Row],[_LeafCost]]/Tasks[[#This Row],[_LeafTotalCost]])</f>
        <v>0</v>
      </c>
      <c r="CR28"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2912094</v>
      </c>
      <c r="CS2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8"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8" s="32" t="n">
        <f aca="false">IF(NOT(Tasks[[#This Row],[_IsLeaf]]=1),0,MAX(_xlfn.MAXIFS(Tasks[_Row],Tasks[Pred1 UID],Tasks[[#This Row],[UID]]),_xlfn.MAXIFS(Tasks[_Row],Tasks[Pred2 UID],Tasks[[#This Row],[UID]]),_xlfn.MAXIFS(Tasks[_Row],Tasks[Pred3 UID],Tasks[[#This Row],[UID]]),_xlfn.MAXIFS(Tasks[_Row],Tasks[Pred4 UID],Tasks[[#This Row],[UID]])))</f>
        <v>24</v>
      </c>
      <c r="DA28"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46370</v>
      </c>
      <c r="DB28"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46370</v>
      </c>
      <c r="DC28" s="115" t="n">
        <f aca="false">IF(NOT(Tasks[[#This Row],[_IsLeaf]]=1),"",IF(N(Tasks[[#This Row],[Duration]])&lt;=0,Tasks[[#This Row],[_LeafLateFinish]],WORKDAY.INTL(Tasks[[#This Row],[_LeafLateFinish]],-(Tasks[[#This Row],[Duration]]-1),WorkWeek,Holidays)))</f>
        <v>46364</v>
      </c>
      <c r="DD28"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18</v>
      </c>
      <c r="DE28" s="114" t="b">
        <f aca="false">AND(Tasks[[#This Row],[_IsLeaf]]=1,Tasks[[#This Row],[_LeafProgress]]&lt;1,N(Tasks[[#This Row],[_LeafTotalSlack]])&lt;=CriticalSlackDays)</f>
        <v>0</v>
      </c>
      <c r="DF28" s="32" t="n">
        <f aca="false">IF(AND(Tasks[[#This Row],[_IsLeaf]]=1,Tasks[[#This Row],[_ConstraintCode]]=1,Tasks[[#This Row],[Mode]]&lt;&gt;"Manual",N(Tasks[[#This Row],[Actual Start]])=0),MAX(0,N(Tasks[[#This Row],[Free Slack]])),0)</f>
        <v>0</v>
      </c>
      <c r="DG28" s="115" t="n">
        <f aca="false">IF(NOT(Tasks[[#This Row],[_IsLeaf]]=1),"",IF(Tasks[[#This Row],[_AlapShift]]=0,Tasks[[#This Row],[_LeafCalcStart]],WORKDAY.INTL(Tasks[[#This Row],[_LeafCalcStart]],Tasks[[#This Row],[_AlapShift]],WorkWeek,Holidays)))</f>
        <v>46330</v>
      </c>
      <c r="DH28" s="115" t="n">
        <f aca="false">IF(NOT(Tasks[[#This Row],[_IsLeaf]]=1),"",IF(Tasks[[#This Row],[_AlapShift]]=0,Tasks[[#This Row],[_LeafCalcFinish]],WORKDAY.INTL(Tasks[[#This Row],[_LeafCalcFinish]],Tasks[[#This Row],[_AlapShift]],WorkWeek,Holidays)))</f>
        <v>46336</v>
      </c>
      <c r="DI28" s="115" t="n">
        <f aca="false">IF(NOT(Tasks[[#This Row],[_IsLeaf]]=1),"",IF(Tasks[[#This Row],[_AlapShift]]=0,Tasks[[#This Row],[_LeafFcstStart]],WORKDAY.INTL(Tasks[[#This Row],[_LeafFcstStart]],Tasks[[#This Row],[_AlapShift]],WorkWeek,Holidays)))</f>
        <v>46338</v>
      </c>
      <c r="DJ28" s="115" t="n">
        <f aca="false">IF(NOT(Tasks[[#This Row],[_IsLeaf]]=1),"",IF(Tasks[[#This Row],[_AlapShift]]=0,Tasks[[#This Row],[_LeafFcstFinish]],WORKDAY.INTL(Tasks[[#This Row],[_LeafFcstFinish]],Tasks[[#This Row],[_AlapShift]],WorkWeek,Holidays)))</f>
        <v>46344</v>
      </c>
      <c r="DK28" s="115" t="n">
        <f aca="false">IF(Tasks[[#This Row],[Task Name]]="","",IF(Tasks[[#This Row],[_IsSummary]],MIN(INDEX(Tasks[_ShownCalcStart],Tasks[[#This Row],[_Row]]+1):INDEX(Tasks[_ShownCalcStart],Tasks[[#This Row],[_Row]]+Tasks[[#This Row],[_Descendants]])),Tasks[[#This Row],[_ShownCalcStart]]))</f>
        <v>46330</v>
      </c>
      <c r="DL28" s="115" t="n">
        <f aca="false">IF(Tasks[[#This Row],[Task Name]]="","",IF(Tasks[[#This Row],[_IsSummary]],MAX(INDEX(Tasks[_ShownCalcFinish],Tasks[[#This Row],[_Row]]+1):INDEX(Tasks[_ShownCalcFinish],Tasks[[#This Row],[_Row]]+Tasks[[#This Row],[_Descendants]])),Tasks[[#This Row],[_ShownCalcFinish]]))</f>
        <v>46336</v>
      </c>
      <c r="DM2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46330</v>
      </c>
      <c r="DR2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46338</v>
      </c>
      <c r="DV2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8" s="32" t="n">
        <f aca="false">IF(AND(Tasks[[#This Row],[_IsLeaf]]=1,Tasks[[#This Row],[_LeafTotalWork]]&gt;0),NETWORKDAYS.INTL(ProjectStart,Tasks[[#This Row],[_ShownFcstStart]],WorkWeek,Holidays),0)</f>
        <v>49</v>
      </c>
      <c r="DZ28" s="32" t="n">
        <f aca="false">IF(AND(Tasks[[#This Row],[_IsLeaf]]=1,Tasks[[#This Row],[_LeafTotalWork]]&gt;0),MAX(Tasks[[#This Row],[_StartWorkday]],NETWORKDAYS.INTL(ProjectStart,Tasks[[#This Row],[_ShownFcstFinish]],WorkWeek,Holidays)),0)</f>
        <v>53</v>
      </c>
      <c r="EA28" s="32" t="n">
        <f aca="false">IF(AND(Tasks[[#This Row],[_IsLeaf]]=1,Tasks[[#This Row],[_LeafTotalWork]]&gt;0),Tasks[[#This Row],[_LeafWork]]/(Tasks[[#This Row],[_FinishWorkday]]-Tasks[[#This Row],[_StartWorkday]]+1),0)</f>
        <v>4</v>
      </c>
      <c r="EB28" s="32" t="n">
        <f aca="false">Tasks[[#This Row],[_WorkPerWorkday]]*(Tasks[[#This Row],[_StartWorkday]]-1)</f>
        <v>192</v>
      </c>
      <c r="EC28" s="32" t="n">
        <f aca="false">IF(Tasks[[#This Row],[_IsLeaf]]=1,MAX(N(Tasks[[#This Row],[Duration]]),0.1),0)</f>
        <v>5</v>
      </c>
      <c r="ED28" s="32" t="n">
        <f aca="false">Tasks[[#This Row],[_WeightDur]]*Tasks[[#This Row],[_LeafProgress]]</f>
        <v>0</v>
      </c>
      <c r="EE2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21SS+2d</v>
      </c>
      <c r="EF28" s="32" t="str">
        <f aca="false">IF(AND(Tasks[[#This Row],[_IsLeaf]]=1,N(Tasks[[#This Row],[Duration]])=0,Tasks[[#This Row],[_LeafProgress]]&lt;1),Tasks[[#This Row],[_ShownFcstFinish]]+Tasks[[#This Row],[_Row]]/100000,"")</f>
        <v/>
      </c>
      <c r="EG2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8" s="32" t="n">
        <f aca="false">IF(NOT(Tasks[[#This Row],[_IsLeaf]]=1),0,IF(Tasks[[#This Row],[Baseline Cost]]="",Tasks[[#This Row],[_LeafTotalCost]],N(Tasks[[#This Row],[Baseline Cost]])))</f>
        <v>1500</v>
      </c>
      <c r="EI28" s="32" t="n">
        <f aca="false">Tasks[[#This Row],[_LeafBudget]]*Tasks[[#This Row],[_PlannedPct]]</f>
        <v>0</v>
      </c>
      <c r="EJ28" s="32" t="n">
        <f aca="false">Tasks[[#This Row],[_LeafBudget]]*Tasks[[#This Row],[_LeafProgress]]</f>
        <v>0</v>
      </c>
      <c r="EK28" s="32" t="n">
        <f aca="false">IF(NOT(Tasks[[#This Row],[_IsLeaf]]=1),0,IF(Tasks[[#This Row],[Actual Cost]]="",Tasks[[#This Row],[_LeafTotalCost]]*Tasks[[#This Row],[_LeafProgress]],N(Tasks[[#This Row],[Actual Cost]])))</f>
        <v>0</v>
      </c>
      <c r="EL28" s="32" t="str">
        <f aca="false">IF(Tasks[[#This Row],[Task Name]]="","",LEFT(Tasks[[#This Row],[WBS]],FIND(".",Tasks[[#This Row],[WBS]]&amp;".")-1))</f>
        <v>4</v>
      </c>
      <c r="EM28" s="32" t="str">
        <f aca="false">IF(AND(Tasks[[#This Row],[Task Name]]&lt;&gt;"",Tasks[[#This Row],[_Level]]=1),Tasks[[#This Row],[_Row]],"")</f>
        <v/>
      </c>
      <c r="EN28" s="32" t="str">
        <f aca="false">IF(AND(Tasks[[#This Row],[_IsLeaf]]=1,N(Tasks[[#This Row],[Duration]])=0),Tasks[[#This Row],[Planned Finish]]+Tasks[[#This Row],[_Row]]/100000,"")</f>
        <v/>
      </c>
      <c r="EO28" s="32" t="n">
        <f aca="false">IF(AND(Tasks[[#This Row],[_IsLeaf]]=1,Tasks[[#This Row],[_LeafProgress]]&lt;1,OR(N(Tasks[[#This Row],[Finish Var]])&gt;0,Tasks[[#This Row],[Status]]="Late Start")),MAX(0,Tasks[[#This Row],[Finish Var]])+1-Tasks[[#This Row],[_Row]]/1000000,"")</f>
        <v>6.999977</v>
      </c>
      <c r="EP28" s="32" t="str">
        <f aca="false">IF(AND(Tasks[[#This Row],[_IsLeaf]]=1,N(Tasks[[#This Row],[Actual Start]])=0,Tasks[[#This Row],[_ShownFcstStart]]&gt;=StatusDate,Tasks[[#This Row],[_ShownFcstStart]]&lt;=LookaheadEnd),Tasks[[#This Row],[_ShownFcstStart]]+Tasks[[#This Row],[_Row]]/100000,"")</f>
        <v/>
      </c>
      <c r="EQ28" s="32" t="str">
        <f aca="false">IF(AND(Tasks[[#This Row],[_IsLeaf]]=1,Tasks[[#This Row],[_LeafProgress]]&lt;1,Tasks[[#This Row],[_ShownFcstFinish]]&gt;=StatusDate,Tasks[[#This Row],[_ShownFcstFinish]]&lt;=LookaheadEnd),Tasks[[#This Row],[_ShownFcstFinish]]+Tasks[[#This Row],[_Row]]/100000,"")</f>
        <v/>
      </c>
      <c r="ER28" s="32" t="str">
        <f aca="false">IF(Tasks[[#This Row],[_LeafCritical]],Tasks[[#This Row],[_ShownFcstStart]]+Tasks[[#This Row],[_Row]]/100000,"")</f>
        <v/>
      </c>
      <c r="ES28" s="32" t="n">
        <f aca="false">Tasks[[#This Row],[_LeafWork]]*Tasks[[#This Row],[_LeafProgress]]</f>
        <v>0</v>
      </c>
      <c r="ET28" s="115" t="str">
        <f aca="false">IF(AND(Tasks[[#This Row],[_IsLeaf]]=1,Tasks[[#This Row],[_LeafProgress]]&gt;=1),IF(N(Tasks[[#This Row],[Actual Finish]])&gt;0,Tasks[[#This Row],[Actual Finish]],Tasks[[#This Row],[_ShownFcstFinish]]),"")</f>
        <v/>
      </c>
      <c r="EU28" s="32" t="n">
        <f aca="false">IF(Tasks[[#This Row],[_IsLeaf]]=1,N(Tasks[[#This Row],[Story Points]]),0)</f>
        <v>3</v>
      </c>
      <c r="EV28" s="32" t="str">
        <f aca="false">IF(AND(Tasks[[#This Row],[_IsLeaf]]=1,CurrentSprint&lt;&gt;"",Tasks[[#This Row],[Sprint]]=CurrentSprint),Tasks[[#This Row],[_Row]],"")</f>
        <v/>
      </c>
    </row>
    <row r="29" customFormat="false" ht="15" hidden="false" customHeight="false" outlineLevel="1" collapsed="false">
      <c r="A29" s="45" t="n">
        <f aca="false">IF(Tasks[[#This Row],[Task Name]]="","",COUNTA(Tasks[[#Headers],[Task Name]]:Tasks[[#This Row],[Task Name]])-1)</f>
        <v>24</v>
      </c>
      <c r="B29" s="46" t="n">
        <v>24</v>
      </c>
      <c r="C2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4.4</v>
      </c>
      <c r="D29" s="46" t="n">
        <v>2</v>
      </c>
      <c r="E29" s="45" t="str">
        <f aca="false">IF(Tasks[[#This Row],[Task Name]]="","",IF(Tasks[[#This Row],[_Level]]&lt;=OutlineShowLevel,"Yes","No"))</f>
        <v>Yes</v>
      </c>
      <c r="F29" s="47" t="s">
        <v>681</v>
      </c>
      <c r="G29" s="46" t="s">
        <v>642</v>
      </c>
      <c r="H29" s="46" t="n">
        <v>1</v>
      </c>
      <c r="I29" s="46" t="n">
        <v>22</v>
      </c>
      <c r="J29" s="46" t="s">
        <v>647</v>
      </c>
      <c r="K29" s="46"/>
      <c r="L29" s="46" t="n">
        <v>23</v>
      </c>
      <c r="M29" s="46" t="s">
        <v>647</v>
      </c>
      <c r="N29" s="46"/>
      <c r="O29" s="46" t="n">
        <v>21</v>
      </c>
      <c r="P29" s="46" t="s">
        <v>647</v>
      </c>
      <c r="Q29" s="46"/>
      <c r="R29" s="46"/>
      <c r="S29" s="46"/>
      <c r="T29" s="46"/>
      <c r="U29" s="47"/>
      <c r="V29" s="88"/>
      <c r="W29" s="88"/>
      <c r="X29" s="25" t="n">
        <f aca="false">IF(Tasks[[#This Row],[Task Name]]="","",IF(N(Tasks[[#This Row],[Baseline Start]])&gt;0,Tasks[[#This Row],[Baseline Start]],Tasks[[#This Row],[_CalcStart]]))</f>
        <v>46371</v>
      </c>
      <c r="Y29" s="25" t="n">
        <f aca="false">IF(Tasks[[#This Row],[Task Name]]="","",IF(N(Tasks[[#This Row],[Baseline Finish]])&gt;0,Tasks[[#This Row],[Baseline Finish]],Tasks[[#This Row],[_CalcFinish]]))</f>
        <v>46371</v>
      </c>
      <c r="Z29" s="88"/>
      <c r="AA29" s="88"/>
      <c r="AB29" s="25" t="n">
        <f aca="false">IF(Tasks[[#This Row],[Task Name]]="","",IF(Tasks[[#This Row],[_IsSummary]],MIN(INDEX(Tasks[_ShownFcstStart],Tasks[[#This Row],[_Row]]+1):INDEX(Tasks[_ShownFcstStart],Tasks[[#This Row],[_Row]]+Tasks[[#This Row],[_Descendants]])),Tasks[[#This Row],[_ShownFcstStart]]))</f>
        <v>46371</v>
      </c>
      <c r="AC29" s="25" t="n">
        <f aca="false">IF(Tasks[[#This Row],[Task Name]]="","",IF(Tasks[[#This Row],[_IsSummary]],MAX(INDEX(Tasks[_ShownFcstFinish],Tasks[[#This Row],[_Row]]+1):INDEX(Tasks[_ShownFcstFinish],Tasks[[#This Row],[_Row]]+Tasks[[#This Row],[_Descendants]])),Tasks[[#This Row],[_ShownFcstFinish]]))</f>
        <v>46371</v>
      </c>
      <c r="AD29"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29"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29" s="25" t="n">
        <f aca="false">IF(Tasks[[#This Row],[Task Name]]="","",IF(Tasks[[#This Row],[_IsSummary]],MIN(INDEX(Tasks[_LeafLateStart],Tasks[[#This Row],[_Row]]+1):INDEX(Tasks[_LeafLateStart],Tasks[[#This Row],[_Row]]+Tasks[[#This Row],[_Descendants]])),Tasks[[#This Row],[_LeafLateStart]]))</f>
        <v>46371</v>
      </c>
      <c r="AG29" s="25" t="n">
        <f aca="false">IF(Tasks[[#This Row],[Task Name]]="","",IF(Tasks[[#This Row],[_IsSummary]],MAX(INDEX(Tasks[_LeafLateFinish],Tasks[[#This Row],[_Row]]+1):INDEX(Tasks[_LeafLateFinish],Tasks[[#This Row],[_Row]]+Tasks[[#This Row],[_Descendants]])),Tasks[[#This Row],[_LeafLateFinish]]))</f>
        <v>46371</v>
      </c>
      <c r="AH29" s="56" t="n">
        <f aca="false">IF(Tasks[[#This Row],[Task Name]]="","",IF(Tasks[[#This Row],[_IsSummary]],MIN(INDEX(Tasks[_LeafTotalSlack],Tasks[[#This Row],[_Row]]+1):INDEX(Tasks[_LeafTotalSlack],Tasks[[#This Row],[_Row]]+Tasks[[#This Row],[_Descendants]])),Tasks[[#This Row],[_LeafTotalSlack]]))</f>
        <v>0</v>
      </c>
      <c r="AI29"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29" s="45" t="str">
        <f aca="false">IF(Tasks[[#This Row],[Task Name]]="","",IF(IF(Tasks[[#This Row],[_IsSummary]],COUNTIF(INDEX(Tasks[_LeafCritical],Tasks[[#This Row],[_Row]]+1):INDEX(Tasks[_LeafCritical],Tasks[[#This Row],[_Row]]+Tasks[[#This Row],[_Descendants]]),TRUE())&gt;0,Tasks[[#This Row],[_LeafCritical]]),"Yes",""))</f>
        <v>Yes</v>
      </c>
      <c r="AK2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9" s="102"/>
      <c r="AN29"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29" s="45" t="str">
        <f aca="false">IF(Tasks[[#This Row],[Task Name]]="","",IF(Tasks[[#This Row],[Progress]]&gt;=1,"Complete",IF(OR(N(Tasks[[#This Row],[Actual Start]])&gt;0,Tasks[[#This Row],[Progress]]&gt;0),IF(Tasks[[#This Row],[Finish Var]]&gt;0,"Behind","In Progress"),IF(Tasks[[#This Row],[Planned Start]]&lt;StatusDate,"Late Start","Not Started"))))</f>
        <v>Not Started</v>
      </c>
      <c r="AP29" s="47" t="s">
        <v>308</v>
      </c>
      <c r="AQ29" s="102"/>
      <c r="AR2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Priya Sharma</v>
      </c>
      <c r="AS2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9" s="110" t="n">
        <f aca="false">IF(Tasks[[#This Row],[Task Name]]="","",IF(Tasks[[#This Row],[_IsSummary]],SUM(INDEX(Tasks[_LeafTotalWork],Tasks[[#This Row],[_Row]]+1):INDEX(Tasks[_LeafTotalWork],Tasks[[#This Row],[_Row]]+Tasks[[#This Row],[_Descendants]])),Tasks[[#This Row],[_LeafTotalWork]]))</f>
        <v>8</v>
      </c>
      <c r="AU29" s="111" t="n">
        <f aca="false">IF(Tasks[[#This Row],[Task Name]]="","",IF(Tasks[[#This Row],[_IsSummary]],SUM(INDEX(Tasks[_LeafTotalCost],Tasks[[#This Row],[_Row]]+1):INDEX(Tasks[_LeafTotalCost],Tasks[[#This Row],[_Row]]+Tasks[[#This Row],[_Descendants]])),Tasks[[#This Row],[_LeafTotalCost]]))</f>
        <v>760</v>
      </c>
      <c r="AV29" s="112"/>
      <c r="AW29" s="46"/>
      <c r="AX2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8</v>
      </c>
      <c r="AY29" s="96" t="n">
        <v>1</v>
      </c>
      <c r="AZ2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22,23,21</v>
      </c>
      <c r="BA29" s="47" t="s">
        <v>682</v>
      </c>
      <c r="BB29" s="25" t="n">
        <f aca="false">IF(Tasks[[#This Row],[Task Name]]="","",Tasks[[#This Row],[Forecast Start]])</f>
        <v>46371</v>
      </c>
      <c r="BC29" s="25" t="n">
        <f aca="false">IF(Tasks[[#This Row],[Task Name]]="","",Tasks[[#This Row],[Forecast Finish]])</f>
        <v>46371</v>
      </c>
      <c r="BD29" s="45" t="n">
        <f aca="false">IF(Tasks[[#This Row],[Task Name]]="","",IF(Tasks[[#This Row],[_IsSummary]],NETWORKDAYS.INTL(Tasks[[#This Row],[Forecast Start]],Tasks[[#This Row],[Forecast Finish]],WorkWeek,Holidays),N(Tasks[[#This Row],[Duration]])))</f>
        <v>1</v>
      </c>
      <c r="BE29" s="110" t="n">
        <f aca="false">IF(Tasks[[#This Row],[Task Name]]="","",Tasks[[#This Row],[Work]])</f>
        <v>8</v>
      </c>
      <c r="BF29" s="111" t="n">
        <f aca="false">IF(Tasks[[#This Row],[Task Name]]="","",Tasks[[#This Row],[Cost]])</f>
        <v>760</v>
      </c>
      <c r="BG29" s="88"/>
      <c r="BH29" s="88"/>
      <c r="BI29" s="46"/>
      <c r="BJ29" s="113"/>
      <c r="BK29" s="112"/>
      <c r="BL29" s="45" t="str">
        <f aca="false">IF(OR(Tasks[[#This Row],[Task Name]]="",Tasks[[#This Row],[Baseline Duration]]=""),"",Tasks[[#This Row],[BL Source Duration]]-N(Tasks[[#This Row],[Baseline Duration]]))</f>
        <v/>
      </c>
      <c r="BM29" s="110" t="str">
        <f aca="false">IF(OR(Tasks[[#This Row],[Task Name]]="",Tasks[[#This Row],[Baseline Work]]=""),"",Tasks[[#This Row],[Work]]-N(Tasks[[#This Row],[Baseline Work]]))</f>
        <v/>
      </c>
      <c r="BN29" s="111" t="str">
        <f aca="false">IF(OR(Tasks[[#This Row],[Task Name]]="",Tasks[[#This Row],[Baseline Cost]]=""),"",Tasks[[#This Row],[Cost]]-N(Tasks[[#This Row],[Baseline Cost]]))</f>
        <v/>
      </c>
      <c r="BO29" s="111" t="n">
        <f aca="false">IF(Tasks[[#This Row],[Task Name]]="","",IF(Tasks[[#This Row],[_IsSummary]],SUM(INDEX(Tasks[_LeafBudget],Tasks[[#This Row],[_Row]]+1):INDEX(Tasks[_LeafBudget],Tasks[[#This Row],[_Row]]+Tasks[[#This Row],[_Descendants]])),Tasks[[#This Row],[_LeafBudget]]))</f>
        <v>760</v>
      </c>
      <c r="BP29" s="111" t="n">
        <f aca="false">IF(Tasks[[#This Row],[Task Name]]="","",IF(Tasks[[#This Row],[_IsSummary]],SUM(INDEX(Tasks[_LeafPV],Tasks[[#This Row],[_Row]]+1):INDEX(Tasks[_LeafPV],Tasks[[#This Row],[_Row]]+Tasks[[#This Row],[_Descendants]])),Tasks[[#This Row],[_LeafPV]]))</f>
        <v>0</v>
      </c>
      <c r="BQ29" s="111" t="n">
        <f aca="false">IF(Tasks[[#This Row],[Task Name]]="","",IF(Tasks[[#This Row],[_IsSummary]],SUM(INDEX(Tasks[_LeafEV],Tasks[[#This Row],[_Row]]+1):INDEX(Tasks[_LeafEV],Tasks[[#This Row],[_Row]]+Tasks[[#This Row],[_Descendants]])),Tasks[[#This Row],[_LeafEV]]))</f>
        <v>0</v>
      </c>
      <c r="BR29" s="111" t="n">
        <f aca="false">IF(Tasks[[#This Row],[Task Name]]="","",IF(Tasks[[#This Row],[_IsSummary]],SUM(INDEX(Tasks[_LeafAC],Tasks[[#This Row],[_Row]]+1):INDEX(Tasks[_LeafAC],Tasks[[#This Row],[_Row]]+Tasks[[#This Row],[_Descendants]])),Tasks[[#This Row],[_LeafAC]]))</f>
        <v>0</v>
      </c>
      <c r="BS29" s="32" t="n">
        <f aca="false">IF(Tasks[[#This Row],[Task Name]]="","",MAX(1,N(Tasks[[#This Row],[Level]])))</f>
        <v>2</v>
      </c>
      <c r="BT29" s="32" t="n">
        <f aca="false">ROW()-ROW(Tasks[[#Headers],[ID]])</f>
        <v>24</v>
      </c>
      <c r="BU29" s="32" t="n">
        <f aca="false">IF(OR(Tasks[[#This Row],[Task Name]]="",Tasks[[#This Row],[_Level]]&lt;=1),0,IFERROR(LOOKUP(2,1/(Tasks[[#Headers],[_Level]]:Tasks[[#This Row],[_Level]]=Tasks[[#This Row],[_Level]]-1),ROW(Tasks[[#Headers],[_Level]]:Tasks[[#This Row],[_Level]])),0))</f>
        <v>25</v>
      </c>
      <c r="BV29" s="32" t="n">
        <f aca="false">IFERROR(N(INDEX(Tasks[_Level],Tasks[[#This Row],[_Row]]+1)),0)</f>
        <v>2</v>
      </c>
      <c r="BW29" s="114" t="b">
        <f aca="false">AND(Tasks[[#This Row],[Task Name]]&lt;&gt;"",Tasks[[#This Row],[_NextLevel]]&gt;Tasks[[#This Row],[_Level]])</f>
        <v>0</v>
      </c>
      <c r="BX29" s="32" t="n">
        <f aca="false">IF(Tasks[[#This Row],[_IsSummary]],COUNTIF(Tasks[WBS],Tasks[[#This Row],[WBS]]&amp;".*"),0)</f>
        <v>0</v>
      </c>
      <c r="BY29" s="32" t="n">
        <f aca="false">IF(AND(Tasks[[#This Row],[Task Name]]&lt;&gt;"",NOT(Tasks[[#This Row],[_IsSummary]])),1,0)</f>
        <v>1</v>
      </c>
      <c r="BZ29" s="32" t="n">
        <f aca="false">IF(N(Tasks[[#This Row],[Pred1 UID]])=0,0,IFERROR(MATCH(Tasks[[#This Row],[Pred1 UID]],Tasks[UID],0),-1))</f>
        <v>22</v>
      </c>
      <c r="CA29" s="32" t="n">
        <f aca="false">IF(N(Tasks[[#This Row],[Pred2 UID]])=0,0,IFERROR(MATCH(Tasks[[#This Row],[Pred2 UID]],Tasks[UID],0),-1))</f>
        <v>23</v>
      </c>
      <c r="CB29" s="32" t="n">
        <f aca="false">IF(N(Tasks[[#This Row],[Pred3 UID]])=0,0,IFERROR(MATCH(Tasks[[#This Row],[Pred3 UID]],Tasks[UID],0),-1))</f>
        <v>21</v>
      </c>
      <c r="CC29" s="32" t="n">
        <f aca="false">IF(N(Tasks[[#This Row],[Pred4 UID]])=0,0,IFERROR(MATCH(Tasks[[#This Row],[Pred4 UID]],Tasks[UID],0),-1))</f>
        <v>0</v>
      </c>
      <c r="CD29"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2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9" s="115" t="n">
        <f aca="false">IF(OR(Tasks[[#This Row],[_ConstraintCode]]=2,Tasks[[#This Row],[_ConstraintCode]]=3,Tasks[[#This Row],[_ConstraintCode]]=4,Tasks[[#This Row],[_ConstraintCode]]=6),Tasks[[#This Row],[_ConstraintStart]],0)</f>
        <v>0</v>
      </c>
      <c r="CG29" s="115" t="n">
        <f aca="false">IF(OR(Tasks[[#This Row],[_ConstraintCode]]=2,Tasks[[#This Row],[_ConstraintCode]]=3,Tasks[[#This Row],[_ConstraintCode]]=5,Tasks[[#This Row],[_ConstraintCode]]=7),Tasks[[#This Row],[_ConstraintStart]],2958465)</f>
        <v>2958465</v>
      </c>
      <c r="CH29"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46371</v>
      </c>
      <c r="CI29" s="115" t="n">
        <f aca="false">IF(NOT(Tasks[[#This Row],[_IsLeaf]]=1),"",IF(N(Tasks[[#This Row],[Duration]])&lt;=0,Tasks[[#This Row],[_LeafCalcStart]],WORKDAY.INTL(Tasks[[#This Row],[_LeafCalcStart]],Tasks[[#This Row],[Duration]]-1,WorkWeek,Holidays)))</f>
        <v>46371</v>
      </c>
      <c r="CJ29"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46371</v>
      </c>
      <c r="CK29"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46371</v>
      </c>
      <c r="CL29" s="32" t="n">
        <f aca="false">IF(NOT(Tasks[[#This Row],[_IsLeaf]]=1),0,IF(N(Tasks[[#This Row],[Actual Finish]])&gt;0,1,MIN(1,N(Tasks[[#This Row],[% Complete]]))))</f>
        <v>0</v>
      </c>
      <c r="CM29" s="32" t="n">
        <f aca="false">IF(OR(NOT(Tasks[[#This Row],[_IsLeaf]]=1),Tasks[[#This Row],[Resource]]=""),0,N(Tasks[[#This Row],[Duration]])*HoursPerDay*IF(Tasks[[#This Row],[Units]]="",DefaultUnits,Tasks[[#This Row],[Units]]))</f>
        <v>8</v>
      </c>
      <c r="CN29" s="32" t="n">
        <f aca="false">IF(Tasks[[#This Row],[_LeafWork]]=0,0,Tasks[[#This Row],[_LeafWork]]*IFERROR(INDEX(res_Rate,MATCH(Tasks[[#This Row],[Resource]],res_Name,0)),0))</f>
        <v>760</v>
      </c>
      <c r="CO29" s="32" t="n">
        <f aca="false">Tasks[[#This Row],[_LeafWork]]+IF(Tasks[[#This Row],[_IsLeaf]]=1,SUMIFS(asg_Work,asg_TaskUID,Tasks[[#This Row],[UID]],asg_Valid,1),0)</f>
        <v>8</v>
      </c>
      <c r="CP29" s="32" t="n">
        <f aca="false">Tasks[[#This Row],[_LeafCost]]+IF(Tasks[[#This Row],[_IsLeaf]]=1,SUMIFS(asg_Cost,asg_TaskUID,Tasks[[#This Row],[UID]],asg_Valid,1),0)</f>
        <v>760</v>
      </c>
      <c r="CQ29" s="32" t="n">
        <f aca="false">IF(Tasks[[#This Row],[_LeafTotalCost]]=0,Tasks[[#This Row],[_LeafAC]],Tasks[[#This Row],[_LeafAC]]*Tasks[[#This Row],[_LeafCost]]/Tasks[[#This Row],[_LeafTotalCost]])</f>
        <v>0</v>
      </c>
      <c r="CR29"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2912095</v>
      </c>
      <c r="CS29" s="116" t="n">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2912095</v>
      </c>
      <c r="CT29" s="116" t="n">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2912095</v>
      </c>
      <c r="CU2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9"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29" s="32"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99982</v>
      </c>
      <c r="CX29" s="32" t="n">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99983</v>
      </c>
      <c r="CY2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9" s="32" t="n">
        <f aca="false">IF(NOT(Tasks[[#This Row],[_IsLeaf]]=1),0,MAX(_xlfn.MAXIFS(Tasks[_Row],Tasks[Pred1 UID],Tasks[[#This Row],[UID]]),_xlfn.MAXIFS(Tasks[_Row],Tasks[Pred2 UID],Tasks[[#This Row],[UID]]),_xlfn.MAXIFS(Tasks[_Row],Tasks[Pred3 UID],Tasks[[#This Row],[UID]]),_xlfn.MAXIFS(Tasks[_Row],Tasks[Pred4 UID],Tasks[[#This Row],[UID]])))</f>
        <v>25</v>
      </c>
      <c r="DA29"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46371</v>
      </c>
      <c r="DB29"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46371</v>
      </c>
      <c r="DC29" s="115" t="n">
        <f aca="false">IF(NOT(Tasks[[#This Row],[_IsLeaf]]=1),"",IF(N(Tasks[[#This Row],[Duration]])&lt;=0,Tasks[[#This Row],[_LeafLateFinish]],WORKDAY.INTL(Tasks[[#This Row],[_LeafLateFinish]],-(Tasks[[#This Row],[Duration]]-1),WorkWeek,Holidays)))</f>
        <v>46371</v>
      </c>
      <c r="DD29"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29" s="114" t="b">
        <f aca="false">AND(Tasks[[#This Row],[_IsLeaf]]=1,Tasks[[#This Row],[_LeafProgress]]&lt;1,N(Tasks[[#This Row],[_LeafTotalSlack]])&lt;=CriticalSlackDays)</f>
        <v>1</v>
      </c>
      <c r="DF29" s="32" t="n">
        <f aca="false">IF(AND(Tasks[[#This Row],[_IsLeaf]]=1,Tasks[[#This Row],[_ConstraintCode]]=1,Tasks[[#This Row],[Mode]]&lt;&gt;"Manual",N(Tasks[[#This Row],[Actual Start]])=0),MAX(0,N(Tasks[[#This Row],[Free Slack]])),0)</f>
        <v>0</v>
      </c>
      <c r="DG29" s="115" t="n">
        <f aca="false">IF(NOT(Tasks[[#This Row],[_IsLeaf]]=1),"",IF(Tasks[[#This Row],[_AlapShift]]=0,Tasks[[#This Row],[_LeafCalcStart]],WORKDAY.INTL(Tasks[[#This Row],[_LeafCalcStart]],Tasks[[#This Row],[_AlapShift]],WorkWeek,Holidays)))</f>
        <v>46371</v>
      </c>
      <c r="DH29" s="115" t="n">
        <f aca="false">IF(NOT(Tasks[[#This Row],[_IsLeaf]]=1),"",IF(Tasks[[#This Row],[_AlapShift]]=0,Tasks[[#This Row],[_LeafCalcFinish]],WORKDAY.INTL(Tasks[[#This Row],[_LeafCalcFinish]],Tasks[[#This Row],[_AlapShift]],WorkWeek,Holidays)))</f>
        <v>46371</v>
      </c>
      <c r="DI29" s="115" t="n">
        <f aca="false">IF(NOT(Tasks[[#This Row],[_IsLeaf]]=1),"",IF(Tasks[[#This Row],[_AlapShift]]=0,Tasks[[#This Row],[_LeafFcstStart]],WORKDAY.INTL(Tasks[[#This Row],[_LeafFcstStart]],Tasks[[#This Row],[_AlapShift]],WorkWeek,Holidays)))</f>
        <v>46371</v>
      </c>
      <c r="DJ29" s="115" t="n">
        <f aca="false">IF(NOT(Tasks[[#This Row],[_IsLeaf]]=1),"",IF(Tasks[[#This Row],[_AlapShift]]=0,Tasks[[#This Row],[_LeafFcstFinish]],WORKDAY.INTL(Tasks[[#This Row],[_LeafFcstFinish]],Tasks[[#This Row],[_AlapShift]],WorkWeek,Holidays)))</f>
        <v>46371</v>
      </c>
      <c r="DK29" s="115" t="n">
        <f aca="false">IF(Tasks[[#This Row],[Task Name]]="","",IF(Tasks[[#This Row],[_IsSummary]],MIN(INDEX(Tasks[_ShownCalcStart],Tasks[[#This Row],[_Row]]+1):INDEX(Tasks[_ShownCalcStart],Tasks[[#This Row],[_Row]]+Tasks[[#This Row],[_Descendants]])),Tasks[[#This Row],[_ShownCalcStart]]))</f>
        <v>46371</v>
      </c>
      <c r="DL29" s="115" t="n">
        <f aca="false">IF(Tasks[[#This Row],[Task Name]]="","",IF(Tasks[[#This Row],[_IsSummary]],MAX(INDEX(Tasks[_ShownCalcFinish],Tasks[[#This Row],[_Row]]+1):INDEX(Tasks[_ShownCalcFinish],Tasks[[#This Row],[_Row]]+Tasks[[#This Row],[_Descendants]])),Tasks[[#This Row],[_ShownCalcFinish]]))</f>
        <v>46371</v>
      </c>
      <c r="DM2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46371</v>
      </c>
      <c r="DR2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46337</v>
      </c>
      <c r="DS2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46338</v>
      </c>
      <c r="DT2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46371</v>
      </c>
      <c r="DV2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46345</v>
      </c>
      <c r="DW2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46346</v>
      </c>
      <c r="DX2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9" s="32" t="n">
        <f aca="false">IF(AND(Tasks[[#This Row],[_IsLeaf]]=1,Tasks[[#This Row],[_LeafTotalWork]]&gt;0),NETWORKDAYS.INTL(ProjectStart,Tasks[[#This Row],[_ShownFcstStart]],WorkWeek,Holidays),0)</f>
        <v>72</v>
      </c>
      <c r="DZ29" s="32" t="n">
        <f aca="false">IF(AND(Tasks[[#This Row],[_IsLeaf]]=1,Tasks[[#This Row],[_LeafTotalWork]]&gt;0),MAX(Tasks[[#This Row],[_StartWorkday]],NETWORKDAYS.INTL(ProjectStart,Tasks[[#This Row],[_ShownFcstFinish]],WorkWeek,Holidays)),0)</f>
        <v>72</v>
      </c>
      <c r="EA29" s="32" t="n">
        <f aca="false">IF(AND(Tasks[[#This Row],[_IsLeaf]]=1,Tasks[[#This Row],[_LeafTotalWork]]&gt;0),Tasks[[#This Row],[_LeafWork]]/(Tasks[[#This Row],[_FinishWorkday]]-Tasks[[#This Row],[_StartWorkday]]+1),0)</f>
        <v>8</v>
      </c>
      <c r="EB29" s="32" t="n">
        <f aca="false">Tasks[[#This Row],[_WorkPerWorkday]]*(Tasks[[#This Row],[_StartWorkday]]-1)</f>
        <v>568</v>
      </c>
      <c r="EC29" s="32" t="n">
        <f aca="false">IF(Tasks[[#This Row],[_IsLeaf]]=1,MAX(N(Tasks[[#This Row],[Duration]]),0.1),0)</f>
        <v>1</v>
      </c>
      <c r="ED29" s="32" t="n">
        <f aca="false">Tasks[[#This Row],[_WeightDur]]*Tasks[[#This Row],[_LeafProgress]]</f>
        <v>0</v>
      </c>
      <c r="EE2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22,23,21</v>
      </c>
      <c r="EF29" s="32" t="str">
        <f aca="false">IF(AND(Tasks[[#This Row],[_IsLeaf]]=1,N(Tasks[[#This Row],[Duration]])=0,Tasks[[#This Row],[_LeafProgress]]&lt;1),Tasks[[#This Row],[_ShownFcstFinish]]+Tasks[[#This Row],[_Row]]/100000,"")</f>
        <v/>
      </c>
      <c r="EG2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9" s="32" t="n">
        <f aca="false">IF(NOT(Tasks[[#This Row],[_IsLeaf]]=1),0,IF(Tasks[[#This Row],[Baseline Cost]]="",Tasks[[#This Row],[_LeafTotalCost]],N(Tasks[[#This Row],[Baseline Cost]])))</f>
        <v>760</v>
      </c>
      <c r="EI29" s="32" t="n">
        <f aca="false">Tasks[[#This Row],[_LeafBudget]]*Tasks[[#This Row],[_PlannedPct]]</f>
        <v>0</v>
      </c>
      <c r="EJ29" s="32" t="n">
        <f aca="false">Tasks[[#This Row],[_LeafBudget]]*Tasks[[#This Row],[_LeafProgress]]</f>
        <v>0</v>
      </c>
      <c r="EK29" s="32" t="n">
        <f aca="false">IF(NOT(Tasks[[#This Row],[_IsLeaf]]=1),0,IF(Tasks[[#This Row],[Actual Cost]]="",Tasks[[#This Row],[_LeafTotalCost]]*Tasks[[#This Row],[_LeafProgress]],N(Tasks[[#This Row],[Actual Cost]])))</f>
        <v>0</v>
      </c>
      <c r="EL29" s="32" t="str">
        <f aca="false">IF(Tasks[[#This Row],[Task Name]]="","",LEFT(Tasks[[#This Row],[WBS]],FIND(".",Tasks[[#This Row],[WBS]]&amp;".")-1))</f>
        <v>4</v>
      </c>
      <c r="EM29" s="32" t="str">
        <f aca="false">IF(AND(Tasks[[#This Row],[Task Name]]&lt;&gt;"",Tasks[[#This Row],[_Level]]=1),Tasks[[#This Row],[_Row]],"")</f>
        <v/>
      </c>
      <c r="EN29" s="32" t="str">
        <f aca="false">IF(AND(Tasks[[#This Row],[_IsLeaf]]=1,N(Tasks[[#This Row],[Duration]])=0),Tasks[[#This Row],[Planned Finish]]+Tasks[[#This Row],[_Row]]/100000,"")</f>
        <v/>
      </c>
      <c r="EO29" s="32" t="str">
        <f aca="false">IF(AND(Tasks[[#This Row],[_IsLeaf]]=1,Tasks[[#This Row],[_LeafProgress]]&lt;1,OR(N(Tasks[[#This Row],[Finish Var]])&gt;0,Tasks[[#This Row],[Status]]="Late Start")),MAX(0,Tasks[[#This Row],[Finish Var]])+1-Tasks[[#This Row],[_Row]]/1000000,"")</f>
        <v/>
      </c>
      <c r="EP29" s="32" t="str">
        <f aca="false">IF(AND(Tasks[[#This Row],[_IsLeaf]]=1,N(Tasks[[#This Row],[Actual Start]])=0,Tasks[[#This Row],[_ShownFcstStart]]&gt;=StatusDate,Tasks[[#This Row],[_ShownFcstStart]]&lt;=LookaheadEnd),Tasks[[#This Row],[_ShownFcstStart]]+Tasks[[#This Row],[_Row]]/100000,"")</f>
        <v/>
      </c>
      <c r="EQ29" s="32" t="str">
        <f aca="false">IF(AND(Tasks[[#This Row],[_IsLeaf]]=1,Tasks[[#This Row],[_LeafProgress]]&lt;1,Tasks[[#This Row],[_ShownFcstFinish]]&gt;=StatusDate,Tasks[[#This Row],[_ShownFcstFinish]]&lt;=LookaheadEnd),Tasks[[#This Row],[_ShownFcstFinish]]+Tasks[[#This Row],[_Row]]/100000,"")</f>
        <v/>
      </c>
      <c r="ER29" s="116" t="n">
        <f aca="false">IF(Tasks[[#This Row],[_LeafCritical]],Tasks[[#This Row],[_ShownFcstStart]]+Tasks[[#This Row],[_Row]]/100000,"")</f>
        <v>46371.00024</v>
      </c>
      <c r="ES29" s="32" t="n">
        <f aca="false">Tasks[[#This Row],[_LeafWork]]*Tasks[[#This Row],[_LeafProgress]]</f>
        <v>0</v>
      </c>
      <c r="ET29" s="115" t="str">
        <f aca="false">IF(AND(Tasks[[#This Row],[_IsLeaf]]=1,Tasks[[#This Row],[_LeafProgress]]&gt;=1),IF(N(Tasks[[#This Row],[Actual Finish]])&gt;0,Tasks[[#This Row],[Actual Finish]],Tasks[[#This Row],[_ShownFcstFinish]]),"")</f>
        <v/>
      </c>
      <c r="EU29" s="32" t="n">
        <f aca="false">IF(Tasks[[#This Row],[_IsLeaf]]=1,N(Tasks[[#This Row],[Story Points]]),0)</f>
        <v>1</v>
      </c>
      <c r="EV29" s="32" t="str">
        <f aca="false">IF(AND(Tasks[[#This Row],[_IsLeaf]]=1,CurrentSprint&lt;&gt;"",Tasks[[#This Row],[Sprint]]=CurrentSprint),Tasks[[#This Row],[_Row]],"")</f>
        <v/>
      </c>
    </row>
    <row r="30" customFormat="false" ht="15" hidden="false" customHeight="false" outlineLevel="1" collapsed="false">
      <c r="A30" s="45" t="n">
        <f aca="false">IF(Tasks[[#This Row],[Task Name]]="","",COUNTA(Tasks[[#Headers],[Task Name]]:Tasks[[#This Row],[Task Name]])-1)</f>
        <v>25</v>
      </c>
      <c r="B30" s="46" t="n">
        <v>25</v>
      </c>
      <c r="C3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4.5</v>
      </c>
      <c r="D30" s="46" t="n">
        <v>2</v>
      </c>
      <c r="E30" s="45" t="str">
        <f aca="false">IF(Tasks[[#This Row],[Task Name]]="","",IF(Tasks[[#This Row],[_Level]]&lt;=OutlineShowLevel,"Yes","No"))</f>
        <v>Yes</v>
      </c>
      <c r="F30" s="47" t="s">
        <v>683</v>
      </c>
      <c r="G30" s="46" t="s">
        <v>642</v>
      </c>
      <c r="H30" s="46" t="n">
        <v>0</v>
      </c>
      <c r="I30" s="46" t="n">
        <v>24</v>
      </c>
      <c r="J30" s="46" t="s">
        <v>647</v>
      </c>
      <c r="K30" s="46"/>
      <c r="L30" s="46"/>
      <c r="M30" s="46"/>
      <c r="N30" s="46"/>
      <c r="O30" s="46"/>
      <c r="P30" s="46"/>
      <c r="Q30" s="46"/>
      <c r="R30" s="46"/>
      <c r="S30" s="46"/>
      <c r="T30" s="46"/>
      <c r="U30" s="47"/>
      <c r="V30" s="88"/>
      <c r="W30" s="88" t="n">
        <v>46374</v>
      </c>
      <c r="X30" s="25" t="n">
        <f aca="false">IF(Tasks[[#This Row],[Task Name]]="","",IF(N(Tasks[[#This Row],[Baseline Start]])&gt;0,Tasks[[#This Row],[Baseline Start]],Tasks[[#This Row],[_CalcStart]]))</f>
        <v>46371</v>
      </c>
      <c r="Y30" s="25" t="n">
        <f aca="false">IF(Tasks[[#This Row],[Task Name]]="","",IF(N(Tasks[[#This Row],[Baseline Finish]])&gt;0,Tasks[[#This Row],[Baseline Finish]],Tasks[[#This Row],[_CalcFinish]]))</f>
        <v>46371</v>
      </c>
      <c r="Z30" s="88"/>
      <c r="AA30" s="88"/>
      <c r="AB30" s="25" t="n">
        <f aca="false">IF(Tasks[[#This Row],[Task Name]]="","",IF(Tasks[[#This Row],[_IsSummary]],MIN(INDEX(Tasks[_ShownFcstStart],Tasks[[#This Row],[_Row]]+1):INDEX(Tasks[_ShownFcstStart],Tasks[[#This Row],[_Row]]+Tasks[[#This Row],[_Descendants]])),Tasks[[#This Row],[_ShownFcstStart]]))</f>
        <v>46371</v>
      </c>
      <c r="AC30" s="25" t="n">
        <f aca="false">IF(Tasks[[#This Row],[Task Name]]="","",IF(Tasks[[#This Row],[_IsSummary]],MAX(INDEX(Tasks[_ShownFcstFinish],Tasks[[#This Row],[_Row]]+1):INDEX(Tasks[_ShownFcstFinish],Tasks[[#This Row],[_Row]]+Tasks[[#This Row],[_Descendants]])),Tasks[[#This Row],[_ShownFcstFinish]]))</f>
        <v>46371</v>
      </c>
      <c r="AD30"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0"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0" s="25" t="n">
        <f aca="false">IF(Tasks[[#This Row],[Task Name]]="","",IF(Tasks[[#This Row],[_IsSummary]],MIN(INDEX(Tasks[_LeafLateStart],Tasks[[#This Row],[_Row]]+1):INDEX(Tasks[_LeafLateStart],Tasks[[#This Row],[_Row]]+Tasks[[#This Row],[_Descendants]])),Tasks[[#This Row],[_LeafLateStart]]))</f>
        <v>46371</v>
      </c>
      <c r="AG30" s="25" t="n">
        <f aca="false">IF(Tasks[[#This Row],[Task Name]]="","",IF(Tasks[[#This Row],[_IsSummary]],MAX(INDEX(Tasks[_LeafLateFinish],Tasks[[#This Row],[_Row]]+1):INDEX(Tasks[_LeafLateFinish],Tasks[[#This Row],[_Row]]+Tasks[[#This Row],[_Descendants]])),Tasks[[#This Row],[_LeafLateFinish]]))</f>
        <v>46371</v>
      </c>
      <c r="AH30" s="56" t="n">
        <f aca="false">IF(Tasks[[#This Row],[Task Name]]="","",IF(Tasks[[#This Row],[_IsSummary]],MIN(INDEX(Tasks[_LeafTotalSlack],Tasks[[#This Row],[_Row]]+1):INDEX(Tasks[_LeafTotalSlack],Tasks[[#This Row],[_Row]]+Tasks[[#This Row],[_Descendants]])),Tasks[[#This Row],[_LeafTotalSlack]]))</f>
        <v>0</v>
      </c>
      <c r="AI30"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30" s="45" t="str">
        <f aca="false">IF(Tasks[[#This Row],[Task Name]]="","",IF(IF(Tasks[[#This Row],[_IsSummary]],COUNTIF(INDEX(Tasks[_LeafCritical],Tasks[[#This Row],[_Row]]+1):INDEX(Tasks[_LeafCritical],Tasks[[#This Row],[_Row]]+Tasks[[#This Row],[_Descendants]]),TRUE())&gt;0,Tasks[[#This Row],[_LeafCritical]]),"Yes",""))</f>
        <v>Yes</v>
      </c>
      <c r="AK3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OK</v>
      </c>
      <c r="AL3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0" s="102"/>
      <c r="AN30"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0" s="45" t="str">
        <f aca="false">IF(Tasks[[#This Row],[Task Name]]="","",IF(Tasks[[#This Row],[Progress]]&gt;=1,"Complete",IF(OR(N(Tasks[[#This Row],[Actual Start]])&gt;0,Tasks[[#This Row],[Progress]]&gt;0),IF(Tasks[[#This Row],[Finish Var]]&gt;0,"Behind","In Progress"),IF(Tasks[[#This Row],[Planned Start]]&lt;StatusDate,"Late Start","Not Started"))))</f>
        <v>Not Started</v>
      </c>
      <c r="AP30" s="47"/>
      <c r="AQ30" s="102"/>
      <c r="AR3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0" s="110" t="n">
        <f aca="false">IF(Tasks[[#This Row],[Task Name]]="","",IF(Tasks[[#This Row],[_IsSummary]],SUM(INDEX(Tasks[_LeafTotalWork],Tasks[[#This Row],[_Row]]+1):INDEX(Tasks[_LeafTotalWork],Tasks[[#This Row],[_Row]]+Tasks[[#This Row],[_Descendants]])),Tasks[[#This Row],[_LeafTotalWork]]))</f>
        <v>0</v>
      </c>
      <c r="AU30" s="111" t="n">
        <f aca="false">IF(Tasks[[#This Row],[Task Name]]="","",IF(Tasks[[#This Row],[_IsSummary]],SUM(INDEX(Tasks[_LeafTotalCost],Tasks[[#This Row],[_Row]]+1):INDEX(Tasks[_LeafTotalCost],Tasks[[#This Row],[_Row]]+Tasks[[#This Row],[_Descendants]])),Tasks[[#This Row],[_LeafTotalCost]]))</f>
        <v>0</v>
      </c>
      <c r="AV30" s="112"/>
      <c r="AW30" s="46"/>
      <c r="AX3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8</v>
      </c>
      <c r="AY30" s="96"/>
      <c r="AZ3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24</v>
      </c>
      <c r="BA30" s="47" t="s">
        <v>684</v>
      </c>
      <c r="BB30" s="25" t="n">
        <f aca="false">IF(Tasks[[#This Row],[Task Name]]="","",Tasks[[#This Row],[Forecast Start]])</f>
        <v>46371</v>
      </c>
      <c r="BC30" s="25" t="n">
        <f aca="false">IF(Tasks[[#This Row],[Task Name]]="","",Tasks[[#This Row],[Forecast Finish]])</f>
        <v>46371</v>
      </c>
      <c r="BD30" s="45" t="n">
        <f aca="false">IF(Tasks[[#This Row],[Task Name]]="","",IF(Tasks[[#This Row],[_IsSummary]],NETWORKDAYS.INTL(Tasks[[#This Row],[Forecast Start]],Tasks[[#This Row],[Forecast Finish]],WorkWeek,Holidays),N(Tasks[[#This Row],[Duration]])))</f>
        <v>0</v>
      </c>
      <c r="BE30" s="110" t="n">
        <f aca="false">IF(Tasks[[#This Row],[Task Name]]="","",Tasks[[#This Row],[Work]])</f>
        <v>0</v>
      </c>
      <c r="BF30" s="111" t="n">
        <f aca="false">IF(Tasks[[#This Row],[Task Name]]="","",Tasks[[#This Row],[Cost]])</f>
        <v>0</v>
      </c>
      <c r="BG30" s="88"/>
      <c r="BH30" s="88"/>
      <c r="BI30" s="46"/>
      <c r="BJ30" s="113"/>
      <c r="BK30" s="112"/>
      <c r="BL30" s="45" t="str">
        <f aca="false">IF(OR(Tasks[[#This Row],[Task Name]]="",Tasks[[#This Row],[Baseline Duration]]=""),"",Tasks[[#This Row],[BL Source Duration]]-N(Tasks[[#This Row],[Baseline Duration]]))</f>
        <v/>
      </c>
      <c r="BM30" s="110" t="str">
        <f aca="false">IF(OR(Tasks[[#This Row],[Task Name]]="",Tasks[[#This Row],[Baseline Work]]=""),"",Tasks[[#This Row],[Work]]-N(Tasks[[#This Row],[Baseline Work]]))</f>
        <v/>
      </c>
      <c r="BN30" s="111" t="str">
        <f aca="false">IF(OR(Tasks[[#This Row],[Task Name]]="",Tasks[[#This Row],[Baseline Cost]]=""),"",Tasks[[#This Row],[Cost]]-N(Tasks[[#This Row],[Baseline Cost]]))</f>
        <v/>
      </c>
      <c r="BO30" s="111" t="n">
        <f aca="false">IF(Tasks[[#This Row],[Task Name]]="","",IF(Tasks[[#This Row],[_IsSummary]],SUM(INDEX(Tasks[_LeafBudget],Tasks[[#This Row],[_Row]]+1):INDEX(Tasks[_LeafBudget],Tasks[[#This Row],[_Row]]+Tasks[[#This Row],[_Descendants]])),Tasks[[#This Row],[_LeafBudget]]))</f>
        <v>0</v>
      </c>
      <c r="BP30" s="111" t="n">
        <f aca="false">IF(Tasks[[#This Row],[Task Name]]="","",IF(Tasks[[#This Row],[_IsSummary]],SUM(INDEX(Tasks[_LeafPV],Tasks[[#This Row],[_Row]]+1):INDEX(Tasks[_LeafPV],Tasks[[#This Row],[_Row]]+Tasks[[#This Row],[_Descendants]])),Tasks[[#This Row],[_LeafPV]]))</f>
        <v>0</v>
      </c>
      <c r="BQ30" s="111" t="n">
        <f aca="false">IF(Tasks[[#This Row],[Task Name]]="","",IF(Tasks[[#This Row],[_IsSummary]],SUM(INDEX(Tasks[_LeafEV],Tasks[[#This Row],[_Row]]+1):INDEX(Tasks[_LeafEV],Tasks[[#This Row],[_Row]]+Tasks[[#This Row],[_Descendants]])),Tasks[[#This Row],[_LeafEV]]))</f>
        <v>0</v>
      </c>
      <c r="BR30" s="111" t="n">
        <f aca="false">IF(Tasks[[#This Row],[Task Name]]="","",IF(Tasks[[#This Row],[_IsSummary]],SUM(INDEX(Tasks[_LeafAC],Tasks[[#This Row],[_Row]]+1):INDEX(Tasks[_LeafAC],Tasks[[#This Row],[_Row]]+Tasks[[#This Row],[_Descendants]])),Tasks[[#This Row],[_LeafAC]]))</f>
        <v>0</v>
      </c>
      <c r="BS30" s="32" t="n">
        <f aca="false">IF(Tasks[[#This Row],[Task Name]]="","",MAX(1,N(Tasks[[#This Row],[Level]])))</f>
        <v>2</v>
      </c>
      <c r="BT30" s="32" t="n">
        <f aca="false">ROW()-ROW(Tasks[[#Headers],[ID]])</f>
        <v>25</v>
      </c>
      <c r="BU30" s="32" t="n">
        <f aca="false">IF(OR(Tasks[[#This Row],[Task Name]]="",Tasks[[#This Row],[_Level]]&lt;=1),0,IFERROR(LOOKUP(2,1/(Tasks[[#Headers],[_Level]]:Tasks[[#This Row],[_Level]]=Tasks[[#This Row],[_Level]]-1),ROW(Tasks[[#Headers],[_Level]]:Tasks[[#This Row],[_Level]])),0))</f>
        <v>25</v>
      </c>
      <c r="BV30" s="32" t="n">
        <f aca="false">IFERROR(N(INDEX(Tasks[_Level],Tasks[[#This Row],[_Row]]+1)),0)</f>
        <v>2</v>
      </c>
      <c r="BW30" s="114" t="b">
        <f aca="false">AND(Tasks[[#This Row],[Task Name]]&lt;&gt;"",Tasks[[#This Row],[_NextLevel]]&gt;Tasks[[#This Row],[_Level]])</f>
        <v>0</v>
      </c>
      <c r="BX30" s="32" t="n">
        <f aca="false">IF(Tasks[[#This Row],[_IsSummary]],COUNTIF(Tasks[WBS],Tasks[[#This Row],[WBS]]&amp;".*"),0)</f>
        <v>0</v>
      </c>
      <c r="BY30" s="32" t="n">
        <f aca="false">IF(AND(Tasks[[#This Row],[Task Name]]&lt;&gt;"",NOT(Tasks[[#This Row],[_IsSummary]])),1,0)</f>
        <v>1</v>
      </c>
      <c r="BZ30" s="32" t="n">
        <f aca="false">IF(N(Tasks[[#This Row],[Pred1 UID]])=0,0,IFERROR(MATCH(Tasks[[#This Row],[Pred1 UID]],Tasks[UID],0),-1))</f>
        <v>24</v>
      </c>
      <c r="CA30" s="32" t="n">
        <f aca="false">IF(N(Tasks[[#This Row],[Pred2 UID]])=0,0,IFERROR(MATCH(Tasks[[#This Row],[Pred2 UID]],Tasks[UID],0),-1))</f>
        <v>0</v>
      </c>
      <c r="CB30" s="32" t="n">
        <f aca="false">IF(N(Tasks[[#This Row],[Pred3 UID]])=0,0,IFERROR(MATCH(Tasks[[#This Row],[Pred3 UID]],Tasks[UID],0),-1))</f>
        <v>0</v>
      </c>
      <c r="CC30" s="32" t="n">
        <f aca="false">IF(N(Tasks[[#This Row],[Pred4 UID]])=0,0,IFERROR(MATCH(Tasks[[#This Row],[Pred4 UID]],Tasks[UID],0),-1))</f>
        <v>0</v>
      </c>
      <c r="CD30"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3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0" s="115" t="n">
        <f aca="false">IF(OR(Tasks[[#This Row],[_ConstraintCode]]=2,Tasks[[#This Row],[_ConstraintCode]]=3,Tasks[[#This Row],[_ConstraintCode]]=4,Tasks[[#This Row],[_ConstraintCode]]=6),Tasks[[#This Row],[_ConstraintStart]],0)</f>
        <v>0</v>
      </c>
      <c r="CG30" s="115" t="n">
        <f aca="false">IF(OR(Tasks[[#This Row],[_ConstraintCode]]=2,Tasks[[#This Row],[_ConstraintCode]]=3,Tasks[[#This Row],[_ConstraintCode]]=5,Tasks[[#This Row],[_ConstraintCode]]=7),Tasks[[#This Row],[_ConstraintStart]],2958465)</f>
        <v>2958465</v>
      </c>
      <c r="CH30"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46371</v>
      </c>
      <c r="CI30" s="115" t="n">
        <f aca="false">IF(NOT(Tasks[[#This Row],[_IsLeaf]]=1),"",IF(N(Tasks[[#This Row],[Duration]])&lt;=0,Tasks[[#This Row],[_LeafCalcStart]],WORKDAY.INTL(Tasks[[#This Row],[_LeafCalcStart]],Tasks[[#This Row],[Duration]]-1,WorkWeek,Holidays)))</f>
        <v>46371</v>
      </c>
      <c r="CJ30"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46371</v>
      </c>
      <c r="CK30"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46371</v>
      </c>
      <c r="CL30" s="32" t="n">
        <f aca="false">IF(NOT(Tasks[[#This Row],[_IsLeaf]]=1),0,IF(N(Tasks[[#This Row],[Actual Finish]])&gt;0,1,MIN(1,N(Tasks[[#This Row],[% Complete]]))))</f>
        <v>0</v>
      </c>
      <c r="CM30" s="32" t="n">
        <f aca="false">IF(OR(NOT(Tasks[[#This Row],[_IsLeaf]]=1),Tasks[[#This Row],[Resource]]=""),0,N(Tasks[[#This Row],[Duration]])*HoursPerDay*IF(Tasks[[#This Row],[Units]]="",DefaultUnits,Tasks[[#This Row],[Units]]))</f>
        <v>0</v>
      </c>
      <c r="CN30" s="32" t="n">
        <f aca="false">IF(Tasks[[#This Row],[_LeafWork]]=0,0,Tasks[[#This Row],[_LeafWork]]*IFERROR(INDEX(res_Rate,MATCH(Tasks[[#This Row],[Resource]],res_Name,0)),0))</f>
        <v>0</v>
      </c>
      <c r="CO30" s="32" t="n">
        <f aca="false">Tasks[[#This Row],[_LeafWork]]+IF(Tasks[[#This Row],[_IsLeaf]]=1,SUMIFS(asg_Work,asg_TaskUID,Tasks[[#This Row],[UID]],asg_Valid,1),0)</f>
        <v>0</v>
      </c>
      <c r="CP30" s="32" t="n">
        <f aca="false">Tasks[[#This Row],[_LeafCost]]+IF(Tasks[[#This Row],[_IsLeaf]]=1,SUMIFS(asg_Cost,asg_TaskUID,Tasks[[#This Row],[UID]],asg_Valid,1),0)</f>
        <v>0</v>
      </c>
      <c r="CQ30" s="32" t="n">
        <f aca="false">IF(Tasks[[#This Row],[_LeafTotalCost]]=0,Tasks[[#This Row],[_LeafAC]],Tasks[[#This Row],[_LeafAC]]*Tasks[[#This Row],[_LeafCost]]/Tasks[[#This Row],[_LeafTotalCost]])</f>
        <v>0</v>
      </c>
      <c r="CR30"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2912094</v>
      </c>
      <c r="CS3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0"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3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0" s="32" t="n">
        <f aca="false">IF(NOT(Tasks[[#This Row],[_IsLeaf]]=1),0,MAX(_xlfn.MAXIFS(Tasks[_Row],Tasks[Pred1 UID],Tasks[[#This Row],[UID]]),_xlfn.MAXIFS(Tasks[_Row],Tasks[Pred2 UID],Tasks[[#This Row],[UID]]),_xlfn.MAXIFS(Tasks[_Row],Tasks[Pred3 UID],Tasks[[#This Row],[UID]]),_xlfn.MAXIFS(Tasks[_Row],Tasks[Pred4 UID],Tasks[[#This Row],[UID]])))</f>
        <v>26</v>
      </c>
      <c r="DA30"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46371</v>
      </c>
      <c r="DB30"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46371</v>
      </c>
      <c r="DC30" s="115" t="n">
        <f aca="false">IF(NOT(Tasks[[#This Row],[_IsLeaf]]=1),"",IF(N(Tasks[[#This Row],[Duration]])&lt;=0,Tasks[[#This Row],[_LeafLateFinish]],WORKDAY.INTL(Tasks[[#This Row],[_LeafLateFinish]],-(Tasks[[#This Row],[Duration]]-1),WorkWeek,Holidays)))</f>
        <v>46371</v>
      </c>
      <c r="DD30"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30" s="114" t="b">
        <f aca="false">AND(Tasks[[#This Row],[_IsLeaf]]=1,Tasks[[#This Row],[_LeafProgress]]&lt;1,N(Tasks[[#This Row],[_LeafTotalSlack]])&lt;=CriticalSlackDays)</f>
        <v>1</v>
      </c>
      <c r="DF30" s="32" t="n">
        <f aca="false">IF(AND(Tasks[[#This Row],[_IsLeaf]]=1,Tasks[[#This Row],[_ConstraintCode]]=1,Tasks[[#This Row],[Mode]]&lt;&gt;"Manual",N(Tasks[[#This Row],[Actual Start]])=0),MAX(0,N(Tasks[[#This Row],[Free Slack]])),0)</f>
        <v>0</v>
      </c>
      <c r="DG30" s="115" t="n">
        <f aca="false">IF(NOT(Tasks[[#This Row],[_IsLeaf]]=1),"",IF(Tasks[[#This Row],[_AlapShift]]=0,Tasks[[#This Row],[_LeafCalcStart]],WORKDAY.INTL(Tasks[[#This Row],[_LeafCalcStart]],Tasks[[#This Row],[_AlapShift]],WorkWeek,Holidays)))</f>
        <v>46371</v>
      </c>
      <c r="DH30" s="115" t="n">
        <f aca="false">IF(NOT(Tasks[[#This Row],[_IsLeaf]]=1),"",IF(Tasks[[#This Row],[_AlapShift]]=0,Tasks[[#This Row],[_LeafCalcFinish]],WORKDAY.INTL(Tasks[[#This Row],[_LeafCalcFinish]],Tasks[[#This Row],[_AlapShift]],WorkWeek,Holidays)))</f>
        <v>46371</v>
      </c>
      <c r="DI30" s="115" t="n">
        <f aca="false">IF(NOT(Tasks[[#This Row],[_IsLeaf]]=1),"",IF(Tasks[[#This Row],[_AlapShift]]=0,Tasks[[#This Row],[_LeafFcstStart]],WORKDAY.INTL(Tasks[[#This Row],[_LeafFcstStart]],Tasks[[#This Row],[_AlapShift]],WorkWeek,Holidays)))</f>
        <v>46371</v>
      </c>
      <c r="DJ30" s="115" t="n">
        <f aca="false">IF(NOT(Tasks[[#This Row],[_IsLeaf]]=1),"",IF(Tasks[[#This Row],[_AlapShift]]=0,Tasks[[#This Row],[_LeafFcstFinish]],WORKDAY.INTL(Tasks[[#This Row],[_LeafFcstFinish]],Tasks[[#This Row],[_AlapShift]],WorkWeek,Holidays)))</f>
        <v>46371</v>
      </c>
      <c r="DK30" s="115" t="n">
        <f aca="false">IF(Tasks[[#This Row],[Task Name]]="","",IF(Tasks[[#This Row],[_IsSummary]],MIN(INDEX(Tasks[_ShownCalcStart],Tasks[[#This Row],[_Row]]+1):INDEX(Tasks[_ShownCalcStart],Tasks[[#This Row],[_Row]]+Tasks[[#This Row],[_Descendants]])),Tasks[[#This Row],[_ShownCalcStart]]))</f>
        <v>46371</v>
      </c>
      <c r="DL30" s="115" t="n">
        <f aca="false">IF(Tasks[[#This Row],[Task Name]]="","",IF(Tasks[[#This Row],[_IsSummary]],MAX(INDEX(Tasks[_ShownCalcFinish],Tasks[[#This Row],[_Row]]+1):INDEX(Tasks[_ShownCalcFinish],Tasks[[#This Row],[_Row]]+Tasks[[#This Row],[_Descendants]])),Tasks[[#This Row],[_ShownCalcFinish]]))</f>
        <v>46371</v>
      </c>
      <c r="DM3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46371</v>
      </c>
      <c r="DR3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46371</v>
      </c>
      <c r="DV3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0" s="32" t="n">
        <f aca="false">IF(AND(Tasks[[#This Row],[_IsLeaf]]=1,Tasks[[#This Row],[_LeafTotalWork]]&gt;0),NETWORKDAYS.INTL(ProjectStart,Tasks[[#This Row],[_ShownFcstStart]],WorkWeek,Holidays),0)</f>
        <v>0</v>
      </c>
      <c r="DZ30" s="32" t="n">
        <f aca="false">IF(AND(Tasks[[#This Row],[_IsLeaf]]=1,Tasks[[#This Row],[_LeafTotalWork]]&gt;0),MAX(Tasks[[#This Row],[_StartWorkday]],NETWORKDAYS.INTL(ProjectStart,Tasks[[#This Row],[_ShownFcstFinish]],WorkWeek,Holidays)),0)</f>
        <v>0</v>
      </c>
      <c r="EA30" s="32" t="n">
        <f aca="false">IF(AND(Tasks[[#This Row],[_IsLeaf]]=1,Tasks[[#This Row],[_LeafTotalWork]]&gt;0),Tasks[[#This Row],[_LeafWork]]/(Tasks[[#This Row],[_FinishWorkday]]-Tasks[[#This Row],[_StartWorkday]]+1),0)</f>
        <v>0</v>
      </c>
      <c r="EB30" s="32" t="n">
        <f aca="false">Tasks[[#This Row],[_WorkPerWorkday]]*(Tasks[[#This Row],[_StartWorkday]]-1)</f>
        <v>-0</v>
      </c>
      <c r="EC30" s="32" t="n">
        <f aca="false">IF(Tasks[[#This Row],[_IsLeaf]]=1,MAX(N(Tasks[[#This Row],[Duration]]),0.1),0)</f>
        <v>0.1</v>
      </c>
      <c r="ED30" s="32" t="n">
        <f aca="false">Tasks[[#This Row],[_WeightDur]]*Tasks[[#This Row],[_LeafProgress]]</f>
        <v>0</v>
      </c>
      <c r="EE3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24</v>
      </c>
      <c r="EF30" s="116" t="n">
        <f aca="false">IF(AND(Tasks[[#This Row],[_IsLeaf]]=1,N(Tasks[[#This Row],[Duration]])=0,Tasks[[#This Row],[_LeafProgress]]&lt;1),Tasks[[#This Row],[_ShownFcstFinish]]+Tasks[[#This Row],[_Row]]/100000,"")</f>
        <v>46371.00025</v>
      </c>
      <c r="EG3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0" s="32" t="n">
        <f aca="false">IF(NOT(Tasks[[#This Row],[_IsLeaf]]=1),0,IF(Tasks[[#This Row],[Baseline Cost]]="",Tasks[[#This Row],[_LeafTotalCost]],N(Tasks[[#This Row],[Baseline Cost]])))</f>
        <v>0</v>
      </c>
      <c r="EI30" s="32" t="n">
        <f aca="false">Tasks[[#This Row],[_LeafBudget]]*Tasks[[#This Row],[_PlannedPct]]</f>
        <v>0</v>
      </c>
      <c r="EJ30" s="32" t="n">
        <f aca="false">Tasks[[#This Row],[_LeafBudget]]*Tasks[[#This Row],[_LeafProgress]]</f>
        <v>0</v>
      </c>
      <c r="EK30" s="32" t="n">
        <f aca="false">IF(NOT(Tasks[[#This Row],[_IsLeaf]]=1),0,IF(Tasks[[#This Row],[Actual Cost]]="",Tasks[[#This Row],[_LeafTotalCost]]*Tasks[[#This Row],[_LeafProgress]],N(Tasks[[#This Row],[Actual Cost]])))</f>
        <v>0</v>
      </c>
      <c r="EL30" s="32" t="str">
        <f aca="false">IF(Tasks[[#This Row],[Task Name]]="","",LEFT(Tasks[[#This Row],[WBS]],FIND(".",Tasks[[#This Row],[WBS]]&amp;".")-1))</f>
        <v>4</v>
      </c>
      <c r="EM30" s="32" t="str">
        <f aca="false">IF(AND(Tasks[[#This Row],[Task Name]]&lt;&gt;"",Tasks[[#This Row],[_Level]]=1),Tasks[[#This Row],[_Row]],"")</f>
        <v/>
      </c>
      <c r="EN30" s="116" t="n">
        <f aca="false">IF(AND(Tasks[[#This Row],[_IsLeaf]]=1,N(Tasks[[#This Row],[Duration]])=0),Tasks[[#This Row],[Planned Finish]]+Tasks[[#This Row],[_Row]]/100000,"")</f>
        <v>46371.00025</v>
      </c>
      <c r="EO30" s="32" t="str">
        <f aca="false">IF(AND(Tasks[[#This Row],[_IsLeaf]]=1,Tasks[[#This Row],[_LeafProgress]]&lt;1,OR(N(Tasks[[#This Row],[Finish Var]])&gt;0,Tasks[[#This Row],[Status]]="Late Start")),MAX(0,Tasks[[#This Row],[Finish Var]])+1-Tasks[[#This Row],[_Row]]/1000000,"")</f>
        <v/>
      </c>
      <c r="EP30" s="32" t="str">
        <f aca="false">IF(AND(Tasks[[#This Row],[_IsLeaf]]=1,N(Tasks[[#This Row],[Actual Start]])=0,Tasks[[#This Row],[_ShownFcstStart]]&gt;=StatusDate,Tasks[[#This Row],[_ShownFcstStart]]&lt;=LookaheadEnd),Tasks[[#This Row],[_ShownFcstStart]]+Tasks[[#This Row],[_Row]]/100000,"")</f>
        <v/>
      </c>
      <c r="EQ30" s="32" t="str">
        <f aca="false">IF(AND(Tasks[[#This Row],[_IsLeaf]]=1,Tasks[[#This Row],[_LeafProgress]]&lt;1,Tasks[[#This Row],[_ShownFcstFinish]]&gt;=StatusDate,Tasks[[#This Row],[_ShownFcstFinish]]&lt;=LookaheadEnd),Tasks[[#This Row],[_ShownFcstFinish]]+Tasks[[#This Row],[_Row]]/100000,"")</f>
        <v/>
      </c>
      <c r="ER30" s="116" t="n">
        <f aca="false">IF(Tasks[[#This Row],[_LeafCritical]],Tasks[[#This Row],[_ShownFcstStart]]+Tasks[[#This Row],[_Row]]/100000,"")</f>
        <v>46371.00025</v>
      </c>
      <c r="ES30" s="32" t="n">
        <f aca="false">Tasks[[#This Row],[_LeafWork]]*Tasks[[#This Row],[_LeafProgress]]</f>
        <v>0</v>
      </c>
      <c r="ET30" s="115" t="str">
        <f aca="false">IF(AND(Tasks[[#This Row],[_IsLeaf]]=1,Tasks[[#This Row],[_LeafProgress]]&gt;=1),IF(N(Tasks[[#This Row],[Actual Finish]])&gt;0,Tasks[[#This Row],[Actual Finish]],Tasks[[#This Row],[_ShownFcstFinish]]),"")</f>
        <v/>
      </c>
      <c r="EU30" s="32" t="n">
        <f aca="false">IF(Tasks[[#This Row],[_IsLeaf]]=1,N(Tasks[[#This Row],[Story Points]]),0)</f>
        <v>0</v>
      </c>
      <c r="EV30" s="32" t="str">
        <f aca="false">IF(AND(Tasks[[#This Row],[_IsLeaf]]=1,CurrentSprint&lt;&gt;"",Tasks[[#This Row],[Sprint]]=CurrentSprint),Tasks[[#This Row],[_Row]],"")</f>
        <v/>
      </c>
    </row>
    <row r="31" customFormat="false" ht="15" hidden="false" customHeight="false" outlineLevel="1" collapsed="false">
      <c r="A31" s="45" t="n">
        <f aca="false">IF(Tasks[[#This Row],[Task Name]]="","",COUNTA(Tasks[[#Headers],[Task Name]]:Tasks[[#This Row],[Task Name]])-1)</f>
        <v>26</v>
      </c>
      <c r="B31" s="46" t="n">
        <v>26</v>
      </c>
      <c r="C3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4.6</v>
      </c>
      <c r="D31" s="46" t="n">
        <v>2</v>
      </c>
      <c r="E31" s="45" t="str">
        <f aca="false">IF(Tasks[[#This Row],[Task Name]]="","",IF(Tasks[[#This Row],[_Level]]&lt;=OutlineShowLevel,"Yes","No"))</f>
        <v>Yes</v>
      </c>
      <c r="F31" s="47" t="s">
        <v>685</v>
      </c>
      <c r="G31" s="46" t="s">
        <v>642</v>
      </c>
      <c r="H31" s="46" t="n">
        <v>10</v>
      </c>
      <c r="I31" s="46" t="n">
        <v>25</v>
      </c>
      <c r="J31" s="46" t="s">
        <v>647</v>
      </c>
      <c r="K31" s="46"/>
      <c r="L31" s="46"/>
      <c r="M31" s="46"/>
      <c r="N31" s="46"/>
      <c r="O31" s="46"/>
      <c r="P31" s="46"/>
      <c r="Q31" s="46"/>
      <c r="R31" s="46"/>
      <c r="S31" s="46"/>
      <c r="T31" s="46"/>
      <c r="U31" s="47"/>
      <c r="V31" s="88"/>
      <c r="W31" s="88"/>
      <c r="X31" s="25" t="n">
        <f aca="false">IF(Tasks[[#This Row],[Task Name]]="","",IF(N(Tasks[[#This Row],[Baseline Start]])&gt;0,Tasks[[#This Row],[Baseline Start]],Tasks[[#This Row],[_CalcStart]]))</f>
        <v>46372</v>
      </c>
      <c r="Y31" s="25" t="n">
        <f aca="false">IF(Tasks[[#This Row],[Task Name]]="","",IF(N(Tasks[[#This Row],[Baseline Finish]])&gt;0,Tasks[[#This Row],[Baseline Finish]],Tasks[[#This Row],[_CalcFinish]]))</f>
        <v>46391</v>
      </c>
      <c r="Z31" s="88"/>
      <c r="AA31" s="88"/>
      <c r="AB31" s="25" t="n">
        <f aca="false">IF(Tasks[[#This Row],[Task Name]]="","",IF(Tasks[[#This Row],[_IsSummary]],MIN(INDEX(Tasks[_ShownFcstStart],Tasks[[#This Row],[_Row]]+1):INDEX(Tasks[_ShownFcstStart],Tasks[[#This Row],[_Row]]+Tasks[[#This Row],[_Descendants]])),Tasks[[#This Row],[_ShownFcstStart]]))</f>
        <v>46372</v>
      </c>
      <c r="AC31" s="25" t="n">
        <f aca="false">IF(Tasks[[#This Row],[Task Name]]="","",IF(Tasks[[#This Row],[_IsSummary]],MAX(INDEX(Tasks[_ShownFcstFinish],Tasks[[#This Row],[_Row]]+1):INDEX(Tasks[_ShownFcstFinish],Tasks[[#This Row],[_Row]]+Tasks[[#This Row],[_Descendants]])),Tasks[[#This Row],[_ShownFcstFinish]]))</f>
        <v>46391</v>
      </c>
      <c r="AD31"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1"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1" s="25" t="n">
        <f aca="false">IF(Tasks[[#This Row],[Task Name]]="","",IF(Tasks[[#This Row],[_IsSummary]],MIN(INDEX(Tasks[_LeafLateStart],Tasks[[#This Row],[_Row]]+1):INDEX(Tasks[_LeafLateStart],Tasks[[#This Row],[_Row]]+Tasks[[#This Row],[_Descendants]])),Tasks[[#This Row],[_LeafLateStart]]))</f>
        <v>46372</v>
      </c>
      <c r="AG31" s="25" t="n">
        <f aca="false">IF(Tasks[[#This Row],[Task Name]]="","",IF(Tasks[[#This Row],[_IsSummary]],MAX(INDEX(Tasks[_LeafLateFinish],Tasks[[#This Row],[_Row]]+1):INDEX(Tasks[_LeafLateFinish],Tasks[[#This Row],[_Row]]+Tasks[[#This Row],[_Descendants]])),Tasks[[#This Row],[_LeafLateFinish]]))</f>
        <v>46391</v>
      </c>
      <c r="AH31" s="56" t="n">
        <f aca="false">IF(Tasks[[#This Row],[Task Name]]="","",IF(Tasks[[#This Row],[_IsSummary]],MIN(INDEX(Tasks[_LeafTotalSlack],Tasks[[#This Row],[_Row]]+1):INDEX(Tasks[_LeafTotalSlack],Tasks[[#This Row],[_Row]]+Tasks[[#This Row],[_Descendants]])),Tasks[[#This Row],[_LeafTotalSlack]]))</f>
        <v>0</v>
      </c>
      <c r="AI31"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31" s="45" t="str">
        <f aca="false">IF(Tasks[[#This Row],[Task Name]]="","",IF(IF(Tasks[[#This Row],[_IsSummary]],COUNTIF(INDEX(Tasks[_LeafCritical],Tasks[[#This Row],[_Row]]+1):INDEX(Tasks[_LeafCritical],Tasks[[#This Row],[_Row]]+Tasks[[#This Row],[_Descendants]]),TRUE())&gt;0,Tasks[[#This Row],[_LeafCritical]]),"Yes",""))</f>
        <v>Yes</v>
      </c>
      <c r="AK3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1" s="102"/>
      <c r="AN31"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1" s="45" t="str">
        <f aca="false">IF(Tasks[[#This Row],[Task Name]]="","",IF(Tasks[[#This Row],[Progress]]&gt;=1,"Complete",IF(OR(N(Tasks[[#This Row],[Actual Start]])&gt;0,Tasks[[#This Row],[Progress]]&gt;0),IF(Tasks[[#This Row],[Finish Var]]&gt;0,"Behind","In Progress"),IF(Tasks[[#This Row],[Planned Start]]&lt;StatusDate,"Late Start","Not Started"))))</f>
        <v>Not Started</v>
      </c>
      <c r="AP31" s="47" t="s">
        <v>299</v>
      </c>
      <c r="AQ31" s="102" t="n">
        <v>0.5</v>
      </c>
      <c r="AR3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Jordan Lee[50%]</v>
      </c>
      <c r="AS3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Yes</v>
      </c>
      <c r="AT31" s="110" t="n">
        <f aca="false">IF(Tasks[[#This Row],[Task Name]]="","",IF(Tasks[[#This Row],[_IsSummary]],SUM(INDEX(Tasks[_LeafTotalWork],Tasks[[#This Row],[_Row]]+1):INDEX(Tasks[_LeafTotalWork],Tasks[[#This Row],[_Row]]+Tasks[[#This Row],[_Descendants]])),Tasks[[#This Row],[_LeafTotalWork]]))</f>
        <v>40</v>
      </c>
      <c r="AU31" s="111" t="n">
        <f aca="false">IF(Tasks[[#This Row],[Task Name]]="","",IF(Tasks[[#This Row],[_IsSummary]],SUM(INDEX(Tasks[_LeafTotalCost],Tasks[[#This Row],[_Row]]+1):INDEX(Tasks[_LeafTotalCost],Tasks[[#This Row],[_Row]]+Tasks[[#This Row],[_Descendants]])),Tasks[[#This Row],[_LeafTotalCost]]))</f>
        <v>3400</v>
      </c>
      <c r="AV31" s="112"/>
      <c r="AW31" s="46"/>
      <c r="AX3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8</v>
      </c>
      <c r="AY31" s="96" t="n">
        <v>5</v>
      </c>
      <c r="AZ3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25</v>
      </c>
      <c r="BA31" s="47"/>
      <c r="BB31" s="25" t="n">
        <f aca="false">IF(Tasks[[#This Row],[Task Name]]="","",Tasks[[#This Row],[Forecast Start]])</f>
        <v>46372</v>
      </c>
      <c r="BC31" s="25" t="n">
        <f aca="false">IF(Tasks[[#This Row],[Task Name]]="","",Tasks[[#This Row],[Forecast Finish]])</f>
        <v>46391</v>
      </c>
      <c r="BD31" s="45" t="n">
        <f aca="false">IF(Tasks[[#This Row],[Task Name]]="","",IF(Tasks[[#This Row],[_IsSummary]],NETWORKDAYS.INTL(Tasks[[#This Row],[Forecast Start]],Tasks[[#This Row],[Forecast Finish]],WorkWeek,Holidays),N(Tasks[[#This Row],[Duration]])))</f>
        <v>10</v>
      </c>
      <c r="BE31" s="110" t="n">
        <f aca="false">IF(Tasks[[#This Row],[Task Name]]="","",Tasks[[#This Row],[Work]])</f>
        <v>40</v>
      </c>
      <c r="BF31" s="111" t="n">
        <f aca="false">IF(Tasks[[#This Row],[Task Name]]="","",Tasks[[#This Row],[Cost]])</f>
        <v>3400</v>
      </c>
      <c r="BG31" s="88"/>
      <c r="BH31" s="88"/>
      <c r="BI31" s="46"/>
      <c r="BJ31" s="113"/>
      <c r="BK31" s="112"/>
      <c r="BL31" s="45" t="str">
        <f aca="false">IF(OR(Tasks[[#This Row],[Task Name]]="",Tasks[[#This Row],[Baseline Duration]]=""),"",Tasks[[#This Row],[BL Source Duration]]-N(Tasks[[#This Row],[Baseline Duration]]))</f>
        <v/>
      </c>
      <c r="BM31" s="110" t="str">
        <f aca="false">IF(OR(Tasks[[#This Row],[Task Name]]="",Tasks[[#This Row],[Baseline Work]]=""),"",Tasks[[#This Row],[Work]]-N(Tasks[[#This Row],[Baseline Work]]))</f>
        <v/>
      </c>
      <c r="BN31" s="111" t="str">
        <f aca="false">IF(OR(Tasks[[#This Row],[Task Name]]="",Tasks[[#This Row],[Baseline Cost]]=""),"",Tasks[[#This Row],[Cost]]-N(Tasks[[#This Row],[Baseline Cost]]))</f>
        <v/>
      </c>
      <c r="BO31" s="111" t="n">
        <f aca="false">IF(Tasks[[#This Row],[Task Name]]="","",IF(Tasks[[#This Row],[_IsSummary]],SUM(INDEX(Tasks[_LeafBudget],Tasks[[#This Row],[_Row]]+1):INDEX(Tasks[_LeafBudget],Tasks[[#This Row],[_Row]]+Tasks[[#This Row],[_Descendants]])),Tasks[[#This Row],[_LeafBudget]]))</f>
        <v>3400</v>
      </c>
      <c r="BP31" s="111" t="n">
        <f aca="false">IF(Tasks[[#This Row],[Task Name]]="","",IF(Tasks[[#This Row],[_IsSummary]],SUM(INDEX(Tasks[_LeafPV],Tasks[[#This Row],[_Row]]+1):INDEX(Tasks[_LeafPV],Tasks[[#This Row],[_Row]]+Tasks[[#This Row],[_Descendants]])),Tasks[[#This Row],[_LeafPV]]))</f>
        <v>0</v>
      </c>
      <c r="BQ31" s="111" t="n">
        <f aca="false">IF(Tasks[[#This Row],[Task Name]]="","",IF(Tasks[[#This Row],[_IsSummary]],SUM(INDEX(Tasks[_LeafEV],Tasks[[#This Row],[_Row]]+1):INDEX(Tasks[_LeafEV],Tasks[[#This Row],[_Row]]+Tasks[[#This Row],[_Descendants]])),Tasks[[#This Row],[_LeafEV]]))</f>
        <v>0</v>
      </c>
      <c r="BR31" s="111" t="n">
        <f aca="false">IF(Tasks[[#This Row],[Task Name]]="","",IF(Tasks[[#This Row],[_IsSummary]],SUM(INDEX(Tasks[_LeafAC],Tasks[[#This Row],[_Row]]+1):INDEX(Tasks[_LeafAC],Tasks[[#This Row],[_Row]]+Tasks[[#This Row],[_Descendants]])),Tasks[[#This Row],[_LeafAC]]))</f>
        <v>0</v>
      </c>
      <c r="BS31" s="32" t="n">
        <f aca="false">IF(Tasks[[#This Row],[Task Name]]="","",MAX(1,N(Tasks[[#This Row],[Level]])))</f>
        <v>2</v>
      </c>
      <c r="BT31" s="32" t="n">
        <f aca="false">ROW()-ROW(Tasks[[#Headers],[ID]])</f>
        <v>26</v>
      </c>
      <c r="BU31" s="32" t="n">
        <f aca="false">IF(OR(Tasks[[#This Row],[Task Name]]="",Tasks[[#This Row],[_Level]]&lt;=1),0,IFERROR(LOOKUP(2,1/(Tasks[[#Headers],[_Level]]:Tasks[[#This Row],[_Level]]=Tasks[[#This Row],[_Level]]-1),ROW(Tasks[[#Headers],[_Level]]:Tasks[[#This Row],[_Level]])),0))</f>
        <v>25</v>
      </c>
      <c r="BV31" s="32" t="n">
        <f aca="false">IFERROR(N(INDEX(Tasks[_Level],Tasks[[#This Row],[_Row]]+1)),0)</f>
        <v>1</v>
      </c>
      <c r="BW31" s="114" t="b">
        <f aca="false">AND(Tasks[[#This Row],[Task Name]]&lt;&gt;"",Tasks[[#This Row],[_NextLevel]]&gt;Tasks[[#This Row],[_Level]])</f>
        <v>0</v>
      </c>
      <c r="BX31" s="32" t="n">
        <f aca="false">IF(Tasks[[#This Row],[_IsSummary]],COUNTIF(Tasks[WBS],Tasks[[#This Row],[WBS]]&amp;".*"),0)</f>
        <v>0</v>
      </c>
      <c r="BY31" s="32" t="n">
        <f aca="false">IF(AND(Tasks[[#This Row],[Task Name]]&lt;&gt;"",NOT(Tasks[[#This Row],[_IsSummary]])),1,0)</f>
        <v>1</v>
      </c>
      <c r="BZ31" s="32" t="n">
        <f aca="false">IF(N(Tasks[[#This Row],[Pred1 UID]])=0,0,IFERROR(MATCH(Tasks[[#This Row],[Pred1 UID]],Tasks[UID],0),-1))</f>
        <v>25</v>
      </c>
      <c r="CA31" s="32" t="n">
        <f aca="false">IF(N(Tasks[[#This Row],[Pred2 UID]])=0,0,IFERROR(MATCH(Tasks[[#This Row],[Pred2 UID]],Tasks[UID],0),-1))</f>
        <v>0</v>
      </c>
      <c r="CB31" s="32" t="n">
        <f aca="false">IF(N(Tasks[[#This Row],[Pred3 UID]])=0,0,IFERROR(MATCH(Tasks[[#This Row],[Pred3 UID]],Tasks[UID],0),-1))</f>
        <v>0</v>
      </c>
      <c r="CC31" s="32" t="n">
        <f aca="false">IF(N(Tasks[[#This Row],[Pred4 UID]])=0,0,IFERROR(MATCH(Tasks[[#This Row],[Pred4 UID]],Tasks[UID],0),-1))</f>
        <v>0</v>
      </c>
      <c r="CD31"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3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1" s="115" t="n">
        <f aca="false">IF(OR(Tasks[[#This Row],[_ConstraintCode]]=2,Tasks[[#This Row],[_ConstraintCode]]=3,Tasks[[#This Row],[_ConstraintCode]]=4,Tasks[[#This Row],[_ConstraintCode]]=6),Tasks[[#This Row],[_ConstraintStart]],0)</f>
        <v>0</v>
      </c>
      <c r="CG31" s="115" t="n">
        <f aca="false">IF(OR(Tasks[[#This Row],[_ConstraintCode]]=2,Tasks[[#This Row],[_ConstraintCode]]=3,Tasks[[#This Row],[_ConstraintCode]]=5,Tasks[[#This Row],[_ConstraintCode]]=7),Tasks[[#This Row],[_ConstraintStart]],2958465)</f>
        <v>2958465</v>
      </c>
      <c r="CH31"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46372</v>
      </c>
      <c r="CI31" s="115" t="n">
        <f aca="false">IF(NOT(Tasks[[#This Row],[_IsLeaf]]=1),"",IF(N(Tasks[[#This Row],[Duration]])&lt;=0,Tasks[[#This Row],[_LeafCalcStart]],WORKDAY.INTL(Tasks[[#This Row],[_LeafCalcStart]],Tasks[[#This Row],[Duration]]-1,WorkWeek,Holidays)))</f>
        <v>46391</v>
      </c>
      <c r="CJ31"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46372</v>
      </c>
      <c r="CK31"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46391</v>
      </c>
      <c r="CL31" s="32" t="n">
        <f aca="false">IF(NOT(Tasks[[#This Row],[_IsLeaf]]=1),0,IF(N(Tasks[[#This Row],[Actual Finish]])&gt;0,1,MIN(1,N(Tasks[[#This Row],[% Complete]]))))</f>
        <v>0</v>
      </c>
      <c r="CM31" s="32" t="n">
        <f aca="false">IF(OR(NOT(Tasks[[#This Row],[_IsLeaf]]=1),Tasks[[#This Row],[Resource]]=""),0,N(Tasks[[#This Row],[Duration]])*HoursPerDay*IF(Tasks[[#This Row],[Units]]="",DefaultUnits,Tasks[[#This Row],[Units]]))</f>
        <v>40</v>
      </c>
      <c r="CN31" s="32" t="n">
        <f aca="false">IF(Tasks[[#This Row],[_LeafWork]]=0,0,Tasks[[#This Row],[_LeafWork]]*IFERROR(INDEX(res_Rate,MATCH(Tasks[[#This Row],[Resource]],res_Name,0)),0))</f>
        <v>3400</v>
      </c>
      <c r="CO31" s="32" t="n">
        <f aca="false">Tasks[[#This Row],[_LeafWork]]+IF(Tasks[[#This Row],[_IsLeaf]]=1,SUMIFS(asg_Work,asg_TaskUID,Tasks[[#This Row],[UID]],asg_Valid,1),0)</f>
        <v>40</v>
      </c>
      <c r="CP31" s="32" t="n">
        <f aca="false">Tasks[[#This Row],[_LeafCost]]+IF(Tasks[[#This Row],[_IsLeaf]]=1,SUMIFS(asg_Cost,asg_TaskUID,Tasks[[#This Row],[UID]],asg_Valid,1),0)</f>
        <v>3400</v>
      </c>
      <c r="CQ31" s="32" t="n">
        <f aca="false">IF(Tasks[[#This Row],[_LeafTotalCost]]=0,Tasks[[#This Row],[_LeafAC]],Tasks[[#This Row],[_LeafAC]]*Tasks[[#This Row],[_LeafCost]]/Tasks[[#This Row],[_LeafTotalCost]])</f>
        <v>0</v>
      </c>
      <c r="CR31"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2912094</v>
      </c>
      <c r="CS3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1"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3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1" s="32" t="n">
        <f aca="false">IF(NOT(Tasks[[#This Row],[_IsLeaf]]=1),0,MAX(_xlfn.MAXIFS(Tasks[_Row],Tasks[Pred1 UID],Tasks[[#This Row],[UID]]),_xlfn.MAXIFS(Tasks[_Row],Tasks[Pred2 UID],Tasks[[#This Row],[UID]]),_xlfn.MAXIFS(Tasks[_Row],Tasks[Pred3 UID],Tasks[[#This Row],[UID]]),_xlfn.MAXIFS(Tasks[_Row],Tasks[Pred4 UID],Tasks[[#This Row],[UID]])))</f>
        <v>29</v>
      </c>
      <c r="DA31"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46391</v>
      </c>
      <c r="DB31"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46391</v>
      </c>
      <c r="DC31" s="115" t="n">
        <f aca="false">IF(NOT(Tasks[[#This Row],[_IsLeaf]]=1),"",IF(N(Tasks[[#This Row],[Duration]])&lt;=0,Tasks[[#This Row],[_LeafLateFinish]],WORKDAY.INTL(Tasks[[#This Row],[_LeafLateFinish]],-(Tasks[[#This Row],[Duration]]-1),WorkWeek,Holidays)))</f>
        <v>46372</v>
      </c>
      <c r="DD31"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31" s="114" t="b">
        <f aca="false">AND(Tasks[[#This Row],[_IsLeaf]]=1,Tasks[[#This Row],[_LeafProgress]]&lt;1,N(Tasks[[#This Row],[_LeafTotalSlack]])&lt;=CriticalSlackDays)</f>
        <v>1</v>
      </c>
      <c r="DF31" s="32" t="n">
        <f aca="false">IF(AND(Tasks[[#This Row],[_IsLeaf]]=1,Tasks[[#This Row],[_ConstraintCode]]=1,Tasks[[#This Row],[Mode]]&lt;&gt;"Manual",N(Tasks[[#This Row],[Actual Start]])=0),MAX(0,N(Tasks[[#This Row],[Free Slack]])),0)</f>
        <v>0</v>
      </c>
      <c r="DG31" s="115" t="n">
        <f aca="false">IF(NOT(Tasks[[#This Row],[_IsLeaf]]=1),"",IF(Tasks[[#This Row],[_AlapShift]]=0,Tasks[[#This Row],[_LeafCalcStart]],WORKDAY.INTL(Tasks[[#This Row],[_LeafCalcStart]],Tasks[[#This Row],[_AlapShift]],WorkWeek,Holidays)))</f>
        <v>46372</v>
      </c>
      <c r="DH31" s="115" t="n">
        <f aca="false">IF(NOT(Tasks[[#This Row],[_IsLeaf]]=1),"",IF(Tasks[[#This Row],[_AlapShift]]=0,Tasks[[#This Row],[_LeafCalcFinish]],WORKDAY.INTL(Tasks[[#This Row],[_LeafCalcFinish]],Tasks[[#This Row],[_AlapShift]],WorkWeek,Holidays)))</f>
        <v>46391</v>
      </c>
      <c r="DI31" s="115" t="n">
        <f aca="false">IF(NOT(Tasks[[#This Row],[_IsLeaf]]=1),"",IF(Tasks[[#This Row],[_AlapShift]]=0,Tasks[[#This Row],[_LeafFcstStart]],WORKDAY.INTL(Tasks[[#This Row],[_LeafFcstStart]],Tasks[[#This Row],[_AlapShift]],WorkWeek,Holidays)))</f>
        <v>46372</v>
      </c>
      <c r="DJ31" s="115" t="n">
        <f aca="false">IF(NOT(Tasks[[#This Row],[_IsLeaf]]=1),"",IF(Tasks[[#This Row],[_AlapShift]]=0,Tasks[[#This Row],[_LeafFcstFinish]],WORKDAY.INTL(Tasks[[#This Row],[_LeafFcstFinish]],Tasks[[#This Row],[_AlapShift]],WorkWeek,Holidays)))</f>
        <v>46391</v>
      </c>
      <c r="DK31" s="115" t="n">
        <f aca="false">IF(Tasks[[#This Row],[Task Name]]="","",IF(Tasks[[#This Row],[_IsSummary]],MIN(INDEX(Tasks[_ShownCalcStart],Tasks[[#This Row],[_Row]]+1):INDEX(Tasks[_ShownCalcStart],Tasks[[#This Row],[_Row]]+Tasks[[#This Row],[_Descendants]])),Tasks[[#This Row],[_ShownCalcStart]]))</f>
        <v>46372</v>
      </c>
      <c r="DL31" s="115" t="n">
        <f aca="false">IF(Tasks[[#This Row],[Task Name]]="","",IF(Tasks[[#This Row],[_IsSummary]],MAX(INDEX(Tasks[_ShownCalcFinish],Tasks[[#This Row],[_Row]]+1):INDEX(Tasks[_ShownCalcFinish],Tasks[[#This Row],[_Row]]+Tasks[[#This Row],[_Descendants]])),Tasks[[#This Row],[_ShownCalcFinish]]))</f>
        <v>46391</v>
      </c>
      <c r="DM3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46372</v>
      </c>
      <c r="DR3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46372</v>
      </c>
      <c r="DV3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1" s="32" t="n">
        <f aca="false">IF(AND(Tasks[[#This Row],[_IsLeaf]]=1,Tasks[[#This Row],[_LeafTotalWork]]&gt;0),NETWORKDAYS.INTL(ProjectStart,Tasks[[#This Row],[_ShownFcstStart]],WorkWeek,Holidays),0)</f>
        <v>73</v>
      </c>
      <c r="DZ31" s="32" t="n">
        <f aca="false">IF(AND(Tasks[[#This Row],[_IsLeaf]]=1,Tasks[[#This Row],[_LeafTotalWork]]&gt;0),MAX(Tasks[[#This Row],[_StartWorkday]],NETWORKDAYS.INTL(ProjectStart,Tasks[[#This Row],[_ShownFcstFinish]],WorkWeek,Holidays)),0)</f>
        <v>82</v>
      </c>
      <c r="EA31" s="32" t="n">
        <f aca="false">IF(AND(Tasks[[#This Row],[_IsLeaf]]=1,Tasks[[#This Row],[_LeafTotalWork]]&gt;0),Tasks[[#This Row],[_LeafWork]]/(Tasks[[#This Row],[_FinishWorkday]]-Tasks[[#This Row],[_StartWorkday]]+1),0)</f>
        <v>4</v>
      </c>
      <c r="EB31" s="32" t="n">
        <f aca="false">Tasks[[#This Row],[_WorkPerWorkday]]*(Tasks[[#This Row],[_StartWorkday]]-1)</f>
        <v>288</v>
      </c>
      <c r="EC31" s="32" t="n">
        <f aca="false">IF(Tasks[[#This Row],[_IsLeaf]]=1,MAX(N(Tasks[[#This Row],[Duration]]),0.1),0)</f>
        <v>10</v>
      </c>
      <c r="ED31" s="32" t="n">
        <f aca="false">Tasks[[#This Row],[_WeightDur]]*Tasks[[#This Row],[_LeafProgress]]</f>
        <v>0</v>
      </c>
      <c r="EE3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25</v>
      </c>
      <c r="EF31" s="32" t="str">
        <f aca="false">IF(AND(Tasks[[#This Row],[_IsLeaf]]=1,N(Tasks[[#This Row],[Duration]])=0,Tasks[[#This Row],[_LeafProgress]]&lt;1),Tasks[[#This Row],[_ShownFcstFinish]]+Tasks[[#This Row],[_Row]]/100000,"")</f>
        <v/>
      </c>
      <c r="EG3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1" s="32" t="n">
        <f aca="false">IF(NOT(Tasks[[#This Row],[_IsLeaf]]=1),0,IF(Tasks[[#This Row],[Baseline Cost]]="",Tasks[[#This Row],[_LeafTotalCost]],N(Tasks[[#This Row],[Baseline Cost]])))</f>
        <v>3400</v>
      </c>
      <c r="EI31" s="32" t="n">
        <f aca="false">Tasks[[#This Row],[_LeafBudget]]*Tasks[[#This Row],[_PlannedPct]]</f>
        <v>0</v>
      </c>
      <c r="EJ31" s="32" t="n">
        <f aca="false">Tasks[[#This Row],[_LeafBudget]]*Tasks[[#This Row],[_LeafProgress]]</f>
        <v>0</v>
      </c>
      <c r="EK31" s="32" t="n">
        <f aca="false">IF(NOT(Tasks[[#This Row],[_IsLeaf]]=1),0,IF(Tasks[[#This Row],[Actual Cost]]="",Tasks[[#This Row],[_LeafTotalCost]]*Tasks[[#This Row],[_LeafProgress]],N(Tasks[[#This Row],[Actual Cost]])))</f>
        <v>0</v>
      </c>
      <c r="EL31" s="32" t="str">
        <f aca="false">IF(Tasks[[#This Row],[Task Name]]="","",LEFT(Tasks[[#This Row],[WBS]],FIND(".",Tasks[[#This Row],[WBS]]&amp;".")-1))</f>
        <v>4</v>
      </c>
      <c r="EM31" s="32" t="str">
        <f aca="false">IF(AND(Tasks[[#This Row],[Task Name]]&lt;&gt;"",Tasks[[#This Row],[_Level]]=1),Tasks[[#This Row],[_Row]],"")</f>
        <v/>
      </c>
      <c r="EN31" s="32" t="str">
        <f aca="false">IF(AND(Tasks[[#This Row],[_IsLeaf]]=1,N(Tasks[[#This Row],[Duration]])=0),Tasks[[#This Row],[Planned Finish]]+Tasks[[#This Row],[_Row]]/100000,"")</f>
        <v/>
      </c>
      <c r="EO31" s="32" t="str">
        <f aca="false">IF(AND(Tasks[[#This Row],[_IsLeaf]]=1,Tasks[[#This Row],[_LeafProgress]]&lt;1,OR(N(Tasks[[#This Row],[Finish Var]])&gt;0,Tasks[[#This Row],[Status]]="Late Start")),MAX(0,Tasks[[#This Row],[Finish Var]])+1-Tasks[[#This Row],[_Row]]/1000000,"")</f>
        <v/>
      </c>
      <c r="EP31" s="32" t="str">
        <f aca="false">IF(AND(Tasks[[#This Row],[_IsLeaf]]=1,N(Tasks[[#This Row],[Actual Start]])=0,Tasks[[#This Row],[_ShownFcstStart]]&gt;=StatusDate,Tasks[[#This Row],[_ShownFcstStart]]&lt;=LookaheadEnd),Tasks[[#This Row],[_ShownFcstStart]]+Tasks[[#This Row],[_Row]]/100000,"")</f>
        <v/>
      </c>
      <c r="EQ31" s="32" t="str">
        <f aca="false">IF(AND(Tasks[[#This Row],[_IsLeaf]]=1,Tasks[[#This Row],[_LeafProgress]]&lt;1,Tasks[[#This Row],[_ShownFcstFinish]]&gt;=StatusDate,Tasks[[#This Row],[_ShownFcstFinish]]&lt;=LookaheadEnd),Tasks[[#This Row],[_ShownFcstFinish]]+Tasks[[#This Row],[_Row]]/100000,"")</f>
        <v/>
      </c>
      <c r="ER31" s="116" t="n">
        <f aca="false">IF(Tasks[[#This Row],[_LeafCritical]],Tasks[[#This Row],[_ShownFcstStart]]+Tasks[[#This Row],[_Row]]/100000,"")</f>
        <v>46372.00026</v>
      </c>
      <c r="ES31" s="32" t="n">
        <f aca="false">Tasks[[#This Row],[_LeafWork]]*Tasks[[#This Row],[_LeafProgress]]</f>
        <v>0</v>
      </c>
      <c r="ET31" s="115" t="str">
        <f aca="false">IF(AND(Tasks[[#This Row],[_IsLeaf]]=1,Tasks[[#This Row],[_LeafProgress]]&gt;=1),IF(N(Tasks[[#This Row],[Actual Finish]])&gt;0,Tasks[[#This Row],[Actual Finish]],Tasks[[#This Row],[_ShownFcstFinish]]),"")</f>
        <v/>
      </c>
      <c r="EU31" s="32" t="n">
        <f aca="false">IF(Tasks[[#This Row],[_IsLeaf]]=1,N(Tasks[[#This Row],[Story Points]]),0)</f>
        <v>5</v>
      </c>
      <c r="EV31" s="32" t="str">
        <f aca="false">IF(AND(Tasks[[#This Row],[_IsLeaf]]=1,CurrentSprint&lt;&gt;"",Tasks[[#This Row],[Sprint]]=CurrentSprint),Tasks[[#This Row],[_Row]],"")</f>
        <v/>
      </c>
    </row>
    <row r="32" customFormat="false" ht="15" hidden="false" customHeight="false" outlineLevel="0" collapsed="false">
      <c r="A32" s="45" t="n">
        <f aca="false">IF(Tasks[[#This Row],[Task Name]]="","",COUNTA(Tasks[[#Headers],[Task Name]]:Tasks[[#This Row],[Task Name]])-1)</f>
        <v>27</v>
      </c>
      <c r="B32" s="46" t="n">
        <v>27</v>
      </c>
      <c r="C3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v>
      </c>
      <c r="D32" s="46" t="n">
        <v>1</v>
      </c>
      <c r="E32" s="45" t="str">
        <f aca="false">IF(Tasks[[#This Row],[Task Name]]="","",IF(Tasks[[#This Row],[_Level]]&lt;=OutlineShowLevel,"Yes","No"))</f>
        <v>Yes</v>
      </c>
      <c r="F32" s="47" t="s">
        <v>686</v>
      </c>
      <c r="G32" s="46" t="s">
        <v>642</v>
      </c>
      <c r="H32" s="46"/>
      <c r="I32" s="46"/>
      <c r="J32" s="46"/>
      <c r="K32" s="46"/>
      <c r="L32" s="46"/>
      <c r="M32" s="46"/>
      <c r="N32" s="46"/>
      <c r="O32" s="46"/>
      <c r="P32" s="46"/>
      <c r="Q32" s="46"/>
      <c r="R32" s="46"/>
      <c r="S32" s="46"/>
      <c r="T32" s="46"/>
      <c r="U32" s="47"/>
      <c r="V32" s="88"/>
      <c r="W32" s="88"/>
      <c r="X32" s="25" t="n">
        <f aca="false">IF(Tasks[[#This Row],[Task Name]]="","",IF(N(Tasks[[#This Row],[Baseline Start]])&gt;0,Tasks[[#This Row],[Baseline Start]],Tasks[[#This Row],[_CalcStart]]))</f>
        <v>46342</v>
      </c>
      <c r="Y32" s="25" t="n">
        <f aca="false">IF(Tasks[[#This Row],[Task Name]]="","",IF(N(Tasks[[#This Row],[Baseline Finish]])&gt;0,Tasks[[#This Row],[Baseline Finish]],Tasks[[#This Row],[_CalcFinish]]))</f>
        <v>46393</v>
      </c>
      <c r="Z32" s="88"/>
      <c r="AA32" s="88"/>
      <c r="AB32" s="25" t="n">
        <f aca="false">IF(Tasks[[#This Row],[Task Name]]="","",IF(Tasks[[#This Row],[_IsSummary]],MIN(INDEX(Tasks[_ShownFcstStart],Tasks[[#This Row],[_Row]]+1):INDEX(Tasks[_ShownFcstStart],Tasks[[#This Row],[_Row]]+Tasks[[#This Row],[_Descendants]])),Tasks[[#This Row],[_ShownFcstStart]]))</f>
        <v>46342</v>
      </c>
      <c r="AC32" s="25" t="n">
        <f aca="false">IF(Tasks[[#This Row],[Task Name]]="","",IF(Tasks[[#This Row],[_IsSummary]],MAX(INDEX(Tasks[_ShownFcstFinish],Tasks[[#This Row],[_Row]]+1):INDEX(Tasks[_ShownFcstFinish],Tasks[[#This Row],[_Row]]+Tasks[[#This Row],[_Descendants]])),Tasks[[#This Row],[_ShownFcstFinish]]))</f>
        <v>46393</v>
      </c>
      <c r="AD32"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2"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2" s="25" t="n">
        <f aca="false">IF(Tasks[[#This Row],[Task Name]]="","",IF(Tasks[[#This Row],[_IsSummary]],MIN(INDEX(Tasks[_LeafLateStart],Tasks[[#This Row],[_Row]]+1):INDEX(Tasks[_LeafLateStart],Tasks[[#This Row],[_Row]]+Tasks[[#This Row],[_Descendants]])),Tasks[[#This Row],[_LeafLateStart]]))</f>
        <v>46392</v>
      </c>
      <c r="AG32" s="25" t="n">
        <f aca="false">IF(Tasks[[#This Row],[Task Name]]="","",IF(Tasks[[#This Row],[_IsSummary]],MAX(INDEX(Tasks[_LeafLateFinish],Tasks[[#This Row],[_Row]]+1):INDEX(Tasks[_LeafLateFinish],Tasks[[#This Row],[_Row]]+Tasks[[#This Row],[_Descendants]])),Tasks[[#This Row],[_LeafLateFinish]]))</f>
        <v>46393</v>
      </c>
      <c r="AH32" s="56" t="n">
        <f aca="false">IF(Tasks[[#This Row],[Task Name]]="","",IF(Tasks[[#This Row],[_IsSummary]],MIN(INDEX(Tasks[_LeafTotalSlack],Tasks[[#This Row],[_Row]]+1):INDEX(Tasks[_LeafTotalSlack],Tasks[[#This Row],[_Row]]+Tasks[[#This Row],[_Descendants]])),Tasks[[#This Row],[_LeafTotalSlack]]))</f>
        <v>0</v>
      </c>
      <c r="AI3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32" s="45" t="str">
        <f aca="false">IF(Tasks[[#This Row],[Task Name]]="","",IF(IF(Tasks[[#This Row],[_IsSummary]],COUNTIF(INDEX(Tasks[_LeafCritical],Tasks[[#This Row],[_Row]]+1):INDEX(Tasks[_LeafCritical],Tasks[[#This Row],[_Row]]+Tasks[[#This Row],[_Descendants]]),TRUE())&gt;0,Tasks[[#This Row],[_LeafCritical]]),"Yes",""))</f>
        <v>Yes</v>
      </c>
      <c r="AK3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2" s="102"/>
      <c r="AN32"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2" s="45" t="str">
        <f aca="false">IF(Tasks[[#This Row],[Task Name]]="","",IF(Tasks[[#This Row],[Progress]]&gt;=1,"Complete",IF(OR(N(Tasks[[#This Row],[Actual Start]])&gt;0,Tasks[[#This Row],[Progress]]&gt;0),IF(Tasks[[#This Row],[Finish Var]]&gt;0,"Behind","In Progress"),IF(Tasks[[#This Row],[Planned Start]]&lt;StatusDate,"Late Start","Not Started"))))</f>
        <v>Not Started</v>
      </c>
      <c r="AP32" s="47"/>
      <c r="AQ32" s="102"/>
      <c r="AR3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2" s="110" t="n">
        <f aca="false">IF(Tasks[[#This Row],[Task Name]]="","",IF(Tasks[[#This Row],[_IsSummary]],SUM(INDEX(Tasks[_LeafTotalWork],Tasks[[#This Row],[_Row]]+1):INDEX(Tasks[_LeafTotalWork],Tasks[[#This Row],[_Row]]+Tasks[[#This Row],[_Descendants]])),Tasks[[#This Row],[_LeafTotalWork]]))</f>
        <v>24</v>
      </c>
      <c r="AU32" s="111" t="n">
        <f aca="false">IF(Tasks[[#This Row],[Task Name]]="","",IF(Tasks[[#This Row],[_IsSummary]],SUM(INDEX(Tasks[_LeafTotalCost],Tasks[[#This Row],[_Row]]+1):INDEX(Tasks[_LeafTotalCost],Tasks[[#This Row],[_Row]]+Tasks[[#This Row],[_Descendants]])),Tasks[[#This Row],[_LeafTotalCost]]))</f>
        <v>2280</v>
      </c>
      <c r="AV32" s="112"/>
      <c r="AW32" s="46"/>
      <c r="AX3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32" s="96"/>
      <c r="AZ3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2" s="47"/>
      <c r="BB32" s="25" t="n">
        <f aca="false">IF(Tasks[[#This Row],[Task Name]]="","",Tasks[[#This Row],[Forecast Start]])</f>
        <v>46342</v>
      </c>
      <c r="BC32" s="25" t="n">
        <f aca="false">IF(Tasks[[#This Row],[Task Name]]="","",Tasks[[#This Row],[Forecast Finish]])</f>
        <v>46393</v>
      </c>
      <c r="BD32" s="45" t="n">
        <f aca="false">IF(Tasks[[#This Row],[Task Name]]="","",IF(Tasks[[#This Row],[_IsSummary]],NETWORKDAYS.INTL(Tasks[[#This Row],[Forecast Start]],Tasks[[#This Row],[Forecast Finish]],WorkWeek,Holidays),N(Tasks[[#This Row],[Duration]])))</f>
        <v>34</v>
      </c>
      <c r="BE32" s="110" t="n">
        <f aca="false">IF(Tasks[[#This Row],[Task Name]]="","",Tasks[[#This Row],[Work]])</f>
        <v>24</v>
      </c>
      <c r="BF32" s="111" t="n">
        <f aca="false">IF(Tasks[[#This Row],[Task Name]]="","",Tasks[[#This Row],[Cost]])</f>
        <v>2280</v>
      </c>
      <c r="BG32" s="88"/>
      <c r="BH32" s="88"/>
      <c r="BI32" s="46"/>
      <c r="BJ32" s="113"/>
      <c r="BK32" s="112"/>
      <c r="BL32" s="45" t="str">
        <f aca="false">IF(OR(Tasks[[#This Row],[Task Name]]="",Tasks[[#This Row],[Baseline Duration]]=""),"",Tasks[[#This Row],[BL Source Duration]]-N(Tasks[[#This Row],[Baseline Duration]]))</f>
        <v/>
      </c>
      <c r="BM32" s="110" t="str">
        <f aca="false">IF(OR(Tasks[[#This Row],[Task Name]]="",Tasks[[#This Row],[Baseline Work]]=""),"",Tasks[[#This Row],[Work]]-N(Tasks[[#This Row],[Baseline Work]]))</f>
        <v/>
      </c>
      <c r="BN32" s="111" t="str">
        <f aca="false">IF(OR(Tasks[[#This Row],[Task Name]]="",Tasks[[#This Row],[Baseline Cost]]=""),"",Tasks[[#This Row],[Cost]]-N(Tasks[[#This Row],[Baseline Cost]]))</f>
        <v/>
      </c>
      <c r="BO32" s="111" t="n">
        <f aca="false">IF(Tasks[[#This Row],[Task Name]]="","",IF(Tasks[[#This Row],[_IsSummary]],SUM(INDEX(Tasks[_LeafBudget],Tasks[[#This Row],[_Row]]+1):INDEX(Tasks[_LeafBudget],Tasks[[#This Row],[_Row]]+Tasks[[#This Row],[_Descendants]])),Tasks[[#This Row],[_LeafBudget]]))</f>
        <v>2280</v>
      </c>
      <c r="BP32" s="111" t="n">
        <f aca="false">IF(Tasks[[#This Row],[Task Name]]="","",IF(Tasks[[#This Row],[_IsSummary]],SUM(INDEX(Tasks[_LeafPV],Tasks[[#This Row],[_Row]]+1):INDEX(Tasks[_LeafPV],Tasks[[#This Row],[_Row]]+Tasks[[#This Row],[_Descendants]])),Tasks[[#This Row],[_LeafPV]]))</f>
        <v>0</v>
      </c>
      <c r="BQ32" s="111" t="n">
        <f aca="false">IF(Tasks[[#This Row],[Task Name]]="","",IF(Tasks[[#This Row],[_IsSummary]],SUM(INDEX(Tasks[_LeafEV],Tasks[[#This Row],[_Row]]+1):INDEX(Tasks[_LeafEV],Tasks[[#This Row],[_Row]]+Tasks[[#This Row],[_Descendants]])),Tasks[[#This Row],[_LeafEV]]))</f>
        <v>0</v>
      </c>
      <c r="BR32" s="111" t="n">
        <f aca="false">IF(Tasks[[#This Row],[Task Name]]="","",IF(Tasks[[#This Row],[_IsSummary]],SUM(INDEX(Tasks[_LeafAC],Tasks[[#This Row],[_Row]]+1):INDEX(Tasks[_LeafAC],Tasks[[#This Row],[_Row]]+Tasks[[#This Row],[_Descendants]])),Tasks[[#This Row],[_LeafAC]]))</f>
        <v>0</v>
      </c>
      <c r="BS32" s="32" t="n">
        <f aca="false">IF(Tasks[[#This Row],[Task Name]]="","",MAX(1,N(Tasks[[#This Row],[Level]])))</f>
        <v>1</v>
      </c>
      <c r="BT32" s="32" t="n">
        <f aca="false">ROW()-ROW(Tasks[[#Headers],[ID]])</f>
        <v>27</v>
      </c>
      <c r="BU32" s="32" t="n">
        <f aca="false">IF(OR(Tasks[[#This Row],[Task Name]]="",Tasks[[#This Row],[_Level]]&lt;=1),0,IFERROR(LOOKUP(2,1/(Tasks[[#Headers],[_Level]]:Tasks[[#This Row],[_Level]]=Tasks[[#This Row],[_Level]]-1),ROW(Tasks[[#Headers],[_Level]]:Tasks[[#This Row],[_Level]])),0))</f>
        <v>0</v>
      </c>
      <c r="BV32" s="32" t="n">
        <f aca="false">IFERROR(N(INDEX(Tasks[_Level],Tasks[[#This Row],[_Row]]+1)),0)</f>
        <v>2</v>
      </c>
      <c r="BW32" s="114" t="b">
        <f aca="false">AND(Tasks[[#This Row],[Task Name]]&lt;&gt;"",Tasks[[#This Row],[_NextLevel]]&gt;Tasks[[#This Row],[_Level]])</f>
        <v>1</v>
      </c>
      <c r="BX32" s="32" t="n">
        <f aca="false">IF(Tasks[[#This Row],[_IsSummary]],COUNTIF(Tasks[WBS],Tasks[[#This Row],[WBS]]&amp;".*"),0)</f>
        <v>3</v>
      </c>
      <c r="BY32" s="32" t="n">
        <f aca="false">IF(AND(Tasks[[#This Row],[Task Name]]&lt;&gt;"",NOT(Tasks[[#This Row],[_IsSummary]])),1,0)</f>
        <v>0</v>
      </c>
      <c r="BZ32" s="32" t="n">
        <f aca="false">IF(N(Tasks[[#This Row],[Pred1 UID]])=0,0,IFERROR(MATCH(Tasks[[#This Row],[Pred1 UID]],Tasks[UID],0),-1))</f>
        <v>0</v>
      </c>
      <c r="CA32" s="32" t="n">
        <f aca="false">IF(N(Tasks[[#This Row],[Pred2 UID]])=0,0,IFERROR(MATCH(Tasks[[#This Row],[Pred2 UID]],Tasks[UID],0),-1))</f>
        <v>0</v>
      </c>
      <c r="CB32" s="32" t="n">
        <f aca="false">IF(N(Tasks[[#This Row],[Pred3 UID]])=0,0,IFERROR(MATCH(Tasks[[#This Row],[Pred3 UID]],Tasks[UID],0),-1))</f>
        <v>0</v>
      </c>
      <c r="CC32" s="32" t="n">
        <f aca="false">IF(N(Tasks[[#This Row],[Pred4 UID]])=0,0,IFERROR(MATCH(Tasks[[#This Row],[Pred4 UID]],Tasks[UID],0),-1))</f>
        <v>0</v>
      </c>
      <c r="CD3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3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2" s="115" t="n">
        <f aca="false">IF(OR(Tasks[[#This Row],[_ConstraintCode]]=2,Tasks[[#This Row],[_ConstraintCode]]=3,Tasks[[#This Row],[_ConstraintCode]]=4,Tasks[[#This Row],[_ConstraintCode]]=6),Tasks[[#This Row],[_ConstraintStart]],0)</f>
        <v>0</v>
      </c>
      <c r="CG32" s="115" t="n">
        <f aca="false">IF(OR(Tasks[[#This Row],[_ConstraintCode]]=2,Tasks[[#This Row],[_ConstraintCode]]=3,Tasks[[#This Row],[_ConstraintCode]]=5,Tasks[[#This Row],[_ConstraintCode]]=7),Tasks[[#This Row],[_ConstraintStart]],2958465)</f>
        <v>2958465</v>
      </c>
      <c r="CH3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32" s="115" t="str">
        <f aca="false">IF(NOT(Tasks[[#This Row],[_IsLeaf]]=1),"",IF(N(Tasks[[#This Row],[Duration]])&lt;=0,Tasks[[#This Row],[_LeafCalcStart]],WORKDAY.INTL(Tasks[[#This Row],[_LeafCalcStart]],Tasks[[#This Row],[Duration]]-1,WorkWeek,Holidays)))</f>
        <v/>
      </c>
      <c r="CJ3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3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32" s="32" t="n">
        <f aca="false">IF(NOT(Tasks[[#This Row],[_IsLeaf]]=1),0,IF(N(Tasks[[#This Row],[Actual Finish]])&gt;0,1,MIN(1,N(Tasks[[#This Row],[% Complete]]))))</f>
        <v>0</v>
      </c>
      <c r="CM32" s="32" t="n">
        <f aca="false">IF(OR(NOT(Tasks[[#This Row],[_IsLeaf]]=1),Tasks[[#This Row],[Resource]]=""),0,N(Tasks[[#This Row],[Duration]])*HoursPerDay*IF(Tasks[[#This Row],[Units]]="",DefaultUnits,Tasks[[#This Row],[Units]]))</f>
        <v>0</v>
      </c>
      <c r="CN32" s="32" t="n">
        <f aca="false">IF(Tasks[[#This Row],[_LeafWork]]=0,0,Tasks[[#This Row],[_LeafWork]]*IFERROR(INDEX(res_Rate,MATCH(Tasks[[#This Row],[Resource]],res_Name,0)),0))</f>
        <v>0</v>
      </c>
      <c r="CO32" s="32" t="n">
        <f aca="false">Tasks[[#This Row],[_LeafWork]]+IF(Tasks[[#This Row],[_IsLeaf]]=1,SUMIFS(asg_Work,asg_TaskUID,Tasks[[#This Row],[UID]],asg_Valid,1),0)</f>
        <v>0</v>
      </c>
      <c r="CP32" s="32" t="n">
        <f aca="false">Tasks[[#This Row],[_LeafCost]]+IF(Tasks[[#This Row],[_IsLeaf]]=1,SUMIFS(asg_Cost,asg_TaskUID,Tasks[[#This Row],[UID]],asg_Valid,1),0)</f>
        <v>0</v>
      </c>
      <c r="CQ32" s="32" t="n">
        <f aca="false">IF(Tasks[[#This Row],[_LeafTotalCost]]=0,Tasks[[#This Row],[_LeafAC]],Tasks[[#This Row],[_LeafAC]]*Tasks[[#This Row],[_LeafCost]]/Tasks[[#This Row],[_LeafTotalCost]])</f>
        <v>0</v>
      </c>
      <c r="CR3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2" s="32" t="n">
        <f aca="false">IF(NOT(Tasks[[#This Row],[_IsLeaf]]=1),0,MAX(_xlfn.MAXIFS(Tasks[_Row],Tasks[Pred1 UID],Tasks[[#This Row],[UID]]),_xlfn.MAXIFS(Tasks[_Row],Tasks[Pred2 UID],Tasks[[#This Row],[UID]]),_xlfn.MAXIFS(Tasks[_Row],Tasks[Pred3 UID],Tasks[[#This Row],[UID]]),_xlfn.MAXIFS(Tasks[_Row],Tasks[Pred4 UID],Tasks[[#This Row],[UID]])))</f>
        <v>0</v>
      </c>
      <c r="DA3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3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32" s="115" t="str">
        <f aca="false">IF(NOT(Tasks[[#This Row],[_IsLeaf]]=1),"",IF(N(Tasks[[#This Row],[Duration]])&lt;=0,Tasks[[#This Row],[_LeafLateFinish]],WORKDAY.INTL(Tasks[[#This Row],[_LeafLateFinish]],-(Tasks[[#This Row],[Duration]]-1),WorkWeek,Holidays)))</f>
        <v/>
      </c>
      <c r="DD3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32" s="114" t="b">
        <f aca="false">AND(Tasks[[#This Row],[_IsLeaf]]=1,Tasks[[#This Row],[_LeafProgress]]&lt;1,N(Tasks[[#This Row],[_LeafTotalSlack]])&lt;=CriticalSlackDays)</f>
        <v>0</v>
      </c>
      <c r="DF32" s="32" t="n">
        <f aca="false">IF(AND(Tasks[[#This Row],[_IsLeaf]]=1,Tasks[[#This Row],[_ConstraintCode]]=1,Tasks[[#This Row],[Mode]]&lt;&gt;"Manual",N(Tasks[[#This Row],[Actual Start]])=0),MAX(0,N(Tasks[[#This Row],[Free Slack]])),0)</f>
        <v>0</v>
      </c>
      <c r="DG32" s="115" t="str">
        <f aca="false">IF(NOT(Tasks[[#This Row],[_IsLeaf]]=1),"",IF(Tasks[[#This Row],[_AlapShift]]=0,Tasks[[#This Row],[_LeafCalcStart]],WORKDAY.INTL(Tasks[[#This Row],[_LeafCalcStart]],Tasks[[#This Row],[_AlapShift]],WorkWeek,Holidays)))</f>
        <v/>
      </c>
      <c r="DH32" s="115" t="str">
        <f aca="false">IF(NOT(Tasks[[#This Row],[_IsLeaf]]=1),"",IF(Tasks[[#This Row],[_AlapShift]]=0,Tasks[[#This Row],[_LeafCalcFinish]],WORKDAY.INTL(Tasks[[#This Row],[_LeafCalcFinish]],Tasks[[#This Row],[_AlapShift]],WorkWeek,Holidays)))</f>
        <v/>
      </c>
      <c r="DI32" s="115" t="str">
        <f aca="false">IF(NOT(Tasks[[#This Row],[_IsLeaf]]=1),"",IF(Tasks[[#This Row],[_AlapShift]]=0,Tasks[[#This Row],[_LeafFcstStart]],WORKDAY.INTL(Tasks[[#This Row],[_LeafFcstStart]],Tasks[[#This Row],[_AlapShift]],WorkWeek,Holidays)))</f>
        <v/>
      </c>
      <c r="DJ32" s="115" t="str">
        <f aca="false">IF(NOT(Tasks[[#This Row],[_IsLeaf]]=1),"",IF(Tasks[[#This Row],[_AlapShift]]=0,Tasks[[#This Row],[_LeafFcstFinish]],WORKDAY.INTL(Tasks[[#This Row],[_LeafFcstFinish]],Tasks[[#This Row],[_AlapShift]],WorkWeek,Holidays)))</f>
        <v/>
      </c>
      <c r="DK32" s="115" t="n">
        <f aca="false">IF(Tasks[[#This Row],[Task Name]]="","",IF(Tasks[[#This Row],[_IsSummary]],MIN(INDEX(Tasks[_ShownCalcStart],Tasks[[#This Row],[_Row]]+1):INDEX(Tasks[_ShownCalcStart],Tasks[[#This Row],[_Row]]+Tasks[[#This Row],[_Descendants]])),Tasks[[#This Row],[_ShownCalcStart]]))</f>
        <v>46342</v>
      </c>
      <c r="DL32" s="115" t="n">
        <f aca="false">IF(Tasks[[#This Row],[Task Name]]="","",IF(Tasks[[#This Row],[_IsSummary]],MAX(INDEX(Tasks[_ShownCalcFinish],Tasks[[#This Row],[_Row]]+1):INDEX(Tasks[_ShownCalcFinish],Tasks[[#This Row],[_Row]]+Tasks[[#This Row],[_Descendants]])),Tasks[[#This Row],[_ShownCalcFinish]]))</f>
        <v>46393</v>
      </c>
      <c r="DM3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2" s="32" t="n">
        <f aca="false">IF(AND(Tasks[[#This Row],[_IsLeaf]]=1,Tasks[[#This Row],[_LeafTotalWork]]&gt;0),NETWORKDAYS.INTL(ProjectStart,Tasks[[#This Row],[_ShownFcstStart]],WorkWeek,Holidays),0)</f>
        <v>0</v>
      </c>
      <c r="DZ32" s="32" t="n">
        <f aca="false">IF(AND(Tasks[[#This Row],[_IsLeaf]]=1,Tasks[[#This Row],[_LeafTotalWork]]&gt;0),MAX(Tasks[[#This Row],[_StartWorkday]],NETWORKDAYS.INTL(ProjectStart,Tasks[[#This Row],[_ShownFcstFinish]],WorkWeek,Holidays)),0)</f>
        <v>0</v>
      </c>
      <c r="EA32" s="32" t="n">
        <f aca="false">IF(AND(Tasks[[#This Row],[_IsLeaf]]=1,Tasks[[#This Row],[_LeafTotalWork]]&gt;0),Tasks[[#This Row],[_LeafWork]]/(Tasks[[#This Row],[_FinishWorkday]]-Tasks[[#This Row],[_StartWorkday]]+1),0)</f>
        <v>0</v>
      </c>
      <c r="EB32" s="32" t="n">
        <f aca="false">Tasks[[#This Row],[_WorkPerWorkday]]*(Tasks[[#This Row],[_StartWorkday]]-1)</f>
        <v>-0</v>
      </c>
      <c r="EC32" s="32" t="n">
        <f aca="false">IF(Tasks[[#This Row],[_IsLeaf]]=1,MAX(N(Tasks[[#This Row],[Duration]]),0.1),0)</f>
        <v>0</v>
      </c>
      <c r="ED32" s="32" t="n">
        <f aca="false">Tasks[[#This Row],[_WeightDur]]*Tasks[[#This Row],[_LeafProgress]]</f>
        <v>0</v>
      </c>
      <c r="EE3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2" s="32" t="str">
        <f aca="false">IF(AND(Tasks[[#This Row],[_IsLeaf]]=1,N(Tasks[[#This Row],[Duration]])=0,Tasks[[#This Row],[_LeafProgress]]&lt;1),Tasks[[#This Row],[_ShownFcstFinish]]+Tasks[[#This Row],[_Row]]/100000,"")</f>
        <v/>
      </c>
      <c r="EG3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2" s="32" t="n">
        <f aca="false">IF(NOT(Tasks[[#This Row],[_IsLeaf]]=1),0,IF(Tasks[[#This Row],[Baseline Cost]]="",Tasks[[#This Row],[_LeafTotalCost]],N(Tasks[[#This Row],[Baseline Cost]])))</f>
        <v>0</v>
      </c>
      <c r="EI32" s="32" t="n">
        <f aca="false">Tasks[[#This Row],[_LeafBudget]]*Tasks[[#This Row],[_PlannedPct]]</f>
        <v>0</v>
      </c>
      <c r="EJ32" s="32" t="n">
        <f aca="false">Tasks[[#This Row],[_LeafBudget]]*Tasks[[#This Row],[_LeafProgress]]</f>
        <v>0</v>
      </c>
      <c r="EK32" s="32" t="n">
        <f aca="false">IF(NOT(Tasks[[#This Row],[_IsLeaf]]=1),0,IF(Tasks[[#This Row],[Actual Cost]]="",Tasks[[#This Row],[_LeafTotalCost]]*Tasks[[#This Row],[_LeafProgress]],N(Tasks[[#This Row],[Actual Cost]])))</f>
        <v>0</v>
      </c>
      <c r="EL32" s="32" t="str">
        <f aca="false">IF(Tasks[[#This Row],[Task Name]]="","",LEFT(Tasks[[#This Row],[WBS]],FIND(".",Tasks[[#This Row],[WBS]]&amp;".")-1))</f>
        <v>5</v>
      </c>
      <c r="EM32" s="32" t="n">
        <f aca="false">IF(AND(Tasks[[#This Row],[Task Name]]&lt;&gt;"",Tasks[[#This Row],[_Level]]=1),Tasks[[#This Row],[_Row]],"")</f>
        <v>27</v>
      </c>
      <c r="EN32" s="32" t="str">
        <f aca="false">IF(AND(Tasks[[#This Row],[_IsLeaf]]=1,N(Tasks[[#This Row],[Duration]])=0),Tasks[[#This Row],[Planned Finish]]+Tasks[[#This Row],[_Row]]/100000,"")</f>
        <v/>
      </c>
      <c r="EO32" s="32" t="str">
        <f aca="false">IF(AND(Tasks[[#This Row],[_IsLeaf]]=1,Tasks[[#This Row],[_LeafProgress]]&lt;1,OR(N(Tasks[[#This Row],[Finish Var]])&gt;0,Tasks[[#This Row],[Status]]="Late Start")),MAX(0,Tasks[[#This Row],[Finish Var]])+1-Tasks[[#This Row],[_Row]]/1000000,"")</f>
        <v/>
      </c>
      <c r="EP32" s="32" t="str">
        <f aca="false">IF(AND(Tasks[[#This Row],[_IsLeaf]]=1,N(Tasks[[#This Row],[Actual Start]])=0,Tasks[[#This Row],[_ShownFcstStart]]&gt;=StatusDate,Tasks[[#This Row],[_ShownFcstStart]]&lt;=LookaheadEnd),Tasks[[#This Row],[_ShownFcstStart]]+Tasks[[#This Row],[_Row]]/100000,"")</f>
        <v/>
      </c>
      <c r="EQ32" s="32" t="str">
        <f aca="false">IF(AND(Tasks[[#This Row],[_IsLeaf]]=1,Tasks[[#This Row],[_LeafProgress]]&lt;1,Tasks[[#This Row],[_ShownFcstFinish]]&gt;=StatusDate,Tasks[[#This Row],[_ShownFcstFinish]]&lt;=LookaheadEnd),Tasks[[#This Row],[_ShownFcstFinish]]+Tasks[[#This Row],[_Row]]/100000,"")</f>
        <v/>
      </c>
      <c r="ER32" s="32" t="str">
        <f aca="false">IF(Tasks[[#This Row],[_LeafCritical]],Tasks[[#This Row],[_ShownFcstStart]]+Tasks[[#This Row],[_Row]]/100000,"")</f>
        <v/>
      </c>
      <c r="ES32" s="32" t="n">
        <f aca="false">Tasks[[#This Row],[_LeafWork]]*Tasks[[#This Row],[_LeafProgress]]</f>
        <v>0</v>
      </c>
      <c r="ET32" s="115" t="str">
        <f aca="false">IF(AND(Tasks[[#This Row],[_IsLeaf]]=1,Tasks[[#This Row],[_LeafProgress]]&gt;=1),IF(N(Tasks[[#This Row],[Actual Finish]])&gt;0,Tasks[[#This Row],[Actual Finish]],Tasks[[#This Row],[_ShownFcstFinish]]),"")</f>
        <v/>
      </c>
      <c r="EU32" s="32" t="n">
        <f aca="false">IF(Tasks[[#This Row],[_IsLeaf]]=1,N(Tasks[[#This Row],[Story Points]]),0)</f>
        <v>0</v>
      </c>
      <c r="EV32" s="32" t="str">
        <f aca="false">IF(AND(Tasks[[#This Row],[_IsLeaf]]=1,CurrentSprint&lt;&gt;"",Tasks[[#This Row],[Sprint]]=CurrentSprint),Tasks[[#This Row],[_Row]],"")</f>
        <v/>
      </c>
    </row>
    <row r="33" customFormat="false" ht="15" hidden="false" customHeight="false" outlineLevel="1" collapsed="false">
      <c r="A33" s="45" t="n">
        <f aca="false">IF(Tasks[[#This Row],[Task Name]]="","",COUNTA(Tasks[[#Headers],[Task Name]]:Tasks[[#This Row],[Task Name]])-1)</f>
        <v>28</v>
      </c>
      <c r="B33" s="46" t="n">
        <v>28</v>
      </c>
      <c r="C3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5.1</v>
      </c>
      <c r="D33" s="46" t="n">
        <v>2</v>
      </c>
      <c r="E33" s="45" t="str">
        <f aca="false">IF(Tasks[[#This Row],[Task Name]]="","",IF(Tasks[[#This Row],[_Level]]&lt;=OutlineShowLevel,"Yes","No"))</f>
        <v>Yes</v>
      </c>
      <c r="F33" s="47" t="s">
        <v>687</v>
      </c>
      <c r="G33" s="46" t="s">
        <v>688</v>
      </c>
      <c r="H33" s="46" t="n">
        <v>1</v>
      </c>
      <c r="I33" s="46"/>
      <c r="J33" s="46"/>
      <c r="K33" s="46"/>
      <c r="L33" s="46"/>
      <c r="M33" s="46"/>
      <c r="N33" s="46"/>
      <c r="O33" s="46"/>
      <c r="P33" s="46"/>
      <c r="Q33" s="46"/>
      <c r="R33" s="46"/>
      <c r="S33" s="46"/>
      <c r="T33" s="46"/>
      <c r="U33" s="47"/>
      <c r="V33" s="88" t="n">
        <v>46342</v>
      </c>
      <c r="W33" s="88"/>
      <c r="X33" s="25" t="n">
        <f aca="false">IF(Tasks[[#This Row],[Task Name]]="","",IF(N(Tasks[[#This Row],[Baseline Start]])&gt;0,Tasks[[#This Row],[Baseline Start]],Tasks[[#This Row],[_CalcStart]]))</f>
        <v>46342</v>
      </c>
      <c r="Y33" s="25" t="n">
        <f aca="false">IF(Tasks[[#This Row],[Task Name]]="","",IF(N(Tasks[[#This Row],[Baseline Finish]])&gt;0,Tasks[[#This Row],[Baseline Finish]],Tasks[[#This Row],[_CalcFinish]]))</f>
        <v>46342</v>
      </c>
      <c r="Z33" s="88"/>
      <c r="AA33" s="88"/>
      <c r="AB33" s="25" t="n">
        <f aca="false">IF(Tasks[[#This Row],[Task Name]]="","",IF(Tasks[[#This Row],[_IsSummary]],MIN(INDEX(Tasks[_ShownFcstStart],Tasks[[#This Row],[_Row]]+1):INDEX(Tasks[_ShownFcstStart],Tasks[[#This Row],[_Row]]+Tasks[[#This Row],[_Descendants]])),Tasks[[#This Row],[_ShownFcstStart]]))</f>
        <v>46342</v>
      </c>
      <c r="AC33" s="25" t="n">
        <f aca="false">IF(Tasks[[#This Row],[Task Name]]="","",IF(Tasks[[#This Row],[_IsSummary]],MAX(INDEX(Tasks[_ShownFcstFinish],Tasks[[#This Row],[_Row]]+1):INDEX(Tasks[_ShownFcstFinish],Tasks[[#This Row],[_Row]]+Tasks[[#This Row],[_Descendants]])),Tasks[[#This Row],[_ShownFcstFinish]]))</f>
        <v>46342</v>
      </c>
      <c r="AD33"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3"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3" s="25" t="n">
        <f aca="false">IF(Tasks[[#This Row],[Task Name]]="","",IF(Tasks[[#This Row],[_IsSummary]],MIN(INDEX(Tasks[_LeafLateStart],Tasks[[#This Row],[_Row]]+1):INDEX(Tasks[_LeafLateStart],Tasks[[#This Row],[_Row]]+Tasks[[#This Row],[_Descendants]])),Tasks[[#This Row],[_LeafLateStart]]))</f>
        <v>46393</v>
      </c>
      <c r="AG33" s="25" t="n">
        <f aca="false">IF(Tasks[[#This Row],[Task Name]]="","",IF(Tasks[[#This Row],[_IsSummary]],MAX(INDEX(Tasks[_LeafLateFinish],Tasks[[#This Row],[_Row]]+1):INDEX(Tasks[_LeafLateFinish],Tasks[[#This Row],[_Row]]+Tasks[[#This Row],[_Descendants]])),Tasks[[#This Row],[_LeafLateFinish]]))</f>
        <v>46393</v>
      </c>
      <c r="AH33" s="56" t="n">
        <f aca="false">IF(Tasks[[#This Row],[Task Name]]="","",IF(Tasks[[#This Row],[_IsSummary]],MIN(INDEX(Tasks[_LeafTotalSlack],Tasks[[#This Row],[_Row]]+1):INDEX(Tasks[_LeafTotalSlack],Tasks[[#This Row],[_Row]]+Tasks[[#This Row],[_Descendants]])),Tasks[[#This Row],[_LeafTotalSlack]]))</f>
        <v>33</v>
      </c>
      <c r="AI33"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33</v>
      </c>
      <c r="AJ33" s="45" t="str">
        <f aca="false">IF(Tasks[[#This Row],[Task Name]]="","",IF(IF(Tasks[[#This Row],[_IsSummary]],COUNTIF(INDEX(Tasks[_LeafCritical],Tasks[[#This Row],[_Row]]+1):INDEX(Tasks[_LeafCritical],Tasks[[#This Row],[_Row]]+Tasks[[#This Row],[_Descendants]]),TRUE())&gt;0,Tasks[[#This Row],[_LeafCritical]]),"Yes",""))</f>
        <v/>
      </c>
      <c r="AK3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3" s="102"/>
      <c r="AN33"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3" s="45" t="str">
        <f aca="false">IF(Tasks[[#This Row],[Task Name]]="","",IF(Tasks[[#This Row],[Progress]]&gt;=1,"Complete",IF(OR(N(Tasks[[#This Row],[Actual Start]])&gt;0,Tasks[[#This Row],[Progress]]&gt;0),IF(Tasks[[#This Row],[Finish Var]]&gt;0,"Behind","In Progress"),IF(Tasks[[#This Row],[Planned Start]]&lt;StatusDate,"Late Start","Not Started"))))</f>
        <v>Not Started</v>
      </c>
      <c r="AP33" s="47" t="s">
        <v>308</v>
      </c>
      <c r="AQ33" s="102"/>
      <c r="AR3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Priya Sharma</v>
      </c>
      <c r="AS3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3" s="110" t="n">
        <f aca="false">IF(Tasks[[#This Row],[Task Name]]="","",IF(Tasks[[#This Row],[_IsSummary]],SUM(INDEX(Tasks[_LeafTotalWork],Tasks[[#This Row],[_Row]]+1):INDEX(Tasks[_LeafTotalWork],Tasks[[#This Row],[_Row]]+Tasks[[#This Row],[_Descendants]])),Tasks[[#This Row],[_LeafTotalWork]]))</f>
        <v>8</v>
      </c>
      <c r="AU33" s="111" t="n">
        <f aca="false">IF(Tasks[[#This Row],[Task Name]]="","",IF(Tasks[[#This Row],[_IsSummary]],SUM(INDEX(Tasks[_LeafTotalCost],Tasks[[#This Row],[_Row]]+1):INDEX(Tasks[_LeafTotalCost],Tasks[[#This Row],[_Row]]+Tasks[[#This Row],[_Descendants]])),Tasks[[#This Row],[_LeafTotalCost]]))</f>
        <v>760</v>
      </c>
      <c r="AV33" s="112"/>
      <c r="AW33" s="46"/>
      <c r="AX3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6</v>
      </c>
      <c r="AY33" s="96" t="n">
        <v>1</v>
      </c>
      <c r="AZ3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3" s="47" t="s">
        <v>689</v>
      </c>
      <c r="BB33" s="25" t="n">
        <f aca="false">IF(Tasks[[#This Row],[Task Name]]="","",Tasks[[#This Row],[Forecast Start]])</f>
        <v>46342</v>
      </c>
      <c r="BC33" s="25" t="n">
        <f aca="false">IF(Tasks[[#This Row],[Task Name]]="","",Tasks[[#This Row],[Forecast Finish]])</f>
        <v>46342</v>
      </c>
      <c r="BD33" s="45" t="n">
        <f aca="false">IF(Tasks[[#This Row],[Task Name]]="","",IF(Tasks[[#This Row],[_IsSummary]],NETWORKDAYS.INTL(Tasks[[#This Row],[Forecast Start]],Tasks[[#This Row],[Forecast Finish]],WorkWeek,Holidays),N(Tasks[[#This Row],[Duration]])))</f>
        <v>1</v>
      </c>
      <c r="BE33" s="110" t="n">
        <f aca="false">IF(Tasks[[#This Row],[Task Name]]="","",Tasks[[#This Row],[Work]])</f>
        <v>8</v>
      </c>
      <c r="BF33" s="111" t="n">
        <f aca="false">IF(Tasks[[#This Row],[Task Name]]="","",Tasks[[#This Row],[Cost]])</f>
        <v>760</v>
      </c>
      <c r="BG33" s="88"/>
      <c r="BH33" s="88"/>
      <c r="BI33" s="46"/>
      <c r="BJ33" s="113"/>
      <c r="BK33" s="112"/>
      <c r="BL33" s="45" t="str">
        <f aca="false">IF(OR(Tasks[[#This Row],[Task Name]]="",Tasks[[#This Row],[Baseline Duration]]=""),"",Tasks[[#This Row],[BL Source Duration]]-N(Tasks[[#This Row],[Baseline Duration]]))</f>
        <v/>
      </c>
      <c r="BM33" s="110" t="str">
        <f aca="false">IF(OR(Tasks[[#This Row],[Task Name]]="",Tasks[[#This Row],[Baseline Work]]=""),"",Tasks[[#This Row],[Work]]-N(Tasks[[#This Row],[Baseline Work]]))</f>
        <v/>
      </c>
      <c r="BN33" s="111" t="str">
        <f aca="false">IF(OR(Tasks[[#This Row],[Task Name]]="",Tasks[[#This Row],[Baseline Cost]]=""),"",Tasks[[#This Row],[Cost]]-N(Tasks[[#This Row],[Baseline Cost]]))</f>
        <v/>
      </c>
      <c r="BO33" s="111" t="n">
        <f aca="false">IF(Tasks[[#This Row],[Task Name]]="","",IF(Tasks[[#This Row],[_IsSummary]],SUM(INDEX(Tasks[_LeafBudget],Tasks[[#This Row],[_Row]]+1):INDEX(Tasks[_LeafBudget],Tasks[[#This Row],[_Row]]+Tasks[[#This Row],[_Descendants]])),Tasks[[#This Row],[_LeafBudget]]))</f>
        <v>760</v>
      </c>
      <c r="BP33" s="111" t="n">
        <f aca="false">IF(Tasks[[#This Row],[Task Name]]="","",IF(Tasks[[#This Row],[_IsSummary]],SUM(INDEX(Tasks[_LeafPV],Tasks[[#This Row],[_Row]]+1):INDEX(Tasks[_LeafPV],Tasks[[#This Row],[_Row]]+Tasks[[#This Row],[_Descendants]])),Tasks[[#This Row],[_LeafPV]]))</f>
        <v>0</v>
      </c>
      <c r="BQ33" s="111" t="n">
        <f aca="false">IF(Tasks[[#This Row],[Task Name]]="","",IF(Tasks[[#This Row],[_IsSummary]],SUM(INDEX(Tasks[_LeafEV],Tasks[[#This Row],[_Row]]+1):INDEX(Tasks[_LeafEV],Tasks[[#This Row],[_Row]]+Tasks[[#This Row],[_Descendants]])),Tasks[[#This Row],[_LeafEV]]))</f>
        <v>0</v>
      </c>
      <c r="BR33" s="111" t="n">
        <f aca="false">IF(Tasks[[#This Row],[Task Name]]="","",IF(Tasks[[#This Row],[_IsSummary]],SUM(INDEX(Tasks[_LeafAC],Tasks[[#This Row],[_Row]]+1):INDEX(Tasks[_LeafAC],Tasks[[#This Row],[_Row]]+Tasks[[#This Row],[_Descendants]])),Tasks[[#This Row],[_LeafAC]]))</f>
        <v>0</v>
      </c>
      <c r="BS33" s="32" t="n">
        <f aca="false">IF(Tasks[[#This Row],[Task Name]]="","",MAX(1,N(Tasks[[#This Row],[Level]])))</f>
        <v>2</v>
      </c>
      <c r="BT33" s="32" t="n">
        <f aca="false">ROW()-ROW(Tasks[[#Headers],[ID]])</f>
        <v>28</v>
      </c>
      <c r="BU33" s="32" t="n">
        <f aca="false">IF(OR(Tasks[[#This Row],[Task Name]]="",Tasks[[#This Row],[_Level]]&lt;=1),0,IFERROR(LOOKUP(2,1/(Tasks[[#Headers],[_Level]]:Tasks[[#This Row],[_Level]]=Tasks[[#This Row],[_Level]]-1),ROW(Tasks[[#Headers],[_Level]]:Tasks[[#This Row],[_Level]])),0))</f>
        <v>32</v>
      </c>
      <c r="BV33" s="32" t="n">
        <f aca="false">IFERROR(N(INDEX(Tasks[_Level],Tasks[[#This Row],[_Row]]+1)),0)</f>
        <v>2</v>
      </c>
      <c r="BW33" s="114" t="b">
        <f aca="false">AND(Tasks[[#This Row],[Task Name]]&lt;&gt;"",Tasks[[#This Row],[_NextLevel]]&gt;Tasks[[#This Row],[_Level]])</f>
        <v>0</v>
      </c>
      <c r="BX33" s="32" t="n">
        <f aca="false">IF(Tasks[[#This Row],[_IsSummary]],COUNTIF(Tasks[WBS],Tasks[[#This Row],[WBS]]&amp;".*"),0)</f>
        <v>0</v>
      </c>
      <c r="BY33" s="32" t="n">
        <f aca="false">IF(AND(Tasks[[#This Row],[Task Name]]&lt;&gt;"",NOT(Tasks[[#This Row],[_IsSummary]])),1,0)</f>
        <v>1</v>
      </c>
      <c r="BZ33" s="32" t="n">
        <f aca="false">IF(N(Tasks[[#This Row],[Pred1 UID]])=0,0,IFERROR(MATCH(Tasks[[#This Row],[Pred1 UID]],Tasks[UID],0),-1))</f>
        <v>0</v>
      </c>
      <c r="CA33" s="32" t="n">
        <f aca="false">IF(N(Tasks[[#This Row],[Pred2 UID]])=0,0,IFERROR(MATCH(Tasks[[#This Row],[Pred2 UID]],Tasks[UID],0),-1))</f>
        <v>0</v>
      </c>
      <c r="CB33" s="32" t="n">
        <f aca="false">IF(N(Tasks[[#This Row],[Pred3 UID]])=0,0,IFERROR(MATCH(Tasks[[#This Row],[Pred3 UID]],Tasks[UID],0),-1))</f>
        <v>0</v>
      </c>
      <c r="CC33" s="32" t="n">
        <f aca="false">IF(N(Tasks[[#This Row],[Pred4 UID]])=0,0,IFERROR(MATCH(Tasks[[#This Row],[Pred4 UID]],Tasks[UID],0),-1))</f>
        <v>0</v>
      </c>
      <c r="CD33"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4</v>
      </c>
      <c r="CE3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46342</v>
      </c>
      <c r="CF33" s="115" t="n">
        <f aca="false">IF(OR(Tasks[[#This Row],[_ConstraintCode]]=2,Tasks[[#This Row],[_ConstraintCode]]=3,Tasks[[#This Row],[_ConstraintCode]]=4,Tasks[[#This Row],[_ConstraintCode]]=6),Tasks[[#This Row],[_ConstraintStart]],0)</f>
        <v>46342</v>
      </c>
      <c r="CG33" s="115" t="n">
        <f aca="false">IF(OR(Tasks[[#This Row],[_ConstraintCode]]=2,Tasks[[#This Row],[_ConstraintCode]]=3,Tasks[[#This Row],[_ConstraintCode]]=5,Tasks[[#This Row],[_ConstraintCode]]=7),Tasks[[#This Row],[_ConstraintStart]],2958465)</f>
        <v>2958465</v>
      </c>
      <c r="CH33"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46342</v>
      </c>
      <c r="CI33" s="115" t="n">
        <f aca="false">IF(NOT(Tasks[[#This Row],[_IsLeaf]]=1),"",IF(N(Tasks[[#This Row],[Duration]])&lt;=0,Tasks[[#This Row],[_LeafCalcStart]],WORKDAY.INTL(Tasks[[#This Row],[_LeafCalcStart]],Tasks[[#This Row],[Duration]]-1,WorkWeek,Holidays)))</f>
        <v>46342</v>
      </c>
      <c r="CJ33"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46342</v>
      </c>
      <c r="CK33"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46342</v>
      </c>
      <c r="CL33" s="32" t="n">
        <f aca="false">IF(NOT(Tasks[[#This Row],[_IsLeaf]]=1),0,IF(N(Tasks[[#This Row],[Actual Finish]])&gt;0,1,MIN(1,N(Tasks[[#This Row],[% Complete]]))))</f>
        <v>0</v>
      </c>
      <c r="CM33" s="32" t="n">
        <f aca="false">IF(OR(NOT(Tasks[[#This Row],[_IsLeaf]]=1),Tasks[[#This Row],[Resource]]=""),0,N(Tasks[[#This Row],[Duration]])*HoursPerDay*IF(Tasks[[#This Row],[Units]]="",DefaultUnits,Tasks[[#This Row],[Units]]))</f>
        <v>8</v>
      </c>
      <c r="CN33" s="32" t="n">
        <f aca="false">IF(Tasks[[#This Row],[_LeafWork]]=0,0,Tasks[[#This Row],[_LeafWork]]*IFERROR(INDEX(res_Rate,MATCH(Tasks[[#This Row],[Resource]],res_Name,0)),0))</f>
        <v>760</v>
      </c>
      <c r="CO33" s="32" t="n">
        <f aca="false">Tasks[[#This Row],[_LeafWork]]+IF(Tasks[[#This Row],[_IsLeaf]]=1,SUMIFS(asg_Work,asg_TaskUID,Tasks[[#This Row],[UID]],asg_Valid,1),0)</f>
        <v>8</v>
      </c>
      <c r="CP33" s="32" t="n">
        <f aca="false">Tasks[[#This Row],[_LeafCost]]+IF(Tasks[[#This Row],[_IsLeaf]]=1,SUMIFS(asg_Cost,asg_TaskUID,Tasks[[#This Row],[UID]],asg_Valid,1),0)</f>
        <v>760</v>
      </c>
      <c r="CQ33" s="32" t="n">
        <f aca="false">IF(Tasks[[#This Row],[_LeafTotalCost]]=0,Tasks[[#This Row],[_LeafAC]],Tasks[[#This Row],[_LeafAC]]*Tasks[[#This Row],[_LeafCost]]/Tasks[[#This Row],[_LeafTotalCost]])</f>
        <v>0</v>
      </c>
      <c r="CR3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3" s="32" t="n">
        <f aca="false">IF(NOT(Tasks[[#This Row],[_IsLeaf]]=1),0,MAX(_xlfn.MAXIFS(Tasks[_Row],Tasks[Pred1 UID],Tasks[[#This Row],[UID]]),_xlfn.MAXIFS(Tasks[_Row],Tasks[Pred2 UID],Tasks[[#This Row],[UID]]),_xlfn.MAXIFS(Tasks[_Row],Tasks[Pred3 UID],Tasks[[#This Row],[UID]]),_xlfn.MAXIFS(Tasks[_Row],Tasks[Pred4 UID],Tasks[[#This Row],[UID]])))</f>
        <v>0</v>
      </c>
      <c r="DA33"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2958465</v>
      </c>
      <c r="DB33"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DC33" s="115" t="n">
        <f aca="false">IF(NOT(Tasks[[#This Row],[_IsLeaf]]=1),"",IF(N(Tasks[[#This Row],[Duration]])&lt;=0,Tasks[[#This Row],[_LeafLateFinish]],WORKDAY.INTL(Tasks[[#This Row],[_LeafLateFinish]],-(Tasks[[#This Row],[Duration]]-1),WorkWeek,Holidays)))</f>
        <v>46393</v>
      </c>
      <c r="DD33"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33</v>
      </c>
      <c r="DE33" s="114" t="b">
        <f aca="false">AND(Tasks[[#This Row],[_IsLeaf]]=1,Tasks[[#This Row],[_LeafProgress]]&lt;1,N(Tasks[[#This Row],[_LeafTotalSlack]])&lt;=CriticalSlackDays)</f>
        <v>0</v>
      </c>
      <c r="DF33" s="32" t="n">
        <f aca="false">IF(AND(Tasks[[#This Row],[_IsLeaf]]=1,Tasks[[#This Row],[_ConstraintCode]]=1,Tasks[[#This Row],[Mode]]&lt;&gt;"Manual",N(Tasks[[#This Row],[Actual Start]])=0),MAX(0,N(Tasks[[#This Row],[Free Slack]])),0)</f>
        <v>0</v>
      </c>
      <c r="DG33" s="115" t="n">
        <f aca="false">IF(NOT(Tasks[[#This Row],[_IsLeaf]]=1),"",IF(Tasks[[#This Row],[_AlapShift]]=0,Tasks[[#This Row],[_LeafCalcStart]],WORKDAY.INTL(Tasks[[#This Row],[_LeafCalcStart]],Tasks[[#This Row],[_AlapShift]],WorkWeek,Holidays)))</f>
        <v>46342</v>
      </c>
      <c r="DH33" s="115" t="n">
        <f aca="false">IF(NOT(Tasks[[#This Row],[_IsLeaf]]=1),"",IF(Tasks[[#This Row],[_AlapShift]]=0,Tasks[[#This Row],[_LeafCalcFinish]],WORKDAY.INTL(Tasks[[#This Row],[_LeafCalcFinish]],Tasks[[#This Row],[_AlapShift]],WorkWeek,Holidays)))</f>
        <v>46342</v>
      </c>
      <c r="DI33" s="115" t="n">
        <f aca="false">IF(NOT(Tasks[[#This Row],[_IsLeaf]]=1),"",IF(Tasks[[#This Row],[_AlapShift]]=0,Tasks[[#This Row],[_LeafFcstStart]],WORKDAY.INTL(Tasks[[#This Row],[_LeafFcstStart]],Tasks[[#This Row],[_AlapShift]],WorkWeek,Holidays)))</f>
        <v>46342</v>
      </c>
      <c r="DJ33" s="115" t="n">
        <f aca="false">IF(NOT(Tasks[[#This Row],[_IsLeaf]]=1),"",IF(Tasks[[#This Row],[_AlapShift]]=0,Tasks[[#This Row],[_LeafFcstFinish]],WORKDAY.INTL(Tasks[[#This Row],[_LeafFcstFinish]],Tasks[[#This Row],[_AlapShift]],WorkWeek,Holidays)))</f>
        <v>46342</v>
      </c>
      <c r="DK33" s="115" t="n">
        <f aca="false">IF(Tasks[[#This Row],[Task Name]]="","",IF(Tasks[[#This Row],[_IsSummary]],MIN(INDEX(Tasks[_ShownCalcStart],Tasks[[#This Row],[_Row]]+1):INDEX(Tasks[_ShownCalcStart],Tasks[[#This Row],[_Row]]+Tasks[[#This Row],[_Descendants]])),Tasks[[#This Row],[_ShownCalcStart]]))</f>
        <v>46342</v>
      </c>
      <c r="DL33" s="115" t="n">
        <f aca="false">IF(Tasks[[#This Row],[Task Name]]="","",IF(Tasks[[#This Row],[_IsSummary]],MAX(INDEX(Tasks[_ShownCalcFinish],Tasks[[#This Row],[_Row]]+1):INDEX(Tasks[_ShownCalcFinish],Tasks[[#This Row],[_Row]]+Tasks[[#This Row],[_Descendants]])),Tasks[[#This Row],[_ShownCalcFinish]]))</f>
        <v>46342</v>
      </c>
      <c r="DM3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3" s="32" t="n">
        <f aca="false">IF(AND(Tasks[[#This Row],[_IsLeaf]]=1,Tasks[[#This Row],[_LeafTotalWork]]&gt;0),NETWORKDAYS.INTL(ProjectStart,Tasks[[#This Row],[_ShownFcstStart]],WorkWeek,Holidays),0)</f>
        <v>51</v>
      </c>
      <c r="DZ33" s="32" t="n">
        <f aca="false">IF(AND(Tasks[[#This Row],[_IsLeaf]]=1,Tasks[[#This Row],[_LeafTotalWork]]&gt;0),MAX(Tasks[[#This Row],[_StartWorkday]],NETWORKDAYS.INTL(ProjectStart,Tasks[[#This Row],[_ShownFcstFinish]],WorkWeek,Holidays)),0)</f>
        <v>51</v>
      </c>
      <c r="EA33" s="32" t="n">
        <f aca="false">IF(AND(Tasks[[#This Row],[_IsLeaf]]=1,Tasks[[#This Row],[_LeafTotalWork]]&gt;0),Tasks[[#This Row],[_LeafWork]]/(Tasks[[#This Row],[_FinishWorkday]]-Tasks[[#This Row],[_StartWorkday]]+1),0)</f>
        <v>8</v>
      </c>
      <c r="EB33" s="32" t="n">
        <f aca="false">Tasks[[#This Row],[_WorkPerWorkday]]*(Tasks[[#This Row],[_StartWorkday]]-1)</f>
        <v>400</v>
      </c>
      <c r="EC33" s="32" t="n">
        <f aca="false">IF(Tasks[[#This Row],[_IsLeaf]]=1,MAX(N(Tasks[[#This Row],[Duration]]),0.1),0)</f>
        <v>1</v>
      </c>
      <c r="ED33" s="32" t="n">
        <f aca="false">Tasks[[#This Row],[_WeightDur]]*Tasks[[#This Row],[_LeafProgress]]</f>
        <v>0</v>
      </c>
      <c r="EE3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3" s="32" t="str">
        <f aca="false">IF(AND(Tasks[[#This Row],[_IsLeaf]]=1,N(Tasks[[#This Row],[Duration]])=0,Tasks[[#This Row],[_LeafProgress]]&lt;1),Tasks[[#This Row],[_ShownFcstFinish]]+Tasks[[#This Row],[_Row]]/100000,"")</f>
        <v/>
      </c>
      <c r="EG3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3" s="32" t="n">
        <f aca="false">IF(NOT(Tasks[[#This Row],[_IsLeaf]]=1),0,IF(Tasks[[#This Row],[Baseline Cost]]="",Tasks[[#This Row],[_LeafTotalCost]],N(Tasks[[#This Row],[Baseline Cost]])))</f>
        <v>760</v>
      </c>
      <c r="EI33" s="32" t="n">
        <f aca="false">Tasks[[#This Row],[_LeafBudget]]*Tasks[[#This Row],[_PlannedPct]]</f>
        <v>0</v>
      </c>
      <c r="EJ33" s="32" t="n">
        <f aca="false">Tasks[[#This Row],[_LeafBudget]]*Tasks[[#This Row],[_LeafProgress]]</f>
        <v>0</v>
      </c>
      <c r="EK33" s="32" t="n">
        <f aca="false">IF(NOT(Tasks[[#This Row],[_IsLeaf]]=1),0,IF(Tasks[[#This Row],[Actual Cost]]="",Tasks[[#This Row],[_LeafTotalCost]]*Tasks[[#This Row],[_LeafProgress]],N(Tasks[[#This Row],[Actual Cost]])))</f>
        <v>0</v>
      </c>
      <c r="EL33" s="32" t="str">
        <f aca="false">IF(Tasks[[#This Row],[Task Name]]="","",LEFT(Tasks[[#This Row],[WBS]],FIND(".",Tasks[[#This Row],[WBS]]&amp;".")-1))</f>
        <v>5</v>
      </c>
      <c r="EM33" s="32" t="str">
        <f aca="false">IF(AND(Tasks[[#This Row],[Task Name]]&lt;&gt;"",Tasks[[#This Row],[_Level]]=1),Tasks[[#This Row],[_Row]],"")</f>
        <v/>
      </c>
      <c r="EN33" s="32" t="str">
        <f aca="false">IF(AND(Tasks[[#This Row],[_IsLeaf]]=1,N(Tasks[[#This Row],[Duration]])=0),Tasks[[#This Row],[Planned Finish]]+Tasks[[#This Row],[_Row]]/100000,"")</f>
        <v/>
      </c>
      <c r="EO33" s="32" t="str">
        <f aca="false">IF(AND(Tasks[[#This Row],[_IsLeaf]]=1,Tasks[[#This Row],[_LeafProgress]]&lt;1,OR(N(Tasks[[#This Row],[Finish Var]])&gt;0,Tasks[[#This Row],[Status]]="Late Start")),MAX(0,Tasks[[#This Row],[Finish Var]])+1-Tasks[[#This Row],[_Row]]/1000000,"")</f>
        <v/>
      </c>
      <c r="EP33" s="32" t="str">
        <f aca="false">IF(AND(Tasks[[#This Row],[_IsLeaf]]=1,N(Tasks[[#This Row],[Actual Start]])=0,Tasks[[#This Row],[_ShownFcstStart]]&gt;=StatusDate,Tasks[[#This Row],[_ShownFcstStart]]&lt;=LookaheadEnd),Tasks[[#This Row],[_ShownFcstStart]]+Tasks[[#This Row],[_Row]]/100000,"")</f>
        <v/>
      </c>
      <c r="EQ33" s="32" t="str">
        <f aca="false">IF(AND(Tasks[[#This Row],[_IsLeaf]]=1,Tasks[[#This Row],[_LeafProgress]]&lt;1,Tasks[[#This Row],[_ShownFcstFinish]]&gt;=StatusDate,Tasks[[#This Row],[_ShownFcstFinish]]&lt;=LookaheadEnd),Tasks[[#This Row],[_ShownFcstFinish]]+Tasks[[#This Row],[_Row]]/100000,"")</f>
        <v/>
      </c>
      <c r="ER33" s="32" t="str">
        <f aca="false">IF(Tasks[[#This Row],[_LeafCritical]],Tasks[[#This Row],[_ShownFcstStart]]+Tasks[[#This Row],[_Row]]/100000,"")</f>
        <v/>
      </c>
      <c r="ES33" s="32" t="n">
        <f aca="false">Tasks[[#This Row],[_LeafWork]]*Tasks[[#This Row],[_LeafProgress]]</f>
        <v>0</v>
      </c>
      <c r="ET33" s="115" t="str">
        <f aca="false">IF(AND(Tasks[[#This Row],[_IsLeaf]]=1,Tasks[[#This Row],[_LeafProgress]]&gt;=1),IF(N(Tasks[[#This Row],[Actual Finish]])&gt;0,Tasks[[#This Row],[Actual Finish]],Tasks[[#This Row],[_ShownFcstFinish]]),"")</f>
        <v/>
      </c>
      <c r="EU33" s="32" t="n">
        <f aca="false">IF(Tasks[[#This Row],[_IsLeaf]]=1,N(Tasks[[#This Row],[Story Points]]),0)</f>
        <v>1</v>
      </c>
      <c r="EV33" s="32" t="str">
        <f aca="false">IF(AND(Tasks[[#This Row],[_IsLeaf]]=1,CurrentSprint&lt;&gt;"",Tasks[[#This Row],[Sprint]]=CurrentSprint),Tasks[[#This Row],[_Row]],"")</f>
        <v/>
      </c>
    </row>
    <row r="34" customFormat="false" ht="15" hidden="false" customHeight="false" outlineLevel="1" collapsed="false">
      <c r="A34" s="45" t="n">
        <f aca="false">IF(Tasks[[#This Row],[Task Name]]="","",COUNTA(Tasks[[#Headers],[Task Name]]:Tasks[[#This Row],[Task Name]])-1)</f>
        <v>29</v>
      </c>
      <c r="B34" s="46" t="n">
        <v>29</v>
      </c>
      <c r="C3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5.2</v>
      </c>
      <c r="D34" s="46" t="n">
        <v>2</v>
      </c>
      <c r="E34" s="45" t="str">
        <f aca="false">IF(Tasks[[#This Row],[Task Name]]="","",IF(Tasks[[#This Row],[_Level]]&lt;=OutlineShowLevel,"Yes","No"))</f>
        <v>Yes</v>
      </c>
      <c r="F34" s="47" t="s">
        <v>690</v>
      </c>
      <c r="G34" s="46" t="s">
        <v>642</v>
      </c>
      <c r="H34" s="46" t="n">
        <v>2</v>
      </c>
      <c r="I34" s="46" t="n">
        <v>26</v>
      </c>
      <c r="J34" s="46" t="s">
        <v>647</v>
      </c>
      <c r="K34" s="46"/>
      <c r="L34" s="46"/>
      <c r="M34" s="46"/>
      <c r="N34" s="46"/>
      <c r="O34" s="46"/>
      <c r="P34" s="46"/>
      <c r="Q34" s="46"/>
      <c r="R34" s="46"/>
      <c r="S34" s="46"/>
      <c r="T34" s="46"/>
      <c r="U34" s="47"/>
      <c r="V34" s="88"/>
      <c r="W34" s="88"/>
      <c r="X34" s="25" t="n">
        <f aca="false">IF(Tasks[[#This Row],[Task Name]]="","",IF(N(Tasks[[#This Row],[Baseline Start]])&gt;0,Tasks[[#This Row],[Baseline Start]],Tasks[[#This Row],[_CalcStart]]))</f>
        <v>46392</v>
      </c>
      <c r="Y34" s="25" t="n">
        <f aca="false">IF(Tasks[[#This Row],[Task Name]]="","",IF(N(Tasks[[#This Row],[Baseline Finish]])&gt;0,Tasks[[#This Row],[Baseline Finish]],Tasks[[#This Row],[_CalcFinish]]))</f>
        <v>46393</v>
      </c>
      <c r="Z34" s="88"/>
      <c r="AA34" s="88"/>
      <c r="AB34" s="25" t="n">
        <f aca="false">IF(Tasks[[#This Row],[Task Name]]="","",IF(Tasks[[#This Row],[_IsSummary]],MIN(INDEX(Tasks[_ShownFcstStart],Tasks[[#This Row],[_Row]]+1):INDEX(Tasks[_ShownFcstStart],Tasks[[#This Row],[_Row]]+Tasks[[#This Row],[_Descendants]])),Tasks[[#This Row],[_ShownFcstStart]]))</f>
        <v>46392</v>
      </c>
      <c r="AC34" s="25" t="n">
        <f aca="false">IF(Tasks[[#This Row],[Task Name]]="","",IF(Tasks[[#This Row],[_IsSummary]],MAX(INDEX(Tasks[_ShownFcstFinish],Tasks[[#This Row],[_Row]]+1):INDEX(Tasks[_ShownFcstFinish],Tasks[[#This Row],[_Row]]+Tasks[[#This Row],[_Descendants]])),Tasks[[#This Row],[_ShownFcstFinish]]))</f>
        <v>46393</v>
      </c>
      <c r="AD34"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4"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4" s="25" t="n">
        <f aca="false">IF(Tasks[[#This Row],[Task Name]]="","",IF(Tasks[[#This Row],[_IsSummary]],MIN(INDEX(Tasks[_LeafLateStart],Tasks[[#This Row],[_Row]]+1):INDEX(Tasks[_LeafLateStart],Tasks[[#This Row],[_Row]]+Tasks[[#This Row],[_Descendants]])),Tasks[[#This Row],[_LeafLateStart]]))</f>
        <v>46392</v>
      </c>
      <c r="AG34" s="25" t="n">
        <f aca="false">IF(Tasks[[#This Row],[Task Name]]="","",IF(Tasks[[#This Row],[_IsSummary]],MAX(INDEX(Tasks[_LeafLateFinish],Tasks[[#This Row],[_Row]]+1):INDEX(Tasks[_LeafLateFinish],Tasks[[#This Row],[_Row]]+Tasks[[#This Row],[_Descendants]])),Tasks[[#This Row],[_LeafLateFinish]]))</f>
        <v>46393</v>
      </c>
      <c r="AH34" s="56" t="n">
        <f aca="false">IF(Tasks[[#This Row],[Task Name]]="","",IF(Tasks[[#This Row],[_IsSummary]],MIN(INDEX(Tasks[_LeafTotalSlack],Tasks[[#This Row],[_Row]]+1):INDEX(Tasks[_LeafTotalSlack],Tasks[[#This Row],[_Row]]+Tasks[[#This Row],[_Descendants]])),Tasks[[#This Row],[_LeafTotalSlack]]))</f>
        <v>0</v>
      </c>
      <c r="AI34"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34" s="45" t="str">
        <f aca="false">IF(Tasks[[#This Row],[Task Name]]="","",IF(IF(Tasks[[#This Row],[_IsSummary]],COUNTIF(INDEX(Tasks[_LeafCritical],Tasks[[#This Row],[_Row]]+1):INDEX(Tasks[_LeafCritical],Tasks[[#This Row],[_Row]]+Tasks[[#This Row],[_Descendants]]),TRUE())&gt;0,Tasks[[#This Row],[_LeafCritical]]),"Yes",""))</f>
        <v>Yes</v>
      </c>
      <c r="AK3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4" s="102"/>
      <c r="AN34"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4" s="45" t="str">
        <f aca="false">IF(Tasks[[#This Row],[Task Name]]="","",IF(Tasks[[#This Row],[Progress]]&gt;=1,"Complete",IF(OR(N(Tasks[[#This Row],[Actual Start]])&gt;0,Tasks[[#This Row],[Progress]]&gt;0),IF(Tasks[[#This Row],[Finish Var]]&gt;0,"Behind","In Progress"),IF(Tasks[[#This Row],[Planned Start]]&lt;StatusDate,"Late Start","Not Started"))))</f>
        <v>Not Started</v>
      </c>
      <c r="AP34" s="47" t="s">
        <v>308</v>
      </c>
      <c r="AQ34" s="102"/>
      <c r="AR3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Priya Sharma</v>
      </c>
      <c r="AS3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4" s="110" t="n">
        <f aca="false">IF(Tasks[[#This Row],[Task Name]]="","",IF(Tasks[[#This Row],[_IsSummary]],SUM(INDEX(Tasks[_LeafTotalWork],Tasks[[#This Row],[_Row]]+1):INDEX(Tasks[_LeafTotalWork],Tasks[[#This Row],[_Row]]+Tasks[[#This Row],[_Descendants]])),Tasks[[#This Row],[_LeafTotalWork]]))</f>
        <v>16</v>
      </c>
      <c r="AU34" s="111" t="n">
        <f aca="false">IF(Tasks[[#This Row],[Task Name]]="","",IF(Tasks[[#This Row],[_IsSummary]],SUM(INDEX(Tasks[_LeafTotalCost],Tasks[[#This Row],[_Row]]+1):INDEX(Tasks[_LeafTotalCost],Tasks[[#This Row],[_Row]]+Tasks[[#This Row],[_Descendants]])),Tasks[[#This Row],[_LeafTotalCost]]))</f>
        <v>1520</v>
      </c>
      <c r="AV34" s="112"/>
      <c r="AW34" s="46"/>
      <c r="AX3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9</v>
      </c>
      <c r="AY34" s="96" t="n">
        <v>2</v>
      </c>
      <c r="AZ3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26</v>
      </c>
      <c r="BA34" s="47"/>
      <c r="BB34" s="25" t="n">
        <f aca="false">IF(Tasks[[#This Row],[Task Name]]="","",Tasks[[#This Row],[Forecast Start]])</f>
        <v>46392</v>
      </c>
      <c r="BC34" s="25" t="n">
        <f aca="false">IF(Tasks[[#This Row],[Task Name]]="","",Tasks[[#This Row],[Forecast Finish]])</f>
        <v>46393</v>
      </c>
      <c r="BD34" s="45" t="n">
        <f aca="false">IF(Tasks[[#This Row],[Task Name]]="","",IF(Tasks[[#This Row],[_IsSummary]],NETWORKDAYS.INTL(Tasks[[#This Row],[Forecast Start]],Tasks[[#This Row],[Forecast Finish]],WorkWeek,Holidays),N(Tasks[[#This Row],[Duration]])))</f>
        <v>2</v>
      </c>
      <c r="BE34" s="110" t="n">
        <f aca="false">IF(Tasks[[#This Row],[Task Name]]="","",Tasks[[#This Row],[Work]])</f>
        <v>16</v>
      </c>
      <c r="BF34" s="111" t="n">
        <f aca="false">IF(Tasks[[#This Row],[Task Name]]="","",Tasks[[#This Row],[Cost]])</f>
        <v>1520</v>
      </c>
      <c r="BG34" s="88"/>
      <c r="BH34" s="88"/>
      <c r="BI34" s="46"/>
      <c r="BJ34" s="113"/>
      <c r="BK34" s="112"/>
      <c r="BL34" s="45" t="str">
        <f aca="false">IF(OR(Tasks[[#This Row],[Task Name]]="",Tasks[[#This Row],[Baseline Duration]]=""),"",Tasks[[#This Row],[BL Source Duration]]-N(Tasks[[#This Row],[Baseline Duration]]))</f>
        <v/>
      </c>
      <c r="BM34" s="110" t="str">
        <f aca="false">IF(OR(Tasks[[#This Row],[Task Name]]="",Tasks[[#This Row],[Baseline Work]]=""),"",Tasks[[#This Row],[Work]]-N(Tasks[[#This Row],[Baseline Work]]))</f>
        <v/>
      </c>
      <c r="BN34" s="111" t="str">
        <f aca="false">IF(OR(Tasks[[#This Row],[Task Name]]="",Tasks[[#This Row],[Baseline Cost]]=""),"",Tasks[[#This Row],[Cost]]-N(Tasks[[#This Row],[Baseline Cost]]))</f>
        <v/>
      </c>
      <c r="BO34" s="111" t="n">
        <f aca="false">IF(Tasks[[#This Row],[Task Name]]="","",IF(Tasks[[#This Row],[_IsSummary]],SUM(INDEX(Tasks[_LeafBudget],Tasks[[#This Row],[_Row]]+1):INDEX(Tasks[_LeafBudget],Tasks[[#This Row],[_Row]]+Tasks[[#This Row],[_Descendants]])),Tasks[[#This Row],[_LeafBudget]]))</f>
        <v>1520</v>
      </c>
      <c r="BP34" s="111" t="n">
        <f aca="false">IF(Tasks[[#This Row],[Task Name]]="","",IF(Tasks[[#This Row],[_IsSummary]],SUM(INDEX(Tasks[_LeafPV],Tasks[[#This Row],[_Row]]+1):INDEX(Tasks[_LeafPV],Tasks[[#This Row],[_Row]]+Tasks[[#This Row],[_Descendants]])),Tasks[[#This Row],[_LeafPV]]))</f>
        <v>0</v>
      </c>
      <c r="BQ34" s="111" t="n">
        <f aca="false">IF(Tasks[[#This Row],[Task Name]]="","",IF(Tasks[[#This Row],[_IsSummary]],SUM(INDEX(Tasks[_LeafEV],Tasks[[#This Row],[_Row]]+1):INDEX(Tasks[_LeafEV],Tasks[[#This Row],[_Row]]+Tasks[[#This Row],[_Descendants]])),Tasks[[#This Row],[_LeafEV]]))</f>
        <v>0</v>
      </c>
      <c r="BR34" s="111" t="n">
        <f aca="false">IF(Tasks[[#This Row],[Task Name]]="","",IF(Tasks[[#This Row],[_IsSummary]],SUM(INDEX(Tasks[_LeafAC],Tasks[[#This Row],[_Row]]+1):INDEX(Tasks[_LeafAC],Tasks[[#This Row],[_Row]]+Tasks[[#This Row],[_Descendants]])),Tasks[[#This Row],[_LeafAC]]))</f>
        <v>0</v>
      </c>
      <c r="BS34" s="32" t="n">
        <f aca="false">IF(Tasks[[#This Row],[Task Name]]="","",MAX(1,N(Tasks[[#This Row],[Level]])))</f>
        <v>2</v>
      </c>
      <c r="BT34" s="32" t="n">
        <f aca="false">ROW()-ROW(Tasks[[#Headers],[ID]])</f>
        <v>29</v>
      </c>
      <c r="BU34" s="32" t="n">
        <f aca="false">IF(OR(Tasks[[#This Row],[Task Name]]="",Tasks[[#This Row],[_Level]]&lt;=1),0,IFERROR(LOOKUP(2,1/(Tasks[[#Headers],[_Level]]:Tasks[[#This Row],[_Level]]=Tasks[[#This Row],[_Level]]-1),ROW(Tasks[[#Headers],[_Level]]:Tasks[[#This Row],[_Level]])),0))</f>
        <v>32</v>
      </c>
      <c r="BV34" s="32" t="n">
        <f aca="false">IFERROR(N(INDEX(Tasks[_Level],Tasks[[#This Row],[_Row]]+1)),0)</f>
        <v>2</v>
      </c>
      <c r="BW34" s="114" t="b">
        <f aca="false">AND(Tasks[[#This Row],[Task Name]]&lt;&gt;"",Tasks[[#This Row],[_NextLevel]]&gt;Tasks[[#This Row],[_Level]])</f>
        <v>0</v>
      </c>
      <c r="BX34" s="32" t="n">
        <f aca="false">IF(Tasks[[#This Row],[_IsSummary]],COUNTIF(Tasks[WBS],Tasks[[#This Row],[WBS]]&amp;".*"),0)</f>
        <v>0</v>
      </c>
      <c r="BY34" s="32" t="n">
        <f aca="false">IF(AND(Tasks[[#This Row],[Task Name]]&lt;&gt;"",NOT(Tasks[[#This Row],[_IsSummary]])),1,0)</f>
        <v>1</v>
      </c>
      <c r="BZ34" s="32" t="n">
        <f aca="false">IF(N(Tasks[[#This Row],[Pred1 UID]])=0,0,IFERROR(MATCH(Tasks[[#This Row],[Pred1 UID]],Tasks[UID],0),-1))</f>
        <v>26</v>
      </c>
      <c r="CA34" s="32" t="n">
        <f aca="false">IF(N(Tasks[[#This Row],[Pred2 UID]])=0,0,IFERROR(MATCH(Tasks[[#This Row],[Pred2 UID]],Tasks[UID],0),-1))</f>
        <v>0</v>
      </c>
      <c r="CB34" s="32" t="n">
        <f aca="false">IF(N(Tasks[[#This Row],[Pred3 UID]])=0,0,IFERROR(MATCH(Tasks[[#This Row],[Pred3 UID]],Tasks[UID],0),-1))</f>
        <v>0</v>
      </c>
      <c r="CC34" s="32" t="n">
        <f aca="false">IF(N(Tasks[[#This Row],[Pred4 UID]])=0,0,IFERROR(MATCH(Tasks[[#This Row],[Pred4 UID]],Tasks[UID],0),-1))</f>
        <v>0</v>
      </c>
      <c r="CD34"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3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4" s="115" t="n">
        <f aca="false">IF(OR(Tasks[[#This Row],[_ConstraintCode]]=2,Tasks[[#This Row],[_ConstraintCode]]=3,Tasks[[#This Row],[_ConstraintCode]]=4,Tasks[[#This Row],[_ConstraintCode]]=6),Tasks[[#This Row],[_ConstraintStart]],0)</f>
        <v>0</v>
      </c>
      <c r="CG34" s="115" t="n">
        <f aca="false">IF(OR(Tasks[[#This Row],[_ConstraintCode]]=2,Tasks[[#This Row],[_ConstraintCode]]=3,Tasks[[#This Row],[_ConstraintCode]]=5,Tasks[[#This Row],[_ConstraintCode]]=7),Tasks[[#This Row],[_ConstraintStart]],2958465)</f>
        <v>2958465</v>
      </c>
      <c r="CH34"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46392</v>
      </c>
      <c r="CI34" s="115" t="n">
        <f aca="false">IF(NOT(Tasks[[#This Row],[_IsLeaf]]=1),"",IF(N(Tasks[[#This Row],[Duration]])&lt;=0,Tasks[[#This Row],[_LeafCalcStart]],WORKDAY.INTL(Tasks[[#This Row],[_LeafCalcStart]],Tasks[[#This Row],[Duration]]-1,WorkWeek,Holidays)))</f>
        <v>46393</v>
      </c>
      <c r="CJ34"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46392</v>
      </c>
      <c r="CK34"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46393</v>
      </c>
      <c r="CL34" s="32" t="n">
        <f aca="false">IF(NOT(Tasks[[#This Row],[_IsLeaf]]=1),0,IF(N(Tasks[[#This Row],[Actual Finish]])&gt;0,1,MIN(1,N(Tasks[[#This Row],[% Complete]]))))</f>
        <v>0</v>
      </c>
      <c r="CM34" s="32" t="n">
        <f aca="false">IF(OR(NOT(Tasks[[#This Row],[_IsLeaf]]=1),Tasks[[#This Row],[Resource]]=""),0,N(Tasks[[#This Row],[Duration]])*HoursPerDay*IF(Tasks[[#This Row],[Units]]="",DefaultUnits,Tasks[[#This Row],[Units]]))</f>
        <v>16</v>
      </c>
      <c r="CN34" s="32" t="n">
        <f aca="false">IF(Tasks[[#This Row],[_LeafWork]]=0,0,Tasks[[#This Row],[_LeafWork]]*IFERROR(INDEX(res_Rate,MATCH(Tasks[[#This Row],[Resource]],res_Name,0)),0))</f>
        <v>1520</v>
      </c>
      <c r="CO34" s="32" t="n">
        <f aca="false">Tasks[[#This Row],[_LeafWork]]+IF(Tasks[[#This Row],[_IsLeaf]]=1,SUMIFS(asg_Work,asg_TaskUID,Tasks[[#This Row],[UID]],asg_Valid,1),0)</f>
        <v>16</v>
      </c>
      <c r="CP34" s="32" t="n">
        <f aca="false">Tasks[[#This Row],[_LeafCost]]+IF(Tasks[[#This Row],[_IsLeaf]]=1,SUMIFS(asg_Cost,asg_TaskUID,Tasks[[#This Row],[UID]],asg_Valid,1),0)</f>
        <v>1520</v>
      </c>
      <c r="CQ34" s="32" t="n">
        <f aca="false">IF(Tasks[[#This Row],[_LeafTotalCost]]=0,Tasks[[#This Row],[_LeafAC]],Tasks[[#This Row],[_LeafAC]]*Tasks[[#This Row],[_LeafCost]]/Tasks[[#This Row],[_LeafTotalCost]])</f>
        <v>0</v>
      </c>
      <c r="CR34"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2912074</v>
      </c>
      <c r="CS3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4"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3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4" s="32" t="n">
        <f aca="false">IF(NOT(Tasks[[#This Row],[_IsLeaf]]=1),0,MAX(_xlfn.MAXIFS(Tasks[_Row],Tasks[Pred1 UID],Tasks[[#This Row],[UID]]),_xlfn.MAXIFS(Tasks[_Row],Tasks[Pred2 UID],Tasks[[#This Row],[UID]]),_xlfn.MAXIFS(Tasks[_Row],Tasks[Pred3 UID],Tasks[[#This Row],[UID]]),_xlfn.MAXIFS(Tasks[_Row],Tasks[Pred4 UID],Tasks[[#This Row],[UID]])))</f>
        <v>30</v>
      </c>
      <c r="DA34"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46393</v>
      </c>
      <c r="DB34"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DC34" s="115" t="n">
        <f aca="false">IF(NOT(Tasks[[#This Row],[_IsLeaf]]=1),"",IF(N(Tasks[[#This Row],[Duration]])&lt;=0,Tasks[[#This Row],[_LeafLateFinish]],WORKDAY.INTL(Tasks[[#This Row],[_LeafLateFinish]],-(Tasks[[#This Row],[Duration]]-1),WorkWeek,Holidays)))</f>
        <v>46392</v>
      </c>
      <c r="DD34"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34" s="114" t="b">
        <f aca="false">AND(Tasks[[#This Row],[_IsLeaf]]=1,Tasks[[#This Row],[_LeafProgress]]&lt;1,N(Tasks[[#This Row],[_LeafTotalSlack]])&lt;=CriticalSlackDays)</f>
        <v>1</v>
      </c>
      <c r="DF34" s="32" t="n">
        <f aca="false">IF(AND(Tasks[[#This Row],[_IsLeaf]]=1,Tasks[[#This Row],[_ConstraintCode]]=1,Tasks[[#This Row],[Mode]]&lt;&gt;"Manual",N(Tasks[[#This Row],[Actual Start]])=0),MAX(0,N(Tasks[[#This Row],[Free Slack]])),0)</f>
        <v>0</v>
      </c>
      <c r="DG34" s="115" t="n">
        <f aca="false">IF(NOT(Tasks[[#This Row],[_IsLeaf]]=1),"",IF(Tasks[[#This Row],[_AlapShift]]=0,Tasks[[#This Row],[_LeafCalcStart]],WORKDAY.INTL(Tasks[[#This Row],[_LeafCalcStart]],Tasks[[#This Row],[_AlapShift]],WorkWeek,Holidays)))</f>
        <v>46392</v>
      </c>
      <c r="DH34" s="115" t="n">
        <f aca="false">IF(NOT(Tasks[[#This Row],[_IsLeaf]]=1),"",IF(Tasks[[#This Row],[_AlapShift]]=0,Tasks[[#This Row],[_LeafCalcFinish]],WORKDAY.INTL(Tasks[[#This Row],[_LeafCalcFinish]],Tasks[[#This Row],[_AlapShift]],WorkWeek,Holidays)))</f>
        <v>46393</v>
      </c>
      <c r="DI34" s="115" t="n">
        <f aca="false">IF(NOT(Tasks[[#This Row],[_IsLeaf]]=1),"",IF(Tasks[[#This Row],[_AlapShift]]=0,Tasks[[#This Row],[_LeafFcstStart]],WORKDAY.INTL(Tasks[[#This Row],[_LeafFcstStart]],Tasks[[#This Row],[_AlapShift]],WorkWeek,Holidays)))</f>
        <v>46392</v>
      </c>
      <c r="DJ34" s="115" t="n">
        <f aca="false">IF(NOT(Tasks[[#This Row],[_IsLeaf]]=1),"",IF(Tasks[[#This Row],[_AlapShift]]=0,Tasks[[#This Row],[_LeafFcstFinish]],WORKDAY.INTL(Tasks[[#This Row],[_LeafFcstFinish]],Tasks[[#This Row],[_AlapShift]],WorkWeek,Holidays)))</f>
        <v>46393</v>
      </c>
      <c r="DK34" s="115" t="n">
        <f aca="false">IF(Tasks[[#This Row],[Task Name]]="","",IF(Tasks[[#This Row],[_IsSummary]],MIN(INDEX(Tasks[_ShownCalcStart],Tasks[[#This Row],[_Row]]+1):INDEX(Tasks[_ShownCalcStart],Tasks[[#This Row],[_Row]]+Tasks[[#This Row],[_Descendants]])),Tasks[[#This Row],[_ShownCalcStart]]))</f>
        <v>46392</v>
      </c>
      <c r="DL34" s="115" t="n">
        <f aca="false">IF(Tasks[[#This Row],[Task Name]]="","",IF(Tasks[[#This Row],[_IsSummary]],MAX(INDEX(Tasks[_ShownCalcFinish],Tasks[[#This Row],[_Row]]+1):INDEX(Tasks[_ShownCalcFinish],Tasks[[#This Row],[_Row]]+Tasks[[#This Row],[_Descendants]])),Tasks[[#This Row],[_ShownCalcFinish]]))</f>
        <v>46393</v>
      </c>
      <c r="DM3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46392</v>
      </c>
      <c r="DR3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46392</v>
      </c>
      <c r="DV3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4" s="32" t="n">
        <f aca="false">IF(AND(Tasks[[#This Row],[_IsLeaf]]=1,Tasks[[#This Row],[_LeafTotalWork]]&gt;0),NETWORKDAYS.INTL(ProjectStart,Tasks[[#This Row],[_ShownFcstStart]],WorkWeek,Holidays),0)</f>
        <v>83</v>
      </c>
      <c r="DZ34" s="32" t="n">
        <f aca="false">IF(AND(Tasks[[#This Row],[_IsLeaf]]=1,Tasks[[#This Row],[_LeafTotalWork]]&gt;0),MAX(Tasks[[#This Row],[_StartWorkday]],NETWORKDAYS.INTL(ProjectStart,Tasks[[#This Row],[_ShownFcstFinish]],WorkWeek,Holidays)),0)</f>
        <v>84</v>
      </c>
      <c r="EA34" s="32" t="n">
        <f aca="false">IF(AND(Tasks[[#This Row],[_IsLeaf]]=1,Tasks[[#This Row],[_LeafTotalWork]]&gt;0),Tasks[[#This Row],[_LeafWork]]/(Tasks[[#This Row],[_FinishWorkday]]-Tasks[[#This Row],[_StartWorkday]]+1),0)</f>
        <v>8</v>
      </c>
      <c r="EB34" s="32" t="n">
        <f aca="false">Tasks[[#This Row],[_WorkPerWorkday]]*(Tasks[[#This Row],[_StartWorkday]]-1)</f>
        <v>656</v>
      </c>
      <c r="EC34" s="32" t="n">
        <f aca="false">IF(Tasks[[#This Row],[_IsLeaf]]=1,MAX(N(Tasks[[#This Row],[Duration]]),0.1),0)</f>
        <v>2</v>
      </c>
      <c r="ED34" s="32" t="n">
        <f aca="false">Tasks[[#This Row],[_WeightDur]]*Tasks[[#This Row],[_LeafProgress]]</f>
        <v>0</v>
      </c>
      <c r="EE3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26</v>
      </c>
      <c r="EF34" s="32" t="str">
        <f aca="false">IF(AND(Tasks[[#This Row],[_IsLeaf]]=1,N(Tasks[[#This Row],[Duration]])=0,Tasks[[#This Row],[_LeafProgress]]&lt;1),Tasks[[#This Row],[_ShownFcstFinish]]+Tasks[[#This Row],[_Row]]/100000,"")</f>
        <v/>
      </c>
      <c r="EG3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4" s="32" t="n">
        <f aca="false">IF(NOT(Tasks[[#This Row],[_IsLeaf]]=1),0,IF(Tasks[[#This Row],[Baseline Cost]]="",Tasks[[#This Row],[_LeafTotalCost]],N(Tasks[[#This Row],[Baseline Cost]])))</f>
        <v>1520</v>
      </c>
      <c r="EI34" s="32" t="n">
        <f aca="false">Tasks[[#This Row],[_LeafBudget]]*Tasks[[#This Row],[_PlannedPct]]</f>
        <v>0</v>
      </c>
      <c r="EJ34" s="32" t="n">
        <f aca="false">Tasks[[#This Row],[_LeafBudget]]*Tasks[[#This Row],[_LeafProgress]]</f>
        <v>0</v>
      </c>
      <c r="EK34" s="32" t="n">
        <f aca="false">IF(NOT(Tasks[[#This Row],[_IsLeaf]]=1),0,IF(Tasks[[#This Row],[Actual Cost]]="",Tasks[[#This Row],[_LeafTotalCost]]*Tasks[[#This Row],[_LeafProgress]],N(Tasks[[#This Row],[Actual Cost]])))</f>
        <v>0</v>
      </c>
      <c r="EL34" s="32" t="str">
        <f aca="false">IF(Tasks[[#This Row],[Task Name]]="","",LEFT(Tasks[[#This Row],[WBS]],FIND(".",Tasks[[#This Row],[WBS]]&amp;".")-1))</f>
        <v>5</v>
      </c>
      <c r="EM34" s="32" t="str">
        <f aca="false">IF(AND(Tasks[[#This Row],[Task Name]]&lt;&gt;"",Tasks[[#This Row],[_Level]]=1),Tasks[[#This Row],[_Row]],"")</f>
        <v/>
      </c>
      <c r="EN34" s="32" t="str">
        <f aca="false">IF(AND(Tasks[[#This Row],[_IsLeaf]]=1,N(Tasks[[#This Row],[Duration]])=0),Tasks[[#This Row],[Planned Finish]]+Tasks[[#This Row],[_Row]]/100000,"")</f>
        <v/>
      </c>
      <c r="EO34" s="32" t="str">
        <f aca="false">IF(AND(Tasks[[#This Row],[_IsLeaf]]=1,Tasks[[#This Row],[_LeafProgress]]&lt;1,OR(N(Tasks[[#This Row],[Finish Var]])&gt;0,Tasks[[#This Row],[Status]]="Late Start")),MAX(0,Tasks[[#This Row],[Finish Var]])+1-Tasks[[#This Row],[_Row]]/1000000,"")</f>
        <v/>
      </c>
      <c r="EP34" s="32" t="str">
        <f aca="false">IF(AND(Tasks[[#This Row],[_IsLeaf]]=1,N(Tasks[[#This Row],[Actual Start]])=0,Tasks[[#This Row],[_ShownFcstStart]]&gt;=StatusDate,Tasks[[#This Row],[_ShownFcstStart]]&lt;=LookaheadEnd),Tasks[[#This Row],[_ShownFcstStart]]+Tasks[[#This Row],[_Row]]/100000,"")</f>
        <v/>
      </c>
      <c r="EQ34" s="32" t="str">
        <f aca="false">IF(AND(Tasks[[#This Row],[_IsLeaf]]=1,Tasks[[#This Row],[_LeafProgress]]&lt;1,Tasks[[#This Row],[_ShownFcstFinish]]&gt;=StatusDate,Tasks[[#This Row],[_ShownFcstFinish]]&lt;=LookaheadEnd),Tasks[[#This Row],[_ShownFcstFinish]]+Tasks[[#This Row],[_Row]]/100000,"")</f>
        <v/>
      </c>
      <c r="ER34" s="116" t="n">
        <f aca="false">IF(Tasks[[#This Row],[_LeafCritical]],Tasks[[#This Row],[_ShownFcstStart]]+Tasks[[#This Row],[_Row]]/100000,"")</f>
        <v>46392.00029</v>
      </c>
      <c r="ES34" s="32" t="n">
        <f aca="false">Tasks[[#This Row],[_LeafWork]]*Tasks[[#This Row],[_LeafProgress]]</f>
        <v>0</v>
      </c>
      <c r="ET34" s="115" t="str">
        <f aca="false">IF(AND(Tasks[[#This Row],[_IsLeaf]]=1,Tasks[[#This Row],[_LeafProgress]]&gt;=1),IF(N(Tasks[[#This Row],[Actual Finish]])&gt;0,Tasks[[#This Row],[Actual Finish]],Tasks[[#This Row],[_ShownFcstFinish]]),"")</f>
        <v/>
      </c>
      <c r="EU34" s="32" t="n">
        <f aca="false">IF(Tasks[[#This Row],[_IsLeaf]]=1,N(Tasks[[#This Row],[Story Points]]),0)</f>
        <v>2</v>
      </c>
      <c r="EV34" s="32" t="str">
        <f aca="false">IF(AND(Tasks[[#This Row],[_IsLeaf]]=1,CurrentSprint&lt;&gt;"",Tasks[[#This Row],[Sprint]]=CurrentSprint),Tasks[[#This Row],[_Row]],"")</f>
        <v/>
      </c>
    </row>
    <row r="35" customFormat="false" ht="15" hidden="false" customHeight="false" outlineLevel="1" collapsed="false">
      <c r="A35" s="45" t="n">
        <f aca="false">IF(Tasks[[#This Row],[Task Name]]="","",COUNTA(Tasks[[#Headers],[Task Name]]:Tasks[[#This Row],[Task Name]])-1)</f>
        <v>30</v>
      </c>
      <c r="B35" s="46" t="n">
        <v>30</v>
      </c>
      <c r="C3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5.3</v>
      </c>
      <c r="D35" s="46" t="n">
        <v>2</v>
      </c>
      <c r="E35" s="45" t="str">
        <f aca="false">IF(Tasks[[#This Row],[Task Name]]="","",IF(Tasks[[#This Row],[_Level]]&lt;=OutlineShowLevel,"Yes","No"))</f>
        <v>Yes</v>
      </c>
      <c r="F35" s="47" t="s">
        <v>691</v>
      </c>
      <c r="G35" s="46" t="s">
        <v>642</v>
      </c>
      <c r="H35" s="46" t="n">
        <v>0</v>
      </c>
      <c r="I35" s="46" t="n">
        <v>29</v>
      </c>
      <c r="J35" s="46" t="s">
        <v>647</v>
      </c>
      <c r="K35" s="46"/>
      <c r="L35" s="46"/>
      <c r="M35" s="46"/>
      <c r="N35" s="46"/>
      <c r="O35" s="46"/>
      <c r="P35" s="46"/>
      <c r="Q35" s="46"/>
      <c r="R35" s="46"/>
      <c r="S35" s="46"/>
      <c r="T35" s="46"/>
      <c r="U35" s="47"/>
      <c r="V35" s="88"/>
      <c r="W35" s="88"/>
      <c r="X35" s="25" t="n">
        <f aca="false">IF(Tasks[[#This Row],[Task Name]]="","",IF(N(Tasks[[#This Row],[Baseline Start]])&gt;0,Tasks[[#This Row],[Baseline Start]],Tasks[[#This Row],[_CalcStart]]))</f>
        <v>46393</v>
      </c>
      <c r="Y35" s="25" t="n">
        <f aca="false">IF(Tasks[[#This Row],[Task Name]]="","",IF(N(Tasks[[#This Row],[Baseline Finish]])&gt;0,Tasks[[#This Row],[Baseline Finish]],Tasks[[#This Row],[_CalcFinish]]))</f>
        <v>46393</v>
      </c>
      <c r="Z35" s="88"/>
      <c r="AA35" s="88"/>
      <c r="AB35" s="25" t="n">
        <f aca="false">IF(Tasks[[#This Row],[Task Name]]="","",IF(Tasks[[#This Row],[_IsSummary]],MIN(INDEX(Tasks[_ShownFcstStart],Tasks[[#This Row],[_Row]]+1):INDEX(Tasks[_ShownFcstStart],Tasks[[#This Row],[_Row]]+Tasks[[#This Row],[_Descendants]])),Tasks[[#This Row],[_ShownFcstStart]]))</f>
        <v>46393</v>
      </c>
      <c r="AC35" s="25" t="n">
        <f aca="false">IF(Tasks[[#This Row],[Task Name]]="","",IF(Tasks[[#This Row],[_IsSummary]],MAX(INDEX(Tasks[_ShownFcstFinish],Tasks[[#This Row],[_Row]]+1):INDEX(Tasks[_ShownFcstFinish],Tasks[[#This Row],[_Row]]+Tasks[[#This Row],[_Descendants]])),Tasks[[#This Row],[_ShownFcstFinish]]))</f>
        <v>46393</v>
      </c>
      <c r="AD35" s="56" t="n">
        <f aca="false">IF(Tasks[[#This Row],[Task Name]]="","",IF(Tasks[[#This Row],[Forecast Start]]&gt;=Tasks[[#This Row],[Planned Start]],NETWORKDAYS.INTL(Tasks[[#This Row],[Planned Start]],Tasks[[#This Row],[Forecast Start]],WorkWeek,Holidays)-1,1-NETWORKDAYS.INTL(Tasks[[#This Row],[Forecast Start]],Tasks[[#This Row],[Planned Start]],WorkWeek,Holidays)))</f>
        <v>0</v>
      </c>
      <c r="AE35" s="56" t="n">
        <f aca="false">IF(Tasks[[#This Row],[Task Name]]="","",IF(Tasks[[#This Row],[Forecast Finish]]&gt;=Tasks[[#This Row],[Planned Finish]],NETWORKDAYS.INTL(Tasks[[#This Row],[Planned Finish]],Tasks[[#This Row],[Forecast Finish]],WorkWeek,Holidays)-1,1-NETWORKDAYS.INTL(Tasks[[#This Row],[Forecast Finish]],Tasks[[#This Row],[Planned Finish]],WorkWeek,Holidays)))</f>
        <v>0</v>
      </c>
      <c r="AF35" s="25" t="n">
        <f aca="false">IF(Tasks[[#This Row],[Task Name]]="","",IF(Tasks[[#This Row],[_IsSummary]],MIN(INDEX(Tasks[_LeafLateStart],Tasks[[#This Row],[_Row]]+1):INDEX(Tasks[_LeafLateStart],Tasks[[#This Row],[_Row]]+Tasks[[#This Row],[_Descendants]])),Tasks[[#This Row],[_LeafLateStart]]))</f>
        <v>46393</v>
      </c>
      <c r="AG35" s="25" t="n">
        <f aca="false">IF(Tasks[[#This Row],[Task Name]]="","",IF(Tasks[[#This Row],[_IsSummary]],MAX(INDEX(Tasks[_LeafLateFinish],Tasks[[#This Row],[_Row]]+1):INDEX(Tasks[_LeafLateFinish],Tasks[[#This Row],[_Row]]+Tasks[[#This Row],[_Descendants]])),Tasks[[#This Row],[_LeafLateFinish]]))</f>
        <v>46393</v>
      </c>
      <c r="AH35" s="56" t="n">
        <f aca="false">IF(Tasks[[#This Row],[Task Name]]="","",IF(Tasks[[#This Row],[_IsSummary]],MIN(INDEX(Tasks[_LeafTotalSlack],Tasks[[#This Row],[_Row]]+1):INDEX(Tasks[_LeafTotalSlack],Tasks[[#This Row],[_Row]]+Tasks[[#This Row],[_Descendants]])),Tasks[[#This Row],[_LeafTotalSlack]]))</f>
        <v>0</v>
      </c>
      <c r="AI35" s="45" t="n">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0</v>
      </c>
      <c r="AJ35" s="45" t="str">
        <f aca="false">IF(Tasks[[#This Row],[Task Name]]="","",IF(IF(Tasks[[#This Row],[_IsSummary]],COUNTIF(INDEX(Tasks[_LeafCritical],Tasks[[#This Row],[_Row]]+1):INDEX(Tasks[_LeafCritical],Tasks[[#This Row],[_Row]]+Tasks[[#This Row],[_Descendants]]),TRUE())&gt;0,Tasks[[#This Row],[_LeafCritical]]),"Yes",""))</f>
        <v>Yes</v>
      </c>
      <c r="AK3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5" s="102"/>
      <c r="AN35" s="109"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O35" s="45" t="str">
        <f aca="false">IF(Tasks[[#This Row],[Task Name]]="","",IF(Tasks[[#This Row],[Progress]]&gt;=1,"Complete",IF(OR(N(Tasks[[#This Row],[Actual Start]])&gt;0,Tasks[[#This Row],[Progress]]&gt;0),IF(Tasks[[#This Row],[Finish Var]]&gt;0,"Behind","In Progress"),IF(Tasks[[#This Row],[Planned Start]]&lt;StatusDate,"Late Start","Not Started"))))</f>
        <v>Not Started</v>
      </c>
      <c r="AP35" s="47"/>
      <c r="AQ35" s="102"/>
      <c r="AR3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5" s="110" t="n">
        <f aca="false">IF(Tasks[[#This Row],[Task Name]]="","",IF(Tasks[[#This Row],[_IsSummary]],SUM(INDEX(Tasks[_LeafTotalWork],Tasks[[#This Row],[_Row]]+1):INDEX(Tasks[_LeafTotalWork],Tasks[[#This Row],[_Row]]+Tasks[[#This Row],[_Descendants]])),Tasks[[#This Row],[_LeafTotalWork]]))</f>
        <v>0</v>
      </c>
      <c r="AU35" s="111" t="n">
        <f aca="false">IF(Tasks[[#This Row],[Task Name]]="","",IF(Tasks[[#This Row],[_IsSummary]],SUM(INDEX(Tasks[_LeafTotalCost],Tasks[[#This Row],[_Row]]+1):INDEX(Tasks[_LeafTotalCost],Tasks[[#This Row],[_Row]]+Tasks[[#This Row],[_Descendants]])),Tasks[[#This Row],[_LeafTotalCost]]))</f>
        <v>0</v>
      </c>
      <c r="AV35" s="112"/>
      <c r="AW35" s="46"/>
      <c r="AX3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Sprint 9</v>
      </c>
      <c r="AY35" s="96"/>
      <c r="AZ3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29</v>
      </c>
      <c r="BA35" s="47" t="s">
        <v>140</v>
      </c>
      <c r="BB35" s="25" t="n">
        <f aca="false">IF(Tasks[[#This Row],[Task Name]]="","",Tasks[[#This Row],[Forecast Start]])</f>
        <v>46393</v>
      </c>
      <c r="BC35" s="25" t="n">
        <f aca="false">IF(Tasks[[#This Row],[Task Name]]="","",Tasks[[#This Row],[Forecast Finish]])</f>
        <v>46393</v>
      </c>
      <c r="BD35" s="45" t="n">
        <f aca="false">IF(Tasks[[#This Row],[Task Name]]="","",IF(Tasks[[#This Row],[_IsSummary]],NETWORKDAYS.INTL(Tasks[[#This Row],[Forecast Start]],Tasks[[#This Row],[Forecast Finish]],WorkWeek,Holidays),N(Tasks[[#This Row],[Duration]])))</f>
        <v>0</v>
      </c>
      <c r="BE35" s="110" t="n">
        <f aca="false">IF(Tasks[[#This Row],[Task Name]]="","",Tasks[[#This Row],[Work]])</f>
        <v>0</v>
      </c>
      <c r="BF35" s="111" t="n">
        <f aca="false">IF(Tasks[[#This Row],[Task Name]]="","",Tasks[[#This Row],[Cost]])</f>
        <v>0</v>
      </c>
      <c r="BG35" s="88"/>
      <c r="BH35" s="88"/>
      <c r="BI35" s="46"/>
      <c r="BJ35" s="113"/>
      <c r="BK35" s="112"/>
      <c r="BL35" s="45" t="str">
        <f aca="false">IF(OR(Tasks[[#This Row],[Task Name]]="",Tasks[[#This Row],[Baseline Duration]]=""),"",Tasks[[#This Row],[BL Source Duration]]-N(Tasks[[#This Row],[Baseline Duration]]))</f>
        <v/>
      </c>
      <c r="BM35" s="110" t="str">
        <f aca="false">IF(OR(Tasks[[#This Row],[Task Name]]="",Tasks[[#This Row],[Baseline Work]]=""),"",Tasks[[#This Row],[Work]]-N(Tasks[[#This Row],[Baseline Work]]))</f>
        <v/>
      </c>
      <c r="BN35" s="111" t="str">
        <f aca="false">IF(OR(Tasks[[#This Row],[Task Name]]="",Tasks[[#This Row],[Baseline Cost]]=""),"",Tasks[[#This Row],[Cost]]-N(Tasks[[#This Row],[Baseline Cost]]))</f>
        <v/>
      </c>
      <c r="BO35" s="111" t="n">
        <f aca="false">IF(Tasks[[#This Row],[Task Name]]="","",IF(Tasks[[#This Row],[_IsSummary]],SUM(INDEX(Tasks[_LeafBudget],Tasks[[#This Row],[_Row]]+1):INDEX(Tasks[_LeafBudget],Tasks[[#This Row],[_Row]]+Tasks[[#This Row],[_Descendants]])),Tasks[[#This Row],[_LeafBudget]]))</f>
        <v>0</v>
      </c>
      <c r="BP35" s="111" t="n">
        <f aca="false">IF(Tasks[[#This Row],[Task Name]]="","",IF(Tasks[[#This Row],[_IsSummary]],SUM(INDEX(Tasks[_LeafPV],Tasks[[#This Row],[_Row]]+1):INDEX(Tasks[_LeafPV],Tasks[[#This Row],[_Row]]+Tasks[[#This Row],[_Descendants]])),Tasks[[#This Row],[_LeafPV]]))</f>
        <v>0</v>
      </c>
      <c r="BQ35" s="111" t="n">
        <f aca="false">IF(Tasks[[#This Row],[Task Name]]="","",IF(Tasks[[#This Row],[_IsSummary]],SUM(INDEX(Tasks[_LeafEV],Tasks[[#This Row],[_Row]]+1):INDEX(Tasks[_LeafEV],Tasks[[#This Row],[_Row]]+Tasks[[#This Row],[_Descendants]])),Tasks[[#This Row],[_LeafEV]]))</f>
        <v>0</v>
      </c>
      <c r="BR35" s="111" t="n">
        <f aca="false">IF(Tasks[[#This Row],[Task Name]]="","",IF(Tasks[[#This Row],[_IsSummary]],SUM(INDEX(Tasks[_LeafAC],Tasks[[#This Row],[_Row]]+1):INDEX(Tasks[_LeafAC],Tasks[[#This Row],[_Row]]+Tasks[[#This Row],[_Descendants]])),Tasks[[#This Row],[_LeafAC]]))</f>
        <v>0</v>
      </c>
      <c r="BS35" s="32" t="n">
        <f aca="false">IF(Tasks[[#This Row],[Task Name]]="","",MAX(1,N(Tasks[[#This Row],[Level]])))</f>
        <v>2</v>
      </c>
      <c r="BT35" s="32" t="n">
        <f aca="false">ROW()-ROW(Tasks[[#Headers],[ID]])</f>
        <v>30</v>
      </c>
      <c r="BU35" s="32" t="n">
        <f aca="false">IF(OR(Tasks[[#This Row],[Task Name]]="",Tasks[[#This Row],[_Level]]&lt;=1),0,IFERROR(LOOKUP(2,1/(Tasks[[#Headers],[_Level]]:Tasks[[#This Row],[_Level]]=Tasks[[#This Row],[_Level]]-1),ROW(Tasks[[#Headers],[_Level]]:Tasks[[#This Row],[_Level]])),0))</f>
        <v>32</v>
      </c>
      <c r="BV35" s="32" t="n">
        <f aca="false">IFERROR(N(INDEX(Tasks[_Level],Tasks[[#This Row],[_Row]]+1)),0)</f>
        <v>0</v>
      </c>
      <c r="BW35" s="114" t="b">
        <f aca="false">AND(Tasks[[#This Row],[Task Name]]&lt;&gt;"",Tasks[[#This Row],[_NextLevel]]&gt;Tasks[[#This Row],[_Level]])</f>
        <v>0</v>
      </c>
      <c r="BX35" s="32" t="n">
        <f aca="false">IF(Tasks[[#This Row],[_IsSummary]],COUNTIF(Tasks[WBS],Tasks[[#This Row],[WBS]]&amp;".*"),0)</f>
        <v>0</v>
      </c>
      <c r="BY35" s="32" t="n">
        <f aca="false">IF(AND(Tasks[[#This Row],[Task Name]]&lt;&gt;"",NOT(Tasks[[#This Row],[_IsSummary]])),1,0)</f>
        <v>1</v>
      </c>
      <c r="BZ35" s="32" t="n">
        <f aca="false">IF(N(Tasks[[#This Row],[Pred1 UID]])=0,0,IFERROR(MATCH(Tasks[[#This Row],[Pred1 UID]],Tasks[UID],0),-1))</f>
        <v>29</v>
      </c>
      <c r="CA35" s="32" t="n">
        <f aca="false">IF(N(Tasks[[#This Row],[Pred2 UID]])=0,0,IFERROR(MATCH(Tasks[[#This Row],[Pred2 UID]],Tasks[UID],0),-1))</f>
        <v>0</v>
      </c>
      <c r="CB35" s="32" t="n">
        <f aca="false">IF(N(Tasks[[#This Row],[Pred3 UID]])=0,0,IFERROR(MATCH(Tasks[[#This Row],[Pred3 UID]],Tasks[UID],0),-1))</f>
        <v>0</v>
      </c>
      <c r="CC35" s="32" t="n">
        <f aca="false">IF(N(Tasks[[#This Row],[Pred4 UID]])=0,0,IFERROR(MATCH(Tasks[[#This Row],[Pred4 UID]],Tasks[UID],0),-1))</f>
        <v>0</v>
      </c>
      <c r="CD35" s="3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E3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5" s="115" t="n">
        <f aca="false">IF(OR(Tasks[[#This Row],[_ConstraintCode]]=2,Tasks[[#This Row],[_ConstraintCode]]=3,Tasks[[#This Row],[_ConstraintCode]]=4,Tasks[[#This Row],[_ConstraintCode]]=6),Tasks[[#This Row],[_ConstraintStart]],0)</f>
        <v>0</v>
      </c>
      <c r="CG35" s="115" t="n">
        <f aca="false">IF(OR(Tasks[[#This Row],[_ConstraintCode]]=2,Tasks[[#This Row],[_ConstraintCode]]=3,Tasks[[#This Row],[_ConstraintCode]]=5,Tasks[[#This Row],[_ConstraintCode]]=7),Tasks[[#This Row],[_ConstraintStart]],2958465)</f>
        <v>2958465</v>
      </c>
      <c r="CH35" s="115"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46393</v>
      </c>
      <c r="CI35" s="115" t="n">
        <f aca="false">IF(NOT(Tasks[[#This Row],[_IsLeaf]]=1),"",IF(N(Tasks[[#This Row],[Duration]])&lt;=0,Tasks[[#This Row],[_LeafCalcStart]],WORKDAY.INTL(Tasks[[#This Row],[_LeafCalcStart]],Tasks[[#This Row],[Duration]]-1,WorkWeek,Holidays)))</f>
        <v>46393</v>
      </c>
      <c r="CJ35" s="115"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46393</v>
      </c>
      <c r="CK35" s="115"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46393</v>
      </c>
      <c r="CL35" s="32" t="n">
        <f aca="false">IF(NOT(Tasks[[#This Row],[_IsLeaf]]=1),0,IF(N(Tasks[[#This Row],[Actual Finish]])&gt;0,1,MIN(1,N(Tasks[[#This Row],[% Complete]]))))</f>
        <v>0</v>
      </c>
      <c r="CM35" s="32" t="n">
        <f aca="false">IF(OR(NOT(Tasks[[#This Row],[_IsLeaf]]=1),Tasks[[#This Row],[Resource]]=""),0,N(Tasks[[#This Row],[Duration]])*HoursPerDay*IF(Tasks[[#This Row],[Units]]="",DefaultUnits,Tasks[[#This Row],[Units]]))</f>
        <v>0</v>
      </c>
      <c r="CN35" s="32" t="n">
        <f aca="false">IF(Tasks[[#This Row],[_LeafWork]]=0,0,Tasks[[#This Row],[_LeafWork]]*IFERROR(INDEX(res_Rate,MATCH(Tasks[[#This Row],[Resource]],res_Name,0)),0))</f>
        <v>0</v>
      </c>
      <c r="CO35" s="32" t="n">
        <f aca="false">Tasks[[#This Row],[_LeafWork]]+IF(Tasks[[#This Row],[_IsLeaf]]=1,SUMIFS(asg_Work,asg_TaskUID,Tasks[[#This Row],[UID]],asg_Valid,1),0)</f>
        <v>0</v>
      </c>
      <c r="CP35" s="32" t="n">
        <f aca="false">Tasks[[#This Row],[_LeafCost]]+IF(Tasks[[#This Row],[_IsLeaf]]=1,SUMIFS(asg_Cost,asg_TaskUID,Tasks[[#This Row],[UID]],asg_Valid,1),0)</f>
        <v>0</v>
      </c>
      <c r="CQ35" s="32" t="n">
        <f aca="false">IF(Tasks[[#This Row],[_LeafTotalCost]]=0,Tasks[[#This Row],[_LeafAC]],Tasks[[#This Row],[_LeafAC]]*Tasks[[#This Row],[_LeafCost]]/Tasks[[#This Row],[_LeafTotalCost]])</f>
        <v>0</v>
      </c>
      <c r="CR35" s="116" t="n">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2912072</v>
      </c>
      <c r="CS3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5" s="3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CW3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5" s="32" t="n">
        <f aca="false">IF(NOT(Tasks[[#This Row],[_IsLeaf]]=1),0,MAX(_xlfn.MAXIFS(Tasks[_Row],Tasks[Pred1 UID],Tasks[[#This Row],[UID]]),_xlfn.MAXIFS(Tasks[_Row],Tasks[Pred2 UID],Tasks[[#This Row],[UID]]),_xlfn.MAXIFS(Tasks[_Row],Tasks[Pred3 UID],Tasks[[#This Row],[UID]]),_xlfn.MAXIFS(Tasks[_Row],Tasks[Pred4 UID],Tasks[[#This Row],[UID]])))</f>
        <v>0</v>
      </c>
      <c r="DA35" s="115" t="n">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2958465</v>
      </c>
      <c r="DB35" s="115"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DC35" s="115" t="n">
        <f aca="false">IF(NOT(Tasks[[#This Row],[_IsLeaf]]=1),"",IF(N(Tasks[[#This Row],[Duration]])&lt;=0,Tasks[[#This Row],[_LeafLateFinish]],WORKDAY.INTL(Tasks[[#This Row],[_LeafLateFinish]],-(Tasks[[#This Row],[Duration]]-1),WorkWeek,Holidays)))</f>
        <v>46393</v>
      </c>
      <c r="DD35" s="3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DE35" s="114" t="b">
        <f aca="false">AND(Tasks[[#This Row],[_IsLeaf]]=1,Tasks[[#This Row],[_LeafProgress]]&lt;1,N(Tasks[[#This Row],[_LeafTotalSlack]])&lt;=CriticalSlackDays)</f>
        <v>1</v>
      </c>
      <c r="DF35" s="32" t="n">
        <f aca="false">IF(AND(Tasks[[#This Row],[_IsLeaf]]=1,Tasks[[#This Row],[_ConstraintCode]]=1,Tasks[[#This Row],[Mode]]&lt;&gt;"Manual",N(Tasks[[#This Row],[Actual Start]])=0),MAX(0,N(Tasks[[#This Row],[Free Slack]])),0)</f>
        <v>0</v>
      </c>
      <c r="DG35" s="115" t="n">
        <f aca="false">IF(NOT(Tasks[[#This Row],[_IsLeaf]]=1),"",IF(Tasks[[#This Row],[_AlapShift]]=0,Tasks[[#This Row],[_LeafCalcStart]],WORKDAY.INTL(Tasks[[#This Row],[_LeafCalcStart]],Tasks[[#This Row],[_AlapShift]],WorkWeek,Holidays)))</f>
        <v>46393</v>
      </c>
      <c r="DH35" s="115" t="n">
        <f aca="false">IF(NOT(Tasks[[#This Row],[_IsLeaf]]=1),"",IF(Tasks[[#This Row],[_AlapShift]]=0,Tasks[[#This Row],[_LeafCalcFinish]],WORKDAY.INTL(Tasks[[#This Row],[_LeafCalcFinish]],Tasks[[#This Row],[_AlapShift]],WorkWeek,Holidays)))</f>
        <v>46393</v>
      </c>
      <c r="DI35" s="115" t="n">
        <f aca="false">IF(NOT(Tasks[[#This Row],[_IsLeaf]]=1),"",IF(Tasks[[#This Row],[_AlapShift]]=0,Tasks[[#This Row],[_LeafFcstStart]],WORKDAY.INTL(Tasks[[#This Row],[_LeafFcstStart]],Tasks[[#This Row],[_AlapShift]],WorkWeek,Holidays)))</f>
        <v>46393</v>
      </c>
      <c r="DJ35" s="115" t="n">
        <f aca="false">IF(NOT(Tasks[[#This Row],[_IsLeaf]]=1),"",IF(Tasks[[#This Row],[_AlapShift]]=0,Tasks[[#This Row],[_LeafFcstFinish]],WORKDAY.INTL(Tasks[[#This Row],[_LeafFcstFinish]],Tasks[[#This Row],[_AlapShift]],WorkWeek,Holidays)))</f>
        <v>46393</v>
      </c>
      <c r="DK35" s="115" t="n">
        <f aca="false">IF(Tasks[[#This Row],[Task Name]]="","",IF(Tasks[[#This Row],[_IsSummary]],MIN(INDEX(Tasks[_ShownCalcStart],Tasks[[#This Row],[_Row]]+1):INDEX(Tasks[_ShownCalcStart],Tasks[[#This Row],[_Row]]+Tasks[[#This Row],[_Descendants]])),Tasks[[#This Row],[_ShownCalcStart]]))</f>
        <v>46393</v>
      </c>
      <c r="DL35" s="115" t="n">
        <f aca="false">IF(Tasks[[#This Row],[Task Name]]="","",IF(Tasks[[#This Row],[_IsSummary]],MAX(INDEX(Tasks[_ShownCalcFinish],Tasks[[#This Row],[_Row]]+1):INDEX(Tasks[_ShownCalcFinish],Tasks[[#This Row],[_Row]]+Tasks[[#This Row],[_Descendants]])),Tasks[[#This Row],[_ShownCalcFinish]]))</f>
        <v>46393</v>
      </c>
      <c r="DM3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46393</v>
      </c>
      <c r="DR3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46393</v>
      </c>
      <c r="DV3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5" s="32" t="n">
        <f aca="false">IF(AND(Tasks[[#This Row],[_IsLeaf]]=1,Tasks[[#This Row],[_LeafTotalWork]]&gt;0),NETWORKDAYS.INTL(ProjectStart,Tasks[[#This Row],[_ShownFcstStart]],WorkWeek,Holidays),0)</f>
        <v>0</v>
      </c>
      <c r="DZ35" s="32" t="n">
        <f aca="false">IF(AND(Tasks[[#This Row],[_IsLeaf]]=1,Tasks[[#This Row],[_LeafTotalWork]]&gt;0),MAX(Tasks[[#This Row],[_StartWorkday]],NETWORKDAYS.INTL(ProjectStart,Tasks[[#This Row],[_ShownFcstFinish]],WorkWeek,Holidays)),0)</f>
        <v>0</v>
      </c>
      <c r="EA35" s="32" t="n">
        <f aca="false">IF(AND(Tasks[[#This Row],[_IsLeaf]]=1,Tasks[[#This Row],[_LeafTotalWork]]&gt;0),Tasks[[#This Row],[_LeafWork]]/(Tasks[[#This Row],[_FinishWorkday]]-Tasks[[#This Row],[_StartWorkday]]+1),0)</f>
        <v>0</v>
      </c>
      <c r="EB35" s="32" t="n">
        <f aca="false">Tasks[[#This Row],[_WorkPerWorkday]]*(Tasks[[#This Row],[_StartWorkday]]-1)</f>
        <v>-0</v>
      </c>
      <c r="EC35" s="32" t="n">
        <f aca="false">IF(Tasks[[#This Row],[_IsLeaf]]=1,MAX(N(Tasks[[#This Row],[Duration]]),0.1),0)</f>
        <v>0.1</v>
      </c>
      <c r="ED35" s="32" t="n">
        <f aca="false">Tasks[[#This Row],[_WeightDur]]*Tasks[[#This Row],[_LeafProgress]]</f>
        <v>0</v>
      </c>
      <c r="EE3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29</v>
      </c>
      <c r="EF35" s="116" t="n">
        <f aca="false">IF(AND(Tasks[[#This Row],[_IsLeaf]]=1,N(Tasks[[#This Row],[Duration]])=0,Tasks[[#This Row],[_LeafProgress]]&lt;1),Tasks[[#This Row],[_ShownFcstFinish]]+Tasks[[#This Row],[_Row]]/100000,"")</f>
        <v>46393.0003</v>
      </c>
      <c r="EG3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5" s="32" t="n">
        <f aca="false">IF(NOT(Tasks[[#This Row],[_IsLeaf]]=1),0,IF(Tasks[[#This Row],[Baseline Cost]]="",Tasks[[#This Row],[_LeafTotalCost]],N(Tasks[[#This Row],[Baseline Cost]])))</f>
        <v>0</v>
      </c>
      <c r="EI35" s="32" t="n">
        <f aca="false">Tasks[[#This Row],[_LeafBudget]]*Tasks[[#This Row],[_PlannedPct]]</f>
        <v>0</v>
      </c>
      <c r="EJ35" s="32" t="n">
        <f aca="false">Tasks[[#This Row],[_LeafBudget]]*Tasks[[#This Row],[_LeafProgress]]</f>
        <v>0</v>
      </c>
      <c r="EK35" s="32" t="n">
        <f aca="false">IF(NOT(Tasks[[#This Row],[_IsLeaf]]=1),0,IF(Tasks[[#This Row],[Actual Cost]]="",Tasks[[#This Row],[_LeafTotalCost]]*Tasks[[#This Row],[_LeafProgress]],N(Tasks[[#This Row],[Actual Cost]])))</f>
        <v>0</v>
      </c>
      <c r="EL35" s="32" t="str">
        <f aca="false">IF(Tasks[[#This Row],[Task Name]]="","",LEFT(Tasks[[#This Row],[WBS]],FIND(".",Tasks[[#This Row],[WBS]]&amp;".")-1))</f>
        <v>5</v>
      </c>
      <c r="EM35" s="32" t="str">
        <f aca="false">IF(AND(Tasks[[#This Row],[Task Name]]&lt;&gt;"",Tasks[[#This Row],[_Level]]=1),Tasks[[#This Row],[_Row]],"")</f>
        <v/>
      </c>
      <c r="EN35" s="116" t="n">
        <f aca="false">IF(AND(Tasks[[#This Row],[_IsLeaf]]=1,N(Tasks[[#This Row],[Duration]])=0),Tasks[[#This Row],[Planned Finish]]+Tasks[[#This Row],[_Row]]/100000,"")</f>
        <v>46393.0003</v>
      </c>
      <c r="EO35" s="32" t="str">
        <f aca="false">IF(AND(Tasks[[#This Row],[_IsLeaf]]=1,Tasks[[#This Row],[_LeafProgress]]&lt;1,OR(N(Tasks[[#This Row],[Finish Var]])&gt;0,Tasks[[#This Row],[Status]]="Late Start")),MAX(0,Tasks[[#This Row],[Finish Var]])+1-Tasks[[#This Row],[_Row]]/1000000,"")</f>
        <v/>
      </c>
      <c r="EP35" s="32" t="str">
        <f aca="false">IF(AND(Tasks[[#This Row],[_IsLeaf]]=1,N(Tasks[[#This Row],[Actual Start]])=0,Tasks[[#This Row],[_ShownFcstStart]]&gt;=StatusDate,Tasks[[#This Row],[_ShownFcstStart]]&lt;=LookaheadEnd),Tasks[[#This Row],[_ShownFcstStart]]+Tasks[[#This Row],[_Row]]/100000,"")</f>
        <v/>
      </c>
      <c r="EQ35" s="32" t="str">
        <f aca="false">IF(AND(Tasks[[#This Row],[_IsLeaf]]=1,Tasks[[#This Row],[_LeafProgress]]&lt;1,Tasks[[#This Row],[_ShownFcstFinish]]&gt;=StatusDate,Tasks[[#This Row],[_ShownFcstFinish]]&lt;=LookaheadEnd),Tasks[[#This Row],[_ShownFcstFinish]]+Tasks[[#This Row],[_Row]]/100000,"")</f>
        <v/>
      </c>
      <c r="ER35" s="116" t="n">
        <f aca="false">IF(Tasks[[#This Row],[_LeafCritical]],Tasks[[#This Row],[_ShownFcstStart]]+Tasks[[#This Row],[_Row]]/100000,"")</f>
        <v>46393.0003</v>
      </c>
      <c r="ES35" s="32" t="n">
        <f aca="false">Tasks[[#This Row],[_LeafWork]]*Tasks[[#This Row],[_LeafProgress]]</f>
        <v>0</v>
      </c>
      <c r="ET35" s="115" t="str">
        <f aca="false">IF(AND(Tasks[[#This Row],[_IsLeaf]]=1,Tasks[[#This Row],[_LeafProgress]]&gt;=1),IF(N(Tasks[[#This Row],[Actual Finish]])&gt;0,Tasks[[#This Row],[Actual Finish]],Tasks[[#This Row],[_ShownFcstFinish]]),"")</f>
        <v/>
      </c>
      <c r="EU35" s="32" t="n">
        <f aca="false">IF(Tasks[[#This Row],[_IsLeaf]]=1,N(Tasks[[#This Row],[Story Points]]),0)</f>
        <v>0</v>
      </c>
      <c r="EV35" s="32" t="str">
        <f aca="false">IF(AND(Tasks[[#This Row],[_IsLeaf]]=1,CurrentSprint&lt;&gt;"",Tasks[[#This Row],[Sprint]]=CurrentSprint),Tasks[[#This Row],[_Row]],"")</f>
        <v/>
      </c>
    </row>
    <row r="36" customFormat="false" ht="15" hidden="false" customHeight="false" outlineLevel="0" collapsed="false">
      <c r="A36" s="45" t="str">
        <f aca="false">IF(Tasks[[#This Row],[Task Name]]="","",COUNTA(Tasks[[#Headers],[Task Name]]:Tasks[[#This Row],[Task Name]])-1)</f>
        <v/>
      </c>
      <c r="B36" s="46" t="n">
        <v>31</v>
      </c>
      <c r="C3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36" s="46"/>
      <c r="E36" s="45" t="str">
        <f aca="false">IF(Tasks[[#This Row],[Task Name]]="","",IF(Tasks[[#This Row],[_Level]]&lt;=OutlineShowLevel,"Yes","No"))</f>
        <v/>
      </c>
      <c r="F36" s="47"/>
      <c r="G36" s="46"/>
      <c r="H36" s="46"/>
      <c r="I36" s="46"/>
      <c r="J36" s="46"/>
      <c r="K36" s="46"/>
      <c r="L36" s="46"/>
      <c r="M36" s="46"/>
      <c r="N36" s="46"/>
      <c r="O36" s="46"/>
      <c r="P36" s="46"/>
      <c r="Q36" s="46"/>
      <c r="R36" s="46"/>
      <c r="S36" s="46"/>
      <c r="T36" s="46"/>
      <c r="U36" s="47"/>
      <c r="V36" s="88"/>
      <c r="W36" s="88"/>
      <c r="X36" s="25" t="str">
        <f aca="false">IF(Tasks[[#This Row],[Task Name]]="","",IF(N(Tasks[[#This Row],[Baseline Start]])&gt;0,Tasks[[#This Row],[Baseline Start]],Tasks[[#This Row],[_CalcStart]]))</f>
        <v/>
      </c>
      <c r="Y36" s="25" t="str">
        <f aca="false">IF(Tasks[[#This Row],[Task Name]]="","",IF(N(Tasks[[#This Row],[Baseline Finish]])&gt;0,Tasks[[#This Row],[Baseline Finish]],Tasks[[#This Row],[_CalcFinish]]))</f>
        <v/>
      </c>
      <c r="Z36" s="88"/>
      <c r="AA36" s="88"/>
      <c r="AB36" s="25" t="str">
        <f aca="false">IF(Tasks[[#This Row],[Task Name]]="","",IF(Tasks[[#This Row],[_IsSummary]],MIN(INDEX(Tasks[_ShownFcstStart],Tasks[[#This Row],[_Row]]+1):INDEX(Tasks[_ShownFcstStart],Tasks[[#This Row],[_Row]]+Tasks[[#This Row],[_Descendants]])),Tasks[[#This Row],[_ShownFcstStart]]))</f>
        <v/>
      </c>
      <c r="AC36" s="25" t="str">
        <f aca="false">IF(Tasks[[#This Row],[Task Name]]="","",IF(Tasks[[#This Row],[_IsSummary]],MAX(INDEX(Tasks[_ShownFcstFinish],Tasks[[#This Row],[_Row]]+1):INDEX(Tasks[_ShownFcstFinish],Tasks[[#This Row],[_Row]]+Tasks[[#This Row],[_Descendants]])),Tasks[[#This Row],[_ShownFcstFinish]]))</f>
        <v/>
      </c>
      <c r="AD3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3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36" s="25" t="str">
        <f aca="false">IF(Tasks[[#This Row],[Task Name]]="","",IF(Tasks[[#This Row],[_IsSummary]],MIN(INDEX(Tasks[_LeafLateStart],Tasks[[#This Row],[_Row]]+1):INDEX(Tasks[_LeafLateStart],Tasks[[#This Row],[_Row]]+Tasks[[#This Row],[_Descendants]])),Tasks[[#This Row],[_LeafLateStart]]))</f>
        <v/>
      </c>
      <c r="AG36" s="25" t="str">
        <f aca="false">IF(Tasks[[#This Row],[Task Name]]="","",IF(Tasks[[#This Row],[_IsSummary]],MAX(INDEX(Tasks[_LeafLateFinish],Tasks[[#This Row],[_Row]]+1):INDEX(Tasks[_LeafLateFinish],Tasks[[#This Row],[_Row]]+Tasks[[#This Row],[_Descendants]])),Tasks[[#This Row],[_LeafLateFinish]]))</f>
        <v/>
      </c>
      <c r="AH36" s="56" t="str">
        <f aca="false">IF(Tasks[[#This Row],[Task Name]]="","",IF(Tasks[[#This Row],[_IsSummary]],MIN(INDEX(Tasks[_LeafTotalSlack],Tasks[[#This Row],[_Row]]+1):INDEX(Tasks[_LeafTotalSlack],Tasks[[#This Row],[_Row]]+Tasks[[#This Row],[_Descendants]])),Tasks[[#This Row],[_LeafTotalSlack]]))</f>
        <v/>
      </c>
      <c r="AI3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36" s="45" t="str">
        <f aca="false">IF(Tasks[[#This Row],[Task Name]]="","",IF(IF(Tasks[[#This Row],[_IsSummary]],COUNTIF(INDEX(Tasks[_LeafCritical],Tasks[[#This Row],[_Row]]+1):INDEX(Tasks[_LeafCritical],Tasks[[#This Row],[_Row]]+Tasks[[#This Row],[_Descendants]]),TRUE())&gt;0,Tasks[[#This Row],[_LeafCritical]]),"Yes",""))</f>
        <v/>
      </c>
      <c r="AK3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6" s="102"/>
      <c r="AN3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36" s="45" t="str">
        <f aca="false">IF(Tasks[[#This Row],[Task Name]]="","",IF(Tasks[[#This Row],[Progress]]&gt;=1,"Complete",IF(OR(N(Tasks[[#This Row],[Actual Start]])&gt;0,Tasks[[#This Row],[Progress]]&gt;0),IF(Tasks[[#This Row],[Finish Var]]&gt;0,"Behind","In Progress"),IF(Tasks[[#This Row],[Planned Start]]&lt;StatusDate,"Late Start","Not Started"))))</f>
        <v/>
      </c>
      <c r="AP36" s="47"/>
      <c r="AQ36" s="102"/>
      <c r="AR3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6" s="110" t="str">
        <f aca="false">IF(Tasks[[#This Row],[Task Name]]="","",IF(Tasks[[#This Row],[_IsSummary]],SUM(INDEX(Tasks[_LeafTotalWork],Tasks[[#This Row],[_Row]]+1):INDEX(Tasks[_LeafTotalWork],Tasks[[#This Row],[_Row]]+Tasks[[#This Row],[_Descendants]])),Tasks[[#This Row],[_LeafTotalWork]]))</f>
        <v/>
      </c>
      <c r="AU36" s="111" t="str">
        <f aca="false">IF(Tasks[[#This Row],[Task Name]]="","",IF(Tasks[[#This Row],[_IsSummary]],SUM(INDEX(Tasks[_LeafTotalCost],Tasks[[#This Row],[_Row]]+1):INDEX(Tasks[_LeafTotalCost],Tasks[[#This Row],[_Row]]+Tasks[[#This Row],[_Descendants]])),Tasks[[#This Row],[_LeafTotalCost]]))</f>
        <v/>
      </c>
      <c r="AV36" s="112"/>
      <c r="AW36" s="46"/>
      <c r="AX3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36" s="96"/>
      <c r="AZ3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6" s="47"/>
      <c r="BB36" s="25" t="str">
        <f aca="false">IF(Tasks[[#This Row],[Task Name]]="","",Tasks[[#This Row],[Forecast Start]])</f>
        <v/>
      </c>
      <c r="BC36" s="25" t="str">
        <f aca="false">IF(Tasks[[#This Row],[Task Name]]="","",Tasks[[#This Row],[Forecast Finish]])</f>
        <v/>
      </c>
      <c r="BD36" s="45" t="str">
        <f aca="false">IF(Tasks[[#This Row],[Task Name]]="","",IF(Tasks[[#This Row],[_IsSummary]],NETWORKDAYS.INTL(Tasks[[#This Row],[Forecast Start]],Tasks[[#This Row],[Forecast Finish]],WorkWeek,Holidays),N(Tasks[[#This Row],[Duration]])))</f>
        <v/>
      </c>
      <c r="BE36" s="110" t="str">
        <f aca="false">IF(Tasks[[#This Row],[Task Name]]="","",Tasks[[#This Row],[Work]])</f>
        <v/>
      </c>
      <c r="BF36" s="111" t="str">
        <f aca="false">IF(Tasks[[#This Row],[Task Name]]="","",Tasks[[#This Row],[Cost]])</f>
        <v/>
      </c>
      <c r="BG36" s="88"/>
      <c r="BH36" s="88"/>
      <c r="BI36" s="46"/>
      <c r="BJ36" s="113"/>
      <c r="BK36" s="112"/>
      <c r="BL36" s="45" t="str">
        <f aca="false">IF(OR(Tasks[[#This Row],[Task Name]]="",Tasks[[#This Row],[Baseline Duration]]=""),"",Tasks[[#This Row],[BL Source Duration]]-N(Tasks[[#This Row],[Baseline Duration]]))</f>
        <v/>
      </c>
      <c r="BM36" s="110" t="str">
        <f aca="false">IF(OR(Tasks[[#This Row],[Task Name]]="",Tasks[[#This Row],[Baseline Work]]=""),"",Tasks[[#This Row],[Work]]-N(Tasks[[#This Row],[Baseline Work]]))</f>
        <v/>
      </c>
      <c r="BN36" s="111" t="str">
        <f aca="false">IF(OR(Tasks[[#This Row],[Task Name]]="",Tasks[[#This Row],[Baseline Cost]]=""),"",Tasks[[#This Row],[Cost]]-N(Tasks[[#This Row],[Baseline Cost]]))</f>
        <v/>
      </c>
      <c r="BO36" s="111" t="str">
        <f aca="false">IF(Tasks[[#This Row],[Task Name]]="","",IF(Tasks[[#This Row],[_IsSummary]],SUM(INDEX(Tasks[_LeafBudget],Tasks[[#This Row],[_Row]]+1):INDEX(Tasks[_LeafBudget],Tasks[[#This Row],[_Row]]+Tasks[[#This Row],[_Descendants]])),Tasks[[#This Row],[_LeafBudget]]))</f>
        <v/>
      </c>
      <c r="BP36" s="111" t="str">
        <f aca="false">IF(Tasks[[#This Row],[Task Name]]="","",IF(Tasks[[#This Row],[_IsSummary]],SUM(INDEX(Tasks[_LeafPV],Tasks[[#This Row],[_Row]]+1):INDEX(Tasks[_LeafPV],Tasks[[#This Row],[_Row]]+Tasks[[#This Row],[_Descendants]])),Tasks[[#This Row],[_LeafPV]]))</f>
        <v/>
      </c>
      <c r="BQ36" s="111" t="str">
        <f aca="false">IF(Tasks[[#This Row],[Task Name]]="","",IF(Tasks[[#This Row],[_IsSummary]],SUM(INDEX(Tasks[_LeafEV],Tasks[[#This Row],[_Row]]+1):INDEX(Tasks[_LeafEV],Tasks[[#This Row],[_Row]]+Tasks[[#This Row],[_Descendants]])),Tasks[[#This Row],[_LeafEV]]))</f>
        <v/>
      </c>
      <c r="BR36" s="111" t="str">
        <f aca="false">IF(Tasks[[#This Row],[Task Name]]="","",IF(Tasks[[#This Row],[_IsSummary]],SUM(INDEX(Tasks[_LeafAC],Tasks[[#This Row],[_Row]]+1):INDEX(Tasks[_LeafAC],Tasks[[#This Row],[_Row]]+Tasks[[#This Row],[_Descendants]])),Tasks[[#This Row],[_LeafAC]]))</f>
        <v/>
      </c>
      <c r="BS36" s="32" t="str">
        <f aca="false">IF(Tasks[[#This Row],[Task Name]]="","",MAX(1,N(Tasks[[#This Row],[Level]])))</f>
        <v/>
      </c>
      <c r="BT36" s="32" t="n">
        <f aca="false">ROW()-ROW(Tasks[[#Headers],[ID]])</f>
        <v>31</v>
      </c>
      <c r="BU36" s="32" t="n">
        <f aca="false">IF(OR(Tasks[[#This Row],[Task Name]]="",Tasks[[#This Row],[_Level]]&lt;=1),0,IFERROR(LOOKUP(2,1/(Tasks[[#Headers],[_Level]]:Tasks[[#This Row],[_Level]]=Tasks[[#This Row],[_Level]]-1),ROW(Tasks[[#Headers],[_Level]]:Tasks[[#This Row],[_Level]])),0))</f>
        <v>0</v>
      </c>
      <c r="BV36" s="32" t="n">
        <f aca="false">IFERROR(N(INDEX(Tasks[_Level],Tasks[[#This Row],[_Row]]+1)),0)</f>
        <v>0</v>
      </c>
      <c r="BW36" s="114" t="b">
        <f aca="false">AND(Tasks[[#This Row],[Task Name]]&lt;&gt;"",Tasks[[#This Row],[_NextLevel]]&gt;Tasks[[#This Row],[_Level]])</f>
        <v>0</v>
      </c>
      <c r="BX36" s="32" t="n">
        <f aca="false">IF(Tasks[[#This Row],[_IsSummary]],COUNTIF(Tasks[WBS],Tasks[[#This Row],[WBS]]&amp;".*"),0)</f>
        <v>0</v>
      </c>
      <c r="BY36" s="32" t="n">
        <f aca="false">IF(AND(Tasks[[#This Row],[Task Name]]&lt;&gt;"",NOT(Tasks[[#This Row],[_IsSummary]])),1,0)</f>
        <v>0</v>
      </c>
      <c r="BZ36" s="32" t="n">
        <f aca="false">IF(N(Tasks[[#This Row],[Pred1 UID]])=0,0,IFERROR(MATCH(Tasks[[#This Row],[Pred1 UID]],Tasks[UID],0),-1))</f>
        <v>0</v>
      </c>
      <c r="CA36" s="32" t="n">
        <f aca="false">IF(N(Tasks[[#This Row],[Pred2 UID]])=0,0,IFERROR(MATCH(Tasks[[#This Row],[Pred2 UID]],Tasks[UID],0),-1))</f>
        <v>0</v>
      </c>
      <c r="CB36" s="32" t="n">
        <f aca="false">IF(N(Tasks[[#This Row],[Pred3 UID]])=0,0,IFERROR(MATCH(Tasks[[#This Row],[Pred3 UID]],Tasks[UID],0),-1))</f>
        <v>0</v>
      </c>
      <c r="CC36" s="32" t="n">
        <f aca="false">IF(N(Tasks[[#This Row],[Pred4 UID]])=0,0,IFERROR(MATCH(Tasks[[#This Row],[Pred4 UID]],Tasks[UID],0),-1))</f>
        <v>0</v>
      </c>
      <c r="CD3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3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6" s="115" t="n">
        <f aca="false">IF(OR(Tasks[[#This Row],[_ConstraintCode]]=2,Tasks[[#This Row],[_ConstraintCode]]=3,Tasks[[#This Row],[_ConstraintCode]]=4,Tasks[[#This Row],[_ConstraintCode]]=6),Tasks[[#This Row],[_ConstraintStart]],0)</f>
        <v>0</v>
      </c>
      <c r="CG36" s="115" t="n">
        <f aca="false">IF(OR(Tasks[[#This Row],[_ConstraintCode]]=2,Tasks[[#This Row],[_ConstraintCode]]=3,Tasks[[#This Row],[_ConstraintCode]]=5,Tasks[[#This Row],[_ConstraintCode]]=7),Tasks[[#This Row],[_ConstraintStart]],2958465)</f>
        <v>2958465</v>
      </c>
      <c r="CH3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36" s="115" t="str">
        <f aca="false">IF(NOT(Tasks[[#This Row],[_IsLeaf]]=1),"",IF(N(Tasks[[#This Row],[Duration]])&lt;=0,Tasks[[#This Row],[_LeafCalcStart]],WORKDAY.INTL(Tasks[[#This Row],[_LeafCalcStart]],Tasks[[#This Row],[Duration]]-1,WorkWeek,Holidays)))</f>
        <v/>
      </c>
      <c r="CJ3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3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36" s="32" t="n">
        <f aca="false">IF(NOT(Tasks[[#This Row],[_IsLeaf]]=1),0,IF(N(Tasks[[#This Row],[Actual Finish]])&gt;0,1,MIN(1,N(Tasks[[#This Row],[% Complete]]))))</f>
        <v>0</v>
      </c>
      <c r="CM36" s="32" t="n">
        <f aca="false">IF(OR(NOT(Tasks[[#This Row],[_IsLeaf]]=1),Tasks[[#This Row],[Resource]]=""),0,N(Tasks[[#This Row],[Duration]])*HoursPerDay*IF(Tasks[[#This Row],[Units]]="",DefaultUnits,Tasks[[#This Row],[Units]]))</f>
        <v>0</v>
      </c>
      <c r="CN36" s="32" t="n">
        <f aca="false">IF(Tasks[[#This Row],[_LeafWork]]=0,0,Tasks[[#This Row],[_LeafWork]]*IFERROR(INDEX(res_Rate,MATCH(Tasks[[#This Row],[Resource]],res_Name,0)),0))</f>
        <v>0</v>
      </c>
      <c r="CO36" s="32" t="n">
        <f aca="false">Tasks[[#This Row],[_LeafWork]]+IF(Tasks[[#This Row],[_IsLeaf]]=1,SUMIFS(asg_Work,asg_TaskUID,Tasks[[#This Row],[UID]],asg_Valid,1),0)</f>
        <v>0</v>
      </c>
      <c r="CP36" s="32" t="n">
        <f aca="false">Tasks[[#This Row],[_LeafCost]]+IF(Tasks[[#This Row],[_IsLeaf]]=1,SUMIFS(asg_Cost,asg_TaskUID,Tasks[[#This Row],[UID]],asg_Valid,1),0)</f>
        <v>0</v>
      </c>
      <c r="CQ36" s="32" t="n">
        <f aca="false">IF(Tasks[[#This Row],[_LeafTotalCost]]=0,Tasks[[#This Row],[_LeafAC]],Tasks[[#This Row],[_LeafAC]]*Tasks[[#This Row],[_LeafCost]]/Tasks[[#This Row],[_LeafTotalCost]])</f>
        <v>0</v>
      </c>
      <c r="CR3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6" s="32" t="n">
        <f aca="false">IF(NOT(Tasks[[#This Row],[_IsLeaf]]=1),0,MAX(_xlfn.MAXIFS(Tasks[_Row],Tasks[Pred1 UID],Tasks[[#This Row],[UID]]),_xlfn.MAXIFS(Tasks[_Row],Tasks[Pred2 UID],Tasks[[#This Row],[UID]]),_xlfn.MAXIFS(Tasks[_Row],Tasks[Pred3 UID],Tasks[[#This Row],[UID]]),_xlfn.MAXIFS(Tasks[_Row],Tasks[Pred4 UID],Tasks[[#This Row],[UID]])))</f>
        <v>0</v>
      </c>
      <c r="DA3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3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36" s="115" t="str">
        <f aca="false">IF(NOT(Tasks[[#This Row],[_IsLeaf]]=1),"",IF(N(Tasks[[#This Row],[Duration]])&lt;=0,Tasks[[#This Row],[_LeafLateFinish]],WORKDAY.INTL(Tasks[[#This Row],[_LeafLateFinish]],-(Tasks[[#This Row],[Duration]]-1),WorkWeek,Holidays)))</f>
        <v/>
      </c>
      <c r="DD3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36" s="114" t="b">
        <f aca="false">AND(Tasks[[#This Row],[_IsLeaf]]=1,Tasks[[#This Row],[_LeafProgress]]&lt;1,N(Tasks[[#This Row],[_LeafTotalSlack]])&lt;=CriticalSlackDays)</f>
        <v>0</v>
      </c>
      <c r="DF36" s="32" t="n">
        <f aca="false">IF(AND(Tasks[[#This Row],[_IsLeaf]]=1,Tasks[[#This Row],[_ConstraintCode]]=1,Tasks[[#This Row],[Mode]]&lt;&gt;"Manual",N(Tasks[[#This Row],[Actual Start]])=0),MAX(0,N(Tasks[[#This Row],[Free Slack]])),0)</f>
        <v>0</v>
      </c>
      <c r="DG36" s="115" t="str">
        <f aca="false">IF(NOT(Tasks[[#This Row],[_IsLeaf]]=1),"",IF(Tasks[[#This Row],[_AlapShift]]=0,Tasks[[#This Row],[_LeafCalcStart]],WORKDAY.INTL(Tasks[[#This Row],[_LeafCalcStart]],Tasks[[#This Row],[_AlapShift]],WorkWeek,Holidays)))</f>
        <v/>
      </c>
      <c r="DH36" s="115" t="str">
        <f aca="false">IF(NOT(Tasks[[#This Row],[_IsLeaf]]=1),"",IF(Tasks[[#This Row],[_AlapShift]]=0,Tasks[[#This Row],[_LeafCalcFinish]],WORKDAY.INTL(Tasks[[#This Row],[_LeafCalcFinish]],Tasks[[#This Row],[_AlapShift]],WorkWeek,Holidays)))</f>
        <v/>
      </c>
      <c r="DI36" s="115" t="str">
        <f aca="false">IF(NOT(Tasks[[#This Row],[_IsLeaf]]=1),"",IF(Tasks[[#This Row],[_AlapShift]]=0,Tasks[[#This Row],[_LeafFcstStart]],WORKDAY.INTL(Tasks[[#This Row],[_LeafFcstStart]],Tasks[[#This Row],[_AlapShift]],WorkWeek,Holidays)))</f>
        <v/>
      </c>
      <c r="DJ36" s="115" t="str">
        <f aca="false">IF(NOT(Tasks[[#This Row],[_IsLeaf]]=1),"",IF(Tasks[[#This Row],[_AlapShift]]=0,Tasks[[#This Row],[_LeafFcstFinish]],WORKDAY.INTL(Tasks[[#This Row],[_LeafFcstFinish]],Tasks[[#This Row],[_AlapShift]],WorkWeek,Holidays)))</f>
        <v/>
      </c>
      <c r="DK36" s="115" t="str">
        <f aca="false">IF(Tasks[[#This Row],[Task Name]]="","",IF(Tasks[[#This Row],[_IsSummary]],MIN(INDEX(Tasks[_ShownCalcStart],Tasks[[#This Row],[_Row]]+1):INDEX(Tasks[_ShownCalcStart],Tasks[[#This Row],[_Row]]+Tasks[[#This Row],[_Descendants]])),Tasks[[#This Row],[_ShownCalcStart]]))</f>
        <v/>
      </c>
      <c r="DL36" s="115" t="str">
        <f aca="false">IF(Tasks[[#This Row],[Task Name]]="","",IF(Tasks[[#This Row],[_IsSummary]],MAX(INDEX(Tasks[_ShownCalcFinish],Tasks[[#This Row],[_Row]]+1):INDEX(Tasks[_ShownCalcFinish],Tasks[[#This Row],[_Row]]+Tasks[[#This Row],[_Descendants]])),Tasks[[#This Row],[_ShownCalcFinish]]))</f>
        <v/>
      </c>
      <c r="DM3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6" s="32" t="n">
        <f aca="false">IF(AND(Tasks[[#This Row],[_IsLeaf]]=1,Tasks[[#This Row],[_LeafTotalWork]]&gt;0),NETWORKDAYS.INTL(ProjectStart,Tasks[[#This Row],[_ShownFcstStart]],WorkWeek,Holidays),0)</f>
        <v>0</v>
      </c>
      <c r="DZ36" s="32" t="n">
        <f aca="false">IF(AND(Tasks[[#This Row],[_IsLeaf]]=1,Tasks[[#This Row],[_LeafTotalWork]]&gt;0),MAX(Tasks[[#This Row],[_StartWorkday]],NETWORKDAYS.INTL(ProjectStart,Tasks[[#This Row],[_ShownFcstFinish]],WorkWeek,Holidays)),0)</f>
        <v>0</v>
      </c>
      <c r="EA36" s="32" t="n">
        <f aca="false">IF(AND(Tasks[[#This Row],[_IsLeaf]]=1,Tasks[[#This Row],[_LeafTotalWork]]&gt;0),Tasks[[#This Row],[_LeafWork]]/(Tasks[[#This Row],[_FinishWorkday]]-Tasks[[#This Row],[_StartWorkday]]+1),0)</f>
        <v>0</v>
      </c>
      <c r="EB36" s="32" t="n">
        <f aca="false">Tasks[[#This Row],[_WorkPerWorkday]]*(Tasks[[#This Row],[_StartWorkday]]-1)</f>
        <v>-0</v>
      </c>
      <c r="EC36" s="32" t="n">
        <f aca="false">IF(Tasks[[#This Row],[_IsLeaf]]=1,MAX(N(Tasks[[#This Row],[Duration]]),0.1),0)</f>
        <v>0</v>
      </c>
      <c r="ED36" s="32" t="n">
        <f aca="false">Tasks[[#This Row],[_WeightDur]]*Tasks[[#This Row],[_LeafProgress]]</f>
        <v>0</v>
      </c>
      <c r="EE3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6" s="32" t="str">
        <f aca="false">IF(AND(Tasks[[#This Row],[_IsLeaf]]=1,N(Tasks[[#This Row],[Duration]])=0,Tasks[[#This Row],[_LeafProgress]]&lt;1),Tasks[[#This Row],[_ShownFcstFinish]]+Tasks[[#This Row],[_Row]]/100000,"")</f>
        <v/>
      </c>
      <c r="EG3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6" s="32" t="n">
        <f aca="false">IF(NOT(Tasks[[#This Row],[_IsLeaf]]=1),0,IF(Tasks[[#This Row],[Baseline Cost]]="",Tasks[[#This Row],[_LeafTotalCost]],N(Tasks[[#This Row],[Baseline Cost]])))</f>
        <v>0</v>
      </c>
      <c r="EI36" s="32" t="n">
        <f aca="false">Tasks[[#This Row],[_LeafBudget]]*Tasks[[#This Row],[_PlannedPct]]</f>
        <v>0</v>
      </c>
      <c r="EJ36" s="32" t="n">
        <f aca="false">Tasks[[#This Row],[_LeafBudget]]*Tasks[[#This Row],[_LeafProgress]]</f>
        <v>0</v>
      </c>
      <c r="EK36" s="32" t="n">
        <f aca="false">IF(NOT(Tasks[[#This Row],[_IsLeaf]]=1),0,IF(Tasks[[#This Row],[Actual Cost]]="",Tasks[[#This Row],[_LeafTotalCost]]*Tasks[[#This Row],[_LeafProgress]],N(Tasks[[#This Row],[Actual Cost]])))</f>
        <v>0</v>
      </c>
      <c r="EL36" s="32" t="str">
        <f aca="false">IF(Tasks[[#This Row],[Task Name]]="","",LEFT(Tasks[[#This Row],[WBS]],FIND(".",Tasks[[#This Row],[WBS]]&amp;".")-1))</f>
        <v/>
      </c>
      <c r="EM36" s="32" t="str">
        <f aca="false">IF(AND(Tasks[[#This Row],[Task Name]]&lt;&gt;"",Tasks[[#This Row],[_Level]]=1),Tasks[[#This Row],[_Row]],"")</f>
        <v/>
      </c>
      <c r="EN36" s="32" t="str">
        <f aca="false">IF(AND(Tasks[[#This Row],[_IsLeaf]]=1,N(Tasks[[#This Row],[Duration]])=0),Tasks[[#This Row],[Planned Finish]]+Tasks[[#This Row],[_Row]]/100000,"")</f>
        <v/>
      </c>
      <c r="EO36" s="32" t="str">
        <f aca="false">IF(AND(Tasks[[#This Row],[_IsLeaf]]=1,Tasks[[#This Row],[_LeafProgress]]&lt;1,OR(N(Tasks[[#This Row],[Finish Var]])&gt;0,Tasks[[#This Row],[Status]]="Late Start")),MAX(0,Tasks[[#This Row],[Finish Var]])+1-Tasks[[#This Row],[_Row]]/1000000,"")</f>
        <v/>
      </c>
      <c r="EP36" s="32" t="str">
        <f aca="false">IF(AND(Tasks[[#This Row],[_IsLeaf]]=1,N(Tasks[[#This Row],[Actual Start]])=0,Tasks[[#This Row],[_ShownFcstStart]]&gt;=StatusDate,Tasks[[#This Row],[_ShownFcstStart]]&lt;=LookaheadEnd),Tasks[[#This Row],[_ShownFcstStart]]+Tasks[[#This Row],[_Row]]/100000,"")</f>
        <v/>
      </c>
      <c r="EQ36" s="32" t="str">
        <f aca="false">IF(AND(Tasks[[#This Row],[_IsLeaf]]=1,Tasks[[#This Row],[_LeafProgress]]&lt;1,Tasks[[#This Row],[_ShownFcstFinish]]&gt;=StatusDate,Tasks[[#This Row],[_ShownFcstFinish]]&lt;=LookaheadEnd),Tasks[[#This Row],[_ShownFcstFinish]]+Tasks[[#This Row],[_Row]]/100000,"")</f>
        <v/>
      </c>
      <c r="ER36" s="32" t="str">
        <f aca="false">IF(Tasks[[#This Row],[_LeafCritical]],Tasks[[#This Row],[_ShownFcstStart]]+Tasks[[#This Row],[_Row]]/100000,"")</f>
        <v/>
      </c>
      <c r="ES36" s="32" t="n">
        <f aca="false">Tasks[[#This Row],[_LeafWork]]*Tasks[[#This Row],[_LeafProgress]]</f>
        <v>0</v>
      </c>
      <c r="ET36" s="115" t="str">
        <f aca="false">IF(AND(Tasks[[#This Row],[_IsLeaf]]=1,Tasks[[#This Row],[_LeafProgress]]&gt;=1),IF(N(Tasks[[#This Row],[Actual Finish]])&gt;0,Tasks[[#This Row],[Actual Finish]],Tasks[[#This Row],[_ShownFcstFinish]]),"")</f>
        <v/>
      </c>
      <c r="EU36" s="32" t="n">
        <f aca="false">IF(Tasks[[#This Row],[_IsLeaf]]=1,N(Tasks[[#This Row],[Story Points]]),0)</f>
        <v>0</v>
      </c>
      <c r="EV36" s="32" t="str">
        <f aca="false">IF(AND(Tasks[[#This Row],[_IsLeaf]]=1,CurrentSprint&lt;&gt;"",Tasks[[#This Row],[Sprint]]=CurrentSprint),Tasks[[#This Row],[_Row]],"")</f>
        <v/>
      </c>
    </row>
    <row r="37" customFormat="false" ht="15" hidden="false" customHeight="false" outlineLevel="0" collapsed="false">
      <c r="A37" s="45" t="str">
        <f aca="false">IF(Tasks[[#This Row],[Task Name]]="","",COUNTA(Tasks[[#Headers],[Task Name]]:Tasks[[#This Row],[Task Name]])-1)</f>
        <v/>
      </c>
      <c r="B37" s="46" t="n">
        <v>32</v>
      </c>
      <c r="C3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37" s="46"/>
      <c r="E37" s="45" t="str">
        <f aca="false">IF(Tasks[[#This Row],[Task Name]]="","",IF(Tasks[[#This Row],[_Level]]&lt;=OutlineShowLevel,"Yes","No"))</f>
        <v/>
      </c>
      <c r="F37" s="47"/>
      <c r="G37" s="46"/>
      <c r="H37" s="46"/>
      <c r="I37" s="46"/>
      <c r="J37" s="46"/>
      <c r="K37" s="46"/>
      <c r="L37" s="46"/>
      <c r="M37" s="46"/>
      <c r="N37" s="46"/>
      <c r="O37" s="46"/>
      <c r="P37" s="46"/>
      <c r="Q37" s="46"/>
      <c r="R37" s="46"/>
      <c r="S37" s="46"/>
      <c r="T37" s="46"/>
      <c r="U37" s="47"/>
      <c r="V37" s="88"/>
      <c r="W37" s="88"/>
      <c r="X37" s="25" t="str">
        <f aca="false">IF(Tasks[[#This Row],[Task Name]]="","",IF(N(Tasks[[#This Row],[Baseline Start]])&gt;0,Tasks[[#This Row],[Baseline Start]],Tasks[[#This Row],[_CalcStart]]))</f>
        <v/>
      </c>
      <c r="Y37" s="25" t="str">
        <f aca="false">IF(Tasks[[#This Row],[Task Name]]="","",IF(N(Tasks[[#This Row],[Baseline Finish]])&gt;0,Tasks[[#This Row],[Baseline Finish]],Tasks[[#This Row],[_CalcFinish]]))</f>
        <v/>
      </c>
      <c r="Z37" s="88"/>
      <c r="AA37" s="88"/>
      <c r="AB37" s="25" t="str">
        <f aca="false">IF(Tasks[[#This Row],[Task Name]]="","",IF(Tasks[[#This Row],[_IsSummary]],MIN(INDEX(Tasks[_ShownFcstStart],Tasks[[#This Row],[_Row]]+1):INDEX(Tasks[_ShownFcstStart],Tasks[[#This Row],[_Row]]+Tasks[[#This Row],[_Descendants]])),Tasks[[#This Row],[_ShownFcstStart]]))</f>
        <v/>
      </c>
      <c r="AC37" s="25" t="str">
        <f aca="false">IF(Tasks[[#This Row],[Task Name]]="","",IF(Tasks[[#This Row],[_IsSummary]],MAX(INDEX(Tasks[_ShownFcstFinish],Tasks[[#This Row],[_Row]]+1):INDEX(Tasks[_ShownFcstFinish],Tasks[[#This Row],[_Row]]+Tasks[[#This Row],[_Descendants]])),Tasks[[#This Row],[_ShownFcstFinish]]))</f>
        <v/>
      </c>
      <c r="AD3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3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37" s="25" t="str">
        <f aca="false">IF(Tasks[[#This Row],[Task Name]]="","",IF(Tasks[[#This Row],[_IsSummary]],MIN(INDEX(Tasks[_LeafLateStart],Tasks[[#This Row],[_Row]]+1):INDEX(Tasks[_LeafLateStart],Tasks[[#This Row],[_Row]]+Tasks[[#This Row],[_Descendants]])),Tasks[[#This Row],[_LeafLateStart]]))</f>
        <v/>
      </c>
      <c r="AG37" s="25" t="str">
        <f aca="false">IF(Tasks[[#This Row],[Task Name]]="","",IF(Tasks[[#This Row],[_IsSummary]],MAX(INDEX(Tasks[_LeafLateFinish],Tasks[[#This Row],[_Row]]+1):INDEX(Tasks[_LeafLateFinish],Tasks[[#This Row],[_Row]]+Tasks[[#This Row],[_Descendants]])),Tasks[[#This Row],[_LeafLateFinish]]))</f>
        <v/>
      </c>
      <c r="AH37" s="56" t="str">
        <f aca="false">IF(Tasks[[#This Row],[Task Name]]="","",IF(Tasks[[#This Row],[_IsSummary]],MIN(INDEX(Tasks[_LeafTotalSlack],Tasks[[#This Row],[_Row]]+1):INDEX(Tasks[_LeafTotalSlack],Tasks[[#This Row],[_Row]]+Tasks[[#This Row],[_Descendants]])),Tasks[[#This Row],[_LeafTotalSlack]]))</f>
        <v/>
      </c>
      <c r="AI3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37" s="45" t="str">
        <f aca="false">IF(Tasks[[#This Row],[Task Name]]="","",IF(IF(Tasks[[#This Row],[_IsSummary]],COUNTIF(INDEX(Tasks[_LeafCritical],Tasks[[#This Row],[_Row]]+1):INDEX(Tasks[_LeafCritical],Tasks[[#This Row],[_Row]]+Tasks[[#This Row],[_Descendants]]),TRUE())&gt;0,Tasks[[#This Row],[_LeafCritical]]),"Yes",""))</f>
        <v/>
      </c>
      <c r="AK3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7" s="102"/>
      <c r="AN3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37" s="45" t="str">
        <f aca="false">IF(Tasks[[#This Row],[Task Name]]="","",IF(Tasks[[#This Row],[Progress]]&gt;=1,"Complete",IF(OR(N(Tasks[[#This Row],[Actual Start]])&gt;0,Tasks[[#This Row],[Progress]]&gt;0),IF(Tasks[[#This Row],[Finish Var]]&gt;0,"Behind","In Progress"),IF(Tasks[[#This Row],[Planned Start]]&lt;StatusDate,"Late Start","Not Started"))))</f>
        <v/>
      </c>
      <c r="AP37" s="47"/>
      <c r="AQ37" s="102"/>
      <c r="AR3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7" s="110" t="str">
        <f aca="false">IF(Tasks[[#This Row],[Task Name]]="","",IF(Tasks[[#This Row],[_IsSummary]],SUM(INDEX(Tasks[_LeafTotalWork],Tasks[[#This Row],[_Row]]+1):INDEX(Tasks[_LeafTotalWork],Tasks[[#This Row],[_Row]]+Tasks[[#This Row],[_Descendants]])),Tasks[[#This Row],[_LeafTotalWork]]))</f>
        <v/>
      </c>
      <c r="AU37" s="111" t="str">
        <f aca="false">IF(Tasks[[#This Row],[Task Name]]="","",IF(Tasks[[#This Row],[_IsSummary]],SUM(INDEX(Tasks[_LeafTotalCost],Tasks[[#This Row],[_Row]]+1):INDEX(Tasks[_LeafTotalCost],Tasks[[#This Row],[_Row]]+Tasks[[#This Row],[_Descendants]])),Tasks[[#This Row],[_LeafTotalCost]]))</f>
        <v/>
      </c>
      <c r="AV37" s="112"/>
      <c r="AW37" s="46"/>
      <c r="AX3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37" s="96"/>
      <c r="AZ3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7" s="47"/>
      <c r="BB37" s="25" t="str">
        <f aca="false">IF(Tasks[[#This Row],[Task Name]]="","",Tasks[[#This Row],[Forecast Start]])</f>
        <v/>
      </c>
      <c r="BC37" s="25" t="str">
        <f aca="false">IF(Tasks[[#This Row],[Task Name]]="","",Tasks[[#This Row],[Forecast Finish]])</f>
        <v/>
      </c>
      <c r="BD37" s="45" t="str">
        <f aca="false">IF(Tasks[[#This Row],[Task Name]]="","",IF(Tasks[[#This Row],[_IsSummary]],NETWORKDAYS.INTL(Tasks[[#This Row],[Forecast Start]],Tasks[[#This Row],[Forecast Finish]],WorkWeek,Holidays),N(Tasks[[#This Row],[Duration]])))</f>
        <v/>
      </c>
      <c r="BE37" s="110" t="str">
        <f aca="false">IF(Tasks[[#This Row],[Task Name]]="","",Tasks[[#This Row],[Work]])</f>
        <v/>
      </c>
      <c r="BF37" s="111" t="str">
        <f aca="false">IF(Tasks[[#This Row],[Task Name]]="","",Tasks[[#This Row],[Cost]])</f>
        <v/>
      </c>
      <c r="BG37" s="88"/>
      <c r="BH37" s="88"/>
      <c r="BI37" s="46"/>
      <c r="BJ37" s="113"/>
      <c r="BK37" s="112"/>
      <c r="BL37" s="45" t="str">
        <f aca="false">IF(OR(Tasks[[#This Row],[Task Name]]="",Tasks[[#This Row],[Baseline Duration]]=""),"",Tasks[[#This Row],[BL Source Duration]]-N(Tasks[[#This Row],[Baseline Duration]]))</f>
        <v/>
      </c>
      <c r="BM37" s="110" t="str">
        <f aca="false">IF(OR(Tasks[[#This Row],[Task Name]]="",Tasks[[#This Row],[Baseline Work]]=""),"",Tasks[[#This Row],[Work]]-N(Tasks[[#This Row],[Baseline Work]]))</f>
        <v/>
      </c>
      <c r="BN37" s="111" t="str">
        <f aca="false">IF(OR(Tasks[[#This Row],[Task Name]]="",Tasks[[#This Row],[Baseline Cost]]=""),"",Tasks[[#This Row],[Cost]]-N(Tasks[[#This Row],[Baseline Cost]]))</f>
        <v/>
      </c>
      <c r="BO37" s="111" t="str">
        <f aca="false">IF(Tasks[[#This Row],[Task Name]]="","",IF(Tasks[[#This Row],[_IsSummary]],SUM(INDEX(Tasks[_LeafBudget],Tasks[[#This Row],[_Row]]+1):INDEX(Tasks[_LeafBudget],Tasks[[#This Row],[_Row]]+Tasks[[#This Row],[_Descendants]])),Tasks[[#This Row],[_LeafBudget]]))</f>
        <v/>
      </c>
      <c r="BP37" s="111" t="str">
        <f aca="false">IF(Tasks[[#This Row],[Task Name]]="","",IF(Tasks[[#This Row],[_IsSummary]],SUM(INDEX(Tasks[_LeafPV],Tasks[[#This Row],[_Row]]+1):INDEX(Tasks[_LeafPV],Tasks[[#This Row],[_Row]]+Tasks[[#This Row],[_Descendants]])),Tasks[[#This Row],[_LeafPV]]))</f>
        <v/>
      </c>
      <c r="BQ37" s="111" t="str">
        <f aca="false">IF(Tasks[[#This Row],[Task Name]]="","",IF(Tasks[[#This Row],[_IsSummary]],SUM(INDEX(Tasks[_LeafEV],Tasks[[#This Row],[_Row]]+1):INDEX(Tasks[_LeafEV],Tasks[[#This Row],[_Row]]+Tasks[[#This Row],[_Descendants]])),Tasks[[#This Row],[_LeafEV]]))</f>
        <v/>
      </c>
      <c r="BR37" s="111" t="str">
        <f aca="false">IF(Tasks[[#This Row],[Task Name]]="","",IF(Tasks[[#This Row],[_IsSummary]],SUM(INDEX(Tasks[_LeafAC],Tasks[[#This Row],[_Row]]+1):INDEX(Tasks[_LeafAC],Tasks[[#This Row],[_Row]]+Tasks[[#This Row],[_Descendants]])),Tasks[[#This Row],[_LeafAC]]))</f>
        <v/>
      </c>
      <c r="BS37" s="32" t="str">
        <f aca="false">IF(Tasks[[#This Row],[Task Name]]="","",MAX(1,N(Tasks[[#This Row],[Level]])))</f>
        <v/>
      </c>
      <c r="BT37" s="32" t="n">
        <f aca="false">ROW()-ROW(Tasks[[#Headers],[ID]])</f>
        <v>32</v>
      </c>
      <c r="BU37" s="32" t="n">
        <f aca="false">IF(OR(Tasks[[#This Row],[Task Name]]="",Tasks[[#This Row],[_Level]]&lt;=1),0,IFERROR(LOOKUP(2,1/(Tasks[[#Headers],[_Level]]:Tasks[[#This Row],[_Level]]=Tasks[[#This Row],[_Level]]-1),ROW(Tasks[[#Headers],[_Level]]:Tasks[[#This Row],[_Level]])),0))</f>
        <v>0</v>
      </c>
      <c r="BV37" s="32" t="n">
        <f aca="false">IFERROR(N(INDEX(Tasks[_Level],Tasks[[#This Row],[_Row]]+1)),0)</f>
        <v>0</v>
      </c>
      <c r="BW37" s="114" t="b">
        <f aca="false">AND(Tasks[[#This Row],[Task Name]]&lt;&gt;"",Tasks[[#This Row],[_NextLevel]]&gt;Tasks[[#This Row],[_Level]])</f>
        <v>0</v>
      </c>
      <c r="BX37" s="32" t="n">
        <f aca="false">IF(Tasks[[#This Row],[_IsSummary]],COUNTIF(Tasks[WBS],Tasks[[#This Row],[WBS]]&amp;".*"),0)</f>
        <v>0</v>
      </c>
      <c r="BY37" s="32" t="n">
        <f aca="false">IF(AND(Tasks[[#This Row],[Task Name]]&lt;&gt;"",NOT(Tasks[[#This Row],[_IsSummary]])),1,0)</f>
        <v>0</v>
      </c>
      <c r="BZ37" s="32" t="n">
        <f aca="false">IF(N(Tasks[[#This Row],[Pred1 UID]])=0,0,IFERROR(MATCH(Tasks[[#This Row],[Pred1 UID]],Tasks[UID],0),-1))</f>
        <v>0</v>
      </c>
      <c r="CA37" s="32" t="n">
        <f aca="false">IF(N(Tasks[[#This Row],[Pred2 UID]])=0,0,IFERROR(MATCH(Tasks[[#This Row],[Pred2 UID]],Tasks[UID],0),-1))</f>
        <v>0</v>
      </c>
      <c r="CB37" s="32" t="n">
        <f aca="false">IF(N(Tasks[[#This Row],[Pred3 UID]])=0,0,IFERROR(MATCH(Tasks[[#This Row],[Pred3 UID]],Tasks[UID],0),-1))</f>
        <v>0</v>
      </c>
      <c r="CC37" s="32" t="n">
        <f aca="false">IF(N(Tasks[[#This Row],[Pred4 UID]])=0,0,IFERROR(MATCH(Tasks[[#This Row],[Pred4 UID]],Tasks[UID],0),-1))</f>
        <v>0</v>
      </c>
      <c r="CD3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3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7" s="115" t="n">
        <f aca="false">IF(OR(Tasks[[#This Row],[_ConstraintCode]]=2,Tasks[[#This Row],[_ConstraintCode]]=3,Tasks[[#This Row],[_ConstraintCode]]=4,Tasks[[#This Row],[_ConstraintCode]]=6),Tasks[[#This Row],[_ConstraintStart]],0)</f>
        <v>0</v>
      </c>
      <c r="CG37" s="115" t="n">
        <f aca="false">IF(OR(Tasks[[#This Row],[_ConstraintCode]]=2,Tasks[[#This Row],[_ConstraintCode]]=3,Tasks[[#This Row],[_ConstraintCode]]=5,Tasks[[#This Row],[_ConstraintCode]]=7),Tasks[[#This Row],[_ConstraintStart]],2958465)</f>
        <v>2958465</v>
      </c>
      <c r="CH3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37" s="115" t="str">
        <f aca="false">IF(NOT(Tasks[[#This Row],[_IsLeaf]]=1),"",IF(N(Tasks[[#This Row],[Duration]])&lt;=0,Tasks[[#This Row],[_LeafCalcStart]],WORKDAY.INTL(Tasks[[#This Row],[_LeafCalcStart]],Tasks[[#This Row],[Duration]]-1,WorkWeek,Holidays)))</f>
        <v/>
      </c>
      <c r="CJ3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3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37" s="32" t="n">
        <f aca="false">IF(NOT(Tasks[[#This Row],[_IsLeaf]]=1),0,IF(N(Tasks[[#This Row],[Actual Finish]])&gt;0,1,MIN(1,N(Tasks[[#This Row],[% Complete]]))))</f>
        <v>0</v>
      </c>
      <c r="CM37" s="32" t="n">
        <f aca="false">IF(OR(NOT(Tasks[[#This Row],[_IsLeaf]]=1),Tasks[[#This Row],[Resource]]=""),0,N(Tasks[[#This Row],[Duration]])*HoursPerDay*IF(Tasks[[#This Row],[Units]]="",DefaultUnits,Tasks[[#This Row],[Units]]))</f>
        <v>0</v>
      </c>
      <c r="CN37" s="32" t="n">
        <f aca="false">IF(Tasks[[#This Row],[_LeafWork]]=0,0,Tasks[[#This Row],[_LeafWork]]*IFERROR(INDEX(res_Rate,MATCH(Tasks[[#This Row],[Resource]],res_Name,0)),0))</f>
        <v>0</v>
      </c>
      <c r="CO37" s="32" t="n">
        <f aca="false">Tasks[[#This Row],[_LeafWork]]+IF(Tasks[[#This Row],[_IsLeaf]]=1,SUMIFS(asg_Work,asg_TaskUID,Tasks[[#This Row],[UID]],asg_Valid,1),0)</f>
        <v>0</v>
      </c>
      <c r="CP37" s="32" t="n">
        <f aca="false">Tasks[[#This Row],[_LeafCost]]+IF(Tasks[[#This Row],[_IsLeaf]]=1,SUMIFS(asg_Cost,asg_TaskUID,Tasks[[#This Row],[UID]],asg_Valid,1),0)</f>
        <v>0</v>
      </c>
      <c r="CQ37" s="32" t="n">
        <f aca="false">IF(Tasks[[#This Row],[_LeafTotalCost]]=0,Tasks[[#This Row],[_LeafAC]],Tasks[[#This Row],[_LeafAC]]*Tasks[[#This Row],[_LeafCost]]/Tasks[[#This Row],[_LeafTotalCost]])</f>
        <v>0</v>
      </c>
      <c r="CR3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7" s="32" t="n">
        <f aca="false">IF(NOT(Tasks[[#This Row],[_IsLeaf]]=1),0,MAX(_xlfn.MAXIFS(Tasks[_Row],Tasks[Pred1 UID],Tasks[[#This Row],[UID]]),_xlfn.MAXIFS(Tasks[_Row],Tasks[Pred2 UID],Tasks[[#This Row],[UID]]),_xlfn.MAXIFS(Tasks[_Row],Tasks[Pred3 UID],Tasks[[#This Row],[UID]]),_xlfn.MAXIFS(Tasks[_Row],Tasks[Pred4 UID],Tasks[[#This Row],[UID]])))</f>
        <v>0</v>
      </c>
      <c r="DA3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3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37" s="115" t="str">
        <f aca="false">IF(NOT(Tasks[[#This Row],[_IsLeaf]]=1),"",IF(N(Tasks[[#This Row],[Duration]])&lt;=0,Tasks[[#This Row],[_LeafLateFinish]],WORKDAY.INTL(Tasks[[#This Row],[_LeafLateFinish]],-(Tasks[[#This Row],[Duration]]-1),WorkWeek,Holidays)))</f>
        <v/>
      </c>
      <c r="DD3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37" s="114" t="b">
        <f aca="false">AND(Tasks[[#This Row],[_IsLeaf]]=1,Tasks[[#This Row],[_LeafProgress]]&lt;1,N(Tasks[[#This Row],[_LeafTotalSlack]])&lt;=CriticalSlackDays)</f>
        <v>0</v>
      </c>
      <c r="DF37" s="32" t="n">
        <f aca="false">IF(AND(Tasks[[#This Row],[_IsLeaf]]=1,Tasks[[#This Row],[_ConstraintCode]]=1,Tasks[[#This Row],[Mode]]&lt;&gt;"Manual",N(Tasks[[#This Row],[Actual Start]])=0),MAX(0,N(Tasks[[#This Row],[Free Slack]])),0)</f>
        <v>0</v>
      </c>
      <c r="DG37" s="115" t="str">
        <f aca="false">IF(NOT(Tasks[[#This Row],[_IsLeaf]]=1),"",IF(Tasks[[#This Row],[_AlapShift]]=0,Tasks[[#This Row],[_LeafCalcStart]],WORKDAY.INTL(Tasks[[#This Row],[_LeafCalcStart]],Tasks[[#This Row],[_AlapShift]],WorkWeek,Holidays)))</f>
        <v/>
      </c>
      <c r="DH37" s="115" t="str">
        <f aca="false">IF(NOT(Tasks[[#This Row],[_IsLeaf]]=1),"",IF(Tasks[[#This Row],[_AlapShift]]=0,Tasks[[#This Row],[_LeafCalcFinish]],WORKDAY.INTL(Tasks[[#This Row],[_LeafCalcFinish]],Tasks[[#This Row],[_AlapShift]],WorkWeek,Holidays)))</f>
        <v/>
      </c>
      <c r="DI37" s="115" t="str">
        <f aca="false">IF(NOT(Tasks[[#This Row],[_IsLeaf]]=1),"",IF(Tasks[[#This Row],[_AlapShift]]=0,Tasks[[#This Row],[_LeafFcstStart]],WORKDAY.INTL(Tasks[[#This Row],[_LeafFcstStart]],Tasks[[#This Row],[_AlapShift]],WorkWeek,Holidays)))</f>
        <v/>
      </c>
      <c r="DJ37" s="115" t="str">
        <f aca="false">IF(NOT(Tasks[[#This Row],[_IsLeaf]]=1),"",IF(Tasks[[#This Row],[_AlapShift]]=0,Tasks[[#This Row],[_LeafFcstFinish]],WORKDAY.INTL(Tasks[[#This Row],[_LeafFcstFinish]],Tasks[[#This Row],[_AlapShift]],WorkWeek,Holidays)))</f>
        <v/>
      </c>
      <c r="DK37" s="115" t="str">
        <f aca="false">IF(Tasks[[#This Row],[Task Name]]="","",IF(Tasks[[#This Row],[_IsSummary]],MIN(INDEX(Tasks[_ShownCalcStart],Tasks[[#This Row],[_Row]]+1):INDEX(Tasks[_ShownCalcStart],Tasks[[#This Row],[_Row]]+Tasks[[#This Row],[_Descendants]])),Tasks[[#This Row],[_ShownCalcStart]]))</f>
        <v/>
      </c>
      <c r="DL37" s="115" t="str">
        <f aca="false">IF(Tasks[[#This Row],[Task Name]]="","",IF(Tasks[[#This Row],[_IsSummary]],MAX(INDEX(Tasks[_ShownCalcFinish],Tasks[[#This Row],[_Row]]+1):INDEX(Tasks[_ShownCalcFinish],Tasks[[#This Row],[_Row]]+Tasks[[#This Row],[_Descendants]])),Tasks[[#This Row],[_ShownCalcFinish]]))</f>
        <v/>
      </c>
      <c r="DM3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7" s="32" t="n">
        <f aca="false">IF(AND(Tasks[[#This Row],[_IsLeaf]]=1,Tasks[[#This Row],[_LeafTotalWork]]&gt;0),NETWORKDAYS.INTL(ProjectStart,Tasks[[#This Row],[_ShownFcstStart]],WorkWeek,Holidays),0)</f>
        <v>0</v>
      </c>
      <c r="DZ37" s="32" t="n">
        <f aca="false">IF(AND(Tasks[[#This Row],[_IsLeaf]]=1,Tasks[[#This Row],[_LeafTotalWork]]&gt;0),MAX(Tasks[[#This Row],[_StartWorkday]],NETWORKDAYS.INTL(ProjectStart,Tasks[[#This Row],[_ShownFcstFinish]],WorkWeek,Holidays)),0)</f>
        <v>0</v>
      </c>
      <c r="EA37" s="32" t="n">
        <f aca="false">IF(AND(Tasks[[#This Row],[_IsLeaf]]=1,Tasks[[#This Row],[_LeafTotalWork]]&gt;0),Tasks[[#This Row],[_LeafWork]]/(Tasks[[#This Row],[_FinishWorkday]]-Tasks[[#This Row],[_StartWorkday]]+1),0)</f>
        <v>0</v>
      </c>
      <c r="EB37" s="32" t="n">
        <f aca="false">Tasks[[#This Row],[_WorkPerWorkday]]*(Tasks[[#This Row],[_StartWorkday]]-1)</f>
        <v>-0</v>
      </c>
      <c r="EC37" s="32" t="n">
        <f aca="false">IF(Tasks[[#This Row],[_IsLeaf]]=1,MAX(N(Tasks[[#This Row],[Duration]]),0.1),0)</f>
        <v>0</v>
      </c>
      <c r="ED37" s="32" t="n">
        <f aca="false">Tasks[[#This Row],[_WeightDur]]*Tasks[[#This Row],[_LeafProgress]]</f>
        <v>0</v>
      </c>
      <c r="EE3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7" s="32" t="str">
        <f aca="false">IF(AND(Tasks[[#This Row],[_IsLeaf]]=1,N(Tasks[[#This Row],[Duration]])=0,Tasks[[#This Row],[_LeafProgress]]&lt;1),Tasks[[#This Row],[_ShownFcstFinish]]+Tasks[[#This Row],[_Row]]/100000,"")</f>
        <v/>
      </c>
      <c r="EG3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7" s="32" t="n">
        <f aca="false">IF(NOT(Tasks[[#This Row],[_IsLeaf]]=1),0,IF(Tasks[[#This Row],[Baseline Cost]]="",Tasks[[#This Row],[_LeafTotalCost]],N(Tasks[[#This Row],[Baseline Cost]])))</f>
        <v>0</v>
      </c>
      <c r="EI37" s="32" t="n">
        <f aca="false">Tasks[[#This Row],[_LeafBudget]]*Tasks[[#This Row],[_PlannedPct]]</f>
        <v>0</v>
      </c>
      <c r="EJ37" s="32" t="n">
        <f aca="false">Tasks[[#This Row],[_LeafBudget]]*Tasks[[#This Row],[_LeafProgress]]</f>
        <v>0</v>
      </c>
      <c r="EK37" s="32" t="n">
        <f aca="false">IF(NOT(Tasks[[#This Row],[_IsLeaf]]=1),0,IF(Tasks[[#This Row],[Actual Cost]]="",Tasks[[#This Row],[_LeafTotalCost]]*Tasks[[#This Row],[_LeafProgress]],N(Tasks[[#This Row],[Actual Cost]])))</f>
        <v>0</v>
      </c>
      <c r="EL37" s="32" t="str">
        <f aca="false">IF(Tasks[[#This Row],[Task Name]]="","",LEFT(Tasks[[#This Row],[WBS]],FIND(".",Tasks[[#This Row],[WBS]]&amp;".")-1))</f>
        <v/>
      </c>
      <c r="EM37" s="32" t="str">
        <f aca="false">IF(AND(Tasks[[#This Row],[Task Name]]&lt;&gt;"",Tasks[[#This Row],[_Level]]=1),Tasks[[#This Row],[_Row]],"")</f>
        <v/>
      </c>
      <c r="EN37" s="32" t="str">
        <f aca="false">IF(AND(Tasks[[#This Row],[_IsLeaf]]=1,N(Tasks[[#This Row],[Duration]])=0),Tasks[[#This Row],[Planned Finish]]+Tasks[[#This Row],[_Row]]/100000,"")</f>
        <v/>
      </c>
      <c r="EO37" s="32" t="str">
        <f aca="false">IF(AND(Tasks[[#This Row],[_IsLeaf]]=1,Tasks[[#This Row],[_LeafProgress]]&lt;1,OR(N(Tasks[[#This Row],[Finish Var]])&gt;0,Tasks[[#This Row],[Status]]="Late Start")),MAX(0,Tasks[[#This Row],[Finish Var]])+1-Tasks[[#This Row],[_Row]]/1000000,"")</f>
        <v/>
      </c>
      <c r="EP37" s="32" t="str">
        <f aca="false">IF(AND(Tasks[[#This Row],[_IsLeaf]]=1,N(Tasks[[#This Row],[Actual Start]])=0,Tasks[[#This Row],[_ShownFcstStart]]&gt;=StatusDate,Tasks[[#This Row],[_ShownFcstStart]]&lt;=LookaheadEnd),Tasks[[#This Row],[_ShownFcstStart]]+Tasks[[#This Row],[_Row]]/100000,"")</f>
        <v/>
      </c>
      <c r="EQ37" s="32" t="str">
        <f aca="false">IF(AND(Tasks[[#This Row],[_IsLeaf]]=1,Tasks[[#This Row],[_LeafProgress]]&lt;1,Tasks[[#This Row],[_ShownFcstFinish]]&gt;=StatusDate,Tasks[[#This Row],[_ShownFcstFinish]]&lt;=LookaheadEnd),Tasks[[#This Row],[_ShownFcstFinish]]+Tasks[[#This Row],[_Row]]/100000,"")</f>
        <v/>
      </c>
      <c r="ER37" s="32" t="str">
        <f aca="false">IF(Tasks[[#This Row],[_LeafCritical]],Tasks[[#This Row],[_ShownFcstStart]]+Tasks[[#This Row],[_Row]]/100000,"")</f>
        <v/>
      </c>
      <c r="ES37" s="32" t="n">
        <f aca="false">Tasks[[#This Row],[_LeafWork]]*Tasks[[#This Row],[_LeafProgress]]</f>
        <v>0</v>
      </c>
      <c r="ET37" s="115" t="str">
        <f aca="false">IF(AND(Tasks[[#This Row],[_IsLeaf]]=1,Tasks[[#This Row],[_LeafProgress]]&gt;=1),IF(N(Tasks[[#This Row],[Actual Finish]])&gt;0,Tasks[[#This Row],[Actual Finish]],Tasks[[#This Row],[_ShownFcstFinish]]),"")</f>
        <v/>
      </c>
      <c r="EU37" s="32" t="n">
        <f aca="false">IF(Tasks[[#This Row],[_IsLeaf]]=1,N(Tasks[[#This Row],[Story Points]]),0)</f>
        <v>0</v>
      </c>
      <c r="EV37" s="32" t="str">
        <f aca="false">IF(AND(Tasks[[#This Row],[_IsLeaf]]=1,CurrentSprint&lt;&gt;"",Tasks[[#This Row],[Sprint]]=CurrentSprint),Tasks[[#This Row],[_Row]],"")</f>
        <v/>
      </c>
    </row>
    <row r="38" customFormat="false" ht="15" hidden="false" customHeight="false" outlineLevel="0" collapsed="false">
      <c r="A38" s="45" t="str">
        <f aca="false">IF(Tasks[[#This Row],[Task Name]]="","",COUNTA(Tasks[[#Headers],[Task Name]]:Tasks[[#This Row],[Task Name]])-1)</f>
        <v/>
      </c>
      <c r="B38" s="46" t="n">
        <v>33</v>
      </c>
      <c r="C3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38" s="46"/>
      <c r="E38" s="45" t="str">
        <f aca="false">IF(Tasks[[#This Row],[Task Name]]="","",IF(Tasks[[#This Row],[_Level]]&lt;=OutlineShowLevel,"Yes","No"))</f>
        <v/>
      </c>
      <c r="F38" s="47"/>
      <c r="G38" s="46"/>
      <c r="H38" s="46"/>
      <c r="I38" s="46"/>
      <c r="J38" s="46"/>
      <c r="K38" s="46"/>
      <c r="L38" s="46"/>
      <c r="M38" s="46"/>
      <c r="N38" s="46"/>
      <c r="O38" s="46"/>
      <c r="P38" s="46"/>
      <c r="Q38" s="46"/>
      <c r="R38" s="46"/>
      <c r="S38" s="46"/>
      <c r="T38" s="46"/>
      <c r="U38" s="47"/>
      <c r="V38" s="88"/>
      <c r="W38" s="88"/>
      <c r="X38" s="25" t="str">
        <f aca="false">IF(Tasks[[#This Row],[Task Name]]="","",IF(N(Tasks[[#This Row],[Baseline Start]])&gt;0,Tasks[[#This Row],[Baseline Start]],Tasks[[#This Row],[_CalcStart]]))</f>
        <v/>
      </c>
      <c r="Y38" s="25" t="str">
        <f aca="false">IF(Tasks[[#This Row],[Task Name]]="","",IF(N(Tasks[[#This Row],[Baseline Finish]])&gt;0,Tasks[[#This Row],[Baseline Finish]],Tasks[[#This Row],[_CalcFinish]]))</f>
        <v/>
      </c>
      <c r="Z38" s="88"/>
      <c r="AA38" s="88"/>
      <c r="AB38" s="25" t="str">
        <f aca="false">IF(Tasks[[#This Row],[Task Name]]="","",IF(Tasks[[#This Row],[_IsSummary]],MIN(INDEX(Tasks[_ShownFcstStart],Tasks[[#This Row],[_Row]]+1):INDEX(Tasks[_ShownFcstStart],Tasks[[#This Row],[_Row]]+Tasks[[#This Row],[_Descendants]])),Tasks[[#This Row],[_ShownFcstStart]]))</f>
        <v/>
      </c>
      <c r="AC38" s="25" t="str">
        <f aca="false">IF(Tasks[[#This Row],[Task Name]]="","",IF(Tasks[[#This Row],[_IsSummary]],MAX(INDEX(Tasks[_ShownFcstFinish],Tasks[[#This Row],[_Row]]+1):INDEX(Tasks[_ShownFcstFinish],Tasks[[#This Row],[_Row]]+Tasks[[#This Row],[_Descendants]])),Tasks[[#This Row],[_ShownFcstFinish]]))</f>
        <v/>
      </c>
      <c r="AD3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3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38" s="25" t="str">
        <f aca="false">IF(Tasks[[#This Row],[Task Name]]="","",IF(Tasks[[#This Row],[_IsSummary]],MIN(INDEX(Tasks[_LeafLateStart],Tasks[[#This Row],[_Row]]+1):INDEX(Tasks[_LeafLateStart],Tasks[[#This Row],[_Row]]+Tasks[[#This Row],[_Descendants]])),Tasks[[#This Row],[_LeafLateStart]]))</f>
        <v/>
      </c>
      <c r="AG38" s="25" t="str">
        <f aca="false">IF(Tasks[[#This Row],[Task Name]]="","",IF(Tasks[[#This Row],[_IsSummary]],MAX(INDEX(Tasks[_LeafLateFinish],Tasks[[#This Row],[_Row]]+1):INDEX(Tasks[_LeafLateFinish],Tasks[[#This Row],[_Row]]+Tasks[[#This Row],[_Descendants]])),Tasks[[#This Row],[_LeafLateFinish]]))</f>
        <v/>
      </c>
      <c r="AH38" s="56" t="str">
        <f aca="false">IF(Tasks[[#This Row],[Task Name]]="","",IF(Tasks[[#This Row],[_IsSummary]],MIN(INDEX(Tasks[_LeafTotalSlack],Tasks[[#This Row],[_Row]]+1):INDEX(Tasks[_LeafTotalSlack],Tasks[[#This Row],[_Row]]+Tasks[[#This Row],[_Descendants]])),Tasks[[#This Row],[_LeafTotalSlack]]))</f>
        <v/>
      </c>
      <c r="AI3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38" s="45" t="str">
        <f aca="false">IF(Tasks[[#This Row],[Task Name]]="","",IF(IF(Tasks[[#This Row],[_IsSummary]],COUNTIF(INDEX(Tasks[_LeafCritical],Tasks[[#This Row],[_Row]]+1):INDEX(Tasks[_LeafCritical],Tasks[[#This Row],[_Row]]+Tasks[[#This Row],[_Descendants]]),TRUE())&gt;0,Tasks[[#This Row],[_LeafCritical]]),"Yes",""))</f>
        <v/>
      </c>
      <c r="AK3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8" s="102"/>
      <c r="AN3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38" s="45" t="str">
        <f aca="false">IF(Tasks[[#This Row],[Task Name]]="","",IF(Tasks[[#This Row],[Progress]]&gt;=1,"Complete",IF(OR(N(Tasks[[#This Row],[Actual Start]])&gt;0,Tasks[[#This Row],[Progress]]&gt;0),IF(Tasks[[#This Row],[Finish Var]]&gt;0,"Behind","In Progress"),IF(Tasks[[#This Row],[Planned Start]]&lt;StatusDate,"Late Start","Not Started"))))</f>
        <v/>
      </c>
      <c r="AP38" s="47"/>
      <c r="AQ38" s="102"/>
      <c r="AR3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8" s="110" t="str">
        <f aca="false">IF(Tasks[[#This Row],[Task Name]]="","",IF(Tasks[[#This Row],[_IsSummary]],SUM(INDEX(Tasks[_LeafTotalWork],Tasks[[#This Row],[_Row]]+1):INDEX(Tasks[_LeafTotalWork],Tasks[[#This Row],[_Row]]+Tasks[[#This Row],[_Descendants]])),Tasks[[#This Row],[_LeafTotalWork]]))</f>
        <v/>
      </c>
      <c r="AU38" s="111" t="str">
        <f aca="false">IF(Tasks[[#This Row],[Task Name]]="","",IF(Tasks[[#This Row],[_IsSummary]],SUM(INDEX(Tasks[_LeafTotalCost],Tasks[[#This Row],[_Row]]+1):INDEX(Tasks[_LeafTotalCost],Tasks[[#This Row],[_Row]]+Tasks[[#This Row],[_Descendants]])),Tasks[[#This Row],[_LeafTotalCost]]))</f>
        <v/>
      </c>
      <c r="AV38" s="112"/>
      <c r="AW38" s="46"/>
      <c r="AX3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38" s="96"/>
      <c r="AZ3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8" s="47"/>
      <c r="BB38" s="25" t="str">
        <f aca="false">IF(Tasks[[#This Row],[Task Name]]="","",Tasks[[#This Row],[Forecast Start]])</f>
        <v/>
      </c>
      <c r="BC38" s="25" t="str">
        <f aca="false">IF(Tasks[[#This Row],[Task Name]]="","",Tasks[[#This Row],[Forecast Finish]])</f>
        <v/>
      </c>
      <c r="BD38" s="45" t="str">
        <f aca="false">IF(Tasks[[#This Row],[Task Name]]="","",IF(Tasks[[#This Row],[_IsSummary]],NETWORKDAYS.INTL(Tasks[[#This Row],[Forecast Start]],Tasks[[#This Row],[Forecast Finish]],WorkWeek,Holidays),N(Tasks[[#This Row],[Duration]])))</f>
        <v/>
      </c>
      <c r="BE38" s="110" t="str">
        <f aca="false">IF(Tasks[[#This Row],[Task Name]]="","",Tasks[[#This Row],[Work]])</f>
        <v/>
      </c>
      <c r="BF38" s="111" t="str">
        <f aca="false">IF(Tasks[[#This Row],[Task Name]]="","",Tasks[[#This Row],[Cost]])</f>
        <v/>
      </c>
      <c r="BG38" s="88"/>
      <c r="BH38" s="88"/>
      <c r="BI38" s="46"/>
      <c r="BJ38" s="113"/>
      <c r="BK38" s="112"/>
      <c r="BL38" s="45" t="str">
        <f aca="false">IF(OR(Tasks[[#This Row],[Task Name]]="",Tasks[[#This Row],[Baseline Duration]]=""),"",Tasks[[#This Row],[BL Source Duration]]-N(Tasks[[#This Row],[Baseline Duration]]))</f>
        <v/>
      </c>
      <c r="BM38" s="110" t="str">
        <f aca="false">IF(OR(Tasks[[#This Row],[Task Name]]="",Tasks[[#This Row],[Baseline Work]]=""),"",Tasks[[#This Row],[Work]]-N(Tasks[[#This Row],[Baseline Work]]))</f>
        <v/>
      </c>
      <c r="BN38" s="111" t="str">
        <f aca="false">IF(OR(Tasks[[#This Row],[Task Name]]="",Tasks[[#This Row],[Baseline Cost]]=""),"",Tasks[[#This Row],[Cost]]-N(Tasks[[#This Row],[Baseline Cost]]))</f>
        <v/>
      </c>
      <c r="BO38" s="111" t="str">
        <f aca="false">IF(Tasks[[#This Row],[Task Name]]="","",IF(Tasks[[#This Row],[_IsSummary]],SUM(INDEX(Tasks[_LeafBudget],Tasks[[#This Row],[_Row]]+1):INDEX(Tasks[_LeafBudget],Tasks[[#This Row],[_Row]]+Tasks[[#This Row],[_Descendants]])),Tasks[[#This Row],[_LeafBudget]]))</f>
        <v/>
      </c>
      <c r="BP38" s="111" t="str">
        <f aca="false">IF(Tasks[[#This Row],[Task Name]]="","",IF(Tasks[[#This Row],[_IsSummary]],SUM(INDEX(Tasks[_LeafPV],Tasks[[#This Row],[_Row]]+1):INDEX(Tasks[_LeafPV],Tasks[[#This Row],[_Row]]+Tasks[[#This Row],[_Descendants]])),Tasks[[#This Row],[_LeafPV]]))</f>
        <v/>
      </c>
      <c r="BQ38" s="111" t="str">
        <f aca="false">IF(Tasks[[#This Row],[Task Name]]="","",IF(Tasks[[#This Row],[_IsSummary]],SUM(INDEX(Tasks[_LeafEV],Tasks[[#This Row],[_Row]]+1):INDEX(Tasks[_LeafEV],Tasks[[#This Row],[_Row]]+Tasks[[#This Row],[_Descendants]])),Tasks[[#This Row],[_LeafEV]]))</f>
        <v/>
      </c>
      <c r="BR38" s="111" t="str">
        <f aca="false">IF(Tasks[[#This Row],[Task Name]]="","",IF(Tasks[[#This Row],[_IsSummary]],SUM(INDEX(Tasks[_LeafAC],Tasks[[#This Row],[_Row]]+1):INDEX(Tasks[_LeafAC],Tasks[[#This Row],[_Row]]+Tasks[[#This Row],[_Descendants]])),Tasks[[#This Row],[_LeafAC]]))</f>
        <v/>
      </c>
      <c r="BS38" s="32" t="str">
        <f aca="false">IF(Tasks[[#This Row],[Task Name]]="","",MAX(1,N(Tasks[[#This Row],[Level]])))</f>
        <v/>
      </c>
      <c r="BT38" s="32" t="n">
        <f aca="false">ROW()-ROW(Tasks[[#Headers],[ID]])</f>
        <v>33</v>
      </c>
      <c r="BU38" s="32" t="n">
        <f aca="false">IF(OR(Tasks[[#This Row],[Task Name]]="",Tasks[[#This Row],[_Level]]&lt;=1),0,IFERROR(LOOKUP(2,1/(Tasks[[#Headers],[_Level]]:Tasks[[#This Row],[_Level]]=Tasks[[#This Row],[_Level]]-1),ROW(Tasks[[#Headers],[_Level]]:Tasks[[#This Row],[_Level]])),0))</f>
        <v>0</v>
      </c>
      <c r="BV38" s="32" t="n">
        <f aca="false">IFERROR(N(INDEX(Tasks[_Level],Tasks[[#This Row],[_Row]]+1)),0)</f>
        <v>0</v>
      </c>
      <c r="BW38" s="114" t="b">
        <f aca="false">AND(Tasks[[#This Row],[Task Name]]&lt;&gt;"",Tasks[[#This Row],[_NextLevel]]&gt;Tasks[[#This Row],[_Level]])</f>
        <v>0</v>
      </c>
      <c r="BX38" s="32" t="n">
        <f aca="false">IF(Tasks[[#This Row],[_IsSummary]],COUNTIF(Tasks[WBS],Tasks[[#This Row],[WBS]]&amp;".*"),0)</f>
        <v>0</v>
      </c>
      <c r="BY38" s="32" t="n">
        <f aca="false">IF(AND(Tasks[[#This Row],[Task Name]]&lt;&gt;"",NOT(Tasks[[#This Row],[_IsSummary]])),1,0)</f>
        <v>0</v>
      </c>
      <c r="BZ38" s="32" t="n">
        <f aca="false">IF(N(Tasks[[#This Row],[Pred1 UID]])=0,0,IFERROR(MATCH(Tasks[[#This Row],[Pred1 UID]],Tasks[UID],0),-1))</f>
        <v>0</v>
      </c>
      <c r="CA38" s="32" t="n">
        <f aca="false">IF(N(Tasks[[#This Row],[Pred2 UID]])=0,0,IFERROR(MATCH(Tasks[[#This Row],[Pred2 UID]],Tasks[UID],0),-1))</f>
        <v>0</v>
      </c>
      <c r="CB38" s="32" t="n">
        <f aca="false">IF(N(Tasks[[#This Row],[Pred3 UID]])=0,0,IFERROR(MATCH(Tasks[[#This Row],[Pred3 UID]],Tasks[UID],0),-1))</f>
        <v>0</v>
      </c>
      <c r="CC38" s="32" t="n">
        <f aca="false">IF(N(Tasks[[#This Row],[Pred4 UID]])=0,0,IFERROR(MATCH(Tasks[[#This Row],[Pred4 UID]],Tasks[UID],0),-1))</f>
        <v>0</v>
      </c>
      <c r="CD3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3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8" s="115" t="n">
        <f aca="false">IF(OR(Tasks[[#This Row],[_ConstraintCode]]=2,Tasks[[#This Row],[_ConstraintCode]]=3,Tasks[[#This Row],[_ConstraintCode]]=4,Tasks[[#This Row],[_ConstraintCode]]=6),Tasks[[#This Row],[_ConstraintStart]],0)</f>
        <v>0</v>
      </c>
      <c r="CG38" s="115" t="n">
        <f aca="false">IF(OR(Tasks[[#This Row],[_ConstraintCode]]=2,Tasks[[#This Row],[_ConstraintCode]]=3,Tasks[[#This Row],[_ConstraintCode]]=5,Tasks[[#This Row],[_ConstraintCode]]=7),Tasks[[#This Row],[_ConstraintStart]],2958465)</f>
        <v>2958465</v>
      </c>
      <c r="CH3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38" s="115" t="str">
        <f aca="false">IF(NOT(Tasks[[#This Row],[_IsLeaf]]=1),"",IF(N(Tasks[[#This Row],[Duration]])&lt;=0,Tasks[[#This Row],[_LeafCalcStart]],WORKDAY.INTL(Tasks[[#This Row],[_LeafCalcStart]],Tasks[[#This Row],[Duration]]-1,WorkWeek,Holidays)))</f>
        <v/>
      </c>
      <c r="CJ3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3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38" s="32" t="n">
        <f aca="false">IF(NOT(Tasks[[#This Row],[_IsLeaf]]=1),0,IF(N(Tasks[[#This Row],[Actual Finish]])&gt;0,1,MIN(1,N(Tasks[[#This Row],[% Complete]]))))</f>
        <v>0</v>
      </c>
      <c r="CM38" s="32" t="n">
        <f aca="false">IF(OR(NOT(Tasks[[#This Row],[_IsLeaf]]=1),Tasks[[#This Row],[Resource]]=""),0,N(Tasks[[#This Row],[Duration]])*HoursPerDay*IF(Tasks[[#This Row],[Units]]="",DefaultUnits,Tasks[[#This Row],[Units]]))</f>
        <v>0</v>
      </c>
      <c r="CN38" s="32" t="n">
        <f aca="false">IF(Tasks[[#This Row],[_LeafWork]]=0,0,Tasks[[#This Row],[_LeafWork]]*IFERROR(INDEX(res_Rate,MATCH(Tasks[[#This Row],[Resource]],res_Name,0)),0))</f>
        <v>0</v>
      </c>
      <c r="CO38" s="32" t="n">
        <f aca="false">Tasks[[#This Row],[_LeafWork]]+IF(Tasks[[#This Row],[_IsLeaf]]=1,SUMIFS(asg_Work,asg_TaskUID,Tasks[[#This Row],[UID]],asg_Valid,1),0)</f>
        <v>0</v>
      </c>
      <c r="CP38" s="32" t="n">
        <f aca="false">Tasks[[#This Row],[_LeafCost]]+IF(Tasks[[#This Row],[_IsLeaf]]=1,SUMIFS(asg_Cost,asg_TaskUID,Tasks[[#This Row],[UID]],asg_Valid,1),0)</f>
        <v>0</v>
      </c>
      <c r="CQ38" s="32" t="n">
        <f aca="false">IF(Tasks[[#This Row],[_LeafTotalCost]]=0,Tasks[[#This Row],[_LeafAC]],Tasks[[#This Row],[_LeafAC]]*Tasks[[#This Row],[_LeafCost]]/Tasks[[#This Row],[_LeafTotalCost]])</f>
        <v>0</v>
      </c>
      <c r="CR3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8" s="32" t="n">
        <f aca="false">IF(NOT(Tasks[[#This Row],[_IsLeaf]]=1),0,MAX(_xlfn.MAXIFS(Tasks[_Row],Tasks[Pred1 UID],Tasks[[#This Row],[UID]]),_xlfn.MAXIFS(Tasks[_Row],Tasks[Pred2 UID],Tasks[[#This Row],[UID]]),_xlfn.MAXIFS(Tasks[_Row],Tasks[Pred3 UID],Tasks[[#This Row],[UID]]),_xlfn.MAXIFS(Tasks[_Row],Tasks[Pred4 UID],Tasks[[#This Row],[UID]])))</f>
        <v>0</v>
      </c>
      <c r="DA3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3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38" s="115" t="str">
        <f aca="false">IF(NOT(Tasks[[#This Row],[_IsLeaf]]=1),"",IF(N(Tasks[[#This Row],[Duration]])&lt;=0,Tasks[[#This Row],[_LeafLateFinish]],WORKDAY.INTL(Tasks[[#This Row],[_LeafLateFinish]],-(Tasks[[#This Row],[Duration]]-1),WorkWeek,Holidays)))</f>
        <v/>
      </c>
      <c r="DD3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38" s="114" t="b">
        <f aca="false">AND(Tasks[[#This Row],[_IsLeaf]]=1,Tasks[[#This Row],[_LeafProgress]]&lt;1,N(Tasks[[#This Row],[_LeafTotalSlack]])&lt;=CriticalSlackDays)</f>
        <v>0</v>
      </c>
      <c r="DF38" s="32" t="n">
        <f aca="false">IF(AND(Tasks[[#This Row],[_IsLeaf]]=1,Tasks[[#This Row],[_ConstraintCode]]=1,Tasks[[#This Row],[Mode]]&lt;&gt;"Manual",N(Tasks[[#This Row],[Actual Start]])=0),MAX(0,N(Tasks[[#This Row],[Free Slack]])),0)</f>
        <v>0</v>
      </c>
      <c r="DG38" s="115" t="str">
        <f aca="false">IF(NOT(Tasks[[#This Row],[_IsLeaf]]=1),"",IF(Tasks[[#This Row],[_AlapShift]]=0,Tasks[[#This Row],[_LeafCalcStart]],WORKDAY.INTL(Tasks[[#This Row],[_LeafCalcStart]],Tasks[[#This Row],[_AlapShift]],WorkWeek,Holidays)))</f>
        <v/>
      </c>
      <c r="DH38" s="115" t="str">
        <f aca="false">IF(NOT(Tasks[[#This Row],[_IsLeaf]]=1),"",IF(Tasks[[#This Row],[_AlapShift]]=0,Tasks[[#This Row],[_LeafCalcFinish]],WORKDAY.INTL(Tasks[[#This Row],[_LeafCalcFinish]],Tasks[[#This Row],[_AlapShift]],WorkWeek,Holidays)))</f>
        <v/>
      </c>
      <c r="DI38" s="115" t="str">
        <f aca="false">IF(NOT(Tasks[[#This Row],[_IsLeaf]]=1),"",IF(Tasks[[#This Row],[_AlapShift]]=0,Tasks[[#This Row],[_LeafFcstStart]],WORKDAY.INTL(Tasks[[#This Row],[_LeafFcstStart]],Tasks[[#This Row],[_AlapShift]],WorkWeek,Holidays)))</f>
        <v/>
      </c>
      <c r="DJ38" s="115" t="str">
        <f aca="false">IF(NOT(Tasks[[#This Row],[_IsLeaf]]=1),"",IF(Tasks[[#This Row],[_AlapShift]]=0,Tasks[[#This Row],[_LeafFcstFinish]],WORKDAY.INTL(Tasks[[#This Row],[_LeafFcstFinish]],Tasks[[#This Row],[_AlapShift]],WorkWeek,Holidays)))</f>
        <v/>
      </c>
      <c r="DK38" s="115" t="str">
        <f aca="false">IF(Tasks[[#This Row],[Task Name]]="","",IF(Tasks[[#This Row],[_IsSummary]],MIN(INDEX(Tasks[_ShownCalcStart],Tasks[[#This Row],[_Row]]+1):INDEX(Tasks[_ShownCalcStart],Tasks[[#This Row],[_Row]]+Tasks[[#This Row],[_Descendants]])),Tasks[[#This Row],[_ShownCalcStart]]))</f>
        <v/>
      </c>
      <c r="DL38" s="115" t="str">
        <f aca="false">IF(Tasks[[#This Row],[Task Name]]="","",IF(Tasks[[#This Row],[_IsSummary]],MAX(INDEX(Tasks[_ShownCalcFinish],Tasks[[#This Row],[_Row]]+1):INDEX(Tasks[_ShownCalcFinish],Tasks[[#This Row],[_Row]]+Tasks[[#This Row],[_Descendants]])),Tasks[[#This Row],[_ShownCalcFinish]]))</f>
        <v/>
      </c>
      <c r="DM3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8" s="32" t="n">
        <f aca="false">IF(AND(Tasks[[#This Row],[_IsLeaf]]=1,Tasks[[#This Row],[_LeafTotalWork]]&gt;0),NETWORKDAYS.INTL(ProjectStart,Tasks[[#This Row],[_ShownFcstStart]],WorkWeek,Holidays),0)</f>
        <v>0</v>
      </c>
      <c r="DZ38" s="32" t="n">
        <f aca="false">IF(AND(Tasks[[#This Row],[_IsLeaf]]=1,Tasks[[#This Row],[_LeafTotalWork]]&gt;0),MAX(Tasks[[#This Row],[_StartWorkday]],NETWORKDAYS.INTL(ProjectStart,Tasks[[#This Row],[_ShownFcstFinish]],WorkWeek,Holidays)),0)</f>
        <v>0</v>
      </c>
      <c r="EA38" s="32" t="n">
        <f aca="false">IF(AND(Tasks[[#This Row],[_IsLeaf]]=1,Tasks[[#This Row],[_LeafTotalWork]]&gt;0),Tasks[[#This Row],[_LeafWork]]/(Tasks[[#This Row],[_FinishWorkday]]-Tasks[[#This Row],[_StartWorkday]]+1),0)</f>
        <v>0</v>
      </c>
      <c r="EB38" s="32" t="n">
        <f aca="false">Tasks[[#This Row],[_WorkPerWorkday]]*(Tasks[[#This Row],[_StartWorkday]]-1)</f>
        <v>-0</v>
      </c>
      <c r="EC38" s="32" t="n">
        <f aca="false">IF(Tasks[[#This Row],[_IsLeaf]]=1,MAX(N(Tasks[[#This Row],[Duration]]),0.1),0)</f>
        <v>0</v>
      </c>
      <c r="ED38" s="32" t="n">
        <f aca="false">Tasks[[#This Row],[_WeightDur]]*Tasks[[#This Row],[_LeafProgress]]</f>
        <v>0</v>
      </c>
      <c r="EE3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8" s="32" t="str">
        <f aca="false">IF(AND(Tasks[[#This Row],[_IsLeaf]]=1,N(Tasks[[#This Row],[Duration]])=0,Tasks[[#This Row],[_LeafProgress]]&lt;1),Tasks[[#This Row],[_ShownFcstFinish]]+Tasks[[#This Row],[_Row]]/100000,"")</f>
        <v/>
      </c>
      <c r="EG3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8" s="32" t="n">
        <f aca="false">IF(NOT(Tasks[[#This Row],[_IsLeaf]]=1),0,IF(Tasks[[#This Row],[Baseline Cost]]="",Tasks[[#This Row],[_LeafTotalCost]],N(Tasks[[#This Row],[Baseline Cost]])))</f>
        <v>0</v>
      </c>
      <c r="EI38" s="32" t="n">
        <f aca="false">Tasks[[#This Row],[_LeafBudget]]*Tasks[[#This Row],[_PlannedPct]]</f>
        <v>0</v>
      </c>
      <c r="EJ38" s="32" t="n">
        <f aca="false">Tasks[[#This Row],[_LeafBudget]]*Tasks[[#This Row],[_LeafProgress]]</f>
        <v>0</v>
      </c>
      <c r="EK38" s="32" t="n">
        <f aca="false">IF(NOT(Tasks[[#This Row],[_IsLeaf]]=1),0,IF(Tasks[[#This Row],[Actual Cost]]="",Tasks[[#This Row],[_LeafTotalCost]]*Tasks[[#This Row],[_LeafProgress]],N(Tasks[[#This Row],[Actual Cost]])))</f>
        <v>0</v>
      </c>
      <c r="EL38" s="32" t="str">
        <f aca="false">IF(Tasks[[#This Row],[Task Name]]="","",LEFT(Tasks[[#This Row],[WBS]],FIND(".",Tasks[[#This Row],[WBS]]&amp;".")-1))</f>
        <v/>
      </c>
      <c r="EM38" s="32" t="str">
        <f aca="false">IF(AND(Tasks[[#This Row],[Task Name]]&lt;&gt;"",Tasks[[#This Row],[_Level]]=1),Tasks[[#This Row],[_Row]],"")</f>
        <v/>
      </c>
      <c r="EN38" s="32" t="str">
        <f aca="false">IF(AND(Tasks[[#This Row],[_IsLeaf]]=1,N(Tasks[[#This Row],[Duration]])=0),Tasks[[#This Row],[Planned Finish]]+Tasks[[#This Row],[_Row]]/100000,"")</f>
        <v/>
      </c>
      <c r="EO38" s="32" t="str">
        <f aca="false">IF(AND(Tasks[[#This Row],[_IsLeaf]]=1,Tasks[[#This Row],[_LeafProgress]]&lt;1,OR(N(Tasks[[#This Row],[Finish Var]])&gt;0,Tasks[[#This Row],[Status]]="Late Start")),MAX(0,Tasks[[#This Row],[Finish Var]])+1-Tasks[[#This Row],[_Row]]/1000000,"")</f>
        <v/>
      </c>
      <c r="EP38" s="32" t="str">
        <f aca="false">IF(AND(Tasks[[#This Row],[_IsLeaf]]=1,N(Tasks[[#This Row],[Actual Start]])=0,Tasks[[#This Row],[_ShownFcstStart]]&gt;=StatusDate,Tasks[[#This Row],[_ShownFcstStart]]&lt;=LookaheadEnd),Tasks[[#This Row],[_ShownFcstStart]]+Tasks[[#This Row],[_Row]]/100000,"")</f>
        <v/>
      </c>
      <c r="EQ38" s="32" t="str">
        <f aca="false">IF(AND(Tasks[[#This Row],[_IsLeaf]]=1,Tasks[[#This Row],[_LeafProgress]]&lt;1,Tasks[[#This Row],[_ShownFcstFinish]]&gt;=StatusDate,Tasks[[#This Row],[_ShownFcstFinish]]&lt;=LookaheadEnd),Tasks[[#This Row],[_ShownFcstFinish]]+Tasks[[#This Row],[_Row]]/100000,"")</f>
        <v/>
      </c>
      <c r="ER38" s="32" t="str">
        <f aca="false">IF(Tasks[[#This Row],[_LeafCritical]],Tasks[[#This Row],[_ShownFcstStart]]+Tasks[[#This Row],[_Row]]/100000,"")</f>
        <v/>
      </c>
      <c r="ES38" s="32" t="n">
        <f aca="false">Tasks[[#This Row],[_LeafWork]]*Tasks[[#This Row],[_LeafProgress]]</f>
        <v>0</v>
      </c>
      <c r="ET38" s="115" t="str">
        <f aca="false">IF(AND(Tasks[[#This Row],[_IsLeaf]]=1,Tasks[[#This Row],[_LeafProgress]]&gt;=1),IF(N(Tasks[[#This Row],[Actual Finish]])&gt;0,Tasks[[#This Row],[Actual Finish]],Tasks[[#This Row],[_ShownFcstFinish]]),"")</f>
        <v/>
      </c>
      <c r="EU38" s="32" t="n">
        <f aca="false">IF(Tasks[[#This Row],[_IsLeaf]]=1,N(Tasks[[#This Row],[Story Points]]),0)</f>
        <v>0</v>
      </c>
      <c r="EV38" s="32" t="str">
        <f aca="false">IF(AND(Tasks[[#This Row],[_IsLeaf]]=1,CurrentSprint&lt;&gt;"",Tasks[[#This Row],[Sprint]]=CurrentSprint),Tasks[[#This Row],[_Row]],"")</f>
        <v/>
      </c>
    </row>
    <row r="39" customFormat="false" ht="15" hidden="false" customHeight="false" outlineLevel="0" collapsed="false">
      <c r="A39" s="45" t="str">
        <f aca="false">IF(Tasks[[#This Row],[Task Name]]="","",COUNTA(Tasks[[#Headers],[Task Name]]:Tasks[[#This Row],[Task Name]])-1)</f>
        <v/>
      </c>
      <c r="B39" s="46" t="n">
        <v>34</v>
      </c>
      <c r="C3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39" s="46"/>
      <c r="E39" s="45" t="str">
        <f aca="false">IF(Tasks[[#This Row],[Task Name]]="","",IF(Tasks[[#This Row],[_Level]]&lt;=OutlineShowLevel,"Yes","No"))</f>
        <v/>
      </c>
      <c r="F39" s="47"/>
      <c r="G39" s="46"/>
      <c r="H39" s="46"/>
      <c r="I39" s="46"/>
      <c r="J39" s="46"/>
      <c r="K39" s="46"/>
      <c r="L39" s="46"/>
      <c r="M39" s="46"/>
      <c r="N39" s="46"/>
      <c r="O39" s="46"/>
      <c r="P39" s="46"/>
      <c r="Q39" s="46"/>
      <c r="R39" s="46"/>
      <c r="S39" s="46"/>
      <c r="T39" s="46"/>
      <c r="U39" s="47"/>
      <c r="V39" s="88"/>
      <c r="W39" s="88"/>
      <c r="X39" s="25" t="str">
        <f aca="false">IF(Tasks[[#This Row],[Task Name]]="","",IF(N(Tasks[[#This Row],[Baseline Start]])&gt;0,Tasks[[#This Row],[Baseline Start]],Tasks[[#This Row],[_CalcStart]]))</f>
        <v/>
      </c>
      <c r="Y39" s="25" t="str">
        <f aca="false">IF(Tasks[[#This Row],[Task Name]]="","",IF(N(Tasks[[#This Row],[Baseline Finish]])&gt;0,Tasks[[#This Row],[Baseline Finish]],Tasks[[#This Row],[_CalcFinish]]))</f>
        <v/>
      </c>
      <c r="Z39" s="88"/>
      <c r="AA39" s="88"/>
      <c r="AB39" s="25" t="str">
        <f aca="false">IF(Tasks[[#This Row],[Task Name]]="","",IF(Tasks[[#This Row],[_IsSummary]],MIN(INDEX(Tasks[_ShownFcstStart],Tasks[[#This Row],[_Row]]+1):INDEX(Tasks[_ShownFcstStart],Tasks[[#This Row],[_Row]]+Tasks[[#This Row],[_Descendants]])),Tasks[[#This Row],[_ShownFcstStart]]))</f>
        <v/>
      </c>
      <c r="AC39" s="25" t="str">
        <f aca="false">IF(Tasks[[#This Row],[Task Name]]="","",IF(Tasks[[#This Row],[_IsSummary]],MAX(INDEX(Tasks[_ShownFcstFinish],Tasks[[#This Row],[_Row]]+1):INDEX(Tasks[_ShownFcstFinish],Tasks[[#This Row],[_Row]]+Tasks[[#This Row],[_Descendants]])),Tasks[[#This Row],[_ShownFcstFinish]]))</f>
        <v/>
      </c>
      <c r="AD3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3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39" s="25" t="str">
        <f aca="false">IF(Tasks[[#This Row],[Task Name]]="","",IF(Tasks[[#This Row],[_IsSummary]],MIN(INDEX(Tasks[_LeafLateStart],Tasks[[#This Row],[_Row]]+1):INDEX(Tasks[_LeafLateStart],Tasks[[#This Row],[_Row]]+Tasks[[#This Row],[_Descendants]])),Tasks[[#This Row],[_LeafLateStart]]))</f>
        <v/>
      </c>
      <c r="AG39" s="25" t="str">
        <f aca="false">IF(Tasks[[#This Row],[Task Name]]="","",IF(Tasks[[#This Row],[_IsSummary]],MAX(INDEX(Tasks[_LeafLateFinish],Tasks[[#This Row],[_Row]]+1):INDEX(Tasks[_LeafLateFinish],Tasks[[#This Row],[_Row]]+Tasks[[#This Row],[_Descendants]])),Tasks[[#This Row],[_LeafLateFinish]]))</f>
        <v/>
      </c>
      <c r="AH39" s="56" t="str">
        <f aca="false">IF(Tasks[[#This Row],[Task Name]]="","",IF(Tasks[[#This Row],[_IsSummary]],MIN(INDEX(Tasks[_LeafTotalSlack],Tasks[[#This Row],[_Row]]+1):INDEX(Tasks[_LeafTotalSlack],Tasks[[#This Row],[_Row]]+Tasks[[#This Row],[_Descendants]])),Tasks[[#This Row],[_LeafTotalSlack]]))</f>
        <v/>
      </c>
      <c r="AI3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39" s="45" t="str">
        <f aca="false">IF(Tasks[[#This Row],[Task Name]]="","",IF(IF(Tasks[[#This Row],[_IsSummary]],COUNTIF(INDEX(Tasks[_LeafCritical],Tasks[[#This Row],[_Row]]+1):INDEX(Tasks[_LeafCritical],Tasks[[#This Row],[_Row]]+Tasks[[#This Row],[_Descendants]]),TRUE())&gt;0,Tasks[[#This Row],[_LeafCritical]]),"Yes",""))</f>
        <v/>
      </c>
      <c r="AK3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3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39" s="102"/>
      <c r="AN3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39" s="45" t="str">
        <f aca="false">IF(Tasks[[#This Row],[Task Name]]="","",IF(Tasks[[#This Row],[Progress]]&gt;=1,"Complete",IF(OR(N(Tasks[[#This Row],[Actual Start]])&gt;0,Tasks[[#This Row],[Progress]]&gt;0),IF(Tasks[[#This Row],[Finish Var]]&gt;0,"Behind","In Progress"),IF(Tasks[[#This Row],[Planned Start]]&lt;StatusDate,"Late Start","Not Started"))))</f>
        <v/>
      </c>
      <c r="AP39" s="47"/>
      <c r="AQ39" s="102"/>
      <c r="AR3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3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39" s="110" t="str">
        <f aca="false">IF(Tasks[[#This Row],[Task Name]]="","",IF(Tasks[[#This Row],[_IsSummary]],SUM(INDEX(Tasks[_LeafTotalWork],Tasks[[#This Row],[_Row]]+1):INDEX(Tasks[_LeafTotalWork],Tasks[[#This Row],[_Row]]+Tasks[[#This Row],[_Descendants]])),Tasks[[#This Row],[_LeafTotalWork]]))</f>
        <v/>
      </c>
      <c r="AU39" s="111" t="str">
        <f aca="false">IF(Tasks[[#This Row],[Task Name]]="","",IF(Tasks[[#This Row],[_IsSummary]],SUM(INDEX(Tasks[_LeafTotalCost],Tasks[[#This Row],[_Row]]+1):INDEX(Tasks[_LeafTotalCost],Tasks[[#This Row],[_Row]]+Tasks[[#This Row],[_Descendants]])),Tasks[[#This Row],[_LeafTotalCost]]))</f>
        <v/>
      </c>
      <c r="AV39" s="112"/>
      <c r="AW39" s="46"/>
      <c r="AX3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39" s="96"/>
      <c r="AZ3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39" s="47"/>
      <c r="BB39" s="25" t="str">
        <f aca="false">IF(Tasks[[#This Row],[Task Name]]="","",Tasks[[#This Row],[Forecast Start]])</f>
        <v/>
      </c>
      <c r="BC39" s="25" t="str">
        <f aca="false">IF(Tasks[[#This Row],[Task Name]]="","",Tasks[[#This Row],[Forecast Finish]])</f>
        <v/>
      </c>
      <c r="BD39" s="45" t="str">
        <f aca="false">IF(Tasks[[#This Row],[Task Name]]="","",IF(Tasks[[#This Row],[_IsSummary]],NETWORKDAYS.INTL(Tasks[[#This Row],[Forecast Start]],Tasks[[#This Row],[Forecast Finish]],WorkWeek,Holidays),N(Tasks[[#This Row],[Duration]])))</f>
        <v/>
      </c>
      <c r="BE39" s="110" t="str">
        <f aca="false">IF(Tasks[[#This Row],[Task Name]]="","",Tasks[[#This Row],[Work]])</f>
        <v/>
      </c>
      <c r="BF39" s="111" t="str">
        <f aca="false">IF(Tasks[[#This Row],[Task Name]]="","",Tasks[[#This Row],[Cost]])</f>
        <v/>
      </c>
      <c r="BG39" s="88"/>
      <c r="BH39" s="88"/>
      <c r="BI39" s="46"/>
      <c r="BJ39" s="113"/>
      <c r="BK39" s="112"/>
      <c r="BL39" s="45" t="str">
        <f aca="false">IF(OR(Tasks[[#This Row],[Task Name]]="",Tasks[[#This Row],[Baseline Duration]]=""),"",Tasks[[#This Row],[BL Source Duration]]-N(Tasks[[#This Row],[Baseline Duration]]))</f>
        <v/>
      </c>
      <c r="BM39" s="110" t="str">
        <f aca="false">IF(OR(Tasks[[#This Row],[Task Name]]="",Tasks[[#This Row],[Baseline Work]]=""),"",Tasks[[#This Row],[Work]]-N(Tasks[[#This Row],[Baseline Work]]))</f>
        <v/>
      </c>
      <c r="BN39" s="111" t="str">
        <f aca="false">IF(OR(Tasks[[#This Row],[Task Name]]="",Tasks[[#This Row],[Baseline Cost]]=""),"",Tasks[[#This Row],[Cost]]-N(Tasks[[#This Row],[Baseline Cost]]))</f>
        <v/>
      </c>
      <c r="BO39" s="111" t="str">
        <f aca="false">IF(Tasks[[#This Row],[Task Name]]="","",IF(Tasks[[#This Row],[_IsSummary]],SUM(INDEX(Tasks[_LeafBudget],Tasks[[#This Row],[_Row]]+1):INDEX(Tasks[_LeafBudget],Tasks[[#This Row],[_Row]]+Tasks[[#This Row],[_Descendants]])),Tasks[[#This Row],[_LeafBudget]]))</f>
        <v/>
      </c>
      <c r="BP39" s="111" t="str">
        <f aca="false">IF(Tasks[[#This Row],[Task Name]]="","",IF(Tasks[[#This Row],[_IsSummary]],SUM(INDEX(Tasks[_LeafPV],Tasks[[#This Row],[_Row]]+1):INDEX(Tasks[_LeafPV],Tasks[[#This Row],[_Row]]+Tasks[[#This Row],[_Descendants]])),Tasks[[#This Row],[_LeafPV]]))</f>
        <v/>
      </c>
      <c r="BQ39" s="111" t="str">
        <f aca="false">IF(Tasks[[#This Row],[Task Name]]="","",IF(Tasks[[#This Row],[_IsSummary]],SUM(INDEX(Tasks[_LeafEV],Tasks[[#This Row],[_Row]]+1):INDEX(Tasks[_LeafEV],Tasks[[#This Row],[_Row]]+Tasks[[#This Row],[_Descendants]])),Tasks[[#This Row],[_LeafEV]]))</f>
        <v/>
      </c>
      <c r="BR39" s="111" t="str">
        <f aca="false">IF(Tasks[[#This Row],[Task Name]]="","",IF(Tasks[[#This Row],[_IsSummary]],SUM(INDEX(Tasks[_LeafAC],Tasks[[#This Row],[_Row]]+1):INDEX(Tasks[_LeafAC],Tasks[[#This Row],[_Row]]+Tasks[[#This Row],[_Descendants]])),Tasks[[#This Row],[_LeafAC]]))</f>
        <v/>
      </c>
      <c r="BS39" s="32" t="str">
        <f aca="false">IF(Tasks[[#This Row],[Task Name]]="","",MAX(1,N(Tasks[[#This Row],[Level]])))</f>
        <v/>
      </c>
      <c r="BT39" s="32" t="n">
        <f aca="false">ROW()-ROW(Tasks[[#Headers],[ID]])</f>
        <v>34</v>
      </c>
      <c r="BU39" s="32" t="n">
        <f aca="false">IF(OR(Tasks[[#This Row],[Task Name]]="",Tasks[[#This Row],[_Level]]&lt;=1),0,IFERROR(LOOKUP(2,1/(Tasks[[#Headers],[_Level]]:Tasks[[#This Row],[_Level]]=Tasks[[#This Row],[_Level]]-1),ROW(Tasks[[#Headers],[_Level]]:Tasks[[#This Row],[_Level]])),0))</f>
        <v>0</v>
      </c>
      <c r="BV39" s="32" t="n">
        <f aca="false">IFERROR(N(INDEX(Tasks[_Level],Tasks[[#This Row],[_Row]]+1)),0)</f>
        <v>0</v>
      </c>
      <c r="BW39" s="114" t="b">
        <f aca="false">AND(Tasks[[#This Row],[Task Name]]&lt;&gt;"",Tasks[[#This Row],[_NextLevel]]&gt;Tasks[[#This Row],[_Level]])</f>
        <v>0</v>
      </c>
      <c r="BX39" s="32" t="n">
        <f aca="false">IF(Tasks[[#This Row],[_IsSummary]],COUNTIF(Tasks[WBS],Tasks[[#This Row],[WBS]]&amp;".*"),0)</f>
        <v>0</v>
      </c>
      <c r="BY39" s="32" t="n">
        <f aca="false">IF(AND(Tasks[[#This Row],[Task Name]]&lt;&gt;"",NOT(Tasks[[#This Row],[_IsSummary]])),1,0)</f>
        <v>0</v>
      </c>
      <c r="BZ39" s="32" t="n">
        <f aca="false">IF(N(Tasks[[#This Row],[Pred1 UID]])=0,0,IFERROR(MATCH(Tasks[[#This Row],[Pred1 UID]],Tasks[UID],0),-1))</f>
        <v>0</v>
      </c>
      <c r="CA39" s="32" t="n">
        <f aca="false">IF(N(Tasks[[#This Row],[Pred2 UID]])=0,0,IFERROR(MATCH(Tasks[[#This Row],[Pred2 UID]],Tasks[UID],0),-1))</f>
        <v>0</v>
      </c>
      <c r="CB39" s="32" t="n">
        <f aca="false">IF(N(Tasks[[#This Row],[Pred3 UID]])=0,0,IFERROR(MATCH(Tasks[[#This Row],[Pred3 UID]],Tasks[UID],0),-1))</f>
        <v>0</v>
      </c>
      <c r="CC39" s="32" t="n">
        <f aca="false">IF(N(Tasks[[#This Row],[Pred4 UID]])=0,0,IFERROR(MATCH(Tasks[[#This Row],[Pred4 UID]],Tasks[UID],0),-1))</f>
        <v>0</v>
      </c>
      <c r="CD3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3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39" s="115" t="n">
        <f aca="false">IF(OR(Tasks[[#This Row],[_ConstraintCode]]=2,Tasks[[#This Row],[_ConstraintCode]]=3,Tasks[[#This Row],[_ConstraintCode]]=4,Tasks[[#This Row],[_ConstraintCode]]=6),Tasks[[#This Row],[_ConstraintStart]],0)</f>
        <v>0</v>
      </c>
      <c r="CG39" s="115" t="n">
        <f aca="false">IF(OR(Tasks[[#This Row],[_ConstraintCode]]=2,Tasks[[#This Row],[_ConstraintCode]]=3,Tasks[[#This Row],[_ConstraintCode]]=5,Tasks[[#This Row],[_ConstraintCode]]=7),Tasks[[#This Row],[_ConstraintStart]],2958465)</f>
        <v>2958465</v>
      </c>
      <c r="CH3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39" s="115" t="str">
        <f aca="false">IF(NOT(Tasks[[#This Row],[_IsLeaf]]=1),"",IF(N(Tasks[[#This Row],[Duration]])&lt;=0,Tasks[[#This Row],[_LeafCalcStart]],WORKDAY.INTL(Tasks[[#This Row],[_LeafCalcStart]],Tasks[[#This Row],[Duration]]-1,WorkWeek,Holidays)))</f>
        <v/>
      </c>
      <c r="CJ3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3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39" s="32" t="n">
        <f aca="false">IF(NOT(Tasks[[#This Row],[_IsLeaf]]=1),0,IF(N(Tasks[[#This Row],[Actual Finish]])&gt;0,1,MIN(1,N(Tasks[[#This Row],[% Complete]]))))</f>
        <v>0</v>
      </c>
      <c r="CM39" s="32" t="n">
        <f aca="false">IF(OR(NOT(Tasks[[#This Row],[_IsLeaf]]=1),Tasks[[#This Row],[Resource]]=""),0,N(Tasks[[#This Row],[Duration]])*HoursPerDay*IF(Tasks[[#This Row],[Units]]="",DefaultUnits,Tasks[[#This Row],[Units]]))</f>
        <v>0</v>
      </c>
      <c r="CN39" s="32" t="n">
        <f aca="false">IF(Tasks[[#This Row],[_LeafWork]]=0,0,Tasks[[#This Row],[_LeafWork]]*IFERROR(INDEX(res_Rate,MATCH(Tasks[[#This Row],[Resource]],res_Name,0)),0))</f>
        <v>0</v>
      </c>
      <c r="CO39" s="32" t="n">
        <f aca="false">Tasks[[#This Row],[_LeafWork]]+IF(Tasks[[#This Row],[_IsLeaf]]=1,SUMIFS(asg_Work,asg_TaskUID,Tasks[[#This Row],[UID]],asg_Valid,1),0)</f>
        <v>0</v>
      </c>
      <c r="CP39" s="32" t="n">
        <f aca="false">Tasks[[#This Row],[_LeafCost]]+IF(Tasks[[#This Row],[_IsLeaf]]=1,SUMIFS(asg_Cost,asg_TaskUID,Tasks[[#This Row],[UID]],asg_Valid,1),0)</f>
        <v>0</v>
      </c>
      <c r="CQ39" s="32" t="n">
        <f aca="false">IF(Tasks[[#This Row],[_LeafTotalCost]]=0,Tasks[[#This Row],[_LeafAC]],Tasks[[#This Row],[_LeafAC]]*Tasks[[#This Row],[_LeafCost]]/Tasks[[#This Row],[_LeafTotalCost]])</f>
        <v>0</v>
      </c>
      <c r="CR3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3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3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3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3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3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3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3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39" s="32" t="n">
        <f aca="false">IF(NOT(Tasks[[#This Row],[_IsLeaf]]=1),0,MAX(_xlfn.MAXIFS(Tasks[_Row],Tasks[Pred1 UID],Tasks[[#This Row],[UID]]),_xlfn.MAXIFS(Tasks[_Row],Tasks[Pred2 UID],Tasks[[#This Row],[UID]]),_xlfn.MAXIFS(Tasks[_Row],Tasks[Pred3 UID],Tasks[[#This Row],[UID]]),_xlfn.MAXIFS(Tasks[_Row],Tasks[Pred4 UID],Tasks[[#This Row],[UID]])))</f>
        <v>0</v>
      </c>
      <c r="DA3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3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39" s="115" t="str">
        <f aca="false">IF(NOT(Tasks[[#This Row],[_IsLeaf]]=1),"",IF(N(Tasks[[#This Row],[Duration]])&lt;=0,Tasks[[#This Row],[_LeafLateFinish]],WORKDAY.INTL(Tasks[[#This Row],[_LeafLateFinish]],-(Tasks[[#This Row],[Duration]]-1),WorkWeek,Holidays)))</f>
        <v/>
      </c>
      <c r="DD3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39" s="114" t="b">
        <f aca="false">AND(Tasks[[#This Row],[_IsLeaf]]=1,Tasks[[#This Row],[_LeafProgress]]&lt;1,N(Tasks[[#This Row],[_LeafTotalSlack]])&lt;=CriticalSlackDays)</f>
        <v>0</v>
      </c>
      <c r="DF39" s="32" t="n">
        <f aca="false">IF(AND(Tasks[[#This Row],[_IsLeaf]]=1,Tasks[[#This Row],[_ConstraintCode]]=1,Tasks[[#This Row],[Mode]]&lt;&gt;"Manual",N(Tasks[[#This Row],[Actual Start]])=0),MAX(0,N(Tasks[[#This Row],[Free Slack]])),0)</f>
        <v>0</v>
      </c>
      <c r="DG39" s="115" t="str">
        <f aca="false">IF(NOT(Tasks[[#This Row],[_IsLeaf]]=1),"",IF(Tasks[[#This Row],[_AlapShift]]=0,Tasks[[#This Row],[_LeafCalcStart]],WORKDAY.INTL(Tasks[[#This Row],[_LeafCalcStart]],Tasks[[#This Row],[_AlapShift]],WorkWeek,Holidays)))</f>
        <v/>
      </c>
      <c r="DH39" s="115" t="str">
        <f aca="false">IF(NOT(Tasks[[#This Row],[_IsLeaf]]=1),"",IF(Tasks[[#This Row],[_AlapShift]]=0,Tasks[[#This Row],[_LeafCalcFinish]],WORKDAY.INTL(Tasks[[#This Row],[_LeafCalcFinish]],Tasks[[#This Row],[_AlapShift]],WorkWeek,Holidays)))</f>
        <v/>
      </c>
      <c r="DI39" s="115" t="str">
        <f aca="false">IF(NOT(Tasks[[#This Row],[_IsLeaf]]=1),"",IF(Tasks[[#This Row],[_AlapShift]]=0,Tasks[[#This Row],[_LeafFcstStart]],WORKDAY.INTL(Tasks[[#This Row],[_LeafFcstStart]],Tasks[[#This Row],[_AlapShift]],WorkWeek,Holidays)))</f>
        <v/>
      </c>
      <c r="DJ39" s="115" t="str">
        <f aca="false">IF(NOT(Tasks[[#This Row],[_IsLeaf]]=1),"",IF(Tasks[[#This Row],[_AlapShift]]=0,Tasks[[#This Row],[_LeafFcstFinish]],WORKDAY.INTL(Tasks[[#This Row],[_LeafFcstFinish]],Tasks[[#This Row],[_AlapShift]],WorkWeek,Holidays)))</f>
        <v/>
      </c>
      <c r="DK39" s="115" t="str">
        <f aca="false">IF(Tasks[[#This Row],[Task Name]]="","",IF(Tasks[[#This Row],[_IsSummary]],MIN(INDEX(Tasks[_ShownCalcStart],Tasks[[#This Row],[_Row]]+1):INDEX(Tasks[_ShownCalcStart],Tasks[[#This Row],[_Row]]+Tasks[[#This Row],[_Descendants]])),Tasks[[#This Row],[_ShownCalcStart]]))</f>
        <v/>
      </c>
      <c r="DL39" s="115" t="str">
        <f aca="false">IF(Tasks[[#This Row],[Task Name]]="","",IF(Tasks[[#This Row],[_IsSummary]],MAX(INDEX(Tasks[_ShownCalcFinish],Tasks[[#This Row],[_Row]]+1):INDEX(Tasks[_ShownCalcFinish],Tasks[[#This Row],[_Row]]+Tasks[[#This Row],[_Descendants]])),Tasks[[#This Row],[_ShownCalcFinish]]))</f>
        <v/>
      </c>
      <c r="DM3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3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3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3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3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3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3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3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3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3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3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3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39" s="32" t="n">
        <f aca="false">IF(AND(Tasks[[#This Row],[_IsLeaf]]=1,Tasks[[#This Row],[_LeafTotalWork]]&gt;0),NETWORKDAYS.INTL(ProjectStart,Tasks[[#This Row],[_ShownFcstStart]],WorkWeek,Holidays),0)</f>
        <v>0</v>
      </c>
      <c r="DZ39" s="32" t="n">
        <f aca="false">IF(AND(Tasks[[#This Row],[_IsLeaf]]=1,Tasks[[#This Row],[_LeafTotalWork]]&gt;0),MAX(Tasks[[#This Row],[_StartWorkday]],NETWORKDAYS.INTL(ProjectStart,Tasks[[#This Row],[_ShownFcstFinish]],WorkWeek,Holidays)),0)</f>
        <v>0</v>
      </c>
      <c r="EA39" s="32" t="n">
        <f aca="false">IF(AND(Tasks[[#This Row],[_IsLeaf]]=1,Tasks[[#This Row],[_LeafTotalWork]]&gt;0),Tasks[[#This Row],[_LeafWork]]/(Tasks[[#This Row],[_FinishWorkday]]-Tasks[[#This Row],[_StartWorkday]]+1),0)</f>
        <v>0</v>
      </c>
      <c r="EB39" s="32" t="n">
        <f aca="false">Tasks[[#This Row],[_WorkPerWorkday]]*(Tasks[[#This Row],[_StartWorkday]]-1)</f>
        <v>-0</v>
      </c>
      <c r="EC39" s="32" t="n">
        <f aca="false">IF(Tasks[[#This Row],[_IsLeaf]]=1,MAX(N(Tasks[[#This Row],[Duration]]),0.1),0)</f>
        <v>0</v>
      </c>
      <c r="ED39" s="32" t="n">
        <f aca="false">Tasks[[#This Row],[_WeightDur]]*Tasks[[#This Row],[_LeafProgress]]</f>
        <v>0</v>
      </c>
      <c r="EE3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39" s="32" t="str">
        <f aca="false">IF(AND(Tasks[[#This Row],[_IsLeaf]]=1,N(Tasks[[#This Row],[Duration]])=0,Tasks[[#This Row],[_LeafProgress]]&lt;1),Tasks[[#This Row],[_ShownFcstFinish]]+Tasks[[#This Row],[_Row]]/100000,"")</f>
        <v/>
      </c>
      <c r="EG3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39" s="32" t="n">
        <f aca="false">IF(NOT(Tasks[[#This Row],[_IsLeaf]]=1),0,IF(Tasks[[#This Row],[Baseline Cost]]="",Tasks[[#This Row],[_LeafTotalCost]],N(Tasks[[#This Row],[Baseline Cost]])))</f>
        <v>0</v>
      </c>
      <c r="EI39" s="32" t="n">
        <f aca="false">Tasks[[#This Row],[_LeafBudget]]*Tasks[[#This Row],[_PlannedPct]]</f>
        <v>0</v>
      </c>
      <c r="EJ39" s="32" t="n">
        <f aca="false">Tasks[[#This Row],[_LeafBudget]]*Tasks[[#This Row],[_LeafProgress]]</f>
        <v>0</v>
      </c>
      <c r="EK39" s="32" t="n">
        <f aca="false">IF(NOT(Tasks[[#This Row],[_IsLeaf]]=1),0,IF(Tasks[[#This Row],[Actual Cost]]="",Tasks[[#This Row],[_LeafTotalCost]]*Tasks[[#This Row],[_LeafProgress]],N(Tasks[[#This Row],[Actual Cost]])))</f>
        <v>0</v>
      </c>
      <c r="EL39" s="32" t="str">
        <f aca="false">IF(Tasks[[#This Row],[Task Name]]="","",LEFT(Tasks[[#This Row],[WBS]],FIND(".",Tasks[[#This Row],[WBS]]&amp;".")-1))</f>
        <v/>
      </c>
      <c r="EM39" s="32" t="str">
        <f aca="false">IF(AND(Tasks[[#This Row],[Task Name]]&lt;&gt;"",Tasks[[#This Row],[_Level]]=1),Tasks[[#This Row],[_Row]],"")</f>
        <v/>
      </c>
      <c r="EN39" s="32" t="str">
        <f aca="false">IF(AND(Tasks[[#This Row],[_IsLeaf]]=1,N(Tasks[[#This Row],[Duration]])=0),Tasks[[#This Row],[Planned Finish]]+Tasks[[#This Row],[_Row]]/100000,"")</f>
        <v/>
      </c>
      <c r="EO39" s="32" t="str">
        <f aca="false">IF(AND(Tasks[[#This Row],[_IsLeaf]]=1,Tasks[[#This Row],[_LeafProgress]]&lt;1,OR(N(Tasks[[#This Row],[Finish Var]])&gt;0,Tasks[[#This Row],[Status]]="Late Start")),MAX(0,Tasks[[#This Row],[Finish Var]])+1-Tasks[[#This Row],[_Row]]/1000000,"")</f>
        <v/>
      </c>
      <c r="EP39" s="32" t="str">
        <f aca="false">IF(AND(Tasks[[#This Row],[_IsLeaf]]=1,N(Tasks[[#This Row],[Actual Start]])=0,Tasks[[#This Row],[_ShownFcstStart]]&gt;=StatusDate,Tasks[[#This Row],[_ShownFcstStart]]&lt;=LookaheadEnd),Tasks[[#This Row],[_ShownFcstStart]]+Tasks[[#This Row],[_Row]]/100000,"")</f>
        <v/>
      </c>
      <c r="EQ39" s="32" t="str">
        <f aca="false">IF(AND(Tasks[[#This Row],[_IsLeaf]]=1,Tasks[[#This Row],[_LeafProgress]]&lt;1,Tasks[[#This Row],[_ShownFcstFinish]]&gt;=StatusDate,Tasks[[#This Row],[_ShownFcstFinish]]&lt;=LookaheadEnd),Tasks[[#This Row],[_ShownFcstFinish]]+Tasks[[#This Row],[_Row]]/100000,"")</f>
        <v/>
      </c>
      <c r="ER39" s="32" t="str">
        <f aca="false">IF(Tasks[[#This Row],[_LeafCritical]],Tasks[[#This Row],[_ShownFcstStart]]+Tasks[[#This Row],[_Row]]/100000,"")</f>
        <v/>
      </c>
      <c r="ES39" s="32" t="n">
        <f aca="false">Tasks[[#This Row],[_LeafWork]]*Tasks[[#This Row],[_LeafProgress]]</f>
        <v>0</v>
      </c>
      <c r="ET39" s="115" t="str">
        <f aca="false">IF(AND(Tasks[[#This Row],[_IsLeaf]]=1,Tasks[[#This Row],[_LeafProgress]]&gt;=1),IF(N(Tasks[[#This Row],[Actual Finish]])&gt;0,Tasks[[#This Row],[Actual Finish]],Tasks[[#This Row],[_ShownFcstFinish]]),"")</f>
        <v/>
      </c>
      <c r="EU39" s="32" t="n">
        <f aca="false">IF(Tasks[[#This Row],[_IsLeaf]]=1,N(Tasks[[#This Row],[Story Points]]),0)</f>
        <v>0</v>
      </c>
      <c r="EV39" s="32" t="str">
        <f aca="false">IF(AND(Tasks[[#This Row],[_IsLeaf]]=1,CurrentSprint&lt;&gt;"",Tasks[[#This Row],[Sprint]]=CurrentSprint),Tasks[[#This Row],[_Row]],"")</f>
        <v/>
      </c>
    </row>
    <row r="40" customFormat="false" ht="15" hidden="false" customHeight="false" outlineLevel="0" collapsed="false">
      <c r="A40" s="45" t="str">
        <f aca="false">IF(Tasks[[#This Row],[Task Name]]="","",COUNTA(Tasks[[#Headers],[Task Name]]:Tasks[[#This Row],[Task Name]])-1)</f>
        <v/>
      </c>
      <c r="B40" s="46" t="n">
        <v>35</v>
      </c>
      <c r="C4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0" s="46"/>
      <c r="E40" s="45" t="str">
        <f aca="false">IF(Tasks[[#This Row],[Task Name]]="","",IF(Tasks[[#This Row],[_Level]]&lt;=OutlineShowLevel,"Yes","No"))</f>
        <v/>
      </c>
      <c r="F40" s="47"/>
      <c r="G40" s="46"/>
      <c r="H40" s="46"/>
      <c r="I40" s="46"/>
      <c r="J40" s="46"/>
      <c r="K40" s="46"/>
      <c r="L40" s="46"/>
      <c r="M40" s="46"/>
      <c r="N40" s="46"/>
      <c r="O40" s="46"/>
      <c r="P40" s="46"/>
      <c r="Q40" s="46"/>
      <c r="R40" s="46"/>
      <c r="S40" s="46"/>
      <c r="T40" s="46"/>
      <c r="U40" s="47"/>
      <c r="V40" s="88"/>
      <c r="W40" s="88"/>
      <c r="X40" s="25" t="str">
        <f aca="false">IF(Tasks[[#This Row],[Task Name]]="","",IF(N(Tasks[[#This Row],[Baseline Start]])&gt;0,Tasks[[#This Row],[Baseline Start]],Tasks[[#This Row],[_CalcStart]]))</f>
        <v/>
      </c>
      <c r="Y40" s="25" t="str">
        <f aca="false">IF(Tasks[[#This Row],[Task Name]]="","",IF(N(Tasks[[#This Row],[Baseline Finish]])&gt;0,Tasks[[#This Row],[Baseline Finish]],Tasks[[#This Row],[_CalcFinish]]))</f>
        <v/>
      </c>
      <c r="Z40" s="88"/>
      <c r="AA40" s="88"/>
      <c r="AB40" s="25" t="str">
        <f aca="false">IF(Tasks[[#This Row],[Task Name]]="","",IF(Tasks[[#This Row],[_IsSummary]],MIN(INDEX(Tasks[_ShownFcstStart],Tasks[[#This Row],[_Row]]+1):INDEX(Tasks[_ShownFcstStart],Tasks[[#This Row],[_Row]]+Tasks[[#This Row],[_Descendants]])),Tasks[[#This Row],[_ShownFcstStart]]))</f>
        <v/>
      </c>
      <c r="AC40" s="25" t="str">
        <f aca="false">IF(Tasks[[#This Row],[Task Name]]="","",IF(Tasks[[#This Row],[_IsSummary]],MAX(INDEX(Tasks[_ShownFcstFinish],Tasks[[#This Row],[_Row]]+1):INDEX(Tasks[_ShownFcstFinish],Tasks[[#This Row],[_Row]]+Tasks[[#This Row],[_Descendants]])),Tasks[[#This Row],[_ShownFcstFinish]]))</f>
        <v/>
      </c>
      <c r="AD4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0" s="25" t="str">
        <f aca="false">IF(Tasks[[#This Row],[Task Name]]="","",IF(Tasks[[#This Row],[_IsSummary]],MIN(INDEX(Tasks[_LeafLateStart],Tasks[[#This Row],[_Row]]+1):INDEX(Tasks[_LeafLateStart],Tasks[[#This Row],[_Row]]+Tasks[[#This Row],[_Descendants]])),Tasks[[#This Row],[_LeafLateStart]]))</f>
        <v/>
      </c>
      <c r="AG40" s="25" t="str">
        <f aca="false">IF(Tasks[[#This Row],[Task Name]]="","",IF(Tasks[[#This Row],[_IsSummary]],MAX(INDEX(Tasks[_LeafLateFinish],Tasks[[#This Row],[_Row]]+1):INDEX(Tasks[_LeafLateFinish],Tasks[[#This Row],[_Row]]+Tasks[[#This Row],[_Descendants]])),Tasks[[#This Row],[_LeafLateFinish]]))</f>
        <v/>
      </c>
      <c r="AH40" s="56" t="str">
        <f aca="false">IF(Tasks[[#This Row],[Task Name]]="","",IF(Tasks[[#This Row],[_IsSummary]],MIN(INDEX(Tasks[_LeafTotalSlack],Tasks[[#This Row],[_Row]]+1):INDEX(Tasks[_LeafTotalSlack],Tasks[[#This Row],[_Row]]+Tasks[[#This Row],[_Descendants]])),Tasks[[#This Row],[_LeafTotalSlack]]))</f>
        <v/>
      </c>
      <c r="AI4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0" s="45" t="str">
        <f aca="false">IF(Tasks[[#This Row],[Task Name]]="","",IF(IF(Tasks[[#This Row],[_IsSummary]],COUNTIF(INDEX(Tasks[_LeafCritical],Tasks[[#This Row],[_Row]]+1):INDEX(Tasks[_LeafCritical],Tasks[[#This Row],[_Row]]+Tasks[[#This Row],[_Descendants]]),TRUE())&gt;0,Tasks[[#This Row],[_LeafCritical]]),"Yes",""))</f>
        <v/>
      </c>
      <c r="AK4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0" s="102"/>
      <c r="AN4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0" s="45" t="str">
        <f aca="false">IF(Tasks[[#This Row],[Task Name]]="","",IF(Tasks[[#This Row],[Progress]]&gt;=1,"Complete",IF(OR(N(Tasks[[#This Row],[Actual Start]])&gt;0,Tasks[[#This Row],[Progress]]&gt;0),IF(Tasks[[#This Row],[Finish Var]]&gt;0,"Behind","In Progress"),IF(Tasks[[#This Row],[Planned Start]]&lt;StatusDate,"Late Start","Not Started"))))</f>
        <v/>
      </c>
      <c r="AP40" s="47"/>
      <c r="AQ40" s="102"/>
      <c r="AR4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0" s="110" t="str">
        <f aca="false">IF(Tasks[[#This Row],[Task Name]]="","",IF(Tasks[[#This Row],[_IsSummary]],SUM(INDEX(Tasks[_LeafTotalWork],Tasks[[#This Row],[_Row]]+1):INDEX(Tasks[_LeafTotalWork],Tasks[[#This Row],[_Row]]+Tasks[[#This Row],[_Descendants]])),Tasks[[#This Row],[_LeafTotalWork]]))</f>
        <v/>
      </c>
      <c r="AU40" s="111" t="str">
        <f aca="false">IF(Tasks[[#This Row],[Task Name]]="","",IF(Tasks[[#This Row],[_IsSummary]],SUM(INDEX(Tasks[_LeafTotalCost],Tasks[[#This Row],[_Row]]+1):INDEX(Tasks[_LeafTotalCost],Tasks[[#This Row],[_Row]]+Tasks[[#This Row],[_Descendants]])),Tasks[[#This Row],[_LeafTotalCost]]))</f>
        <v/>
      </c>
      <c r="AV40" s="112"/>
      <c r="AW40" s="46"/>
      <c r="AX4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0" s="96"/>
      <c r="AZ4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0" s="47"/>
      <c r="BB40" s="25" t="str">
        <f aca="false">IF(Tasks[[#This Row],[Task Name]]="","",Tasks[[#This Row],[Forecast Start]])</f>
        <v/>
      </c>
      <c r="BC40" s="25" t="str">
        <f aca="false">IF(Tasks[[#This Row],[Task Name]]="","",Tasks[[#This Row],[Forecast Finish]])</f>
        <v/>
      </c>
      <c r="BD40" s="45" t="str">
        <f aca="false">IF(Tasks[[#This Row],[Task Name]]="","",IF(Tasks[[#This Row],[_IsSummary]],NETWORKDAYS.INTL(Tasks[[#This Row],[Forecast Start]],Tasks[[#This Row],[Forecast Finish]],WorkWeek,Holidays),N(Tasks[[#This Row],[Duration]])))</f>
        <v/>
      </c>
      <c r="BE40" s="110" t="str">
        <f aca="false">IF(Tasks[[#This Row],[Task Name]]="","",Tasks[[#This Row],[Work]])</f>
        <v/>
      </c>
      <c r="BF40" s="111" t="str">
        <f aca="false">IF(Tasks[[#This Row],[Task Name]]="","",Tasks[[#This Row],[Cost]])</f>
        <v/>
      </c>
      <c r="BG40" s="88"/>
      <c r="BH40" s="88"/>
      <c r="BI40" s="46"/>
      <c r="BJ40" s="113"/>
      <c r="BK40" s="112"/>
      <c r="BL40" s="45" t="str">
        <f aca="false">IF(OR(Tasks[[#This Row],[Task Name]]="",Tasks[[#This Row],[Baseline Duration]]=""),"",Tasks[[#This Row],[BL Source Duration]]-N(Tasks[[#This Row],[Baseline Duration]]))</f>
        <v/>
      </c>
      <c r="BM40" s="110" t="str">
        <f aca="false">IF(OR(Tasks[[#This Row],[Task Name]]="",Tasks[[#This Row],[Baseline Work]]=""),"",Tasks[[#This Row],[Work]]-N(Tasks[[#This Row],[Baseline Work]]))</f>
        <v/>
      </c>
      <c r="BN40" s="111" t="str">
        <f aca="false">IF(OR(Tasks[[#This Row],[Task Name]]="",Tasks[[#This Row],[Baseline Cost]]=""),"",Tasks[[#This Row],[Cost]]-N(Tasks[[#This Row],[Baseline Cost]]))</f>
        <v/>
      </c>
      <c r="BO40" s="111" t="str">
        <f aca="false">IF(Tasks[[#This Row],[Task Name]]="","",IF(Tasks[[#This Row],[_IsSummary]],SUM(INDEX(Tasks[_LeafBudget],Tasks[[#This Row],[_Row]]+1):INDEX(Tasks[_LeafBudget],Tasks[[#This Row],[_Row]]+Tasks[[#This Row],[_Descendants]])),Tasks[[#This Row],[_LeafBudget]]))</f>
        <v/>
      </c>
      <c r="BP40" s="111" t="str">
        <f aca="false">IF(Tasks[[#This Row],[Task Name]]="","",IF(Tasks[[#This Row],[_IsSummary]],SUM(INDEX(Tasks[_LeafPV],Tasks[[#This Row],[_Row]]+1):INDEX(Tasks[_LeafPV],Tasks[[#This Row],[_Row]]+Tasks[[#This Row],[_Descendants]])),Tasks[[#This Row],[_LeafPV]]))</f>
        <v/>
      </c>
      <c r="BQ40" s="111" t="str">
        <f aca="false">IF(Tasks[[#This Row],[Task Name]]="","",IF(Tasks[[#This Row],[_IsSummary]],SUM(INDEX(Tasks[_LeafEV],Tasks[[#This Row],[_Row]]+1):INDEX(Tasks[_LeafEV],Tasks[[#This Row],[_Row]]+Tasks[[#This Row],[_Descendants]])),Tasks[[#This Row],[_LeafEV]]))</f>
        <v/>
      </c>
      <c r="BR40" s="111" t="str">
        <f aca="false">IF(Tasks[[#This Row],[Task Name]]="","",IF(Tasks[[#This Row],[_IsSummary]],SUM(INDEX(Tasks[_LeafAC],Tasks[[#This Row],[_Row]]+1):INDEX(Tasks[_LeafAC],Tasks[[#This Row],[_Row]]+Tasks[[#This Row],[_Descendants]])),Tasks[[#This Row],[_LeafAC]]))</f>
        <v/>
      </c>
      <c r="BS40" s="32" t="str">
        <f aca="false">IF(Tasks[[#This Row],[Task Name]]="","",MAX(1,N(Tasks[[#This Row],[Level]])))</f>
        <v/>
      </c>
      <c r="BT40" s="32" t="n">
        <f aca="false">ROW()-ROW(Tasks[[#Headers],[ID]])</f>
        <v>35</v>
      </c>
      <c r="BU40" s="32" t="n">
        <f aca="false">IF(OR(Tasks[[#This Row],[Task Name]]="",Tasks[[#This Row],[_Level]]&lt;=1),0,IFERROR(LOOKUP(2,1/(Tasks[[#Headers],[_Level]]:Tasks[[#This Row],[_Level]]=Tasks[[#This Row],[_Level]]-1),ROW(Tasks[[#Headers],[_Level]]:Tasks[[#This Row],[_Level]])),0))</f>
        <v>0</v>
      </c>
      <c r="BV40" s="32" t="n">
        <f aca="false">IFERROR(N(INDEX(Tasks[_Level],Tasks[[#This Row],[_Row]]+1)),0)</f>
        <v>0</v>
      </c>
      <c r="BW40" s="114" t="b">
        <f aca="false">AND(Tasks[[#This Row],[Task Name]]&lt;&gt;"",Tasks[[#This Row],[_NextLevel]]&gt;Tasks[[#This Row],[_Level]])</f>
        <v>0</v>
      </c>
      <c r="BX40" s="32" t="n">
        <f aca="false">IF(Tasks[[#This Row],[_IsSummary]],COUNTIF(Tasks[WBS],Tasks[[#This Row],[WBS]]&amp;".*"),0)</f>
        <v>0</v>
      </c>
      <c r="BY40" s="32" t="n">
        <f aca="false">IF(AND(Tasks[[#This Row],[Task Name]]&lt;&gt;"",NOT(Tasks[[#This Row],[_IsSummary]])),1,0)</f>
        <v>0</v>
      </c>
      <c r="BZ40" s="32" t="n">
        <f aca="false">IF(N(Tasks[[#This Row],[Pred1 UID]])=0,0,IFERROR(MATCH(Tasks[[#This Row],[Pred1 UID]],Tasks[UID],0),-1))</f>
        <v>0</v>
      </c>
      <c r="CA40" s="32" t="n">
        <f aca="false">IF(N(Tasks[[#This Row],[Pred2 UID]])=0,0,IFERROR(MATCH(Tasks[[#This Row],[Pred2 UID]],Tasks[UID],0),-1))</f>
        <v>0</v>
      </c>
      <c r="CB40" s="32" t="n">
        <f aca="false">IF(N(Tasks[[#This Row],[Pred3 UID]])=0,0,IFERROR(MATCH(Tasks[[#This Row],[Pred3 UID]],Tasks[UID],0),-1))</f>
        <v>0</v>
      </c>
      <c r="CC40" s="32" t="n">
        <f aca="false">IF(N(Tasks[[#This Row],[Pred4 UID]])=0,0,IFERROR(MATCH(Tasks[[#This Row],[Pred4 UID]],Tasks[UID],0),-1))</f>
        <v>0</v>
      </c>
      <c r="CD4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0" s="115" t="n">
        <f aca="false">IF(OR(Tasks[[#This Row],[_ConstraintCode]]=2,Tasks[[#This Row],[_ConstraintCode]]=3,Tasks[[#This Row],[_ConstraintCode]]=4,Tasks[[#This Row],[_ConstraintCode]]=6),Tasks[[#This Row],[_ConstraintStart]],0)</f>
        <v>0</v>
      </c>
      <c r="CG40" s="115" t="n">
        <f aca="false">IF(OR(Tasks[[#This Row],[_ConstraintCode]]=2,Tasks[[#This Row],[_ConstraintCode]]=3,Tasks[[#This Row],[_ConstraintCode]]=5,Tasks[[#This Row],[_ConstraintCode]]=7),Tasks[[#This Row],[_ConstraintStart]],2958465)</f>
        <v>2958465</v>
      </c>
      <c r="CH4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0" s="115" t="str">
        <f aca="false">IF(NOT(Tasks[[#This Row],[_IsLeaf]]=1),"",IF(N(Tasks[[#This Row],[Duration]])&lt;=0,Tasks[[#This Row],[_LeafCalcStart]],WORKDAY.INTL(Tasks[[#This Row],[_LeafCalcStart]],Tasks[[#This Row],[Duration]]-1,WorkWeek,Holidays)))</f>
        <v/>
      </c>
      <c r="CJ4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0" s="32" t="n">
        <f aca="false">IF(NOT(Tasks[[#This Row],[_IsLeaf]]=1),0,IF(N(Tasks[[#This Row],[Actual Finish]])&gt;0,1,MIN(1,N(Tasks[[#This Row],[% Complete]]))))</f>
        <v>0</v>
      </c>
      <c r="CM40" s="32" t="n">
        <f aca="false">IF(OR(NOT(Tasks[[#This Row],[_IsLeaf]]=1),Tasks[[#This Row],[Resource]]=""),0,N(Tasks[[#This Row],[Duration]])*HoursPerDay*IF(Tasks[[#This Row],[Units]]="",DefaultUnits,Tasks[[#This Row],[Units]]))</f>
        <v>0</v>
      </c>
      <c r="CN40" s="32" t="n">
        <f aca="false">IF(Tasks[[#This Row],[_LeafWork]]=0,0,Tasks[[#This Row],[_LeafWork]]*IFERROR(INDEX(res_Rate,MATCH(Tasks[[#This Row],[Resource]],res_Name,0)),0))</f>
        <v>0</v>
      </c>
      <c r="CO40" s="32" t="n">
        <f aca="false">Tasks[[#This Row],[_LeafWork]]+IF(Tasks[[#This Row],[_IsLeaf]]=1,SUMIFS(asg_Work,asg_TaskUID,Tasks[[#This Row],[UID]],asg_Valid,1),0)</f>
        <v>0</v>
      </c>
      <c r="CP40" s="32" t="n">
        <f aca="false">Tasks[[#This Row],[_LeafCost]]+IF(Tasks[[#This Row],[_IsLeaf]]=1,SUMIFS(asg_Cost,asg_TaskUID,Tasks[[#This Row],[UID]],asg_Valid,1),0)</f>
        <v>0</v>
      </c>
      <c r="CQ40" s="32" t="n">
        <f aca="false">IF(Tasks[[#This Row],[_LeafTotalCost]]=0,Tasks[[#This Row],[_LeafAC]],Tasks[[#This Row],[_LeafAC]]*Tasks[[#This Row],[_LeafCost]]/Tasks[[#This Row],[_LeafTotalCost]])</f>
        <v>0</v>
      </c>
      <c r="CR4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0" s="32" t="n">
        <f aca="false">IF(NOT(Tasks[[#This Row],[_IsLeaf]]=1),0,MAX(_xlfn.MAXIFS(Tasks[_Row],Tasks[Pred1 UID],Tasks[[#This Row],[UID]]),_xlfn.MAXIFS(Tasks[_Row],Tasks[Pred2 UID],Tasks[[#This Row],[UID]]),_xlfn.MAXIFS(Tasks[_Row],Tasks[Pred3 UID],Tasks[[#This Row],[UID]]),_xlfn.MAXIFS(Tasks[_Row],Tasks[Pred4 UID],Tasks[[#This Row],[UID]])))</f>
        <v>0</v>
      </c>
      <c r="DA4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0" s="115" t="str">
        <f aca="false">IF(NOT(Tasks[[#This Row],[_IsLeaf]]=1),"",IF(N(Tasks[[#This Row],[Duration]])&lt;=0,Tasks[[#This Row],[_LeafLateFinish]],WORKDAY.INTL(Tasks[[#This Row],[_LeafLateFinish]],-(Tasks[[#This Row],[Duration]]-1),WorkWeek,Holidays)))</f>
        <v/>
      </c>
      <c r="DD4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0" s="114" t="b">
        <f aca="false">AND(Tasks[[#This Row],[_IsLeaf]]=1,Tasks[[#This Row],[_LeafProgress]]&lt;1,N(Tasks[[#This Row],[_LeafTotalSlack]])&lt;=CriticalSlackDays)</f>
        <v>0</v>
      </c>
      <c r="DF40" s="32" t="n">
        <f aca="false">IF(AND(Tasks[[#This Row],[_IsLeaf]]=1,Tasks[[#This Row],[_ConstraintCode]]=1,Tasks[[#This Row],[Mode]]&lt;&gt;"Manual",N(Tasks[[#This Row],[Actual Start]])=0),MAX(0,N(Tasks[[#This Row],[Free Slack]])),0)</f>
        <v>0</v>
      </c>
      <c r="DG40" s="115" t="str">
        <f aca="false">IF(NOT(Tasks[[#This Row],[_IsLeaf]]=1),"",IF(Tasks[[#This Row],[_AlapShift]]=0,Tasks[[#This Row],[_LeafCalcStart]],WORKDAY.INTL(Tasks[[#This Row],[_LeafCalcStart]],Tasks[[#This Row],[_AlapShift]],WorkWeek,Holidays)))</f>
        <v/>
      </c>
      <c r="DH40" s="115" t="str">
        <f aca="false">IF(NOT(Tasks[[#This Row],[_IsLeaf]]=1),"",IF(Tasks[[#This Row],[_AlapShift]]=0,Tasks[[#This Row],[_LeafCalcFinish]],WORKDAY.INTL(Tasks[[#This Row],[_LeafCalcFinish]],Tasks[[#This Row],[_AlapShift]],WorkWeek,Holidays)))</f>
        <v/>
      </c>
      <c r="DI40" s="115" t="str">
        <f aca="false">IF(NOT(Tasks[[#This Row],[_IsLeaf]]=1),"",IF(Tasks[[#This Row],[_AlapShift]]=0,Tasks[[#This Row],[_LeafFcstStart]],WORKDAY.INTL(Tasks[[#This Row],[_LeafFcstStart]],Tasks[[#This Row],[_AlapShift]],WorkWeek,Holidays)))</f>
        <v/>
      </c>
      <c r="DJ40" s="115" t="str">
        <f aca="false">IF(NOT(Tasks[[#This Row],[_IsLeaf]]=1),"",IF(Tasks[[#This Row],[_AlapShift]]=0,Tasks[[#This Row],[_LeafFcstFinish]],WORKDAY.INTL(Tasks[[#This Row],[_LeafFcstFinish]],Tasks[[#This Row],[_AlapShift]],WorkWeek,Holidays)))</f>
        <v/>
      </c>
      <c r="DK40" s="115" t="str">
        <f aca="false">IF(Tasks[[#This Row],[Task Name]]="","",IF(Tasks[[#This Row],[_IsSummary]],MIN(INDEX(Tasks[_ShownCalcStart],Tasks[[#This Row],[_Row]]+1):INDEX(Tasks[_ShownCalcStart],Tasks[[#This Row],[_Row]]+Tasks[[#This Row],[_Descendants]])),Tasks[[#This Row],[_ShownCalcStart]]))</f>
        <v/>
      </c>
      <c r="DL40" s="115" t="str">
        <f aca="false">IF(Tasks[[#This Row],[Task Name]]="","",IF(Tasks[[#This Row],[_IsSummary]],MAX(INDEX(Tasks[_ShownCalcFinish],Tasks[[#This Row],[_Row]]+1):INDEX(Tasks[_ShownCalcFinish],Tasks[[#This Row],[_Row]]+Tasks[[#This Row],[_Descendants]])),Tasks[[#This Row],[_ShownCalcFinish]]))</f>
        <v/>
      </c>
      <c r="DM4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0" s="32" t="n">
        <f aca="false">IF(AND(Tasks[[#This Row],[_IsLeaf]]=1,Tasks[[#This Row],[_LeafTotalWork]]&gt;0),NETWORKDAYS.INTL(ProjectStart,Tasks[[#This Row],[_ShownFcstStart]],WorkWeek,Holidays),0)</f>
        <v>0</v>
      </c>
      <c r="DZ40" s="32" t="n">
        <f aca="false">IF(AND(Tasks[[#This Row],[_IsLeaf]]=1,Tasks[[#This Row],[_LeafTotalWork]]&gt;0),MAX(Tasks[[#This Row],[_StartWorkday]],NETWORKDAYS.INTL(ProjectStart,Tasks[[#This Row],[_ShownFcstFinish]],WorkWeek,Holidays)),0)</f>
        <v>0</v>
      </c>
      <c r="EA40" s="32" t="n">
        <f aca="false">IF(AND(Tasks[[#This Row],[_IsLeaf]]=1,Tasks[[#This Row],[_LeafTotalWork]]&gt;0),Tasks[[#This Row],[_LeafWork]]/(Tasks[[#This Row],[_FinishWorkday]]-Tasks[[#This Row],[_StartWorkday]]+1),0)</f>
        <v>0</v>
      </c>
      <c r="EB40" s="32" t="n">
        <f aca="false">Tasks[[#This Row],[_WorkPerWorkday]]*(Tasks[[#This Row],[_StartWorkday]]-1)</f>
        <v>-0</v>
      </c>
      <c r="EC40" s="32" t="n">
        <f aca="false">IF(Tasks[[#This Row],[_IsLeaf]]=1,MAX(N(Tasks[[#This Row],[Duration]]),0.1),0)</f>
        <v>0</v>
      </c>
      <c r="ED40" s="32" t="n">
        <f aca="false">Tasks[[#This Row],[_WeightDur]]*Tasks[[#This Row],[_LeafProgress]]</f>
        <v>0</v>
      </c>
      <c r="EE4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0" s="32" t="str">
        <f aca="false">IF(AND(Tasks[[#This Row],[_IsLeaf]]=1,N(Tasks[[#This Row],[Duration]])=0,Tasks[[#This Row],[_LeafProgress]]&lt;1),Tasks[[#This Row],[_ShownFcstFinish]]+Tasks[[#This Row],[_Row]]/100000,"")</f>
        <v/>
      </c>
      <c r="EG4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0" s="32" t="n">
        <f aca="false">IF(NOT(Tasks[[#This Row],[_IsLeaf]]=1),0,IF(Tasks[[#This Row],[Baseline Cost]]="",Tasks[[#This Row],[_LeafTotalCost]],N(Tasks[[#This Row],[Baseline Cost]])))</f>
        <v>0</v>
      </c>
      <c r="EI40" s="32" t="n">
        <f aca="false">Tasks[[#This Row],[_LeafBudget]]*Tasks[[#This Row],[_PlannedPct]]</f>
        <v>0</v>
      </c>
      <c r="EJ40" s="32" t="n">
        <f aca="false">Tasks[[#This Row],[_LeafBudget]]*Tasks[[#This Row],[_LeafProgress]]</f>
        <v>0</v>
      </c>
      <c r="EK40" s="32" t="n">
        <f aca="false">IF(NOT(Tasks[[#This Row],[_IsLeaf]]=1),0,IF(Tasks[[#This Row],[Actual Cost]]="",Tasks[[#This Row],[_LeafTotalCost]]*Tasks[[#This Row],[_LeafProgress]],N(Tasks[[#This Row],[Actual Cost]])))</f>
        <v>0</v>
      </c>
      <c r="EL40" s="32" t="str">
        <f aca="false">IF(Tasks[[#This Row],[Task Name]]="","",LEFT(Tasks[[#This Row],[WBS]],FIND(".",Tasks[[#This Row],[WBS]]&amp;".")-1))</f>
        <v/>
      </c>
      <c r="EM40" s="32" t="str">
        <f aca="false">IF(AND(Tasks[[#This Row],[Task Name]]&lt;&gt;"",Tasks[[#This Row],[_Level]]=1),Tasks[[#This Row],[_Row]],"")</f>
        <v/>
      </c>
      <c r="EN40" s="32" t="str">
        <f aca="false">IF(AND(Tasks[[#This Row],[_IsLeaf]]=1,N(Tasks[[#This Row],[Duration]])=0),Tasks[[#This Row],[Planned Finish]]+Tasks[[#This Row],[_Row]]/100000,"")</f>
        <v/>
      </c>
      <c r="EO40" s="32" t="str">
        <f aca="false">IF(AND(Tasks[[#This Row],[_IsLeaf]]=1,Tasks[[#This Row],[_LeafProgress]]&lt;1,OR(N(Tasks[[#This Row],[Finish Var]])&gt;0,Tasks[[#This Row],[Status]]="Late Start")),MAX(0,Tasks[[#This Row],[Finish Var]])+1-Tasks[[#This Row],[_Row]]/1000000,"")</f>
        <v/>
      </c>
      <c r="EP40" s="32" t="str">
        <f aca="false">IF(AND(Tasks[[#This Row],[_IsLeaf]]=1,N(Tasks[[#This Row],[Actual Start]])=0,Tasks[[#This Row],[_ShownFcstStart]]&gt;=StatusDate,Tasks[[#This Row],[_ShownFcstStart]]&lt;=LookaheadEnd),Tasks[[#This Row],[_ShownFcstStart]]+Tasks[[#This Row],[_Row]]/100000,"")</f>
        <v/>
      </c>
      <c r="EQ40" s="32" t="str">
        <f aca="false">IF(AND(Tasks[[#This Row],[_IsLeaf]]=1,Tasks[[#This Row],[_LeafProgress]]&lt;1,Tasks[[#This Row],[_ShownFcstFinish]]&gt;=StatusDate,Tasks[[#This Row],[_ShownFcstFinish]]&lt;=LookaheadEnd),Tasks[[#This Row],[_ShownFcstFinish]]+Tasks[[#This Row],[_Row]]/100000,"")</f>
        <v/>
      </c>
      <c r="ER40" s="32" t="str">
        <f aca="false">IF(Tasks[[#This Row],[_LeafCritical]],Tasks[[#This Row],[_ShownFcstStart]]+Tasks[[#This Row],[_Row]]/100000,"")</f>
        <v/>
      </c>
      <c r="ES40" s="32" t="n">
        <f aca="false">Tasks[[#This Row],[_LeafWork]]*Tasks[[#This Row],[_LeafProgress]]</f>
        <v>0</v>
      </c>
      <c r="ET40" s="115" t="str">
        <f aca="false">IF(AND(Tasks[[#This Row],[_IsLeaf]]=1,Tasks[[#This Row],[_LeafProgress]]&gt;=1),IF(N(Tasks[[#This Row],[Actual Finish]])&gt;0,Tasks[[#This Row],[Actual Finish]],Tasks[[#This Row],[_ShownFcstFinish]]),"")</f>
        <v/>
      </c>
      <c r="EU40" s="32" t="n">
        <f aca="false">IF(Tasks[[#This Row],[_IsLeaf]]=1,N(Tasks[[#This Row],[Story Points]]),0)</f>
        <v>0</v>
      </c>
      <c r="EV40" s="32" t="str">
        <f aca="false">IF(AND(Tasks[[#This Row],[_IsLeaf]]=1,CurrentSprint&lt;&gt;"",Tasks[[#This Row],[Sprint]]=CurrentSprint),Tasks[[#This Row],[_Row]],"")</f>
        <v/>
      </c>
    </row>
    <row r="41" customFormat="false" ht="15" hidden="false" customHeight="false" outlineLevel="0" collapsed="false">
      <c r="A41" s="45" t="str">
        <f aca="false">IF(Tasks[[#This Row],[Task Name]]="","",COUNTA(Tasks[[#Headers],[Task Name]]:Tasks[[#This Row],[Task Name]])-1)</f>
        <v/>
      </c>
      <c r="B41" s="46" t="n">
        <v>36</v>
      </c>
      <c r="C4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1" s="46"/>
      <c r="E41" s="45" t="str">
        <f aca="false">IF(Tasks[[#This Row],[Task Name]]="","",IF(Tasks[[#This Row],[_Level]]&lt;=OutlineShowLevel,"Yes","No"))</f>
        <v/>
      </c>
      <c r="F41" s="47"/>
      <c r="G41" s="46"/>
      <c r="H41" s="46"/>
      <c r="I41" s="46"/>
      <c r="J41" s="46"/>
      <c r="K41" s="46"/>
      <c r="L41" s="46"/>
      <c r="M41" s="46"/>
      <c r="N41" s="46"/>
      <c r="O41" s="46"/>
      <c r="P41" s="46"/>
      <c r="Q41" s="46"/>
      <c r="R41" s="46"/>
      <c r="S41" s="46"/>
      <c r="T41" s="46"/>
      <c r="U41" s="47"/>
      <c r="V41" s="88"/>
      <c r="W41" s="88"/>
      <c r="X41" s="25" t="str">
        <f aca="false">IF(Tasks[[#This Row],[Task Name]]="","",IF(N(Tasks[[#This Row],[Baseline Start]])&gt;0,Tasks[[#This Row],[Baseline Start]],Tasks[[#This Row],[_CalcStart]]))</f>
        <v/>
      </c>
      <c r="Y41" s="25" t="str">
        <f aca="false">IF(Tasks[[#This Row],[Task Name]]="","",IF(N(Tasks[[#This Row],[Baseline Finish]])&gt;0,Tasks[[#This Row],[Baseline Finish]],Tasks[[#This Row],[_CalcFinish]]))</f>
        <v/>
      </c>
      <c r="Z41" s="88"/>
      <c r="AA41" s="88"/>
      <c r="AB41" s="25" t="str">
        <f aca="false">IF(Tasks[[#This Row],[Task Name]]="","",IF(Tasks[[#This Row],[_IsSummary]],MIN(INDEX(Tasks[_ShownFcstStart],Tasks[[#This Row],[_Row]]+1):INDEX(Tasks[_ShownFcstStart],Tasks[[#This Row],[_Row]]+Tasks[[#This Row],[_Descendants]])),Tasks[[#This Row],[_ShownFcstStart]]))</f>
        <v/>
      </c>
      <c r="AC41" s="25" t="str">
        <f aca="false">IF(Tasks[[#This Row],[Task Name]]="","",IF(Tasks[[#This Row],[_IsSummary]],MAX(INDEX(Tasks[_ShownFcstFinish],Tasks[[#This Row],[_Row]]+1):INDEX(Tasks[_ShownFcstFinish],Tasks[[#This Row],[_Row]]+Tasks[[#This Row],[_Descendants]])),Tasks[[#This Row],[_ShownFcstFinish]]))</f>
        <v/>
      </c>
      <c r="AD4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1" s="25" t="str">
        <f aca="false">IF(Tasks[[#This Row],[Task Name]]="","",IF(Tasks[[#This Row],[_IsSummary]],MIN(INDEX(Tasks[_LeafLateStart],Tasks[[#This Row],[_Row]]+1):INDEX(Tasks[_LeafLateStart],Tasks[[#This Row],[_Row]]+Tasks[[#This Row],[_Descendants]])),Tasks[[#This Row],[_LeafLateStart]]))</f>
        <v/>
      </c>
      <c r="AG41" s="25" t="str">
        <f aca="false">IF(Tasks[[#This Row],[Task Name]]="","",IF(Tasks[[#This Row],[_IsSummary]],MAX(INDEX(Tasks[_LeafLateFinish],Tasks[[#This Row],[_Row]]+1):INDEX(Tasks[_LeafLateFinish],Tasks[[#This Row],[_Row]]+Tasks[[#This Row],[_Descendants]])),Tasks[[#This Row],[_LeafLateFinish]]))</f>
        <v/>
      </c>
      <c r="AH41" s="56" t="str">
        <f aca="false">IF(Tasks[[#This Row],[Task Name]]="","",IF(Tasks[[#This Row],[_IsSummary]],MIN(INDEX(Tasks[_LeafTotalSlack],Tasks[[#This Row],[_Row]]+1):INDEX(Tasks[_LeafTotalSlack],Tasks[[#This Row],[_Row]]+Tasks[[#This Row],[_Descendants]])),Tasks[[#This Row],[_LeafTotalSlack]]))</f>
        <v/>
      </c>
      <c r="AI4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1" s="45" t="str">
        <f aca="false">IF(Tasks[[#This Row],[Task Name]]="","",IF(IF(Tasks[[#This Row],[_IsSummary]],COUNTIF(INDEX(Tasks[_LeafCritical],Tasks[[#This Row],[_Row]]+1):INDEX(Tasks[_LeafCritical],Tasks[[#This Row],[_Row]]+Tasks[[#This Row],[_Descendants]]),TRUE())&gt;0,Tasks[[#This Row],[_LeafCritical]]),"Yes",""))</f>
        <v/>
      </c>
      <c r="AK4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1" s="102"/>
      <c r="AN4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1" s="45" t="str">
        <f aca="false">IF(Tasks[[#This Row],[Task Name]]="","",IF(Tasks[[#This Row],[Progress]]&gt;=1,"Complete",IF(OR(N(Tasks[[#This Row],[Actual Start]])&gt;0,Tasks[[#This Row],[Progress]]&gt;0),IF(Tasks[[#This Row],[Finish Var]]&gt;0,"Behind","In Progress"),IF(Tasks[[#This Row],[Planned Start]]&lt;StatusDate,"Late Start","Not Started"))))</f>
        <v/>
      </c>
      <c r="AP41" s="47"/>
      <c r="AQ41" s="102"/>
      <c r="AR4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1" s="110" t="str">
        <f aca="false">IF(Tasks[[#This Row],[Task Name]]="","",IF(Tasks[[#This Row],[_IsSummary]],SUM(INDEX(Tasks[_LeafTotalWork],Tasks[[#This Row],[_Row]]+1):INDEX(Tasks[_LeafTotalWork],Tasks[[#This Row],[_Row]]+Tasks[[#This Row],[_Descendants]])),Tasks[[#This Row],[_LeafTotalWork]]))</f>
        <v/>
      </c>
      <c r="AU41" s="111" t="str">
        <f aca="false">IF(Tasks[[#This Row],[Task Name]]="","",IF(Tasks[[#This Row],[_IsSummary]],SUM(INDEX(Tasks[_LeafTotalCost],Tasks[[#This Row],[_Row]]+1):INDEX(Tasks[_LeafTotalCost],Tasks[[#This Row],[_Row]]+Tasks[[#This Row],[_Descendants]])),Tasks[[#This Row],[_LeafTotalCost]]))</f>
        <v/>
      </c>
      <c r="AV41" s="112"/>
      <c r="AW41" s="46"/>
      <c r="AX4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1" s="96"/>
      <c r="AZ4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1" s="47"/>
      <c r="BB41" s="25" t="str">
        <f aca="false">IF(Tasks[[#This Row],[Task Name]]="","",Tasks[[#This Row],[Forecast Start]])</f>
        <v/>
      </c>
      <c r="BC41" s="25" t="str">
        <f aca="false">IF(Tasks[[#This Row],[Task Name]]="","",Tasks[[#This Row],[Forecast Finish]])</f>
        <v/>
      </c>
      <c r="BD41" s="45" t="str">
        <f aca="false">IF(Tasks[[#This Row],[Task Name]]="","",IF(Tasks[[#This Row],[_IsSummary]],NETWORKDAYS.INTL(Tasks[[#This Row],[Forecast Start]],Tasks[[#This Row],[Forecast Finish]],WorkWeek,Holidays),N(Tasks[[#This Row],[Duration]])))</f>
        <v/>
      </c>
      <c r="BE41" s="110" t="str">
        <f aca="false">IF(Tasks[[#This Row],[Task Name]]="","",Tasks[[#This Row],[Work]])</f>
        <v/>
      </c>
      <c r="BF41" s="111" t="str">
        <f aca="false">IF(Tasks[[#This Row],[Task Name]]="","",Tasks[[#This Row],[Cost]])</f>
        <v/>
      </c>
      <c r="BG41" s="88"/>
      <c r="BH41" s="88"/>
      <c r="BI41" s="46"/>
      <c r="BJ41" s="113"/>
      <c r="BK41" s="112"/>
      <c r="BL41" s="45" t="str">
        <f aca="false">IF(OR(Tasks[[#This Row],[Task Name]]="",Tasks[[#This Row],[Baseline Duration]]=""),"",Tasks[[#This Row],[BL Source Duration]]-N(Tasks[[#This Row],[Baseline Duration]]))</f>
        <v/>
      </c>
      <c r="BM41" s="110" t="str">
        <f aca="false">IF(OR(Tasks[[#This Row],[Task Name]]="",Tasks[[#This Row],[Baseline Work]]=""),"",Tasks[[#This Row],[Work]]-N(Tasks[[#This Row],[Baseline Work]]))</f>
        <v/>
      </c>
      <c r="BN41" s="111" t="str">
        <f aca="false">IF(OR(Tasks[[#This Row],[Task Name]]="",Tasks[[#This Row],[Baseline Cost]]=""),"",Tasks[[#This Row],[Cost]]-N(Tasks[[#This Row],[Baseline Cost]]))</f>
        <v/>
      </c>
      <c r="BO41" s="111" t="str">
        <f aca="false">IF(Tasks[[#This Row],[Task Name]]="","",IF(Tasks[[#This Row],[_IsSummary]],SUM(INDEX(Tasks[_LeafBudget],Tasks[[#This Row],[_Row]]+1):INDEX(Tasks[_LeafBudget],Tasks[[#This Row],[_Row]]+Tasks[[#This Row],[_Descendants]])),Tasks[[#This Row],[_LeafBudget]]))</f>
        <v/>
      </c>
      <c r="BP41" s="111" t="str">
        <f aca="false">IF(Tasks[[#This Row],[Task Name]]="","",IF(Tasks[[#This Row],[_IsSummary]],SUM(INDEX(Tasks[_LeafPV],Tasks[[#This Row],[_Row]]+1):INDEX(Tasks[_LeafPV],Tasks[[#This Row],[_Row]]+Tasks[[#This Row],[_Descendants]])),Tasks[[#This Row],[_LeafPV]]))</f>
        <v/>
      </c>
      <c r="BQ41" s="111" t="str">
        <f aca="false">IF(Tasks[[#This Row],[Task Name]]="","",IF(Tasks[[#This Row],[_IsSummary]],SUM(INDEX(Tasks[_LeafEV],Tasks[[#This Row],[_Row]]+1):INDEX(Tasks[_LeafEV],Tasks[[#This Row],[_Row]]+Tasks[[#This Row],[_Descendants]])),Tasks[[#This Row],[_LeafEV]]))</f>
        <v/>
      </c>
      <c r="BR41" s="111" t="str">
        <f aca="false">IF(Tasks[[#This Row],[Task Name]]="","",IF(Tasks[[#This Row],[_IsSummary]],SUM(INDEX(Tasks[_LeafAC],Tasks[[#This Row],[_Row]]+1):INDEX(Tasks[_LeafAC],Tasks[[#This Row],[_Row]]+Tasks[[#This Row],[_Descendants]])),Tasks[[#This Row],[_LeafAC]]))</f>
        <v/>
      </c>
      <c r="BS41" s="32" t="str">
        <f aca="false">IF(Tasks[[#This Row],[Task Name]]="","",MAX(1,N(Tasks[[#This Row],[Level]])))</f>
        <v/>
      </c>
      <c r="BT41" s="32" t="n">
        <f aca="false">ROW()-ROW(Tasks[[#Headers],[ID]])</f>
        <v>36</v>
      </c>
      <c r="BU41" s="32" t="n">
        <f aca="false">IF(OR(Tasks[[#This Row],[Task Name]]="",Tasks[[#This Row],[_Level]]&lt;=1),0,IFERROR(LOOKUP(2,1/(Tasks[[#Headers],[_Level]]:Tasks[[#This Row],[_Level]]=Tasks[[#This Row],[_Level]]-1),ROW(Tasks[[#Headers],[_Level]]:Tasks[[#This Row],[_Level]])),0))</f>
        <v>0</v>
      </c>
      <c r="BV41" s="32" t="n">
        <f aca="false">IFERROR(N(INDEX(Tasks[_Level],Tasks[[#This Row],[_Row]]+1)),0)</f>
        <v>0</v>
      </c>
      <c r="BW41" s="114" t="b">
        <f aca="false">AND(Tasks[[#This Row],[Task Name]]&lt;&gt;"",Tasks[[#This Row],[_NextLevel]]&gt;Tasks[[#This Row],[_Level]])</f>
        <v>0</v>
      </c>
      <c r="BX41" s="32" t="n">
        <f aca="false">IF(Tasks[[#This Row],[_IsSummary]],COUNTIF(Tasks[WBS],Tasks[[#This Row],[WBS]]&amp;".*"),0)</f>
        <v>0</v>
      </c>
      <c r="BY41" s="32" t="n">
        <f aca="false">IF(AND(Tasks[[#This Row],[Task Name]]&lt;&gt;"",NOT(Tasks[[#This Row],[_IsSummary]])),1,0)</f>
        <v>0</v>
      </c>
      <c r="BZ41" s="32" t="n">
        <f aca="false">IF(N(Tasks[[#This Row],[Pred1 UID]])=0,0,IFERROR(MATCH(Tasks[[#This Row],[Pred1 UID]],Tasks[UID],0),-1))</f>
        <v>0</v>
      </c>
      <c r="CA41" s="32" t="n">
        <f aca="false">IF(N(Tasks[[#This Row],[Pred2 UID]])=0,0,IFERROR(MATCH(Tasks[[#This Row],[Pred2 UID]],Tasks[UID],0),-1))</f>
        <v>0</v>
      </c>
      <c r="CB41" s="32" t="n">
        <f aca="false">IF(N(Tasks[[#This Row],[Pred3 UID]])=0,0,IFERROR(MATCH(Tasks[[#This Row],[Pred3 UID]],Tasks[UID],0),-1))</f>
        <v>0</v>
      </c>
      <c r="CC41" s="32" t="n">
        <f aca="false">IF(N(Tasks[[#This Row],[Pred4 UID]])=0,0,IFERROR(MATCH(Tasks[[#This Row],[Pred4 UID]],Tasks[UID],0),-1))</f>
        <v>0</v>
      </c>
      <c r="CD4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1" s="115" t="n">
        <f aca="false">IF(OR(Tasks[[#This Row],[_ConstraintCode]]=2,Tasks[[#This Row],[_ConstraintCode]]=3,Tasks[[#This Row],[_ConstraintCode]]=4,Tasks[[#This Row],[_ConstraintCode]]=6),Tasks[[#This Row],[_ConstraintStart]],0)</f>
        <v>0</v>
      </c>
      <c r="CG41" s="115" t="n">
        <f aca="false">IF(OR(Tasks[[#This Row],[_ConstraintCode]]=2,Tasks[[#This Row],[_ConstraintCode]]=3,Tasks[[#This Row],[_ConstraintCode]]=5,Tasks[[#This Row],[_ConstraintCode]]=7),Tasks[[#This Row],[_ConstraintStart]],2958465)</f>
        <v>2958465</v>
      </c>
      <c r="CH4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1" s="115" t="str">
        <f aca="false">IF(NOT(Tasks[[#This Row],[_IsLeaf]]=1),"",IF(N(Tasks[[#This Row],[Duration]])&lt;=0,Tasks[[#This Row],[_LeafCalcStart]],WORKDAY.INTL(Tasks[[#This Row],[_LeafCalcStart]],Tasks[[#This Row],[Duration]]-1,WorkWeek,Holidays)))</f>
        <v/>
      </c>
      <c r="CJ4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1" s="32" t="n">
        <f aca="false">IF(NOT(Tasks[[#This Row],[_IsLeaf]]=1),0,IF(N(Tasks[[#This Row],[Actual Finish]])&gt;0,1,MIN(1,N(Tasks[[#This Row],[% Complete]]))))</f>
        <v>0</v>
      </c>
      <c r="CM41" s="32" t="n">
        <f aca="false">IF(OR(NOT(Tasks[[#This Row],[_IsLeaf]]=1),Tasks[[#This Row],[Resource]]=""),0,N(Tasks[[#This Row],[Duration]])*HoursPerDay*IF(Tasks[[#This Row],[Units]]="",DefaultUnits,Tasks[[#This Row],[Units]]))</f>
        <v>0</v>
      </c>
      <c r="CN41" s="32" t="n">
        <f aca="false">IF(Tasks[[#This Row],[_LeafWork]]=0,0,Tasks[[#This Row],[_LeafWork]]*IFERROR(INDEX(res_Rate,MATCH(Tasks[[#This Row],[Resource]],res_Name,0)),0))</f>
        <v>0</v>
      </c>
      <c r="CO41" s="32" t="n">
        <f aca="false">Tasks[[#This Row],[_LeafWork]]+IF(Tasks[[#This Row],[_IsLeaf]]=1,SUMIFS(asg_Work,asg_TaskUID,Tasks[[#This Row],[UID]],asg_Valid,1),0)</f>
        <v>0</v>
      </c>
      <c r="CP41" s="32" t="n">
        <f aca="false">Tasks[[#This Row],[_LeafCost]]+IF(Tasks[[#This Row],[_IsLeaf]]=1,SUMIFS(asg_Cost,asg_TaskUID,Tasks[[#This Row],[UID]],asg_Valid,1),0)</f>
        <v>0</v>
      </c>
      <c r="CQ41" s="32" t="n">
        <f aca="false">IF(Tasks[[#This Row],[_LeafTotalCost]]=0,Tasks[[#This Row],[_LeafAC]],Tasks[[#This Row],[_LeafAC]]*Tasks[[#This Row],[_LeafCost]]/Tasks[[#This Row],[_LeafTotalCost]])</f>
        <v>0</v>
      </c>
      <c r="CR4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1" s="32" t="n">
        <f aca="false">IF(NOT(Tasks[[#This Row],[_IsLeaf]]=1),0,MAX(_xlfn.MAXIFS(Tasks[_Row],Tasks[Pred1 UID],Tasks[[#This Row],[UID]]),_xlfn.MAXIFS(Tasks[_Row],Tasks[Pred2 UID],Tasks[[#This Row],[UID]]),_xlfn.MAXIFS(Tasks[_Row],Tasks[Pred3 UID],Tasks[[#This Row],[UID]]),_xlfn.MAXIFS(Tasks[_Row],Tasks[Pred4 UID],Tasks[[#This Row],[UID]])))</f>
        <v>0</v>
      </c>
      <c r="DA4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1" s="115" t="str">
        <f aca="false">IF(NOT(Tasks[[#This Row],[_IsLeaf]]=1),"",IF(N(Tasks[[#This Row],[Duration]])&lt;=0,Tasks[[#This Row],[_LeafLateFinish]],WORKDAY.INTL(Tasks[[#This Row],[_LeafLateFinish]],-(Tasks[[#This Row],[Duration]]-1),WorkWeek,Holidays)))</f>
        <v/>
      </c>
      <c r="DD4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1" s="114" t="b">
        <f aca="false">AND(Tasks[[#This Row],[_IsLeaf]]=1,Tasks[[#This Row],[_LeafProgress]]&lt;1,N(Tasks[[#This Row],[_LeafTotalSlack]])&lt;=CriticalSlackDays)</f>
        <v>0</v>
      </c>
      <c r="DF41" s="32" t="n">
        <f aca="false">IF(AND(Tasks[[#This Row],[_IsLeaf]]=1,Tasks[[#This Row],[_ConstraintCode]]=1,Tasks[[#This Row],[Mode]]&lt;&gt;"Manual",N(Tasks[[#This Row],[Actual Start]])=0),MAX(0,N(Tasks[[#This Row],[Free Slack]])),0)</f>
        <v>0</v>
      </c>
      <c r="DG41" s="115" t="str">
        <f aca="false">IF(NOT(Tasks[[#This Row],[_IsLeaf]]=1),"",IF(Tasks[[#This Row],[_AlapShift]]=0,Tasks[[#This Row],[_LeafCalcStart]],WORKDAY.INTL(Tasks[[#This Row],[_LeafCalcStart]],Tasks[[#This Row],[_AlapShift]],WorkWeek,Holidays)))</f>
        <v/>
      </c>
      <c r="DH41" s="115" t="str">
        <f aca="false">IF(NOT(Tasks[[#This Row],[_IsLeaf]]=1),"",IF(Tasks[[#This Row],[_AlapShift]]=0,Tasks[[#This Row],[_LeafCalcFinish]],WORKDAY.INTL(Tasks[[#This Row],[_LeafCalcFinish]],Tasks[[#This Row],[_AlapShift]],WorkWeek,Holidays)))</f>
        <v/>
      </c>
      <c r="DI41" s="115" t="str">
        <f aca="false">IF(NOT(Tasks[[#This Row],[_IsLeaf]]=1),"",IF(Tasks[[#This Row],[_AlapShift]]=0,Tasks[[#This Row],[_LeafFcstStart]],WORKDAY.INTL(Tasks[[#This Row],[_LeafFcstStart]],Tasks[[#This Row],[_AlapShift]],WorkWeek,Holidays)))</f>
        <v/>
      </c>
      <c r="DJ41" s="115" t="str">
        <f aca="false">IF(NOT(Tasks[[#This Row],[_IsLeaf]]=1),"",IF(Tasks[[#This Row],[_AlapShift]]=0,Tasks[[#This Row],[_LeafFcstFinish]],WORKDAY.INTL(Tasks[[#This Row],[_LeafFcstFinish]],Tasks[[#This Row],[_AlapShift]],WorkWeek,Holidays)))</f>
        <v/>
      </c>
      <c r="DK41" s="115" t="str">
        <f aca="false">IF(Tasks[[#This Row],[Task Name]]="","",IF(Tasks[[#This Row],[_IsSummary]],MIN(INDEX(Tasks[_ShownCalcStart],Tasks[[#This Row],[_Row]]+1):INDEX(Tasks[_ShownCalcStart],Tasks[[#This Row],[_Row]]+Tasks[[#This Row],[_Descendants]])),Tasks[[#This Row],[_ShownCalcStart]]))</f>
        <v/>
      </c>
      <c r="DL41" s="115" t="str">
        <f aca="false">IF(Tasks[[#This Row],[Task Name]]="","",IF(Tasks[[#This Row],[_IsSummary]],MAX(INDEX(Tasks[_ShownCalcFinish],Tasks[[#This Row],[_Row]]+1):INDEX(Tasks[_ShownCalcFinish],Tasks[[#This Row],[_Row]]+Tasks[[#This Row],[_Descendants]])),Tasks[[#This Row],[_ShownCalcFinish]]))</f>
        <v/>
      </c>
      <c r="DM4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1" s="32" t="n">
        <f aca="false">IF(AND(Tasks[[#This Row],[_IsLeaf]]=1,Tasks[[#This Row],[_LeafTotalWork]]&gt;0),NETWORKDAYS.INTL(ProjectStart,Tasks[[#This Row],[_ShownFcstStart]],WorkWeek,Holidays),0)</f>
        <v>0</v>
      </c>
      <c r="DZ41" s="32" t="n">
        <f aca="false">IF(AND(Tasks[[#This Row],[_IsLeaf]]=1,Tasks[[#This Row],[_LeafTotalWork]]&gt;0),MAX(Tasks[[#This Row],[_StartWorkday]],NETWORKDAYS.INTL(ProjectStart,Tasks[[#This Row],[_ShownFcstFinish]],WorkWeek,Holidays)),0)</f>
        <v>0</v>
      </c>
      <c r="EA41" s="32" t="n">
        <f aca="false">IF(AND(Tasks[[#This Row],[_IsLeaf]]=1,Tasks[[#This Row],[_LeafTotalWork]]&gt;0),Tasks[[#This Row],[_LeafWork]]/(Tasks[[#This Row],[_FinishWorkday]]-Tasks[[#This Row],[_StartWorkday]]+1),0)</f>
        <v>0</v>
      </c>
      <c r="EB41" s="32" t="n">
        <f aca="false">Tasks[[#This Row],[_WorkPerWorkday]]*(Tasks[[#This Row],[_StartWorkday]]-1)</f>
        <v>-0</v>
      </c>
      <c r="EC41" s="32" t="n">
        <f aca="false">IF(Tasks[[#This Row],[_IsLeaf]]=1,MAX(N(Tasks[[#This Row],[Duration]]),0.1),0)</f>
        <v>0</v>
      </c>
      <c r="ED41" s="32" t="n">
        <f aca="false">Tasks[[#This Row],[_WeightDur]]*Tasks[[#This Row],[_LeafProgress]]</f>
        <v>0</v>
      </c>
      <c r="EE4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1" s="32" t="str">
        <f aca="false">IF(AND(Tasks[[#This Row],[_IsLeaf]]=1,N(Tasks[[#This Row],[Duration]])=0,Tasks[[#This Row],[_LeafProgress]]&lt;1),Tasks[[#This Row],[_ShownFcstFinish]]+Tasks[[#This Row],[_Row]]/100000,"")</f>
        <v/>
      </c>
      <c r="EG4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1" s="32" t="n">
        <f aca="false">IF(NOT(Tasks[[#This Row],[_IsLeaf]]=1),0,IF(Tasks[[#This Row],[Baseline Cost]]="",Tasks[[#This Row],[_LeafTotalCost]],N(Tasks[[#This Row],[Baseline Cost]])))</f>
        <v>0</v>
      </c>
      <c r="EI41" s="32" t="n">
        <f aca="false">Tasks[[#This Row],[_LeafBudget]]*Tasks[[#This Row],[_PlannedPct]]</f>
        <v>0</v>
      </c>
      <c r="EJ41" s="32" t="n">
        <f aca="false">Tasks[[#This Row],[_LeafBudget]]*Tasks[[#This Row],[_LeafProgress]]</f>
        <v>0</v>
      </c>
      <c r="EK41" s="32" t="n">
        <f aca="false">IF(NOT(Tasks[[#This Row],[_IsLeaf]]=1),0,IF(Tasks[[#This Row],[Actual Cost]]="",Tasks[[#This Row],[_LeafTotalCost]]*Tasks[[#This Row],[_LeafProgress]],N(Tasks[[#This Row],[Actual Cost]])))</f>
        <v>0</v>
      </c>
      <c r="EL41" s="32" t="str">
        <f aca="false">IF(Tasks[[#This Row],[Task Name]]="","",LEFT(Tasks[[#This Row],[WBS]],FIND(".",Tasks[[#This Row],[WBS]]&amp;".")-1))</f>
        <v/>
      </c>
      <c r="EM41" s="32" t="str">
        <f aca="false">IF(AND(Tasks[[#This Row],[Task Name]]&lt;&gt;"",Tasks[[#This Row],[_Level]]=1),Tasks[[#This Row],[_Row]],"")</f>
        <v/>
      </c>
      <c r="EN41" s="32" t="str">
        <f aca="false">IF(AND(Tasks[[#This Row],[_IsLeaf]]=1,N(Tasks[[#This Row],[Duration]])=0),Tasks[[#This Row],[Planned Finish]]+Tasks[[#This Row],[_Row]]/100000,"")</f>
        <v/>
      </c>
      <c r="EO41" s="32" t="str">
        <f aca="false">IF(AND(Tasks[[#This Row],[_IsLeaf]]=1,Tasks[[#This Row],[_LeafProgress]]&lt;1,OR(N(Tasks[[#This Row],[Finish Var]])&gt;0,Tasks[[#This Row],[Status]]="Late Start")),MAX(0,Tasks[[#This Row],[Finish Var]])+1-Tasks[[#This Row],[_Row]]/1000000,"")</f>
        <v/>
      </c>
      <c r="EP41" s="32" t="str">
        <f aca="false">IF(AND(Tasks[[#This Row],[_IsLeaf]]=1,N(Tasks[[#This Row],[Actual Start]])=0,Tasks[[#This Row],[_ShownFcstStart]]&gt;=StatusDate,Tasks[[#This Row],[_ShownFcstStart]]&lt;=LookaheadEnd),Tasks[[#This Row],[_ShownFcstStart]]+Tasks[[#This Row],[_Row]]/100000,"")</f>
        <v/>
      </c>
      <c r="EQ41" s="32" t="str">
        <f aca="false">IF(AND(Tasks[[#This Row],[_IsLeaf]]=1,Tasks[[#This Row],[_LeafProgress]]&lt;1,Tasks[[#This Row],[_ShownFcstFinish]]&gt;=StatusDate,Tasks[[#This Row],[_ShownFcstFinish]]&lt;=LookaheadEnd),Tasks[[#This Row],[_ShownFcstFinish]]+Tasks[[#This Row],[_Row]]/100000,"")</f>
        <v/>
      </c>
      <c r="ER41" s="32" t="str">
        <f aca="false">IF(Tasks[[#This Row],[_LeafCritical]],Tasks[[#This Row],[_ShownFcstStart]]+Tasks[[#This Row],[_Row]]/100000,"")</f>
        <v/>
      </c>
      <c r="ES41" s="32" t="n">
        <f aca="false">Tasks[[#This Row],[_LeafWork]]*Tasks[[#This Row],[_LeafProgress]]</f>
        <v>0</v>
      </c>
      <c r="ET41" s="115" t="str">
        <f aca="false">IF(AND(Tasks[[#This Row],[_IsLeaf]]=1,Tasks[[#This Row],[_LeafProgress]]&gt;=1),IF(N(Tasks[[#This Row],[Actual Finish]])&gt;0,Tasks[[#This Row],[Actual Finish]],Tasks[[#This Row],[_ShownFcstFinish]]),"")</f>
        <v/>
      </c>
      <c r="EU41" s="32" t="n">
        <f aca="false">IF(Tasks[[#This Row],[_IsLeaf]]=1,N(Tasks[[#This Row],[Story Points]]),0)</f>
        <v>0</v>
      </c>
      <c r="EV41" s="32" t="str">
        <f aca="false">IF(AND(Tasks[[#This Row],[_IsLeaf]]=1,CurrentSprint&lt;&gt;"",Tasks[[#This Row],[Sprint]]=CurrentSprint),Tasks[[#This Row],[_Row]],"")</f>
        <v/>
      </c>
    </row>
    <row r="42" customFormat="false" ht="15" hidden="false" customHeight="false" outlineLevel="0" collapsed="false">
      <c r="A42" s="45" t="str">
        <f aca="false">IF(Tasks[[#This Row],[Task Name]]="","",COUNTA(Tasks[[#Headers],[Task Name]]:Tasks[[#This Row],[Task Name]])-1)</f>
        <v/>
      </c>
      <c r="B42" s="46" t="n">
        <v>37</v>
      </c>
      <c r="C4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2" s="46"/>
      <c r="E42" s="45" t="str">
        <f aca="false">IF(Tasks[[#This Row],[Task Name]]="","",IF(Tasks[[#This Row],[_Level]]&lt;=OutlineShowLevel,"Yes","No"))</f>
        <v/>
      </c>
      <c r="F42" s="47"/>
      <c r="G42" s="46"/>
      <c r="H42" s="46"/>
      <c r="I42" s="46"/>
      <c r="J42" s="46"/>
      <c r="K42" s="46"/>
      <c r="L42" s="46"/>
      <c r="M42" s="46"/>
      <c r="N42" s="46"/>
      <c r="O42" s="46"/>
      <c r="P42" s="46"/>
      <c r="Q42" s="46"/>
      <c r="R42" s="46"/>
      <c r="S42" s="46"/>
      <c r="T42" s="46"/>
      <c r="U42" s="47"/>
      <c r="V42" s="88"/>
      <c r="W42" s="88"/>
      <c r="X42" s="25" t="str">
        <f aca="false">IF(Tasks[[#This Row],[Task Name]]="","",IF(N(Tasks[[#This Row],[Baseline Start]])&gt;0,Tasks[[#This Row],[Baseline Start]],Tasks[[#This Row],[_CalcStart]]))</f>
        <v/>
      </c>
      <c r="Y42" s="25" t="str">
        <f aca="false">IF(Tasks[[#This Row],[Task Name]]="","",IF(N(Tasks[[#This Row],[Baseline Finish]])&gt;0,Tasks[[#This Row],[Baseline Finish]],Tasks[[#This Row],[_CalcFinish]]))</f>
        <v/>
      </c>
      <c r="Z42" s="88"/>
      <c r="AA42" s="88"/>
      <c r="AB42" s="25" t="str">
        <f aca="false">IF(Tasks[[#This Row],[Task Name]]="","",IF(Tasks[[#This Row],[_IsSummary]],MIN(INDEX(Tasks[_ShownFcstStart],Tasks[[#This Row],[_Row]]+1):INDEX(Tasks[_ShownFcstStart],Tasks[[#This Row],[_Row]]+Tasks[[#This Row],[_Descendants]])),Tasks[[#This Row],[_ShownFcstStart]]))</f>
        <v/>
      </c>
      <c r="AC42" s="25" t="str">
        <f aca="false">IF(Tasks[[#This Row],[Task Name]]="","",IF(Tasks[[#This Row],[_IsSummary]],MAX(INDEX(Tasks[_ShownFcstFinish],Tasks[[#This Row],[_Row]]+1):INDEX(Tasks[_ShownFcstFinish],Tasks[[#This Row],[_Row]]+Tasks[[#This Row],[_Descendants]])),Tasks[[#This Row],[_ShownFcstFinish]]))</f>
        <v/>
      </c>
      <c r="AD4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2" s="25" t="str">
        <f aca="false">IF(Tasks[[#This Row],[Task Name]]="","",IF(Tasks[[#This Row],[_IsSummary]],MIN(INDEX(Tasks[_LeafLateStart],Tasks[[#This Row],[_Row]]+1):INDEX(Tasks[_LeafLateStart],Tasks[[#This Row],[_Row]]+Tasks[[#This Row],[_Descendants]])),Tasks[[#This Row],[_LeafLateStart]]))</f>
        <v/>
      </c>
      <c r="AG42" s="25" t="str">
        <f aca="false">IF(Tasks[[#This Row],[Task Name]]="","",IF(Tasks[[#This Row],[_IsSummary]],MAX(INDEX(Tasks[_LeafLateFinish],Tasks[[#This Row],[_Row]]+1):INDEX(Tasks[_LeafLateFinish],Tasks[[#This Row],[_Row]]+Tasks[[#This Row],[_Descendants]])),Tasks[[#This Row],[_LeafLateFinish]]))</f>
        <v/>
      </c>
      <c r="AH42" s="56" t="str">
        <f aca="false">IF(Tasks[[#This Row],[Task Name]]="","",IF(Tasks[[#This Row],[_IsSummary]],MIN(INDEX(Tasks[_LeafTotalSlack],Tasks[[#This Row],[_Row]]+1):INDEX(Tasks[_LeafTotalSlack],Tasks[[#This Row],[_Row]]+Tasks[[#This Row],[_Descendants]])),Tasks[[#This Row],[_LeafTotalSlack]]))</f>
        <v/>
      </c>
      <c r="AI4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2" s="45" t="str">
        <f aca="false">IF(Tasks[[#This Row],[Task Name]]="","",IF(IF(Tasks[[#This Row],[_IsSummary]],COUNTIF(INDEX(Tasks[_LeafCritical],Tasks[[#This Row],[_Row]]+1):INDEX(Tasks[_LeafCritical],Tasks[[#This Row],[_Row]]+Tasks[[#This Row],[_Descendants]]),TRUE())&gt;0,Tasks[[#This Row],[_LeafCritical]]),"Yes",""))</f>
        <v/>
      </c>
      <c r="AK4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2" s="102"/>
      <c r="AN4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2" s="45" t="str">
        <f aca="false">IF(Tasks[[#This Row],[Task Name]]="","",IF(Tasks[[#This Row],[Progress]]&gt;=1,"Complete",IF(OR(N(Tasks[[#This Row],[Actual Start]])&gt;0,Tasks[[#This Row],[Progress]]&gt;0),IF(Tasks[[#This Row],[Finish Var]]&gt;0,"Behind","In Progress"),IF(Tasks[[#This Row],[Planned Start]]&lt;StatusDate,"Late Start","Not Started"))))</f>
        <v/>
      </c>
      <c r="AP42" s="47"/>
      <c r="AQ42" s="102"/>
      <c r="AR4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2" s="110" t="str">
        <f aca="false">IF(Tasks[[#This Row],[Task Name]]="","",IF(Tasks[[#This Row],[_IsSummary]],SUM(INDEX(Tasks[_LeafTotalWork],Tasks[[#This Row],[_Row]]+1):INDEX(Tasks[_LeafTotalWork],Tasks[[#This Row],[_Row]]+Tasks[[#This Row],[_Descendants]])),Tasks[[#This Row],[_LeafTotalWork]]))</f>
        <v/>
      </c>
      <c r="AU42" s="111" t="str">
        <f aca="false">IF(Tasks[[#This Row],[Task Name]]="","",IF(Tasks[[#This Row],[_IsSummary]],SUM(INDEX(Tasks[_LeafTotalCost],Tasks[[#This Row],[_Row]]+1):INDEX(Tasks[_LeafTotalCost],Tasks[[#This Row],[_Row]]+Tasks[[#This Row],[_Descendants]])),Tasks[[#This Row],[_LeafTotalCost]]))</f>
        <v/>
      </c>
      <c r="AV42" s="112"/>
      <c r="AW42" s="46"/>
      <c r="AX4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2" s="96"/>
      <c r="AZ4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2" s="47"/>
      <c r="BB42" s="25" t="str">
        <f aca="false">IF(Tasks[[#This Row],[Task Name]]="","",Tasks[[#This Row],[Forecast Start]])</f>
        <v/>
      </c>
      <c r="BC42" s="25" t="str">
        <f aca="false">IF(Tasks[[#This Row],[Task Name]]="","",Tasks[[#This Row],[Forecast Finish]])</f>
        <v/>
      </c>
      <c r="BD42" s="45" t="str">
        <f aca="false">IF(Tasks[[#This Row],[Task Name]]="","",IF(Tasks[[#This Row],[_IsSummary]],NETWORKDAYS.INTL(Tasks[[#This Row],[Forecast Start]],Tasks[[#This Row],[Forecast Finish]],WorkWeek,Holidays),N(Tasks[[#This Row],[Duration]])))</f>
        <v/>
      </c>
      <c r="BE42" s="110" t="str">
        <f aca="false">IF(Tasks[[#This Row],[Task Name]]="","",Tasks[[#This Row],[Work]])</f>
        <v/>
      </c>
      <c r="BF42" s="111" t="str">
        <f aca="false">IF(Tasks[[#This Row],[Task Name]]="","",Tasks[[#This Row],[Cost]])</f>
        <v/>
      </c>
      <c r="BG42" s="88"/>
      <c r="BH42" s="88"/>
      <c r="BI42" s="46"/>
      <c r="BJ42" s="113"/>
      <c r="BK42" s="112"/>
      <c r="BL42" s="45" t="str">
        <f aca="false">IF(OR(Tasks[[#This Row],[Task Name]]="",Tasks[[#This Row],[Baseline Duration]]=""),"",Tasks[[#This Row],[BL Source Duration]]-N(Tasks[[#This Row],[Baseline Duration]]))</f>
        <v/>
      </c>
      <c r="BM42" s="110" t="str">
        <f aca="false">IF(OR(Tasks[[#This Row],[Task Name]]="",Tasks[[#This Row],[Baseline Work]]=""),"",Tasks[[#This Row],[Work]]-N(Tasks[[#This Row],[Baseline Work]]))</f>
        <v/>
      </c>
      <c r="BN42" s="111" t="str">
        <f aca="false">IF(OR(Tasks[[#This Row],[Task Name]]="",Tasks[[#This Row],[Baseline Cost]]=""),"",Tasks[[#This Row],[Cost]]-N(Tasks[[#This Row],[Baseline Cost]]))</f>
        <v/>
      </c>
      <c r="BO42" s="111" t="str">
        <f aca="false">IF(Tasks[[#This Row],[Task Name]]="","",IF(Tasks[[#This Row],[_IsSummary]],SUM(INDEX(Tasks[_LeafBudget],Tasks[[#This Row],[_Row]]+1):INDEX(Tasks[_LeafBudget],Tasks[[#This Row],[_Row]]+Tasks[[#This Row],[_Descendants]])),Tasks[[#This Row],[_LeafBudget]]))</f>
        <v/>
      </c>
      <c r="BP42" s="111" t="str">
        <f aca="false">IF(Tasks[[#This Row],[Task Name]]="","",IF(Tasks[[#This Row],[_IsSummary]],SUM(INDEX(Tasks[_LeafPV],Tasks[[#This Row],[_Row]]+1):INDEX(Tasks[_LeafPV],Tasks[[#This Row],[_Row]]+Tasks[[#This Row],[_Descendants]])),Tasks[[#This Row],[_LeafPV]]))</f>
        <v/>
      </c>
      <c r="BQ42" s="111" t="str">
        <f aca="false">IF(Tasks[[#This Row],[Task Name]]="","",IF(Tasks[[#This Row],[_IsSummary]],SUM(INDEX(Tasks[_LeafEV],Tasks[[#This Row],[_Row]]+1):INDEX(Tasks[_LeafEV],Tasks[[#This Row],[_Row]]+Tasks[[#This Row],[_Descendants]])),Tasks[[#This Row],[_LeafEV]]))</f>
        <v/>
      </c>
      <c r="BR42" s="111" t="str">
        <f aca="false">IF(Tasks[[#This Row],[Task Name]]="","",IF(Tasks[[#This Row],[_IsSummary]],SUM(INDEX(Tasks[_LeafAC],Tasks[[#This Row],[_Row]]+1):INDEX(Tasks[_LeafAC],Tasks[[#This Row],[_Row]]+Tasks[[#This Row],[_Descendants]])),Tasks[[#This Row],[_LeafAC]]))</f>
        <v/>
      </c>
      <c r="BS42" s="32" t="str">
        <f aca="false">IF(Tasks[[#This Row],[Task Name]]="","",MAX(1,N(Tasks[[#This Row],[Level]])))</f>
        <v/>
      </c>
      <c r="BT42" s="32" t="n">
        <f aca="false">ROW()-ROW(Tasks[[#Headers],[ID]])</f>
        <v>37</v>
      </c>
      <c r="BU42" s="32" t="n">
        <f aca="false">IF(OR(Tasks[[#This Row],[Task Name]]="",Tasks[[#This Row],[_Level]]&lt;=1),0,IFERROR(LOOKUP(2,1/(Tasks[[#Headers],[_Level]]:Tasks[[#This Row],[_Level]]=Tasks[[#This Row],[_Level]]-1),ROW(Tasks[[#Headers],[_Level]]:Tasks[[#This Row],[_Level]])),0))</f>
        <v>0</v>
      </c>
      <c r="BV42" s="32" t="n">
        <f aca="false">IFERROR(N(INDEX(Tasks[_Level],Tasks[[#This Row],[_Row]]+1)),0)</f>
        <v>0</v>
      </c>
      <c r="BW42" s="114" t="b">
        <f aca="false">AND(Tasks[[#This Row],[Task Name]]&lt;&gt;"",Tasks[[#This Row],[_NextLevel]]&gt;Tasks[[#This Row],[_Level]])</f>
        <v>0</v>
      </c>
      <c r="BX42" s="32" t="n">
        <f aca="false">IF(Tasks[[#This Row],[_IsSummary]],COUNTIF(Tasks[WBS],Tasks[[#This Row],[WBS]]&amp;".*"),0)</f>
        <v>0</v>
      </c>
      <c r="BY42" s="32" t="n">
        <f aca="false">IF(AND(Tasks[[#This Row],[Task Name]]&lt;&gt;"",NOT(Tasks[[#This Row],[_IsSummary]])),1,0)</f>
        <v>0</v>
      </c>
      <c r="BZ42" s="32" t="n">
        <f aca="false">IF(N(Tasks[[#This Row],[Pred1 UID]])=0,0,IFERROR(MATCH(Tasks[[#This Row],[Pred1 UID]],Tasks[UID],0),-1))</f>
        <v>0</v>
      </c>
      <c r="CA42" s="32" t="n">
        <f aca="false">IF(N(Tasks[[#This Row],[Pred2 UID]])=0,0,IFERROR(MATCH(Tasks[[#This Row],[Pred2 UID]],Tasks[UID],0),-1))</f>
        <v>0</v>
      </c>
      <c r="CB42" s="32" t="n">
        <f aca="false">IF(N(Tasks[[#This Row],[Pred3 UID]])=0,0,IFERROR(MATCH(Tasks[[#This Row],[Pred3 UID]],Tasks[UID],0),-1))</f>
        <v>0</v>
      </c>
      <c r="CC42" s="32" t="n">
        <f aca="false">IF(N(Tasks[[#This Row],[Pred4 UID]])=0,0,IFERROR(MATCH(Tasks[[#This Row],[Pred4 UID]],Tasks[UID],0),-1))</f>
        <v>0</v>
      </c>
      <c r="CD4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2" s="115" t="n">
        <f aca="false">IF(OR(Tasks[[#This Row],[_ConstraintCode]]=2,Tasks[[#This Row],[_ConstraintCode]]=3,Tasks[[#This Row],[_ConstraintCode]]=4,Tasks[[#This Row],[_ConstraintCode]]=6),Tasks[[#This Row],[_ConstraintStart]],0)</f>
        <v>0</v>
      </c>
      <c r="CG42" s="115" t="n">
        <f aca="false">IF(OR(Tasks[[#This Row],[_ConstraintCode]]=2,Tasks[[#This Row],[_ConstraintCode]]=3,Tasks[[#This Row],[_ConstraintCode]]=5,Tasks[[#This Row],[_ConstraintCode]]=7),Tasks[[#This Row],[_ConstraintStart]],2958465)</f>
        <v>2958465</v>
      </c>
      <c r="CH4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2" s="115" t="str">
        <f aca="false">IF(NOT(Tasks[[#This Row],[_IsLeaf]]=1),"",IF(N(Tasks[[#This Row],[Duration]])&lt;=0,Tasks[[#This Row],[_LeafCalcStart]],WORKDAY.INTL(Tasks[[#This Row],[_LeafCalcStart]],Tasks[[#This Row],[Duration]]-1,WorkWeek,Holidays)))</f>
        <v/>
      </c>
      <c r="CJ4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2" s="32" t="n">
        <f aca="false">IF(NOT(Tasks[[#This Row],[_IsLeaf]]=1),0,IF(N(Tasks[[#This Row],[Actual Finish]])&gt;0,1,MIN(1,N(Tasks[[#This Row],[% Complete]]))))</f>
        <v>0</v>
      </c>
      <c r="CM42" s="32" t="n">
        <f aca="false">IF(OR(NOT(Tasks[[#This Row],[_IsLeaf]]=1),Tasks[[#This Row],[Resource]]=""),0,N(Tasks[[#This Row],[Duration]])*HoursPerDay*IF(Tasks[[#This Row],[Units]]="",DefaultUnits,Tasks[[#This Row],[Units]]))</f>
        <v>0</v>
      </c>
      <c r="CN42" s="32" t="n">
        <f aca="false">IF(Tasks[[#This Row],[_LeafWork]]=0,0,Tasks[[#This Row],[_LeafWork]]*IFERROR(INDEX(res_Rate,MATCH(Tasks[[#This Row],[Resource]],res_Name,0)),0))</f>
        <v>0</v>
      </c>
      <c r="CO42" s="32" t="n">
        <f aca="false">Tasks[[#This Row],[_LeafWork]]+IF(Tasks[[#This Row],[_IsLeaf]]=1,SUMIFS(asg_Work,asg_TaskUID,Tasks[[#This Row],[UID]],asg_Valid,1),0)</f>
        <v>0</v>
      </c>
      <c r="CP42" s="32" t="n">
        <f aca="false">Tasks[[#This Row],[_LeafCost]]+IF(Tasks[[#This Row],[_IsLeaf]]=1,SUMIFS(asg_Cost,asg_TaskUID,Tasks[[#This Row],[UID]],asg_Valid,1),0)</f>
        <v>0</v>
      </c>
      <c r="CQ42" s="32" t="n">
        <f aca="false">IF(Tasks[[#This Row],[_LeafTotalCost]]=0,Tasks[[#This Row],[_LeafAC]],Tasks[[#This Row],[_LeafAC]]*Tasks[[#This Row],[_LeafCost]]/Tasks[[#This Row],[_LeafTotalCost]])</f>
        <v>0</v>
      </c>
      <c r="CR4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2" s="32" t="n">
        <f aca="false">IF(NOT(Tasks[[#This Row],[_IsLeaf]]=1),0,MAX(_xlfn.MAXIFS(Tasks[_Row],Tasks[Pred1 UID],Tasks[[#This Row],[UID]]),_xlfn.MAXIFS(Tasks[_Row],Tasks[Pred2 UID],Tasks[[#This Row],[UID]]),_xlfn.MAXIFS(Tasks[_Row],Tasks[Pred3 UID],Tasks[[#This Row],[UID]]),_xlfn.MAXIFS(Tasks[_Row],Tasks[Pred4 UID],Tasks[[#This Row],[UID]])))</f>
        <v>0</v>
      </c>
      <c r="DA4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2" s="115" t="str">
        <f aca="false">IF(NOT(Tasks[[#This Row],[_IsLeaf]]=1),"",IF(N(Tasks[[#This Row],[Duration]])&lt;=0,Tasks[[#This Row],[_LeafLateFinish]],WORKDAY.INTL(Tasks[[#This Row],[_LeafLateFinish]],-(Tasks[[#This Row],[Duration]]-1),WorkWeek,Holidays)))</f>
        <v/>
      </c>
      <c r="DD4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2" s="114" t="b">
        <f aca="false">AND(Tasks[[#This Row],[_IsLeaf]]=1,Tasks[[#This Row],[_LeafProgress]]&lt;1,N(Tasks[[#This Row],[_LeafTotalSlack]])&lt;=CriticalSlackDays)</f>
        <v>0</v>
      </c>
      <c r="DF42" s="32" t="n">
        <f aca="false">IF(AND(Tasks[[#This Row],[_IsLeaf]]=1,Tasks[[#This Row],[_ConstraintCode]]=1,Tasks[[#This Row],[Mode]]&lt;&gt;"Manual",N(Tasks[[#This Row],[Actual Start]])=0),MAX(0,N(Tasks[[#This Row],[Free Slack]])),0)</f>
        <v>0</v>
      </c>
      <c r="DG42" s="115" t="str">
        <f aca="false">IF(NOT(Tasks[[#This Row],[_IsLeaf]]=1),"",IF(Tasks[[#This Row],[_AlapShift]]=0,Tasks[[#This Row],[_LeafCalcStart]],WORKDAY.INTL(Tasks[[#This Row],[_LeafCalcStart]],Tasks[[#This Row],[_AlapShift]],WorkWeek,Holidays)))</f>
        <v/>
      </c>
      <c r="DH42" s="115" t="str">
        <f aca="false">IF(NOT(Tasks[[#This Row],[_IsLeaf]]=1),"",IF(Tasks[[#This Row],[_AlapShift]]=0,Tasks[[#This Row],[_LeafCalcFinish]],WORKDAY.INTL(Tasks[[#This Row],[_LeafCalcFinish]],Tasks[[#This Row],[_AlapShift]],WorkWeek,Holidays)))</f>
        <v/>
      </c>
      <c r="DI42" s="115" t="str">
        <f aca="false">IF(NOT(Tasks[[#This Row],[_IsLeaf]]=1),"",IF(Tasks[[#This Row],[_AlapShift]]=0,Tasks[[#This Row],[_LeafFcstStart]],WORKDAY.INTL(Tasks[[#This Row],[_LeafFcstStart]],Tasks[[#This Row],[_AlapShift]],WorkWeek,Holidays)))</f>
        <v/>
      </c>
      <c r="DJ42" s="115" t="str">
        <f aca="false">IF(NOT(Tasks[[#This Row],[_IsLeaf]]=1),"",IF(Tasks[[#This Row],[_AlapShift]]=0,Tasks[[#This Row],[_LeafFcstFinish]],WORKDAY.INTL(Tasks[[#This Row],[_LeafFcstFinish]],Tasks[[#This Row],[_AlapShift]],WorkWeek,Holidays)))</f>
        <v/>
      </c>
      <c r="DK42" s="115" t="str">
        <f aca="false">IF(Tasks[[#This Row],[Task Name]]="","",IF(Tasks[[#This Row],[_IsSummary]],MIN(INDEX(Tasks[_ShownCalcStart],Tasks[[#This Row],[_Row]]+1):INDEX(Tasks[_ShownCalcStart],Tasks[[#This Row],[_Row]]+Tasks[[#This Row],[_Descendants]])),Tasks[[#This Row],[_ShownCalcStart]]))</f>
        <v/>
      </c>
      <c r="DL42" s="115" t="str">
        <f aca="false">IF(Tasks[[#This Row],[Task Name]]="","",IF(Tasks[[#This Row],[_IsSummary]],MAX(INDEX(Tasks[_ShownCalcFinish],Tasks[[#This Row],[_Row]]+1):INDEX(Tasks[_ShownCalcFinish],Tasks[[#This Row],[_Row]]+Tasks[[#This Row],[_Descendants]])),Tasks[[#This Row],[_ShownCalcFinish]]))</f>
        <v/>
      </c>
      <c r="DM4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2" s="32" t="n">
        <f aca="false">IF(AND(Tasks[[#This Row],[_IsLeaf]]=1,Tasks[[#This Row],[_LeafTotalWork]]&gt;0),NETWORKDAYS.INTL(ProjectStart,Tasks[[#This Row],[_ShownFcstStart]],WorkWeek,Holidays),0)</f>
        <v>0</v>
      </c>
      <c r="DZ42" s="32" t="n">
        <f aca="false">IF(AND(Tasks[[#This Row],[_IsLeaf]]=1,Tasks[[#This Row],[_LeafTotalWork]]&gt;0),MAX(Tasks[[#This Row],[_StartWorkday]],NETWORKDAYS.INTL(ProjectStart,Tasks[[#This Row],[_ShownFcstFinish]],WorkWeek,Holidays)),0)</f>
        <v>0</v>
      </c>
      <c r="EA42" s="32" t="n">
        <f aca="false">IF(AND(Tasks[[#This Row],[_IsLeaf]]=1,Tasks[[#This Row],[_LeafTotalWork]]&gt;0),Tasks[[#This Row],[_LeafWork]]/(Tasks[[#This Row],[_FinishWorkday]]-Tasks[[#This Row],[_StartWorkday]]+1),0)</f>
        <v>0</v>
      </c>
      <c r="EB42" s="32" t="n">
        <f aca="false">Tasks[[#This Row],[_WorkPerWorkday]]*(Tasks[[#This Row],[_StartWorkday]]-1)</f>
        <v>-0</v>
      </c>
      <c r="EC42" s="32" t="n">
        <f aca="false">IF(Tasks[[#This Row],[_IsLeaf]]=1,MAX(N(Tasks[[#This Row],[Duration]]),0.1),0)</f>
        <v>0</v>
      </c>
      <c r="ED42" s="32" t="n">
        <f aca="false">Tasks[[#This Row],[_WeightDur]]*Tasks[[#This Row],[_LeafProgress]]</f>
        <v>0</v>
      </c>
      <c r="EE4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2" s="32" t="str">
        <f aca="false">IF(AND(Tasks[[#This Row],[_IsLeaf]]=1,N(Tasks[[#This Row],[Duration]])=0,Tasks[[#This Row],[_LeafProgress]]&lt;1),Tasks[[#This Row],[_ShownFcstFinish]]+Tasks[[#This Row],[_Row]]/100000,"")</f>
        <v/>
      </c>
      <c r="EG4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2" s="32" t="n">
        <f aca="false">IF(NOT(Tasks[[#This Row],[_IsLeaf]]=1),0,IF(Tasks[[#This Row],[Baseline Cost]]="",Tasks[[#This Row],[_LeafTotalCost]],N(Tasks[[#This Row],[Baseline Cost]])))</f>
        <v>0</v>
      </c>
      <c r="EI42" s="32" t="n">
        <f aca="false">Tasks[[#This Row],[_LeafBudget]]*Tasks[[#This Row],[_PlannedPct]]</f>
        <v>0</v>
      </c>
      <c r="EJ42" s="32" t="n">
        <f aca="false">Tasks[[#This Row],[_LeafBudget]]*Tasks[[#This Row],[_LeafProgress]]</f>
        <v>0</v>
      </c>
      <c r="EK42" s="32" t="n">
        <f aca="false">IF(NOT(Tasks[[#This Row],[_IsLeaf]]=1),0,IF(Tasks[[#This Row],[Actual Cost]]="",Tasks[[#This Row],[_LeafTotalCost]]*Tasks[[#This Row],[_LeafProgress]],N(Tasks[[#This Row],[Actual Cost]])))</f>
        <v>0</v>
      </c>
      <c r="EL42" s="32" t="str">
        <f aca="false">IF(Tasks[[#This Row],[Task Name]]="","",LEFT(Tasks[[#This Row],[WBS]],FIND(".",Tasks[[#This Row],[WBS]]&amp;".")-1))</f>
        <v/>
      </c>
      <c r="EM42" s="32" t="str">
        <f aca="false">IF(AND(Tasks[[#This Row],[Task Name]]&lt;&gt;"",Tasks[[#This Row],[_Level]]=1),Tasks[[#This Row],[_Row]],"")</f>
        <v/>
      </c>
      <c r="EN42" s="32" t="str">
        <f aca="false">IF(AND(Tasks[[#This Row],[_IsLeaf]]=1,N(Tasks[[#This Row],[Duration]])=0),Tasks[[#This Row],[Planned Finish]]+Tasks[[#This Row],[_Row]]/100000,"")</f>
        <v/>
      </c>
      <c r="EO42" s="32" t="str">
        <f aca="false">IF(AND(Tasks[[#This Row],[_IsLeaf]]=1,Tasks[[#This Row],[_LeafProgress]]&lt;1,OR(N(Tasks[[#This Row],[Finish Var]])&gt;0,Tasks[[#This Row],[Status]]="Late Start")),MAX(0,Tasks[[#This Row],[Finish Var]])+1-Tasks[[#This Row],[_Row]]/1000000,"")</f>
        <v/>
      </c>
      <c r="EP42" s="32" t="str">
        <f aca="false">IF(AND(Tasks[[#This Row],[_IsLeaf]]=1,N(Tasks[[#This Row],[Actual Start]])=0,Tasks[[#This Row],[_ShownFcstStart]]&gt;=StatusDate,Tasks[[#This Row],[_ShownFcstStart]]&lt;=LookaheadEnd),Tasks[[#This Row],[_ShownFcstStart]]+Tasks[[#This Row],[_Row]]/100000,"")</f>
        <v/>
      </c>
      <c r="EQ42" s="32" t="str">
        <f aca="false">IF(AND(Tasks[[#This Row],[_IsLeaf]]=1,Tasks[[#This Row],[_LeafProgress]]&lt;1,Tasks[[#This Row],[_ShownFcstFinish]]&gt;=StatusDate,Tasks[[#This Row],[_ShownFcstFinish]]&lt;=LookaheadEnd),Tasks[[#This Row],[_ShownFcstFinish]]+Tasks[[#This Row],[_Row]]/100000,"")</f>
        <v/>
      </c>
      <c r="ER42" s="32" t="str">
        <f aca="false">IF(Tasks[[#This Row],[_LeafCritical]],Tasks[[#This Row],[_ShownFcstStart]]+Tasks[[#This Row],[_Row]]/100000,"")</f>
        <v/>
      </c>
      <c r="ES42" s="32" t="n">
        <f aca="false">Tasks[[#This Row],[_LeafWork]]*Tasks[[#This Row],[_LeafProgress]]</f>
        <v>0</v>
      </c>
      <c r="ET42" s="115" t="str">
        <f aca="false">IF(AND(Tasks[[#This Row],[_IsLeaf]]=1,Tasks[[#This Row],[_LeafProgress]]&gt;=1),IF(N(Tasks[[#This Row],[Actual Finish]])&gt;0,Tasks[[#This Row],[Actual Finish]],Tasks[[#This Row],[_ShownFcstFinish]]),"")</f>
        <v/>
      </c>
      <c r="EU42" s="32" t="n">
        <f aca="false">IF(Tasks[[#This Row],[_IsLeaf]]=1,N(Tasks[[#This Row],[Story Points]]),0)</f>
        <v>0</v>
      </c>
      <c r="EV42" s="32" t="str">
        <f aca="false">IF(AND(Tasks[[#This Row],[_IsLeaf]]=1,CurrentSprint&lt;&gt;"",Tasks[[#This Row],[Sprint]]=CurrentSprint),Tasks[[#This Row],[_Row]],"")</f>
        <v/>
      </c>
    </row>
    <row r="43" customFormat="false" ht="15" hidden="false" customHeight="false" outlineLevel="0" collapsed="false">
      <c r="A43" s="45" t="str">
        <f aca="false">IF(Tasks[[#This Row],[Task Name]]="","",COUNTA(Tasks[[#Headers],[Task Name]]:Tasks[[#This Row],[Task Name]])-1)</f>
        <v/>
      </c>
      <c r="B43" s="46" t="n">
        <v>38</v>
      </c>
      <c r="C4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3" s="46"/>
      <c r="E43" s="45" t="str">
        <f aca="false">IF(Tasks[[#This Row],[Task Name]]="","",IF(Tasks[[#This Row],[_Level]]&lt;=OutlineShowLevel,"Yes","No"))</f>
        <v/>
      </c>
      <c r="F43" s="47"/>
      <c r="G43" s="46"/>
      <c r="H43" s="46"/>
      <c r="I43" s="46"/>
      <c r="J43" s="46"/>
      <c r="K43" s="46"/>
      <c r="L43" s="46"/>
      <c r="M43" s="46"/>
      <c r="N43" s="46"/>
      <c r="O43" s="46"/>
      <c r="P43" s="46"/>
      <c r="Q43" s="46"/>
      <c r="R43" s="46"/>
      <c r="S43" s="46"/>
      <c r="T43" s="46"/>
      <c r="U43" s="47"/>
      <c r="V43" s="88"/>
      <c r="W43" s="88"/>
      <c r="X43" s="25" t="str">
        <f aca="false">IF(Tasks[[#This Row],[Task Name]]="","",IF(N(Tasks[[#This Row],[Baseline Start]])&gt;0,Tasks[[#This Row],[Baseline Start]],Tasks[[#This Row],[_CalcStart]]))</f>
        <v/>
      </c>
      <c r="Y43" s="25" t="str">
        <f aca="false">IF(Tasks[[#This Row],[Task Name]]="","",IF(N(Tasks[[#This Row],[Baseline Finish]])&gt;0,Tasks[[#This Row],[Baseline Finish]],Tasks[[#This Row],[_CalcFinish]]))</f>
        <v/>
      </c>
      <c r="Z43" s="88"/>
      <c r="AA43" s="88"/>
      <c r="AB43" s="25" t="str">
        <f aca="false">IF(Tasks[[#This Row],[Task Name]]="","",IF(Tasks[[#This Row],[_IsSummary]],MIN(INDEX(Tasks[_ShownFcstStart],Tasks[[#This Row],[_Row]]+1):INDEX(Tasks[_ShownFcstStart],Tasks[[#This Row],[_Row]]+Tasks[[#This Row],[_Descendants]])),Tasks[[#This Row],[_ShownFcstStart]]))</f>
        <v/>
      </c>
      <c r="AC43" s="25" t="str">
        <f aca="false">IF(Tasks[[#This Row],[Task Name]]="","",IF(Tasks[[#This Row],[_IsSummary]],MAX(INDEX(Tasks[_ShownFcstFinish],Tasks[[#This Row],[_Row]]+1):INDEX(Tasks[_ShownFcstFinish],Tasks[[#This Row],[_Row]]+Tasks[[#This Row],[_Descendants]])),Tasks[[#This Row],[_ShownFcstFinish]]))</f>
        <v/>
      </c>
      <c r="AD4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3" s="25" t="str">
        <f aca="false">IF(Tasks[[#This Row],[Task Name]]="","",IF(Tasks[[#This Row],[_IsSummary]],MIN(INDEX(Tasks[_LeafLateStart],Tasks[[#This Row],[_Row]]+1):INDEX(Tasks[_LeafLateStart],Tasks[[#This Row],[_Row]]+Tasks[[#This Row],[_Descendants]])),Tasks[[#This Row],[_LeafLateStart]]))</f>
        <v/>
      </c>
      <c r="AG43" s="25" t="str">
        <f aca="false">IF(Tasks[[#This Row],[Task Name]]="","",IF(Tasks[[#This Row],[_IsSummary]],MAX(INDEX(Tasks[_LeafLateFinish],Tasks[[#This Row],[_Row]]+1):INDEX(Tasks[_LeafLateFinish],Tasks[[#This Row],[_Row]]+Tasks[[#This Row],[_Descendants]])),Tasks[[#This Row],[_LeafLateFinish]]))</f>
        <v/>
      </c>
      <c r="AH43" s="56" t="str">
        <f aca="false">IF(Tasks[[#This Row],[Task Name]]="","",IF(Tasks[[#This Row],[_IsSummary]],MIN(INDEX(Tasks[_LeafTotalSlack],Tasks[[#This Row],[_Row]]+1):INDEX(Tasks[_LeafTotalSlack],Tasks[[#This Row],[_Row]]+Tasks[[#This Row],[_Descendants]])),Tasks[[#This Row],[_LeafTotalSlack]]))</f>
        <v/>
      </c>
      <c r="AI4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3" s="45" t="str">
        <f aca="false">IF(Tasks[[#This Row],[Task Name]]="","",IF(IF(Tasks[[#This Row],[_IsSummary]],COUNTIF(INDEX(Tasks[_LeafCritical],Tasks[[#This Row],[_Row]]+1):INDEX(Tasks[_LeafCritical],Tasks[[#This Row],[_Row]]+Tasks[[#This Row],[_Descendants]]),TRUE())&gt;0,Tasks[[#This Row],[_LeafCritical]]),"Yes",""))</f>
        <v/>
      </c>
      <c r="AK4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3" s="102"/>
      <c r="AN4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3" s="45" t="str">
        <f aca="false">IF(Tasks[[#This Row],[Task Name]]="","",IF(Tasks[[#This Row],[Progress]]&gt;=1,"Complete",IF(OR(N(Tasks[[#This Row],[Actual Start]])&gt;0,Tasks[[#This Row],[Progress]]&gt;0),IF(Tasks[[#This Row],[Finish Var]]&gt;0,"Behind","In Progress"),IF(Tasks[[#This Row],[Planned Start]]&lt;StatusDate,"Late Start","Not Started"))))</f>
        <v/>
      </c>
      <c r="AP43" s="47"/>
      <c r="AQ43" s="102"/>
      <c r="AR4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3" s="110" t="str">
        <f aca="false">IF(Tasks[[#This Row],[Task Name]]="","",IF(Tasks[[#This Row],[_IsSummary]],SUM(INDEX(Tasks[_LeafTotalWork],Tasks[[#This Row],[_Row]]+1):INDEX(Tasks[_LeafTotalWork],Tasks[[#This Row],[_Row]]+Tasks[[#This Row],[_Descendants]])),Tasks[[#This Row],[_LeafTotalWork]]))</f>
        <v/>
      </c>
      <c r="AU43" s="111" t="str">
        <f aca="false">IF(Tasks[[#This Row],[Task Name]]="","",IF(Tasks[[#This Row],[_IsSummary]],SUM(INDEX(Tasks[_LeafTotalCost],Tasks[[#This Row],[_Row]]+1):INDEX(Tasks[_LeafTotalCost],Tasks[[#This Row],[_Row]]+Tasks[[#This Row],[_Descendants]])),Tasks[[#This Row],[_LeafTotalCost]]))</f>
        <v/>
      </c>
      <c r="AV43" s="112"/>
      <c r="AW43" s="46"/>
      <c r="AX4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3" s="96"/>
      <c r="AZ4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3" s="47"/>
      <c r="BB43" s="25" t="str">
        <f aca="false">IF(Tasks[[#This Row],[Task Name]]="","",Tasks[[#This Row],[Forecast Start]])</f>
        <v/>
      </c>
      <c r="BC43" s="25" t="str">
        <f aca="false">IF(Tasks[[#This Row],[Task Name]]="","",Tasks[[#This Row],[Forecast Finish]])</f>
        <v/>
      </c>
      <c r="BD43" s="45" t="str">
        <f aca="false">IF(Tasks[[#This Row],[Task Name]]="","",IF(Tasks[[#This Row],[_IsSummary]],NETWORKDAYS.INTL(Tasks[[#This Row],[Forecast Start]],Tasks[[#This Row],[Forecast Finish]],WorkWeek,Holidays),N(Tasks[[#This Row],[Duration]])))</f>
        <v/>
      </c>
      <c r="BE43" s="110" t="str">
        <f aca="false">IF(Tasks[[#This Row],[Task Name]]="","",Tasks[[#This Row],[Work]])</f>
        <v/>
      </c>
      <c r="BF43" s="111" t="str">
        <f aca="false">IF(Tasks[[#This Row],[Task Name]]="","",Tasks[[#This Row],[Cost]])</f>
        <v/>
      </c>
      <c r="BG43" s="88"/>
      <c r="BH43" s="88"/>
      <c r="BI43" s="46"/>
      <c r="BJ43" s="113"/>
      <c r="BK43" s="112"/>
      <c r="BL43" s="45" t="str">
        <f aca="false">IF(OR(Tasks[[#This Row],[Task Name]]="",Tasks[[#This Row],[Baseline Duration]]=""),"",Tasks[[#This Row],[BL Source Duration]]-N(Tasks[[#This Row],[Baseline Duration]]))</f>
        <v/>
      </c>
      <c r="BM43" s="110" t="str">
        <f aca="false">IF(OR(Tasks[[#This Row],[Task Name]]="",Tasks[[#This Row],[Baseline Work]]=""),"",Tasks[[#This Row],[Work]]-N(Tasks[[#This Row],[Baseline Work]]))</f>
        <v/>
      </c>
      <c r="BN43" s="111" t="str">
        <f aca="false">IF(OR(Tasks[[#This Row],[Task Name]]="",Tasks[[#This Row],[Baseline Cost]]=""),"",Tasks[[#This Row],[Cost]]-N(Tasks[[#This Row],[Baseline Cost]]))</f>
        <v/>
      </c>
      <c r="BO43" s="111" t="str">
        <f aca="false">IF(Tasks[[#This Row],[Task Name]]="","",IF(Tasks[[#This Row],[_IsSummary]],SUM(INDEX(Tasks[_LeafBudget],Tasks[[#This Row],[_Row]]+1):INDEX(Tasks[_LeafBudget],Tasks[[#This Row],[_Row]]+Tasks[[#This Row],[_Descendants]])),Tasks[[#This Row],[_LeafBudget]]))</f>
        <v/>
      </c>
      <c r="BP43" s="111" t="str">
        <f aca="false">IF(Tasks[[#This Row],[Task Name]]="","",IF(Tasks[[#This Row],[_IsSummary]],SUM(INDEX(Tasks[_LeafPV],Tasks[[#This Row],[_Row]]+1):INDEX(Tasks[_LeafPV],Tasks[[#This Row],[_Row]]+Tasks[[#This Row],[_Descendants]])),Tasks[[#This Row],[_LeafPV]]))</f>
        <v/>
      </c>
      <c r="BQ43" s="111" t="str">
        <f aca="false">IF(Tasks[[#This Row],[Task Name]]="","",IF(Tasks[[#This Row],[_IsSummary]],SUM(INDEX(Tasks[_LeafEV],Tasks[[#This Row],[_Row]]+1):INDEX(Tasks[_LeafEV],Tasks[[#This Row],[_Row]]+Tasks[[#This Row],[_Descendants]])),Tasks[[#This Row],[_LeafEV]]))</f>
        <v/>
      </c>
      <c r="BR43" s="111" t="str">
        <f aca="false">IF(Tasks[[#This Row],[Task Name]]="","",IF(Tasks[[#This Row],[_IsSummary]],SUM(INDEX(Tasks[_LeafAC],Tasks[[#This Row],[_Row]]+1):INDEX(Tasks[_LeafAC],Tasks[[#This Row],[_Row]]+Tasks[[#This Row],[_Descendants]])),Tasks[[#This Row],[_LeafAC]]))</f>
        <v/>
      </c>
      <c r="BS43" s="32" t="str">
        <f aca="false">IF(Tasks[[#This Row],[Task Name]]="","",MAX(1,N(Tasks[[#This Row],[Level]])))</f>
        <v/>
      </c>
      <c r="BT43" s="32" t="n">
        <f aca="false">ROW()-ROW(Tasks[[#Headers],[ID]])</f>
        <v>38</v>
      </c>
      <c r="BU43" s="32" t="n">
        <f aca="false">IF(OR(Tasks[[#This Row],[Task Name]]="",Tasks[[#This Row],[_Level]]&lt;=1),0,IFERROR(LOOKUP(2,1/(Tasks[[#Headers],[_Level]]:Tasks[[#This Row],[_Level]]=Tasks[[#This Row],[_Level]]-1),ROW(Tasks[[#Headers],[_Level]]:Tasks[[#This Row],[_Level]])),0))</f>
        <v>0</v>
      </c>
      <c r="BV43" s="32" t="n">
        <f aca="false">IFERROR(N(INDEX(Tasks[_Level],Tasks[[#This Row],[_Row]]+1)),0)</f>
        <v>0</v>
      </c>
      <c r="BW43" s="114" t="b">
        <f aca="false">AND(Tasks[[#This Row],[Task Name]]&lt;&gt;"",Tasks[[#This Row],[_NextLevel]]&gt;Tasks[[#This Row],[_Level]])</f>
        <v>0</v>
      </c>
      <c r="BX43" s="32" t="n">
        <f aca="false">IF(Tasks[[#This Row],[_IsSummary]],COUNTIF(Tasks[WBS],Tasks[[#This Row],[WBS]]&amp;".*"),0)</f>
        <v>0</v>
      </c>
      <c r="BY43" s="32" t="n">
        <f aca="false">IF(AND(Tasks[[#This Row],[Task Name]]&lt;&gt;"",NOT(Tasks[[#This Row],[_IsSummary]])),1,0)</f>
        <v>0</v>
      </c>
      <c r="BZ43" s="32" t="n">
        <f aca="false">IF(N(Tasks[[#This Row],[Pred1 UID]])=0,0,IFERROR(MATCH(Tasks[[#This Row],[Pred1 UID]],Tasks[UID],0),-1))</f>
        <v>0</v>
      </c>
      <c r="CA43" s="32" t="n">
        <f aca="false">IF(N(Tasks[[#This Row],[Pred2 UID]])=0,0,IFERROR(MATCH(Tasks[[#This Row],[Pred2 UID]],Tasks[UID],0),-1))</f>
        <v>0</v>
      </c>
      <c r="CB43" s="32" t="n">
        <f aca="false">IF(N(Tasks[[#This Row],[Pred3 UID]])=0,0,IFERROR(MATCH(Tasks[[#This Row],[Pred3 UID]],Tasks[UID],0),-1))</f>
        <v>0</v>
      </c>
      <c r="CC43" s="32" t="n">
        <f aca="false">IF(N(Tasks[[#This Row],[Pred4 UID]])=0,0,IFERROR(MATCH(Tasks[[#This Row],[Pred4 UID]],Tasks[UID],0),-1))</f>
        <v>0</v>
      </c>
      <c r="CD4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3" s="115" t="n">
        <f aca="false">IF(OR(Tasks[[#This Row],[_ConstraintCode]]=2,Tasks[[#This Row],[_ConstraintCode]]=3,Tasks[[#This Row],[_ConstraintCode]]=4,Tasks[[#This Row],[_ConstraintCode]]=6),Tasks[[#This Row],[_ConstraintStart]],0)</f>
        <v>0</v>
      </c>
      <c r="CG43" s="115" t="n">
        <f aca="false">IF(OR(Tasks[[#This Row],[_ConstraintCode]]=2,Tasks[[#This Row],[_ConstraintCode]]=3,Tasks[[#This Row],[_ConstraintCode]]=5,Tasks[[#This Row],[_ConstraintCode]]=7),Tasks[[#This Row],[_ConstraintStart]],2958465)</f>
        <v>2958465</v>
      </c>
      <c r="CH4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3" s="115" t="str">
        <f aca="false">IF(NOT(Tasks[[#This Row],[_IsLeaf]]=1),"",IF(N(Tasks[[#This Row],[Duration]])&lt;=0,Tasks[[#This Row],[_LeafCalcStart]],WORKDAY.INTL(Tasks[[#This Row],[_LeafCalcStart]],Tasks[[#This Row],[Duration]]-1,WorkWeek,Holidays)))</f>
        <v/>
      </c>
      <c r="CJ4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3" s="32" t="n">
        <f aca="false">IF(NOT(Tasks[[#This Row],[_IsLeaf]]=1),0,IF(N(Tasks[[#This Row],[Actual Finish]])&gt;0,1,MIN(1,N(Tasks[[#This Row],[% Complete]]))))</f>
        <v>0</v>
      </c>
      <c r="CM43" s="32" t="n">
        <f aca="false">IF(OR(NOT(Tasks[[#This Row],[_IsLeaf]]=1),Tasks[[#This Row],[Resource]]=""),0,N(Tasks[[#This Row],[Duration]])*HoursPerDay*IF(Tasks[[#This Row],[Units]]="",DefaultUnits,Tasks[[#This Row],[Units]]))</f>
        <v>0</v>
      </c>
      <c r="CN43" s="32" t="n">
        <f aca="false">IF(Tasks[[#This Row],[_LeafWork]]=0,0,Tasks[[#This Row],[_LeafWork]]*IFERROR(INDEX(res_Rate,MATCH(Tasks[[#This Row],[Resource]],res_Name,0)),0))</f>
        <v>0</v>
      </c>
      <c r="CO43" s="32" t="n">
        <f aca="false">Tasks[[#This Row],[_LeafWork]]+IF(Tasks[[#This Row],[_IsLeaf]]=1,SUMIFS(asg_Work,asg_TaskUID,Tasks[[#This Row],[UID]],asg_Valid,1),0)</f>
        <v>0</v>
      </c>
      <c r="CP43" s="32" t="n">
        <f aca="false">Tasks[[#This Row],[_LeafCost]]+IF(Tasks[[#This Row],[_IsLeaf]]=1,SUMIFS(asg_Cost,asg_TaskUID,Tasks[[#This Row],[UID]],asg_Valid,1),0)</f>
        <v>0</v>
      </c>
      <c r="CQ43" s="32" t="n">
        <f aca="false">IF(Tasks[[#This Row],[_LeafTotalCost]]=0,Tasks[[#This Row],[_LeafAC]],Tasks[[#This Row],[_LeafAC]]*Tasks[[#This Row],[_LeafCost]]/Tasks[[#This Row],[_LeafTotalCost]])</f>
        <v>0</v>
      </c>
      <c r="CR4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3" s="32" t="n">
        <f aca="false">IF(NOT(Tasks[[#This Row],[_IsLeaf]]=1),0,MAX(_xlfn.MAXIFS(Tasks[_Row],Tasks[Pred1 UID],Tasks[[#This Row],[UID]]),_xlfn.MAXIFS(Tasks[_Row],Tasks[Pred2 UID],Tasks[[#This Row],[UID]]),_xlfn.MAXIFS(Tasks[_Row],Tasks[Pred3 UID],Tasks[[#This Row],[UID]]),_xlfn.MAXIFS(Tasks[_Row],Tasks[Pred4 UID],Tasks[[#This Row],[UID]])))</f>
        <v>0</v>
      </c>
      <c r="DA4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3" s="115" t="str">
        <f aca="false">IF(NOT(Tasks[[#This Row],[_IsLeaf]]=1),"",IF(N(Tasks[[#This Row],[Duration]])&lt;=0,Tasks[[#This Row],[_LeafLateFinish]],WORKDAY.INTL(Tasks[[#This Row],[_LeafLateFinish]],-(Tasks[[#This Row],[Duration]]-1),WorkWeek,Holidays)))</f>
        <v/>
      </c>
      <c r="DD4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3" s="114" t="b">
        <f aca="false">AND(Tasks[[#This Row],[_IsLeaf]]=1,Tasks[[#This Row],[_LeafProgress]]&lt;1,N(Tasks[[#This Row],[_LeafTotalSlack]])&lt;=CriticalSlackDays)</f>
        <v>0</v>
      </c>
      <c r="DF43" s="32" t="n">
        <f aca="false">IF(AND(Tasks[[#This Row],[_IsLeaf]]=1,Tasks[[#This Row],[_ConstraintCode]]=1,Tasks[[#This Row],[Mode]]&lt;&gt;"Manual",N(Tasks[[#This Row],[Actual Start]])=0),MAX(0,N(Tasks[[#This Row],[Free Slack]])),0)</f>
        <v>0</v>
      </c>
      <c r="DG43" s="115" t="str">
        <f aca="false">IF(NOT(Tasks[[#This Row],[_IsLeaf]]=1),"",IF(Tasks[[#This Row],[_AlapShift]]=0,Tasks[[#This Row],[_LeafCalcStart]],WORKDAY.INTL(Tasks[[#This Row],[_LeafCalcStart]],Tasks[[#This Row],[_AlapShift]],WorkWeek,Holidays)))</f>
        <v/>
      </c>
      <c r="DH43" s="115" t="str">
        <f aca="false">IF(NOT(Tasks[[#This Row],[_IsLeaf]]=1),"",IF(Tasks[[#This Row],[_AlapShift]]=0,Tasks[[#This Row],[_LeafCalcFinish]],WORKDAY.INTL(Tasks[[#This Row],[_LeafCalcFinish]],Tasks[[#This Row],[_AlapShift]],WorkWeek,Holidays)))</f>
        <v/>
      </c>
      <c r="DI43" s="115" t="str">
        <f aca="false">IF(NOT(Tasks[[#This Row],[_IsLeaf]]=1),"",IF(Tasks[[#This Row],[_AlapShift]]=0,Tasks[[#This Row],[_LeafFcstStart]],WORKDAY.INTL(Tasks[[#This Row],[_LeafFcstStart]],Tasks[[#This Row],[_AlapShift]],WorkWeek,Holidays)))</f>
        <v/>
      </c>
      <c r="DJ43" s="115" t="str">
        <f aca="false">IF(NOT(Tasks[[#This Row],[_IsLeaf]]=1),"",IF(Tasks[[#This Row],[_AlapShift]]=0,Tasks[[#This Row],[_LeafFcstFinish]],WORKDAY.INTL(Tasks[[#This Row],[_LeafFcstFinish]],Tasks[[#This Row],[_AlapShift]],WorkWeek,Holidays)))</f>
        <v/>
      </c>
      <c r="DK43" s="115" t="str">
        <f aca="false">IF(Tasks[[#This Row],[Task Name]]="","",IF(Tasks[[#This Row],[_IsSummary]],MIN(INDEX(Tasks[_ShownCalcStart],Tasks[[#This Row],[_Row]]+1):INDEX(Tasks[_ShownCalcStart],Tasks[[#This Row],[_Row]]+Tasks[[#This Row],[_Descendants]])),Tasks[[#This Row],[_ShownCalcStart]]))</f>
        <v/>
      </c>
      <c r="DL43" s="115" t="str">
        <f aca="false">IF(Tasks[[#This Row],[Task Name]]="","",IF(Tasks[[#This Row],[_IsSummary]],MAX(INDEX(Tasks[_ShownCalcFinish],Tasks[[#This Row],[_Row]]+1):INDEX(Tasks[_ShownCalcFinish],Tasks[[#This Row],[_Row]]+Tasks[[#This Row],[_Descendants]])),Tasks[[#This Row],[_ShownCalcFinish]]))</f>
        <v/>
      </c>
      <c r="DM4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3" s="32" t="n">
        <f aca="false">IF(AND(Tasks[[#This Row],[_IsLeaf]]=1,Tasks[[#This Row],[_LeafTotalWork]]&gt;0),NETWORKDAYS.INTL(ProjectStart,Tasks[[#This Row],[_ShownFcstStart]],WorkWeek,Holidays),0)</f>
        <v>0</v>
      </c>
      <c r="DZ43" s="32" t="n">
        <f aca="false">IF(AND(Tasks[[#This Row],[_IsLeaf]]=1,Tasks[[#This Row],[_LeafTotalWork]]&gt;0),MAX(Tasks[[#This Row],[_StartWorkday]],NETWORKDAYS.INTL(ProjectStart,Tasks[[#This Row],[_ShownFcstFinish]],WorkWeek,Holidays)),0)</f>
        <v>0</v>
      </c>
      <c r="EA43" s="32" t="n">
        <f aca="false">IF(AND(Tasks[[#This Row],[_IsLeaf]]=1,Tasks[[#This Row],[_LeafTotalWork]]&gt;0),Tasks[[#This Row],[_LeafWork]]/(Tasks[[#This Row],[_FinishWorkday]]-Tasks[[#This Row],[_StartWorkday]]+1),0)</f>
        <v>0</v>
      </c>
      <c r="EB43" s="32" t="n">
        <f aca="false">Tasks[[#This Row],[_WorkPerWorkday]]*(Tasks[[#This Row],[_StartWorkday]]-1)</f>
        <v>-0</v>
      </c>
      <c r="EC43" s="32" t="n">
        <f aca="false">IF(Tasks[[#This Row],[_IsLeaf]]=1,MAX(N(Tasks[[#This Row],[Duration]]),0.1),0)</f>
        <v>0</v>
      </c>
      <c r="ED43" s="32" t="n">
        <f aca="false">Tasks[[#This Row],[_WeightDur]]*Tasks[[#This Row],[_LeafProgress]]</f>
        <v>0</v>
      </c>
      <c r="EE4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3" s="32" t="str">
        <f aca="false">IF(AND(Tasks[[#This Row],[_IsLeaf]]=1,N(Tasks[[#This Row],[Duration]])=0,Tasks[[#This Row],[_LeafProgress]]&lt;1),Tasks[[#This Row],[_ShownFcstFinish]]+Tasks[[#This Row],[_Row]]/100000,"")</f>
        <v/>
      </c>
      <c r="EG4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3" s="32" t="n">
        <f aca="false">IF(NOT(Tasks[[#This Row],[_IsLeaf]]=1),0,IF(Tasks[[#This Row],[Baseline Cost]]="",Tasks[[#This Row],[_LeafTotalCost]],N(Tasks[[#This Row],[Baseline Cost]])))</f>
        <v>0</v>
      </c>
      <c r="EI43" s="32" t="n">
        <f aca="false">Tasks[[#This Row],[_LeafBudget]]*Tasks[[#This Row],[_PlannedPct]]</f>
        <v>0</v>
      </c>
      <c r="EJ43" s="32" t="n">
        <f aca="false">Tasks[[#This Row],[_LeafBudget]]*Tasks[[#This Row],[_LeafProgress]]</f>
        <v>0</v>
      </c>
      <c r="EK43" s="32" t="n">
        <f aca="false">IF(NOT(Tasks[[#This Row],[_IsLeaf]]=1),0,IF(Tasks[[#This Row],[Actual Cost]]="",Tasks[[#This Row],[_LeafTotalCost]]*Tasks[[#This Row],[_LeafProgress]],N(Tasks[[#This Row],[Actual Cost]])))</f>
        <v>0</v>
      </c>
      <c r="EL43" s="32" t="str">
        <f aca="false">IF(Tasks[[#This Row],[Task Name]]="","",LEFT(Tasks[[#This Row],[WBS]],FIND(".",Tasks[[#This Row],[WBS]]&amp;".")-1))</f>
        <v/>
      </c>
      <c r="EM43" s="32" t="str">
        <f aca="false">IF(AND(Tasks[[#This Row],[Task Name]]&lt;&gt;"",Tasks[[#This Row],[_Level]]=1),Tasks[[#This Row],[_Row]],"")</f>
        <v/>
      </c>
      <c r="EN43" s="32" t="str">
        <f aca="false">IF(AND(Tasks[[#This Row],[_IsLeaf]]=1,N(Tasks[[#This Row],[Duration]])=0),Tasks[[#This Row],[Planned Finish]]+Tasks[[#This Row],[_Row]]/100000,"")</f>
        <v/>
      </c>
      <c r="EO43" s="32" t="str">
        <f aca="false">IF(AND(Tasks[[#This Row],[_IsLeaf]]=1,Tasks[[#This Row],[_LeafProgress]]&lt;1,OR(N(Tasks[[#This Row],[Finish Var]])&gt;0,Tasks[[#This Row],[Status]]="Late Start")),MAX(0,Tasks[[#This Row],[Finish Var]])+1-Tasks[[#This Row],[_Row]]/1000000,"")</f>
        <v/>
      </c>
      <c r="EP43" s="32" t="str">
        <f aca="false">IF(AND(Tasks[[#This Row],[_IsLeaf]]=1,N(Tasks[[#This Row],[Actual Start]])=0,Tasks[[#This Row],[_ShownFcstStart]]&gt;=StatusDate,Tasks[[#This Row],[_ShownFcstStart]]&lt;=LookaheadEnd),Tasks[[#This Row],[_ShownFcstStart]]+Tasks[[#This Row],[_Row]]/100000,"")</f>
        <v/>
      </c>
      <c r="EQ43" s="32" t="str">
        <f aca="false">IF(AND(Tasks[[#This Row],[_IsLeaf]]=1,Tasks[[#This Row],[_LeafProgress]]&lt;1,Tasks[[#This Row],[_ShownFcstFinish]]&gt;=StatusDate,Tasks[[#This Row],[_ShownFcstFinish]]&lt;=LookaheadEnd),Tasks[[#This Row],[_ShownFcstFinish]]+Tasks[[#This Row],[_Row]]/100000,"")</f>
        <v/>
      </c>
      <c r="ER43" s="32" t="str">
        <f aca="false">IF(Tasks[[#This Row],[_LeafCritical]],Tasks[[#This Row],[_ShownFcstStart]]+Tasks[[#This Row],[_Row]]/100000,"")</f>
        <v/>
      </c>
      <c r="ES43" s="32" t="n">
        <f aca="false">Tasks[[#This Row],[_LeafWork]]*Tasks[[#This Row],[_LeafProgress]]</f>
        <v>0</v>
      </c>
      <c r="ET43" s="115" t="str">
        <f aca="false">IF(AND(Tasks[[#This Row],[_IsLeaf]]=1,Tasks[[#This Row],[_LeafProgress]]&gt;=1),IF(N(Tasks[[#This Row],[Actual Finish]])&gt;0,Tasks[[#This Row],[Actual Finish]],Tasks[[#This Row],[_ShownFcstFinish]]),"")</f>
        <v/>
      </c>
      <c r="EU43" s="32" t="n">
        <f aca="false">IF(Tasks[[#This Row],[_IsLeaf]]=1,N(Tasks[[#This Row],[Story Points]]),0)</f>
        <v>0</v>
      </c>
      <c r="EV43" s="32" t="str">
        <f aca="false">IF(AND(Tasks[[#This Row],[_IsLeaf]]=1,CurrentSprint&lt;&gt;"",Tasks[[#This Row],[Sprint]]=CurrentSprint),Tasks[[#This Row],[_Row]],"")</f>
        <v/>
      </c>
    </row>
    <row r="44" customFormat="false" ht="15" hidden="false" customHeight="false" outlineLevel="0" collapsed="false">
      <c r="A44" s="45" t="str">
        <f aca="false">IF(Tasks[[#This Row],[Task Name]]="","",COUNTA(Tasks[[#Headers],[Task Name]]:Tasks[[#This Row],[Task Name]])-1)</f>
        <v/>
      </c>
      <c r="B44" s="46" t="n">
        <v>39</v>
      </c>
      <c r="C4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4" s="46"/>
      <c r="E44" s="45" t="str">
        <f aca="false">IF(Tasks[[#This Row],[Task Name]]="","",IF(Tasks[[#This Row],[_Level]]&lt;=OutlineShowLevel,"Yes","No"))</f>
        <v/>
      </c>
      <c r="F44" s="47"/>
      <c r="G44" s="46"/>
      <c r="H44" s="46"/>
      <c r="I44" s="46"/>
      <c r="J44" s="46"/>
      <c r="K44" s="46"/>
      <c r="L44" s="46"/>
      <c r="M44" s="46"/>
      <c r="N44" s="46"/>
      <c r="O44" s="46"/>
      <c r="P44" s="46"/>
      <c r="Q44" s="46"/>
      <c r="R44" s="46"/>
      <c r="S44" s="46"/>
      <c r="T44" s="46"/>
      <c r="U44" s="47"/>
      <c r="V44" s="88"/>
      <c r="W44" s="88"/>
      <c r="X44" s="25" t="str">
        <f aca="false">IF(Tasks[[#This Row],[Task Name]]="","",IF(N(Tasks[[#This Row],[Baseline Start]])&gt;0,Tasks[[#This Row],[Baseline Start]],Tasks[[#This Row],[_CalcStart]]))</f>
        <v/>
      </c>
      <c r="Y44" s="25" t="str">
        <f aca="false">IF(Tasks[[#This Row],[Task Name]]="","",IF(N(Tasks[[#This Row],[Baseline Finish]])&gt;0,Tasks[[#This Row],[Baseline Finish]],Tasks[[#This Row],[_CalcFinish]]))</f>
        <v/>
      </c>
      <c r="Z44" s="88"/>
      <c r="AA44" s="88"/>
      <c r="AB44" s="25" t="str">
        <f aca="false">IF(Tasks[[#This Row],[Task Name]]="","",IF(Tasks[[#This Row],[_IsSummary]],MIN(INDEX(Tasks[_ShownFcstStart],Tasks[[#This Row],[_Row]]+1):INDEX(Tasks[_ShownFcstStart],Tasks[[#This Row],[_Row]]+Tasks[[#This Row],[_Descendants]])),Tasks[[#This Row],[_ShownFcstStart]]))</f>
        <v/>
      </c>
      <c r="AC44" s="25" t="str">
        <f aca="false">IF(Tasks[[#This Row],[Task Name]]="","",IF(Tasks[[#This Row],[_IsSummary]],MAX(INDEX(Tasks[_ShownFcstFinish],Tasks[[#This Row],[_Row]]+1):INDEX(Tasks[_ShownFcstFinish],Tasks[[#This Row],[_Row]]+Tasks[[#This Row],[_Descendants]])),Tasks[[#This Row],[_ShownFcstFinish]]))</f>
        <v/>
      </c>
      <c r="AD4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4" s="25" t="str">
        <f aca="false">IF(Tasks[[#This Row],[Task Name]]="","",IF(Tasks[[#This Row],[_IsSummary]],MIN(INDEX(Tasks[_LeafLateStart],Tasks[[#This Row],[_Row]]+1):INDEX(Tasks[_LeafLateStart],Tasks[[#This Row],[_Row]]+Tasks[[#This Row],[_Descendants]])),Tasks[[#This Row],[_LeafLateStart]]))</f>
        <v/>
      </c>
      <c r="AG44" s="25" t="str">
        <f aca="false">IF(Tasks[[#This Row],[Task Name]]="","",IF(Tasks[[#This Row],[_IsSummary]],MAX(INDEX(Tasks[_LeafLateFinish],Tasks[[#This Row],[_Row]]+1):INDEX(Tasks[_LeafLateFinish],Tasks[[#This Row],[_Row]]+Tasks[[#This Row],[_Descendants]])),Tasks[[#This Row],[_LeafLateFinish]]))</f>
        <v/>
      </c>
      <c r="AH44" s="56" t="str">
        <f aca="false">IF(Tasks[[#This Row],[Task Name]]="","",IF(Tasks[[#This Row],[_IsSummary]],MIN(INDEX(Tasks[_LeafTotalSlack],Tasks[[#This Row],[_Row]]+1):INDEX(Tasks[_LeafTotalSlack],Tasks[[#This Row],[_Row]]+Tasks[[#This Row],[_Descendants]])),Tasks[[#This Row],[_LeafTotalSlack]]))</f>
        <v/>
      </c>
      <c r="AI4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4" s="45" t="str">
        <f aca="false">IF(Tasks[[#This Row],[Task Name]]="","",IF(IF(Tasks[[#This Row],[_IsSummary]],COUNTIF(INDEX(Tasks[_LeafCritical],Tasks[[#This Row],[_Row]]+1):INDEX(Tasks[_LeafCritical],Tasks[[#This Row],[_Row]]+Tasks[[#This Row],[_Descendants]]),TRUE())&gt;0,Tasks[[#This Row],[_LeafCritical]]),"Yes",""))</f>
        <v/>
      </c>
      <c r="AK4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4" s="102"/>
      <c r="AN4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4" s="45" t="str">
        <f aca="false">IF(Tasks[[#This Row],[Task Name]]="","",IF(Tasks[[#This Row],[Progress]]&gt;=1,"Complete",IF(OR(N(Tasks[[#This Row],[Actual Start]])&gt;0,Tasks[[#This Row],[Progress]]&gt;0),IF(Tasks[[#This Row],[Finish Var]]&gt;0,"Behind","In Progress"),IF(Tasks[[#This Row],[Planned Start]]&lt;StatusDate,"Late Start","Not Started"))))</f>
        <v/>
      </c>
      <c r="AP44" s="47"/>
      <c r="AQ44" s="102"/>
      <c r="AR4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4" s="110" t="str">
        <f aca="false">IF(Tasks[[#This Row],[Task Name]]="","",IF(Tasks[[#This Row],[_IsSummary]],SUM(INDEX(Tasks[_LeafTotalWork],Tasks[[#This Row],[_Row]]+1):INDEX(Tasks[_LeafTotalWork],Tasks[[#This Row],[_Row]]+Tasks[[#This Row],[_Descendants]])),Tasks[[#This Row],[_LeafTotalWork]]))</f>
        <v/>
      </c>
      <c r="AU44" s="111" t="str">
        <f aca="false">IF(Tasks[[#This Row],[Task Name]]="","",IF(Tasks[[#This Row],[_IsSummary]],SUM(INDEX(Tasks[_LeafTotalCost],Tasks[[#This Row],[_Row]]+1):INDEX(Tasks[_LeafTotalCost],Tasks[[#This Row],[_Row]]+Tasks[[#This Row],[_Descendants]])),Tasks[[#This Row],[_LeafTotalCost]]))</f>
        <v/>
      </c>
      <c r="AV44" s="112"/>
      <c r="AW44" s="46"/>
      <c r="AX4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4" s="96"/>
      <c r="AZ4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4" s="47"/>
      <c r="BB44" s="25" t="str">
        <f aca="false">IF(Tasks[[#This Row],[Task Name]]="","",Tasks[[#This Row],[Forecast Start]])</f>
        <v/>
      </c>
      <c r="BC44" s="25" t="str">
        <f aca="false">IF(Tasks[[#This Row],[Task Name]]="","",Tasks[[#This Row],[Forecast Finish]])</f>
        <v/>
      </c>
      <c r="BD44" s="45" t="str">
        <f aca="false">IF(Tasks[[#This Row],[Task Name]]="","",IF(Tasks[[#This Row],[_IsSummary]],NETWORKDAYS.INTL(Tasks[[#This Row],[Forecast Start]],Tasks[[#This Row],[Forecast Finish]],WorkWeek,Holidays),N(Tasks[[#This Row],[Duration]])))</f>
        <v/>
      </c>
      <c r="BE44" s="110" t="str">
        <f aca="false">IF(Tasks[[#This Row],[Task Name]]="","",Tasks[[#This Row],[Work]])</f>
        <v/>
      </c>
      <c r="BF44" s="111" t="str">
        <f aca="false">IF(Tasks[[#This Row],[Task Name]]="","",Tasks[[#This Row],[Cost]])</f>
        <v/>
      </c>
      <c r="BG44" s="88"/>
      <c r="BH44" s="88"/>
      <c r="BI44" s="46"/>
      <c r="BJ44" s="113"/>
      <c r="BK44" s="112"/>
      <c r="BL44" s="45" t="str">
        <f aca="false">IF(OR(Tasks[[#This Row],[Task Name]]="",Tasks[[#This Row],[Baseline Duration]]=""),"",Tasks[[#This Row],[BL Source Duration]]-N(Tasks[[#This Row],[Baseline Duration]]))</f>
        <v/>
      </c>
      <c r="BM44" s="110" t="str">
        <f aca="false">IF(OR(Tasks[[#This Row],[Task Name]]="",Tasks[[#This Row],[Baseline Work]]=""),"",Tasks[[#This Row],[Work]]-N(Tasks[[#This Row],[Baseline Work]]))</f>
        <v/>
      </c>
      <c r="BN44" s="111" t="str">
        <f aca="false">IF(OR(Tasks[[#This Row],[Task Name]]="",Tasks[[#This Row],[Baseline Cost]]=""),"",Tasks[[#This Row],[Cost]]-N(Tasks[[#This Row],[Baseline Cost]]))</f>
        <v/>
      </c>
      <c r="BO44" s="111" t="str">
        <f aca="false">IF(Tasks[[#This Row],[Task Name]]="","",IF(Tasks[[#This Row],[_IsSummary]],SUM(INDEX(Tasks[_LeafBudget],Tasks[[#This Row],[_Row]]+1):INDEX(Tasks[_LeafBudget],Tasks[[#This Row],[_Row]]+Tasks[[#This Row],[_Descendants]])),Tasks[[#This Row],[_LeafBudget]]))</f>
        <v/>
      </c>
      <c r="BP44" s="111" t="str">
        <f aca="false">IF(Tasks[[#This Row],[Task Name]]="","",IF(Tasks[[#This Row],[_IsSummary]],SUM(INDEX(Tasks[_LeafPV],Tasks[[#This Row],[_Row]]+1):INDEX(Tasks[_LeafPV],Tasks[[#This Row],[_Row]]+Tasks[[#This Row],[_Descendants]])),Tasks[[#This Row],[_LeafPV]]))</f>
        <v/>
      </c>
      <c r="BQ44" s="111" t="str">
        <f aca="false">IF(Tasks[[#This Row],[Task Name]]="","",IF(Tasks[[#This Row],[_IsSummary]],SUM(INDEX(Tasks[_LeafEV],Tasks[[#This Row],[_Row]]+1):INDEX(Tasks[_LeafEV],Tasks[[#This Row],[_Row]]+Tasks[[#This Row],[_Descendants]])),Tasks[[#This Row],[_LeafEV]]))</f>
        <v/>
      </c>
      <c r="BR44" s="111" t="str">
        <f aca="false">IF(Tasks[[#This Row],[Task Name]]="","",IF(Tasks[[#This Row],[_IsSummary]],SUM(INDEX(Tasks[_LeafAC],Tasks[[#This Row],[_Row]]+1):INDEX(Tasks[_LeafAC],Tasks[[#This Row],[_Row]]+Tasks[[#This Row],[_Descendants]])),Tasks[[#This Row],[_LeafAC]]))</f>
        <v/>
      </c>
      <c r="BS44" s="32" t="str">
        <f aca="false">IF(Tasks[[#This Row],[Task Name]]="","",MAX(1,N(Tasks[[#This Row],[Level]])))</f>
        <v/>
      </c>
      <c r="BT44" s="32" t="n">
        <f aca="false">ROW()-ROW(Tasks[[#Headers],[ID]])</f>
        <v>39</v>
      </c>
      <c r="BU44" s="32" t="n">
        <f aca="false">IF(OR(Tasks[[#This Row],[Task Name]]="",Tasks[[#This Row],[_Level]]&lt;=1),0,IFERROR(LOOKUP(2,1/(Tasks[[#Headers],[_Level]]:Tasks[[#This Row],[_Level]]=Tasks[[#This Row],[_Level]]-1),ROW(Tasks[[#Headers],[_Level]]:Tasks[[#This Row],[_Level]])),0))</f>
        <v>0</v>
      </c>
      <c r="BV44" s="32" t="n">
        <f aca="false">IFERROR(N(INDEX(Tasks[_Level],Tasks[[#This Row],[_Row]]+1)),0)</f>
        <v>0</v>
      </c>
      <c r="BW44" s="114" t="b">
        <f aca="false">AND(Tasks[[#This Row],[Task Name]]&lt;&gt;"",Tasks[[#This Row],[_NextLevel]]&gt;Tasks[[#This Row],[_Level]])</f>
        <v>0</v>
      </c>
      <c r="BX44" s="32" t="n">
        <f aca="false">IF(Tasks[[#This Row],[_IsSummary]],COUNTIF(Tasks[WBS],Tasks[[#This Row],[WBS]]&amp;".*"),0)</f>
        <v>0</v>
      </c>
      <c r="BY44" s="32" t="n">
        <f aca="false">IF(AND(Tasks[[#This Row],[Task Name]]&lt;&gt;"",NOT(Tasks[[#This Row],[_IsSummary]])),1,0)</f>
        <v>0</v>
      </c>
      <c r="BZ44" s="32" t="n">
        <f aca="false">IF(N(Tasks[[#This Row],[Pred1 UID]])=0,0,IFERROR(MATCH(Tasks[[#This Row],[Pred1 UID]],Tasks[UID],0),-1))</f>
        <v>0</v>
      </c>
      <c r="CA44" s="32" t="n">
        <f aca="false">IF(N(Tasks[[#This Row],[Pred2 UID]])=0,0,IFERROR(MATCH(Tasks[[#This Row],[Pred2 UID]],Tasks[UID],0),-1))</f>
        <v>0</v>
      </c>
      <c r="CB44" s="32" t="n">
        <f aca="false">IF(N(Tasks[[#This Row],[Pred3 UID]])=0,0,IFERROR(MATCH(Tasks[[#This Row],[Pred3 UID]],Tasks[UID],0),-1))</f>
        <v>0</v>
      </c>
      <c r="CC44" s="32" t="n">
        <f aca="false">IF(N(Tasks[[#This Row],[Pred4 UID]])=0,0,IFERROR(MATCH(Tasks[[#This Row],[Pred4 UID]],Tasks[UID],0),-1))</f>
        <v>0</v>
      </c>
      <c r="CD4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4" s="115" t="n">
        <f aca="false">IF(OR(Tasks[[#This Row],[_ConstraintCode]]=2,Tasks[[#This Row],[_ConstraintCode]]=3,Tasks[[#This Row],[_ConstraintCode]]=4,Tasks[[#This Row],[_ConstraintCode]]=6),Tasks[[#This Row],[_ConstraintStart]],0)</f>
        <v>0</v>
      </c>
      <c r="CG44" s="115" t="n">
        <f aca="false">IF(OR(Tasks[[#This Row],[_ConstraintCode]]=2,Tasks[[#This Row],[_ConstraintCode]]=3,Tasks[[#This Row],[_ConstraintCode]]=5,Tasks[[#This Row],[_ConstraintCode]]=7),Tasks[[#This Row],[_ConstraintStart]],2958465)</f>
        <v>2958465</v>
      </c>
      <c r="CH4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4" s="115" t="str">
        <f aca="false">IF(NOT(Tasks[[#This Row],[_IsLeaf]]=1),"",IF(N(Tasks[[#This Row],[Duration]])&lt;=0,Tasks[[#This Row],[_LeafCalcStart]],WORKDAY.INTL(Tasks[[#This Row],[_LeafCalcStart]],Tasks[[#This Row],[Duration]]-1,WorkWeek,Holidays)))</f>
        <v/>
      </c>
      <c r="CJ4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4" s="32" t="n">
        <f aca="false">IF(NOT(Tasks[[#This Row],[_IsLeaf]]=1),0,IF(N(Tasks[[#This Row],[Actual Finish]])&gt;0,1,MIN(1,N(Tasks[[#This Row],[% Complete]]))))</f>
        <v>0</v>
      </c>
      <c r="CM44" s="32" t="n">
        <f aca="false">IF(OR(NOT(Tasks[[#This Row],[_IsLeaf]]=1),Tasks[[#This Row],[Resource]]=""),0,N(Tasks[[#This Row],[Duration]])*HoursPerDay*IF(Tasks[[#This Row],[Units]]="",DefaultUnits,Tasks[[#This Row],[Units]]))</f>
        <v>0</v>
      </c>
      <c r="CN44" s="32" t="n">
        <f aca="false">IF(Tasks[[#This Row],[_LeafWork]]=0,0,Tasks[[#This Row],[_LeafWork]]*IFERROR(INDEX(res_Rate,MATCH(Tasks[[#This Row],[Resource]],res_Name,0)),0))</f>
        <v>0</v>
      </c>
      <c r="CO44" s="32" t="n">
        <f aca="false">Tasks[[#This Row],[_LeafWork]]+IF(Tasks[[#This Row],[_IsLeaf]]=1,SUMIFS(asg_Work,asg_TaskUID,Tasks[[#This Row],[UID]],asg_Valid,1),0)</f>
        <v>0</v>
      </c>
      <c r="CP44" s="32" t="n">
        <f aca="false">Tasks[[#This Row],[_LeafCost]]+IF(Tasks[[#This Row],[_IsLeaf]]=1,SUMIFS(asg_Cost,asg_TaskUID,Tasks[[#This Row],[UID]],asg_Valid,1),0)</f>
        <v>0</v>
      </c>
      <c r="CQ44" s="32" t="n">
        <f aca="false">IF(Tasks[[#This Row],[_LeafTotalCost]]=0,Tasks[[#This Row],[_LeafAC]],Tasks[[#This Row],[_LeafAC]]*Tasks[[#This Row],[_LeafCost]]/Tasks[[#This Row],[_LeafTotalCost]])</f>
        <v>0</v>
      </c>
      <c r="CR4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4" s="32" t="n">
        <f aca="false">IF(NOT(Tasks[[#This Row],[_IsLeaf]]=1),0,MAX(_xlfn.MAXIFS(Tasks[_Row],Tasks[Pred1 UID],Tasks[[#This Row],[UID]]),_xlfn.MAXIFS(Tasks[_Row],Tasks[Pred2 UID],Tasks[[#This Row],[UID]]),_xlfn.MAXIFS(Tasks[_Row],Tasks[Pred3 UID],Tasks[[#This Row],[UID]]),_xlfn.MAXIFS(Tasks[_Row],Tasks[Pred4 UID],Tasks[[#This Row],[UID]])))</f>
        <v>0</v>
      </c>
      <c r="DA4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4" s="115" t="str">
        <f aca="false">IF(NOT(Tasks[[#This Row],[_IsLeaf]]=1),"",IF(N(Tasks[[#This Row],[Duration]])&lt;=0,Tasks[[#This Row],[_LeafLateFinish]],WORKDAY.INTL(Tasks[[#This Row],[_LeafLateFinish]],-(Tasks[[#This Row],[Duration]]-1),WorkWeek,Holidays)))</f>
        <v/>
      </c>
      <c r="DD4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4" s="114" t="b">
        <f aca="false">AND(Tasks[[#This Row],[_IsLeaf]]=1,Tasks[[#This Row],[_LeafProgress]]&lt;1,N(Tasks[[#This Row],[_LeafTotalSlack]])&lt;=CriticalSlackDays)</f>
        <v>0</v>
      </c>
      <c r="DF44" s="32" t="n">
        <f aca="false">IF(AND(Tasks[[#This Row],[_IsLeaf]]=1,Tasks[[#This Row],[_ConstraintCode]]=1,Tasks[[#This Row],[Mode]]&lt;&gt;"Manual",N(Tasks[[#This Row],[Actual Start]])=0),MAX(0,N(Tasks[[#This Row],[Free Slack]])),0)</f>
        <v>0</v>
      </c>
      <c r="DG44" s="115" t="str">
        <f aca="false">IF(NOT(Tasks[[#This Row],[_IsLeaf]]=1),"",IF(Tasks[[#This Row],[_AlapShift]]=0,Tasks[[#This Row],[_LeafCalcStart]],WORKDAY.INTL(Tasks[[#This Row],[_LeafCalcStart]],Tasks[[#This Row],[_AlapShift]],WorkWeek,Holidays)))</f>
        <v/>
      </c>
      <c r="DH44" s="115" t="str">
        <f aca="false">IF(NOT(Tasks[[#This Row],[_IsLeaf]]=1),"",IF(Tasks[[#This Row],[_AlapShift]]=0,Tasks[[#This Row],[_LeafCalcFinish]],WORKDAY.INTL(Tasks[[#This Row],[_LeafCalcFinish]],Tasks[[#This Row],[_AlapShift]],WorkWeek,Holidays)))</f>
        <v/>
      </c>
      <c r="DI44" s="115" t="str">
        <f aca="false">IF(NOT(Tasks[[#This Row],[_IsLeaf]]=1),"",IF(Tasks[[#This Row],[_AlapShift]]=0,Tasks[[#This Row],[_LeafFcstStart]],WORKDAY.INTL(Tasks[[#This Row],[_LeafFcstStart]],Tasks[[#This Row],[_AlapShift]],WorkWeek,Holidays)))</f>
        <v/>
      </c>
      <c r="DJ44" s="115" t="str">
        <f aca="false">IF(NOT(Tasks[[#This Row],[_IsLeaf]]=1),"",IF(Tasks[[#This Row],[_AlapShift]]=0,Tasks[[#This Row],[_LeafFcstFinish]],WORKDAY.INTL(Tasks[[#This Row],[_LeafFcstFinish]],Tasks[[#This Row],[_AlapShift]],WorkWeek,Holidays)))</f>
        <v/>
      </c>
      <c r="DK44" s="115" t="str">
        <f aca="false">IF(Tasks[[#This Row],[Task Name]]="","",IF(Tasks[[#This Row],[_IsSummary]],MIN(INDEX(Tasks[_ShownCalcStart],Tasks[[#This Row],[_Row]]+1):INDEX(Tasks[_ShownCalcStart],Tasks[[#This Row],[_Row]]+Tasks[[#This Row],[_Descendants]])),Tasks[[#This Row],[_ShownCalcStart]]))</f>
        <v/>
      </c>
      <c r="DL44" s="115" t="str">
        <f aca="false">IF(Tasks[[#This Row],[Task Name]]="","",IF(Tasks[[#This Row],[_IsSummary]],MAX(INDEX(Tasks[_ShownCalcFinish],Tasks[[#This Row],[_Row]]+1):INDEX(Tasks[_ShownCalcFinish],Tasks[[#This Row],[_Row]]+Tasks[[#This Row],[_Descendants]])),Tasks[[#This Row],[_ShownCalcFinish]]))</f>
        <v/>
      </c>
      <c r="DM4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4" s="32" t="n">
        <f aca="false">IF(AND(Tasks[[#This Row],[_IsLeaf]]=1,Tasks[[#This Row],[_LeafTotalWork]]&gt;0),NETWORKDAYS.INTL(ProjectStart,Tasks[[#This Row],[_ShownFcstStart]],WorkWeek,Holidays),0)</f>
        <v>0</v>
      </c>
      <c r="DZ44" s="32" t="n">
        <f aca="false">IF(AND(Tasks[[#This Row],[_IsLeaf]]=1,Tasks[[#This Row],[_LeafTotalWork]]&gt;0),MAX(Tasks[[#This Row],[_StartWorkday]],NETWORKDAYS.INTL(ProjectStart,Tasks[[#This Row],[_ShownFcstFinish]],WorkWeek,Holidays)),0)</f>
        <v>0</v>
      </c>
      <c r="EA44" s="32" t="n">
        <f aca="false">IF(AND(Tasks[[#This Row],[_IsLeaf]]=1,Tasks[[#This Row],[_LeafTotalWork]]&gt;0),Tasks[[#This Row],[_LeafWork]]/(Tasks[[#This Row],[_FinishWorkday]]-Tasks[[#This Row],[_StartWorkday]]+1),0)</f>
        <v>0</v>
      </c>
      <c r="EB44" s="32" t="n">
        <f aca="false">Tasks[[#This Row],[_WorkPerWorkday]]*(Tasks[[#This Row],[_StartWorkday]]-1)</f>
        <v>-0</v>
      </c>
      <c r="EC44" s="32" t="n">
        <f aca="false">IF(Tasks[[#This Row],[_IsLeaf]]=1,MAX(N(Tasks[[#This Row],[Duration]]),0.1),0)</f>
        <v>0</v>
      </c>
      <c r="ED44" s="32" t="n">
        <f aca="false">Tasks[[#This Row],[_WeightDur]]*Tasks[[#This Row],[_LeafProgress]]</f>
        <v>0</v>
      </c>
      <c r="EE4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4" s="32" t="str">
        <f aca="false">IF(AND(Tasks[[#This Row],[_IsLeaf]]=1,N(Tasks[[#This Row],[Duration]])=0,Tasks[[#This Row],[_LeafProgress]]&lt;1),Tasks[[#This Row],[_ShownFcstFinish]]+Tasks[[#This Row],[_Row]]/100000,"")</f>
        <v/>
      </c>
      <c r="EG4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4" s="32" t="n">
        <f aca="false">IF(NOT(Tasks[[#This Row],[_IsLeaf]]=1),0,IF(Tasks[[#This Row],[Baseline Cost]]="",Tasks[[#This Row],[_LeafTotalCost]],N(Tasks[[#This Row],[Baseline Cost]])))</f>
        <v>0</v>
      </c>
      <c r="EI44" s="32" t="n">
        <f aca="false">Tasks[[#This Row],[_LeafBudget]]*Tasks[[#This Row],[_PlannedPct]]</f>
        <v>0</v>
      </c>
      <c r="EJ44" s="32" t="n">
        <f aca="false">Tasks[[#This Row],[_LeafBudget]]*Tasks[[#This Row],[_LeafProgress]]</f>
        <v>0</v>
      </c>
      <c r="EK44" s="32" t="n">
        <f aca="false">IF(NOT(Tasks[[#This Row],[_IsLeaf]]=1),0,IF(Tasks[[#This Row],[Actual Cost]]="",Tasks[[#This Row],[_LeafTotalCost]]*Tasks[[#This Row],[_LeafProgress]],N(Tasks[[#This Row],[Actual Cost]])))</f>
        <v>0</v>
      </c>
      <c r="EL44" s="32" t="str">
        <f aca="false">IF(Tasks[[#This Row],[Task Name]]="","",LEFT(Tasks[[#This Row],[WBS]],FIND(".",Tasks[[#This Row],[WBS]]&amp;".")-1))</f>
        <v/>
      </c>
      <c r="EM44" s="32" t="str">
        <f aca="false">IF(AND(Tasks[[#This Row],[Task Name]]&lt;&gt;"",Tasks[[#This Row],[_Level]]=1),Tasks[[#This Row],[_Row]],"")</f>
        <v/>
      </c>
      <c r="EN44" s="32" t="str">
        <f aca="false">IF(AND(Tasks[[#This Row],[_IsLeaf]]=1,N(Tasks[[#This Row],[Duration]])=0),Tasks[[#This Row],[Planned Finish]]+Tasks[[#This Row],[_Row]]/100000,"")</f>
        <v/>
      </c>
      <c r="EO44" s="32" t="str">
        <f aca="false">IF(AND(Tasks[[#This Row],[_IsLeaf]]=1,Tasks[[#This Row],[_LeafProgress]]&lt;1,OR(N(Tasks[[#This Row],[Finish Var]])&gt;0,Tasks[[#This Row],[Status]]="Late Start")),MAX(0,Tasks[[#This Row],[Finish Var]])+1-Tasks[[#This Row],[_Row]]/1000000,"")</f>
        <v/>
      </c>
      <c r="EP44" s="32" t="str">
        <f aca="false">IF(AND(Tasks[[#This Row],[_IsLeaf]]=1,N(Tasks[[#This Row],[Actual Start]])=0,Tasks[[#This Row],[_ShownFcstStart]]&gt;=StatusDate,Tasks[[#This Row],[_ShownFcstStart]]&lt;=LookaheadEnd),Tasks[[#This Row],[_ShownFcstStart]]+Tasks[[#This Row],[_Row]]/100000,"")</f>
        <v/>
      </c>
      <c r="EQ44" s="32" t="str">
        <f aca="false">IF(AND(Tasks[[#This Row],[_IsLeaf]]=1,Tasks[[#This Row],[_LeafProgress]]&lt;1,Tasks[[#This Row],[_ShownFcstFinish]]&gt;=StatusDate,Tasks[[#This Row],[_ShownFcstFinish]]&lt;=LookaheadEnd),Tasks[[#This Row],[_ShownFcstFinish]]+Tasks[[#This Row],[_Row]]/100000,"")</f>
        <v/>
      </c>
      <c r="ER44" s="32" t="str">
        <f aca="false">IF(Tasks[[#This Row],[_LeafCritical]],Tasks[[#This Row],[_ShownFcstStart]]+Tasks[[#This Row],[_Row]]/100000,"")</f>
        <v/>
      </c>
      <c r="ES44" s="32" t="n">
        <f aca="false">Tasks[[#This Row],[_LeafWork]]*Tasks[[#This Row],[_LeafProgress]]</f>
        <v>0</v>
      </c>
      <c r="ET44" s="115" t="str">
        <f aca="false">IF(AND(Tasks[[#This Row],[_IsLeaf]]=1,Tasks[[#This Row],[_LeafProgress]]&gt;=1),IF(N(Tasks[[#This Row],[Actual Finish]])&gt;0,Tasks[[#This Row],[Actual Finish]],Tasks[[#This Row],[_ShownFcstFinish]]),"")</f>
        <v/>
      </c>
      <c r="EU44" s="32" t="n">
        <f aca="false">IF(Tasks[[#This Row],[_IsLeaf]]=1,N(Tasks[[#This Row],[Story Points]]),0)</f>
        <v>0</v>
      </c>
      <c r="EV44" s="32" t="str">
        <f aca="false">IF(AND(Tasks[[#This Row],[_IsLeaf]]=1,CurrentSprint&lt;&gt;"",Tasks[[#This Row],[Sprint]]=CurrentSprint),Tasks[[#This Row],[_Row]],"")</f>
        <v/>
      </c>
    </row>
    <row r="45" customFormat="false" ht="15" hidden="false" customHeight="false" outlineLevel="0" collapsed="false">
      <c r="A45" s="45" t="str">
        <f aca="false">IF(Tasks[[#This Row],[Task Name]]="","",COUNTA(Tasks[[#Headers],[Task Name]]:Tasks[[#This Row],[Task Name]])-1)</f>
        <v/>
      </c>
      <c r="B45" s="46" t="n">
        <v>40</v>
      </c>
      <c r="C4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5" s="46"/>
      <c r="E45" s="45" t="str">
        <f aca="false">IF(Tasks[[#This Row],[Task Name]]="","",IF(Tasks[[#This Row],[_Level]]&lt;=OutlineShowLevel,"Yes","No"))</f>
        <v/>
      </c>
      <c r="F45" s="47"/>
      <c r="G45" s="46"/>
      <c r="H45" s="46"/>
      <c r="I45" s="46"/>
      <c r="J45" s="46"/>
      <c r="K45" s="46"/>
      <c r="L45" s="46"/>
      <c r="M45" s="46"/>
      <c r="N45" s="46"/>
      <c r="O45" s="46"/>
      <c r="P45" s="46"/>
      <c r="Q45" s="46"/>
      <c r="R45" s="46"/>
      <c r="S45" s="46"/>
      <c r="T45" s="46"/>
      <c r="U45" s="47"/>
      <c r="V45" s="88"/>
      <c r="W45" s="88"/>
      <c r="X45" s="25" t="str">
        <f aca="false">IF(Tasks[[#This Row],[Task Name]]="","",IF(N(Tasks[[#This Row],[Baseline Start]])&gt;0,Tasks[[#This Row],[Baseline Start]],Tasks[[#This Row],[_CalcStart]]))</f>
        <v/>
      </c>
      <c r="Y45" s="25" t="str">
        <f aca="false">IF(Tasks[[#This Row],[Task Name]]="","",IF(N(Tasks[[#This Row],[Baseline Finish]])&gt;0,Tasks[[#This Row],[Baseline Finish]],Tasks[[#This Row],[_CalcFinish]]))</f>
        <v/>
      </c>
      <c r="Z45" s="88"/>
      <c r="AA45" s="88"/>
      <c r="AB45" s="25" t="str">
        <f aca="false">IF(Tasks[[#This Row],[Task Name]]="","",IF(Tasks[[#This Row],[_IsSummary]],MIN(INDEX(Tasks[_ShownFcstStart],Tasks[[#This Row],[_Row]]+1):INDEX(Tasks[_ShownFcstStart],Tasks[[#This Row],[_Row]]+Tasks[[#This Row],[_Descendants]])),Tasks[[#This Row],[_ShownFcstStart]]))</f>
        <v/>
      </c>
      <c r="AC45" s="25" t="str">
        <f aca="false">IF(Tasks[[#This Row],[Task Name]]="","",IF(Tasks[[#This Row],[_IsSummary]],MAX(INDEX(Tasks[_ShownFcstFinish],Tasks[[#This Row],[_Row]]+1):INDEX(Tasks[_ShownFcstFinish],Tasks[[#This Row],[_Row]]+Tasks[[#This Row],[_Descendants]])),Tasks[[#This Row],[_ShownFcstFinish]]))</f>
        <v/>
      </c>
      <c r="AD4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5" s="25" t="str">
        <f aca="false">IF(Tasks[[#This Row],[Task Name]]="","",IF(Tasks[[#This Row],[_IsSummary]],MIN(INDEX(Tasks[_LeafLateStart],Tasks[[#This Row],[_Row]]+1):INDEX(Tasks[_LeafLateStart],Tasks[[#This Row],[_Row]]+Tasks[[#This Row],[_Descendants]])),Tasks[[#This Row],[_LeafLateStart]]))</f>
        <v/>
      </c>
      <c r="AG45" s="25" t="str">
        <f aca="false">IF(Tasks[[#This Row],[Task Name]]="","",IF(Tasks[[#This Row],[_IsSummary]],MAX(INDEX(Tasks[_LeafLateFinish],Tasks[[#This Row],[_Row]]+1):INDEX(Tasks[_LeafLateFinish],Tasks[[#This Row],[_Row]]+Tasks[[#This Row],[_Descendants]])),Tasks[[#This Row],[_LeafLateFinish]]))</f>
        <v/>
      </c>
      <c r="AH45" s="56" t="str">
        <f aca="false">IF(Tasks[[#This Row],[Task Name]]="","",IF(Tasks[[#This Row],[_IsSummary]],MIN(INDEX(Tasks[_LeafTotalSlack],Tasks[[#This Row],[_Row]]+1):INDEX(Tasks[_LeafTotalSlack],Tasks[[#This Row],[_Row]]+Tasks[[#This Row],[_Descendants]])),Tasks[[#This Row],[_LeafTotalSlack]]))</f>
        <v/>
      </c>
      <c r="AI4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5" s="45" t="str">
        <f aca="false">IF(Tasks[[#This Row],[Task Name]]="","",IF(IF(Tasks[[#This Row],[_IsSummary]],COUNTIF(INDEX(Tasks[_LeafCritical],Tasks[[#This Row],[_Row]]+1):INDEX(Tasks[_LeafCritical],Tasks[[#This Row],[_Row]]+Tasks[[#This Row],[_Descendants]]),TRUE())&gt;0,Tasks[[#This Row],[_LeafCritical]]),"Yes",""))</f>
        <v/>
      </c>
      <c r="AK4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5" s="102"/>
      <c r="AN4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5" s="45" t="str">
        <f aca="false">IF(Tasks[[#This Row],[Task Name]]="","",IF(Tasks[[#This Row],[Progress]]&gt;=1,"Complete",IF(OR(N(Tasks[[#This Row],[Actual Start]])&gt;0,Tasks[[#This Row],[Progress]]&gt;0),IF(Tasks[[#This Row],[Finish Var]]&gt;0,"Behind","In Progress"),IF(Tasks[[#This Row],[Planned Start]]&lt;StatusDate,"Late Start","Not Started"))))</f>
        <v/>
      </c>
      <c r="AP45" s="47"/>
      <c r="AQ45" s="102"/>
      <c r="AR4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5" s="110" t="str">
        <f aca="false">IF(Tasks[[#This Row],[Task Name]]="","",IF(Tasks[[#This Row],[_IsSummary]],SUM(INDEX(Tasks[_LeafTotalWork],Tasks[[#This Row],[_Row]]+1):INDEX(Tasks[_LeafTotalWork],Tasks[[#This Row],[_Row]]+Tasks[[#This Row],[_Descendants]])),Tasks[[#This Row],[_LeafTotalWork]]))</f>
        <v/>
      </c>
      <c r="AU45" s="111" t="str">
        <f aca="false">IF(Tasks[[#This Row],[Task Name]]="","",IF(Tasks[[#This Row],[_IsSummary]],SUM(INDEX(Tasks[_LeafTotalCost],Tasks[[#This Row],[_Row]]+1):INDEX(Tasks[_LeafTotalCost],Tasks[[#This Row],[_Row]]+Tasks[[#This Row],[_Descendants]])),Tasks[[#This Row],[_LeafTotalCost]]))</f>
        <v/>
      </c>
      <c r="AV45" s="112"/>
      <c r="AW45" s="46"/>
      <c r="AX4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5" s="96"/>
      <c r="AZ4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5" s="47"/>
      <c r="BB45" s="25" t="str">
        <f aca="false">IF(Tasks[[#This Row],[Task Name]]="","",Tasks[[#This Row],[Forecast Start]])</f>
        <v/>
      </c>
      <c r="BC45" s="25" t="str">
        <f aca="false">IF(Tasks[[#This Row],[Task Name]]="","",Tasks[[#This Row],[Forecast Finish]])</f>
        <v/>
      </c>
      <c r="BD45" s="45" t="str">
        <f aca="false">IF(Tasks[[#This Row],[Task Name]]="","",IF(Tasks[[#This Row],[_IsSummary]],NETWORKDAYS.INTL(Tasks[[#This Row],[Forecast Start]],Tasks[[#This Row],[Forecast Finish]],WorkWeek,Holidays),N(Tasks[[#This Row],[Duration]])))</f>
        <v/>
      </c>
      <c r="BE45" s="110" t="str">
        <f aca="false">IF(Tasks[[#This Row],[Task Name]]="","",Tasks[[#This Row],[Work]])</f>
        <v/>
      </c>
      <c r="BF45" s="111" t="str">
        <f aca="false">IF(Tasks[[#This Row],[Task Name]]="","",Tasks[[#This Row],[Cost]])</f>
        <v/>
      </c>
      <c r="BG45" s="88"/>
      <c r="BH45" s="88"/>
      <c r="BI45" s="46"/>
      <c r="BJ45" s="113"/>
      <c r="BK45" s="112"/>
      <c r="BL45" s="45" t="str">
        <f aca="false">IF(OR(Tasks[[#This Row],[Task Name]]="",Tasks[[#This Row],[Baseline Duration]]=""),"",Tasks[[#This Row],[BL Source Duration]]-N(Tasks[[#This Row],[Baseline Duration]]))</f>
        <v/>
      </c>
      <c r="BM45" s="110" t="str">
        <f aca="false">IF(OR(Tasks[[#This Row],[Task Name]]="",Tasks[[#This Row],[Baseline Work]]=""),"",Tasks[[#This Row],[Work]]-N(Tasks[[#This Row],[Baseline Work]]))</f>
        <v/>
      </c>
      <c r="BN45" s="111" t="str">
        <f aca="false">IF(OR(Tasks[[#This Row],[Task Name]]="",Tasks[[#This Row],[Baseline Cost]]=""),"",Tasks[[#This Row],[Cost]]-N(Tasks[[#This Row],[Baseline Cost]]))</f>
        <v/>
      </c>
      <c r="BO45" s="111" t="str">
        <f aca="false">IF(Tasks[[#This Row],[Task Name]]="","",IF(Tasks[[#This Row],[_IsSummary]],SUM(INDEX(Tasks[_LeafBudget],Tasks[[#This Row],[_Row]]+1):INDEX(Tasks[_LeafBudget],Tasks[[#This Row],[_Row]]+Tasks[[#This Row],[_Descendants]])),Tasks[[#This Row],[_LeafBudget]]))</f>
        <v/>
      </c>
      <c r="BP45" s="111" t="str">
        <f aca="false">IF(Tasks[[#This Row],[Task Name]]="","",IF(Tasks[[#This Row],[_IsSummary]],SUM(INDEX(Tasks[_LeafPV],Tasks[[#This Row],[_Row]]+1):INDEX(Tasks[_LeafPV],Tasks[[#This Row],[_Row]]+Tasks[[#This Row],[_Descendants]])),Tasks[[#This Row],[_LeafPV]]))</f>
        <v/>
      </c>
      <c r="BQ45" s="111" t="str">
        <f aca="false">IF(Tasks[[#This Row],[Task Name]]="","",IF(Tasks[[#This Row],[_IsSummary]],SUM(INDEX(Tasks[_LeafEV],Tasks[[#This Row],[_Row]]+1):INDEX(Tasks[_LeafEV],Tasks[[#This Row],[_Row]]+Tasks[[#This Row],[_Descendants]])),Tasks[[#This Row],[_LeafEV]]))</f>
        <v/>
      </c>
      <c r="BR45" s="111" t="str">
        <f aca="false">IF(Tasks[[#This Row],[Task Name]]="","",IF(Tasks[[#This Row],[_IsSummary]],SUM(INDEX(Tasks[_LeafAC],Tasks[[#This Row],[_Row]]+1):INDEX(Tasks[_LeafAC],Tasks[[#This Row],[_Row]]+Tasks[[#This Row],[_Descendants]])),Tasks[[#This Row],[_LeafAC]]))</f>
        <v/>
      </c>
      <c r="BS45" s="32" t="str">
        <f aca="false">IF(Tasks[[#This Row],[Task Name]]="","",MAX(1,N(Tasks[[#This Row],[Level]])))</f>
        <v/>
      </c>
      <c r="BT45" s="32" t="n">
        <f aca="false">ROW()-ROW(Tasks[[#Headers],[ID]])</f>
        <v>40</v>
      </c>
      <c r="BU45" s="32" t="n">
        <f aca="false">IF(OR(Tasks[[#This Row],[Task Name]]="",Tasks[[#This Row],[_Level]]&lt;=1),0,IFERROR(LOOKUP(2,1/(Tasks[[#Headers],[_Level]]:Tasks[[#This Row],[_Level]]=Tasks[[#This Row],[_Level]]-1),ROW(Tasks[[#Headers],[_Level]]:Tasks[[#This Row],[_Level]])),0))</f>
        <v>0</v>
      </c>
      <c r="BV45" s="32" t="n">
        <f aca="false">IFERROR(N(INDEX(Tasks[_Level],Tasks[[#This Row],[_Row]]+1)),0)</f>
        <v>0</v>
      </c>
      <c r="BW45" s="114" t="b">
        <f aca="false">AND(Tasks[[#This Row],[Task Name]]&lt;&gt;"",Tasks[[#This Row],[_NextLevel]]&gt;Tasks[[#This Row],[_Level]])</f>
        <v>0</v>
      </c>
      <c r="BX45" s="32" t="n">
        <f aca="false">IF(Tasks[[#This Row],[_IsSummary]],COUNTIF(Tasks[WBS],Tasks[[#This Row],[WBS]]&amp;".*"),0)</f>
        <v>0</v>
      </c>
      <c r="BY45" s="32" t="n">
        <f aca="false">IF(AND(Tasks[[#This Row],[Task Name]]&lt;&gt;"",NOT(Tasks[[#This Row],[_IsSummary]])),1,0)</f>
        <v>0</v>
      </c>
      <c r="BZ45" s="32" t="n">
        <f aca="false">IF(N(Tasks[[#This Row],[Pred1 UID]])=0,0,IFERROR(MATCH(Tasks[[#This Row],[Pred1 UID]],Tasks[UID],0),-1))</f>
        <v>0</v>
      </c>
      <c r="CA45" s="32" t="n">
        <f aca="false">IF(N(Tasks[[#This Row],[Pred2 UID]])=0,0,IFERROR(MATCH(Tasks[[#This Row],[Pred2 UID]],Tasks[UID],0),-1))</f>
        <v>0</v>
      </c>
      <c r="CB45" s="32" t="n">
        <f aca="false">IF(N(Tasks[[#This Row],[Pred3 UID]])=0,0,IFERROR(MATCH(Tasks[[#This Row],[Pred3 UID]],Tasks[UID],0),-1))</f>
        <v>0</v>
      </c>
      <c r="CC45" s="32" t="n">
        <f aca="false">IF(N(Tasks[[#This Row],[Pred4 UID]])=0,0,IFERROR(MATCH(Tasks[[#This Row],[Pred4 UID]],Tasks[UID],0),-1))</f>
        <v>0</v>
      </c>
      <c r="CD4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5" s="115" t="n">
        <f aca="false">IF(OR(Tasks[[#This Row],[_ConstraintCode]]=2,Tasks[[#This Row],[_ConstraintCode]]=3,Tasks[[#This Row],[_ConstraintCode]]=4,Tasks[[#This Row],[_ConstraintCode]]=6),Tasks[[#This Row],[_ConstraintStart]],0)</f>
        <v>0</v>
      </c>
      <c r="CG45" s="115" t="n">
        <f aca="false">IF(OR(Tasks[[#This Row],[_ConstraintCode]]=2,Tasks[[#This Row],[_ConstraintCode]]=3,Tasks[[#This Row],[_ConstraintCode]]=5,Tasks[[#This Row],[_ConstraintCode]]=7),Tasks[[#This Row],[_ConstraintStart]],2958465)</f>
        <v>2958465</v>
      </c>
      <c r="CH4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5" s="115" t="str">
        <f aca="false">IF(NOT(Tasks[[#This Row],[_IsLeaf]]=1),"",IF(N(Tasks[[#This Row],[Duration]])&lt;=0,Tasks[[#This Row],[_LeafCalcStart]],WORKDAY.INTL(Tasks[[#This Row],[_LeafCalcStart]],Tasks[[#This Row],[Duration]]-1,WorkWeek,Holidays)))</f>
        <v/>
      </c>
      <c r="CJ4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5" s="32" t="n">
        <f aca="false">IF(NOT(Tasks[[#This Row],[_IsLeaf]]=1),0,IF(N(Tasks[[#This Row],[Actual Finish]])&gt;0,1,MIN(1,N(Tasks[[#This Row],[% Complete]]))))</f>
        <v>0</v>
      </c>
      <c r="CM45" s="32" t="n">
        <f aca="false">IF(OR(NOT(Tasks[[#This Row],[_IsLeaf]]=1),Tasks[[#This Row],[Resource]]=""),0,N(Tasks[[#This Row],[Duration]])*HoursPerDay*IF(Tasks[[#This Row],[Units]]="",DefaultUnits,Tasks[[#This Row],[Units]]))</f>
        <v>0</v>
      </c>
      <c r="CN45" s="32" t="n">
        <f aca="false">IF(Tasks[[#This Row],[_LeafWork]]=0,0,Tasks[[#This Row],[_LeafWork]]*IFERROR(INDEX(res_Rate,MATCH(Tasks[[#This Row],[Resource]],res_Name,0)),0))</f>
        <v>0</v>
      </c>
      <c r="CO45" s="32" t="n">
        <f aca="false">Tasks[[#This Row],[_LeafWork]]+IF(Tasks[[#This Row],[_IsLeaf]]=1,SUMIFS(asg_Work,asg_TaskUID,Tasks[[#This Row],[UID]],asg_Valid,1),0)</f>
        <v>0</v>
      </c>
      <c r="CP45" s="32" t="n">
        <f aca="false">Tasks[[#This Row],[_LeafCost]]+IF(Tasks[[#This Row],[_IsLeaf]]=1,SUMIFS(asg_Cost,asg_TaskUID,Tasks[[#This Row],[UID]],asg_Valid,1),0)</f>
        <v>0</v>
      </c>
      <c r="CQ45" s="32" t="n">
        <f aca="false">IF(Tasks[[#This Row],[_LeafTotalCost]]=0,Tasks[[#This Row],[_LeafAC]],Tasks[[#This Row],[_LeafAC]]*Tasks[[#This Row],[_LeafCost]]/Tasks[[#This Row],[_LeafTotalCost]])</f>
        <v>0</v>
      </c>
      <c r="CR4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5" s="32" t="n">
        <f aca="false">IF(NOT(Tasks[[#This Row],[_IsLeaf]]=1),0,MAX(_xlfn.MAXIFS(Tasks[_Row],Tasks[Pred1 UID],Tasks[[#This Row],[UID]]),_xlfn.MAXIFS(Tasks[_Row],Tasks[Pred2 UID],Tasks[[#This Row],[UID]]),_xlfn.MAXIFS(Tasks[_Row],Tasks[Pred3 UID],Tasks[[#This Row],[UID]]),_xlfn.MAXIFS(Tasks[_Row],Tasks[Pred4 UID],Tasks[[#This Row],[UID]])))</f>
        <v>0</v>
      </c>
      <c r="DA4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5" s="115" t="str">
        <f aca="false">IF(NOT(Tasks[[#This Row],[_IsLeaf]]=1),"",IF(N(Tasks[[#This Row],[Duration]])&lt;=0,Tasks[[#This Row],[_LeafLateFinish]],WORKDAY.INTL(Tasks[[#This Row],[_LeafLateFinish]],-(Tasks[[#This Row],[Duration]]-1),WorkWeek,Holidays)))</f>
        <v/>
      </c>
      <c r="DD4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5" s="114" t="b">
        <f aca="false">AND(Tasks[[#This Row],[_IsLeaf]]=1,Tasks[[#This Row],[_LeafProgress]]&lt;1,N(Tasks[[#This Row],[_LeafTotalSlack]])&lt;=CriticalSlackDays)</f>
        <v>0</v>
      </c>
      <c r="DF45" s="32" t="n">
        <f aca="false">IF(AND(Tasks[[#This Row],[_IsLeaf]]=1,Tasks[[#This Row],[_ConstraintCode]]=1,Tasks[[#This Row],[Mode]]&lt;&gt;"Manual",N(Tasks[[#This Row],[Actual Start]])=0),MAX(0,N(Tasks[[#This Row],[Free Slack]])),0)</f>
        <v>0</v>
      </c>
      <c r="DG45" s="115" t="str">
        <f aca="false">IF(NOT(Tasks[[#This Row],[_IsLeaf]]=1),"",IF(Tasks[[#This Row],[_AlapShift]]=0,Tasks[[#This Row],[_LeafCalcStart]],WORKDAY.INTL(Tasks[[#This Row],[_LeafCalcStart]],Tasks[[#This Row],[_AlapShift]],WorkWeek,Holidays)))</f>
        <v/>
      </c>
      <c r="DH45" s="115" t="str">
        <f aca="false">IF(NOT(Tasks[[#This Row],[_IsLeaf]]=1),"",IF(Tasks[[#This Row],[_AlapShift]]=0,Tasks[[#This Row],[_LeafCalcFinish]],WORKDAY.INTL(Tasks[[#This Row],[_LeafCalcFinish]],Tasks[[#This Row],[_AlapShift]],WorkWeek,Holidays)))</f>
        <v/>
      </c>
      <c r="DI45" s="115" t="str">
        <f aca="false">IF(NOT(Tasks[[#This Row],[_IsLeaf]]=1),"",IF(Tasks[[#This Row],[_AlapShift]]=0,Tasks[[#This Row],[_LeafFcstStart]],WORKDAY.INTL(Tasks[[#This Row],[_LeafFcstStart]],Tasks[[#This Row],[_AlapShift]],WorkWeek,Holidays)))</f>
        <v/>
      </c>
      <c r="DJ45" s="115" t="str">
        <f aca="false">IF(NOT(Tasks[[#This Row],[_IsLeaf]]=1),"",IF(Tasks[[#This Row],[_AlapShift]]=0,Tasks[[#This Row],[_LeafFcstFinish]],WORKDAY.INTL(Tasks[[#This Row],[_LeafFcstFinish]],Tasks[[#This Row],[_AlapShift]],WorkWeek,Holidays)))</f>
        <v/>
      </c>
      <c r="DK45" s="115" t="str">
        <f aca="false">IF(Tasks[[#This Row],[Task Name]]="","",IF(Tasks[[#This Row],[_IsSummary]],MIN(INDEX(Tasks[_ShownCalcStart],Tasks[[#This Row],[_Row]]+1):INDEX(Tasks[_ShownCalcStart],Tasks[[#This Row],[_Row]]+Tasks[[#This Row],[_Descendants]])),Tasks[[#This Row],[_ShownCalcStart]]))</f>
        <v/>
      </c>
      <c r="DL45" s="115" t="str">
        <f aca="false">IF(Tasks[[#This Row],[Task Name]]="","",IF(Tasks[[#This Row],[_IsSummary]],MAX(INDEX(Tasks[_ShownCalcFinish],Tasks[[#This Row],[_Row]]+1):INDEX(Tasks[_ShownCalcFinish],Tasks[[#This Row],[_Row]]+Tasks[[#This Row],[_Descendants]])),Tasks[[#This Row],[_ShownCalcFinish]]))</f>
        <v/>
      </c>
      <c r="DM4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5" s="32" t="n">
        <f aca="false">IF(AND(Tasks[[#This Row],[_IsLeaf]]=1,Tasks[[#This Row],[_LeafTotalWork]]&gt;0),NETWORKDAYS.INTL(ProjectStart,Tasks[[#This Row],[_ShownFcstStart]],WorkWeek,Holidays),0)</f>
        <v>0</v>
      </c>
      <c r="DZ45" s="32" t="n">
        <f aca="false">IF(AND(Tasks[[#This Row],[_IsLeaf]]=1,Tasks[[#This Row],[_LeafTotalWork]]&gt;0),MAX(Tasks[[#This Row],[_StartWorkday]],NETWORKDAYS.INTL(ProjectStart,Tasks[[#This Row],[_ShownFcstFinish]],WorkWeek,Holidays)),0)</f>
        <v>0</v>
      </c>
      <c r="EA45" s="32" t="n">
        <f aca="false">IF(AND(Tasks[[#This Row],[_IsLeaf]]=1,Tasks[[#This Row],[_LeafTotalWork]]&gt;0),Tasks[[#This Row],[_LeafWork]]/(Tasks[[#This Row],[_FinishWorkday]]-Tasks[[#This Row],[_StartWorkday]]+1),0)</f>
        <v>0</v>
      </c>
      <c r="EB45" s="32" t="n">
        <f aca="false">Tasks[[#This Row],[_WorkPerWorkday]]*(Tasks[[#This Row],[_StartWorkday]]-1)</f>
        <v>-0</v>
      </c>
      <c r="EC45" s="32" t="n">
        <f aca="false">IF(Tasks[[#This Row],[_IsLeaf]]=1,MAX(N(Tasks[[#This Row],[Duration]]),0.1),0)</f>
        <v>0</v>
      </c>
      <c r="ED45" s="32" t="n">
        <f aca="false">Tasks[[#This Row],[_WeightDur]]*Tasks[[#This Row],[_LeafProgress]]</f>
        <v>0</v>
      </c>
      <c r="EE4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5" s="32" t="str">
        <f aca="false">IF(AND(Tasks[[#This Row],[_IsLeaf]]=1,N(Tasks[[#This Row],[Duration]])=0,Tasks[[#This Row],[_LeafProgress]]&lt;1),Tasks[[#This Row],[_ShownFcstFinish]]+Tasks[[#This Row],[_Row]]/100000,"")</f>
        <v/>
      </c>
      <c r="EG4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5" s="32" t="n">
        <f aca="false">IF(NOT(Tasks[[#This Row],[_IsLeaf]]=1),0,IF(Tasks[[#This Row],[Baseline Cost]]="",Tasks[[#This Row],[_LeafTotalCost]],N(Tasks[[#This Row],[Baseline Cost]])))</f>
        <v>0</v>
      </c>
      <c r="EI45" s="32" t="n">
        <f aca="false">Tasks[[#This Row],[_LeafBudget]]*Tasks[[#This Row],[_PlannedPct]]</f>
        <v>0</v>
      </c>
      <c r="EJ45" s="32" t="n">
        <f aca="false">Tasks[[#This Row],[_LeafBudget]]*Tasks[[#This Row],[_LeafProgress]]</f>
        <v>0</v>
      </c>
      <c r="EK45" s="32" t="n">
        <f aca="false">IF(NOT(Tasks[[#This Row],[_IsLeaf]]=1),0,IF(Tasks[[#This Row],[Actual Cost]]="",Tasks[[#This Row],[_LeafTotalCost]]*Tasks[[#This Row],[_LeafProgress]],N(Tasks[[#This Row],[Actual Cost]])))</f>
        <v>0</v>
      </c>
      <c r="EL45" s="32" t="str">
        <f aca="false">IF(Tasks[[#This Row],[Task Name]]="","",LEFT(Tasks[[#This Row],[WBS]],FIND(".",Tasks[[#This Row],[WBS]]&amp;".")-1))</f>
        <v/>
      </c>
      <c r="EM45" s="32" t="str">
        <f aca="false">IF(AND(Tasks[[#This Row],[Task Name]]&lt;&gt;"",Tasks[[#This Row],[_Level]]=1),Tasks[[#This Row],[_Row]],"")</f>
        <v/>
      </c>
      <c r="EN45" s="32" t="str">
        <f aca="false">IF(AND(Tasks[[#This Row],[_IsLeaf]]=1,N(Tasks[[#This Row],[Duration]])=0),Tasks[[#This Row],[Planned Finish]]+Tasks[[#This Row],[_Row]]/100000,"")</f>
        <v/>
      </c>
      <c r="EO45" s="32" t="str">
        <f aca="false">IF(AND(Tasks[[#This Row],[_IsLeaf]]=1,Tasks[[#This Row],[_LeafProgress]]&lt;1,OR(N(Tasks[[#This Row],[Finish Var]])&gt;0,Tasks[[#This Row],[Status]]="Late Start")),MAX(0,Tasks[[#This Row],[Finish Var]])+1-Tasks[[#This Row],[_Row]]/1000000,"")</f>
        <v/>
      </c>
      <c r="EP45" s="32" t="str">
        <f aca="false">IF(AND(Tasks[[#This Row],[_IsLeaf]]=1,N(Tasks[[#This Row],[Actual Start]])=0,Tasks[[#This Row],[_ShownFcstStart]]&gt;=StatusDate,Tasks[[#This Row],[_ShownFcstStart]]&lt;=LookaheadEnd),Tasks[[#This Row],[_ShownFcstStart]]+Tasks[[#This Row],[_Row]]/100000,"")</f>
        <v/>
      </c>
      <c r="EQ45" s="32" t="str">
        <f aca="false">IF(AND(Tasks[[#This Row],[_IsLeaf]]=1,Tasks[[#This Row],[_LeafProgress]]&lt;1,Tasks[[#This Row],[_ShownFcstFinish]]&gt;=StatusDate,Tasks[[#This Row],[_ShownFcstFinish]]&lt;=LookaheadEnd),Tasks[[#This Row],[_ShownFcstFinish]]+Tasks[[#This Row],[_Row]]/100000,"")</f>
        <v/>
      </c>
      <c r="ER45" s="32" t="str">
        <f aca="false">IF(Tasks[[#This Row],[_LeafCritical]],Tasks[[#This Row],[_ShownFcstStart]]+Tasks[[#This Row],[_Row]]/100000,"")</f>
        <v/>
      </c>
      <c r="ES45" s="32" t="n">
        <f aca="false">Tasks[[#This Row],[_LeafWork]]*Tasks[[#This Row],[_LeafProgress]]</f>
        <v>0</v>
      </c>
      <c r="ET45" s="115" t="str">
        <f aca="false">IF(AND(Tasks[[#This Row],[_IsLeaf]]=1,Tasks[[#This Row],[_LeafProgress]]&gt;=1),IF(N(Tasks[[#This Row],[Actual Finish]])&gt;0,Tasks[[#This Row],[Actual Finish]],Tasks[[#This Row],[_ShownFcstFinish]]),"")</f>
        <v/>
      </c>
      <c r="EU45" s="32" t="n">
        <f aca="false">IF(Tasks[[#This Row],[_IsLeaf]]=1,N(Tasks[[#This Row],[Story Points]]),0)</f>
        <v>0</v>
      </c>
      <c r="EV45" s="32" t="str">
        <f aca="false">IF(AND(Tasks[[#This Row],[_IsLeaf]]=1,CurrentSprint&lt;&gt;"",Tasks[[#This Row],[Sprint]]=CurrentSprint),Tasks[[#This Row],[_Row]],"")</f>
        <v/>
      </c>
    </row>
    <row r="46" customFormat="false" ht="15" hidden="false" customHeight="false" outlineLevel="0" collapsed="false">
      <c r="A46" s="45" t="str">
        <f aca="false">IF(Tasks[[#This Row],[Task Name]]="","",COUNTA(Tasks[[#Headers],[Task Name]]:Tasks[[#This Row],[Task Name]])-1)</f>
        <v/>
      </c>
      <c r="B46" s="46" t="n">
        <v>41</v>
      </c>
      <c r="C4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6" s="46"/>
      <c r="E46" s="45" t="str">
        <f aca="false">IF(Tasks[[#This Row],[Task Name]]="","",IF(Tasks[[#This Row],[_Level]]&lt;=OutlineShowLevel,"Yes","No"))</f>
        <v/>
      </c>
      <c r="F46" s="47"/>
      <c r="G46" s="46"/>
      <c r="H46" s="46"/>
      <c r="I46" s="46"/>
      <c r="J46" s="46"/>
      <c r="K46" s="46"/>
      <c r="L46" s="46"/>
      <c r="M46" s="46"/>
      <c r="N46" s="46"/>
      <c r="O46" s="46"/>
      <c r="P46" s="46"/>
      <c r="Q46" s="46"/>
      <c r="R46" s="46"/>
      <c r="S46" s="46"/>
      <c r="T46" s="46"/>
      <c r="U46" s="47"/>
      <c r="V46" s="88"/>
      <c r="W46" s="88"/>
      <c r="X46" s="25" t="str">
        <f aca="false">IF(Tasks[[#This Row],[Task Name]]="","",IF(N(Tasks[[#This Row],[Baseline Start]])&gt;0,Tasks[[#This Row],[Baseline Start]],Tasks[[#This Row],[_CalcStart]]))</f>
        <v/>
      </c>
      <c r="Y46" s="25" t="str">
        <f aca="false">IF(Tasks[[#This Row],[Task Name]]="","",IF(N(Tasks[[#This Row],[Baseline Finish]])&gt;0,Tasks[[#This Row],[Baseline Finish]],Tasks[[#This Row],[_CalcFinish]]))</f>
        <v/>
      </c>
      <c r="Z46" s="88"/>
      <c r="AA46" s="88"/>
      <c r="AB46" s="25" t="str">
        <f aca="false">IF(Tasks[[#This Row],[Task Name]]="","",IF(Tasks[[#This Row],[_IsSummary]],MIN(INDEX(Tasks[_ShownFcstStart],Tasks[[#This Row],[_Row]]+1):INDEX(Tasks[_ShownFcstStart],Tasks[[#This Row],[_Row]]+Tasks[[#This Row],[_Descendants]])),Tasks[[#This Row],[_ShownFcstStart]]))</f>
        <v/>
      </c>
      <c r="AC46" s="25" t="str">
        <f aca="false">IF(Tasks[[#This Row],[Task Name]]="","",IF(Tasks[[#This Row],[_IsSummary]],MAX(INDEX(Tasks[_ShownFcstFinish],Tasks[[#This Row],[_Row]]+1):INDEX(Tasks[_ShownFcstFinish],Tasks[[#This Row],[_Row]]+Tasks[[#This Row],[_Descendants]])),Tasks[[#This Row],[_ShownFcstFinish]]))</f>
        <v/>
      </c>
      <c r="AD4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6" s="25" t="str">
        <f aca="false">IF(Tasks[[#This Row],[Task Name]]="","",IF(Tasks[[#This Row],[_IsSummary]],MIN(INDEX(Tasks[_LeafLateStart],Tasks[[#This Row],[_Row]]+1):INDEX(Tasks[_LeafLateStart],Tasks[[#This Row],[_Row]]+Tasks[[#This Row],[_Descendants]])),Tasks[[#This Row],[_LeafLateStart]]))</f>
        <v/>
      </c>
      <c r="AG46" s="25" t="str">
        <f aca="false">IF(Tasks[[#This Row],[Task Name]]="","",IF(Tasks[[#This Row],[_IsSummary]],MAX(INDEX(Tasks[_LeafLateFinish],Tasks[[#This Row],[_Row]]+1):INDEX(Tasks[_LeafLateFinish],Tasks[[#This Row],[_Row]]+Tasks[[#This Row],[_Descendants]])),Tasks[[#This Row],[_LeafLateFinish]]))</f>
        <v/>
      </c>
      <c r="AH46" s="56" t="str">
        <f aca="false">IF(Tasks[[#This Row],[Task Name]]="","",IF(Tasks[[#This Row],[_IsSummary]],MIN(INDEX(Tasks[_LeafTotalSlack],Tasks[[#This Row],[_Row]]+1):INDEX(Tasks[_LeafTotalSlack],Tasks[[#This Row],[_Row]]+Tasks[[#This Row],[_Descendants]])),Tasks[[#This Row],[_LeafTotalSlack]]))</f>
        <v/>
      </c>
      <c r="AI4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6" s="45" t="str">
        <f aca="false">IF(Tasks[[#This Row],[Task Name]]="","",IF(IF(Tasks[[#This Row],[_IsSummary]],COUNTIF(INDEX(Tasks[_LeafCritical],Tasks[[#This Row],[_Row]]+1):INDEX(Tasks[_LeafCritical],Tasks[[#This Row],[_Row]]+Tasks[[#This Row],[_Descendants]]),TRUE())&gt;0,Tasks[[#This Row],[_LeafCritical]]),"Yes",""))</f>
        <v/>
      </c>
      <c r="AK4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6" s="102"/>
      <c r="AN4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6" s="45" t="str">
        <f aca="false">IF(Tasks[[#This Row],[Task Name]]="","",IF(Tasks[[#This Row],[Progress]]&gt;=1,"Complete",IF(OR(N(Tasks[[#This Row],[Actual Start]])&gt;0,Tasks[[#This Row],[Progress]]&gt;0),IF(Tasks[[#This Row],[Finish Var]]&gt;0,"Behind","In Progress"),IF(Tasks[[#This Row],[Planned Start]]&lt;StatusDate,"Late Start","Not Started"))))</f>
        <v/>
      </c>
      <c r="AP46" s="47"/>
      <c r="AQ46" s="102"/>
      <c r="AR4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6" s="110" t="str">
        <f aca="false">IF(Tasks[[#This Row],[Task Name]]="","",IF(Tasks[[#This Row],[_IsSummary]],SUM(INDEX(Tasks[_LeafTotalWork],Tasks[[#This Row],[_Row]]+1):INDEX(Tasks[_LeafTotalWork],Tasks[[#This Row],[_Row]]+Tasks[[#This Row],[_Descendants]])),Tasks[[#This Row],[_LeafTotalWork]]))</f>
        <v/>
      </c>
      <c r="AU46" s="111" t="str">
        <f aca="false">IF(Tasks[[#This Row],[Task Name]]="","",IF(Tasks[[#This Row],[_IsSummary]],SUM(INDEX(Tasks[_LeafTotalCost],Tasks[[#This Row],[_Row]]+1):INDEX(Tasks[_LeafTotalCost],Tasks[[#This Row],[_Row]]+Tasks[[#This Row],[_Descendants]])),Tasks[[#This Row],[_LeafTotalCost]]))</f>
        <v/>
      </c>
      <c r="AV46" s="112"/>
      <c r="AW46" s="46"/>
      <c r="AX4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6" s="96"/>
      <c r="AZ4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6" s="47"/>
      <c r="BB46" s="25" t="str">
        <f aca="false">IF(Tasks[[#This Row],[Task Name]]="","",Tasks[[#This Row],[Forecast Start]])</f>
        <v/>
      </c>
      <c r="BC46" s="25" t="str">
        <f aca="false">IF(Tasks[[#This Row],[Task Name]]="","",Tasks[[#This Row],[Forecast Finish]])</f>
        <v/>
      </c>
      <c r="BD46" s="45" t="str">
        <f aca="false">IF(Tasks[[#This Row],[Task Name]]="","",IF(Tasks[[#This Row],[_IsSummary]],NETWORKDAYS.INTL(Tasks[[#This Row],[Forecast Start]],Tasks[[#This Row],[Forecast Finish]],WorkWeek,Holidays),N(Tasks[[#This Row],[Duration]])))</f>
        <v/>
      </c>
      <c r="BE46" s="110" t="str">
        <f aca="false">IF(Tasks[[#This Row],[Task Name]]="","",Tasks[[#This Row],[Work]])</f>
        <v/>
      </c>
      <c r="BF46" s="111" t="str">
        <f aca="false">IF(Tasks[[#This Row],[Task Name]]="","",Tasks[[#This Row],[Cost]])</f>
        <v/>
      </c>
      <c r="BG46" s="88"/>
      <c r="BH46" s="88"/>
      <c r="BI46" s="46"/>
      <c r="BJ46" s="113"/>
      <c r="BK46" s="112"/>
      <c r="BL46" s="45" t="str">
        <f aca="false">IF(OR(Tasks[[#This Row],[Task Name]]="",Tasks[[#This Row],[Baseline Duration]]=""),"",Tasks[[#This Row],[BL Source Duration]]-N(Tasks[[#This Row],[Baseline Duration]]))</f>
        <v/>
      </c>
      <c r="BM46" s="110" t="str">
        <f aca="false">IF(OR(Tasks[[#This Row],[Task Name]]="",Tasks[[#This Row],[Baseline Work]]=""),"",Tasks[[#This Row],[Work]]-N(Tasks[[#This Row],[Baseline Work]]))</f>
        <v/>
      </c>
      <c r="BN46" s="111" t="str">
        <f aca="false">IF(OR(Tasks[[#This Row],[Task Name]]="",Tasks[[#This Row],[Baseline Cost]]=""),"",Tasks[[#This Row],[Cost]]-N(Tasks[[#This Row],[Baseline Cost]]))</f>
        <v/>
      </c>
      <c r="BO46" s="111" t="str">
        <f aca="false">IF(Tasks[[#This Row],[Task Name]]="","",IF(Tasks[[#This Row],[_IsSummary]],SUM(INDEX(Tasks[_LeafBudget],Tasks[[#This Row],[_Row]]+1):INDEX(Tasks[_LeafBudget],Tasks[[#This Row],[_Row]]+Tasks[[#This Row],[_Descendants]])),Tasks[[#This Row],[_LeafBudget]]))</f>
        <v/>
      </c>
      <c r="BP46" s="111" t="str">
        <f aca="false">IF(Tasks[[#This Row],[Task Name]]="","",IF(Tasks[[#This Row],[_IsSummary]],SUM(INDEX(Tasks[_LeafPV],Tasks[[#This Row],[_Row]]+1):INDEX(Tasks[_LeafPV],Tasks[[#This Row],[_Row]]+Tasks[[#This Row],[_Descendants]])),Tasks[[#This Row],[_LeafPV]]))</f>
        <v/>
      </c>
      <c r="BQ46" s="111" t="str">
        <f aca="false">IF(Tasks[[#This Row],[Task Name]]="","",IF(Tasks[[#This Row],[_IsSummary]],SUM(INDEX(Tasks[_LeafEV],Tasks[[#This Row],[_Row]]+1):INDEX(Tasks[_LeafEV],Tasks[[#This Row],[_Row]]+Tasks[[#This Row],[_Descendants]])),Tasks[[#This Row],[_LeafEV]]))</f>
        <v/>
      </c>
      <c r="BR46" s="111" t="str">
        <f aca="false">IF(Tasks[[#This Row],[Task Name]]="","",IF(Tasks[[#This Row],[_IsSummary]],SUM(INDEX(Tasks[_LeafAC],Tasks[[#This Row],[_Row]]+1):INDEX(Tasks[_LeafAC],Tasks[[#This Row],[_Row]]+Tasks[[#This Row],[_Descendants]])),Tasks[[#This Row],[_LeafAC]]))</f>
        <v/>
      </c>
      <c r="BS46" s="32" t="str">
        <f aca="false">IF(Tasks[[#This Row],[Task Name]]="","",MAX(1,N(Tasks[[#This Row],[Level]])))</f>
        <v/>
      </c>
      <c r="BT46" s="32" t="n">
        <f aca="false">ROW()-ROW(Tasks[[#Headers],[ID]])</f>
        <v>41</v>
      </c>
      <c r="BU46" s="32" t="n">
        <f aca="false">IF(OR(Tasks[[#This Row],[Task Name]]="",Tasks[[#This Row],[_Level]]&lt;=1),0,IFERROR(LOOKUP(2,1/(Tasks[[#Headers],[_Level]]:Tasks[[#This Row],[_Level]]=Tasks[[#This Row],[_Level]]-1),ROW(Tasks[[#Headers],[_Level]]:Tasks[[#This Row],[_Level]])),0))</f>
        <v>0</v>
      </c>
      <c r="BV46" s="32" t="n">
        <f aca="false">IFERROR(N(INDEX(Tasks[_Level],Tasks[[#This Row],[_Row]]+1)),0)</f>
        <v>0</v>
      </c>
      <c r="BW46" s="114" t="b">
        <f aca="false">AND(Tasks[[#This Row],[Task Name]]&lt;&gt;"",Tasks[[#This Row],[_NextLevel]]&gt;Tasks[[#This Row],[_Level]])</f>
        <v>0</v>
      </c>
      <c r="BX46" s="32" t="n">
        <f aca="false">IF(Tasks[[#This Row],[_IsSummary]],COUNTIF(Tasks[WBS],Tasks[[#This Row],[WBS]]&amp;".*"),0)</f>
        <v>0</v>
      </c>
      <c r="BY46" s="32" t="n">
        <f aca="false">IF(AND(Tasks[[#This Row],[Task Name]]&lt;&gt;"",NOT(Tasks[[#This Row],[_IsSummary]])),1,0)</f>
        <v>0</v>
      </c>
      <c r="BZ46" s="32" t="n">
        <f aca="false">IF(N(Tasks[[#This Row],[Pred1 UID]])=0,0,IFERROR(MATCH(Tasks[[#This Row],[Pred1 UID]],Tasks[UID],0),-1))</f>
        <v>0</v>
      </c>
      <c r="CA46" s="32" t="n">
        <f aca="false">IF(N(Tasks[[#This Row],[Pred2 UID]])=0,0,IFERROR(MATCH(Tasks[[#This Row],[Pred2 UID]],Tasks[UID],0),-1))</f>
        <v>0</v>
      </c>
      <c r="CB46" s="32" t="n">
        <f aca="false">IF(N(Tasks[[#This Row],[Pred3 UID]])=0,0,IFERROR(MATCH(Tasks[[#This Row],[Pred3 UID]],Tasks[UID],0),-1))</f>
        <v>0</v>
      </c>
      <c r="CC46" s="32" t="n">
        <f aca="false">IF(N(Tasks[[#This Row],[Pred4 UID]])=0,0,IFERROR(MATCH(Tasks[[#This Row],[Pred4 UID]],Tasks[UID],0),-1))</f>
        <v>0</v>
      </c>
      <c r="CD4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6" s="115" t="n">
        <f aca="false">IF(OR(Tasks[[#This Row],[_ConstraintCode]]=2,Tasks[[#This Row],[_ConstraintCode]]=3,Tasks[[#This Row],[_ConstraintCode]]=4,Tasks[[#This Row],[_ConstraintCode]]=6),Tasks[[#This Row],[_ConstraintStart]],0)</f>
        <v>0</v>
      </c>
      <c r="CG46" s="115" t="n">
        <f aca="false">IF(OR(Tasks[[#This Row],[_ConstraintCode]]=2,Tasks[[#This Row],[_ConstraintCode]]=3,Tasks[[#This Row],[_ConstraintCode]]=5,Tasks[[#This Row],[_ConstraintCode]]=7),Tasks[[#This Row],[_ConstraintStart]],2958465)</f>
        <v>2958465</v>
      </c>
      <c r="CH4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6" s="115" t="str">
        <f aca="false">IF(NOT(Tasks[[#This Row],[_IsLeaf]]=1),"",IF(N(Tasks[[#This Row],[Duration]])&lt;=0,Tasks[[#This Row],[_LeafCalcStart]],WORKDAY.INTL(Tasks[[#This Row],[_LeafCalcStart]],Tasks[[#This Row],[Duration]]-1,WorkWeek,Holidays)))</f>
        <v/>
      </c>
      <c r="CJ4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6" s="32" t="n">
        <f aca="false">IF(NOT(Tasks[[#This Row],[_IsLeaf]]=1),0,IF(N(Tasks[[#This Row],[Actual Finish]])&gt;0,1,MIN(1,N(Tasks[[#This Row],[% Complete]]))))</f>
        <v>0</v>
      </c>
      <c r="CM46" s="32" t="n">
        <f aca="false">IF(OR(NOT(Tasks[[#This Row],[_IsLeaf]]=1),Tasks[[#This Row],[Resource]]=""),0,N(Tasks[[#This Row],[Duration]])*HoursPerDay*IF(Tasks[[#This Row],[Units]]="",DefaultUnits,Tasks[[#This Row],[Units]]))</f>
        <v>0</v>
      </c>
      <c r="CN46" s="32" t="n">
        <f aca="false">IF(Tasks[[#This Row],[_LeafWork]]=0,0,Tasks[[#This Row],[_LeafWork]]*IFERROR(INDEX(res_Rate,MATCH(Tasks[[#This Row],[Resource]],res_Name,0)),0))</f>
        <v>0</v>
      </c>
      <c r="CO46" s="32" t="n">
        <f aca="false">Tasks[[#This Row],[_LeafWork]]+IF(Tasks[[#This Row],[_IsLeaf]]=1,SUMIFS(asg_Work,asg_TaskUID,Tasks[[#This Row],[UID]],asg_Valid,1),0)</f>
        <v>0</v>
      </c>
      <c r="CP46" s="32" t="n">
        <f aca="false">Tasks[[#This Row],[_LeafCost]]+IF(Tasks[[#This Row],[_IsLeaf]]=1,SUMIFS(asg_Cost,asg_TaskUID,Tasks[[#This Row],[UID]],asg_Valid,1),0)</f>
        <v>0</v>
      </c>
      <c r="CQ46" s="32" t="n">
        <f aca="false">IF(Tasks[[#This Row],[_LeafTotalCost]]=0,Tasks[[#This Row],[_LeafAC]],Tasks[[#This Row],[_LeafAC]]*Tasks[[#This Row],[_LeafCost]]/Tasks[[#This Row],[_LeafTotalCost]])</f>
        <v>0</v>
      </c>
      <c r="CR4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6" s="32" t="n">
        <f aca="false">IF(NOT(Tasks[[#This Row],[_IsLeaf]]=1),0,MAX(_xlfn.MAXIFS(Tasks[_Row],Tasks[Pred1 UID],Tasks[[#This Row],[UID]]),_xlfn.MAXIFS(Tasks[_Row],Tasks[Pred2 UID],Tasks[[#This Row],[UID]]),_xlfn.MAXIFS(Tasks[_Row],Tasks[Pred3 UID],Tasks[[#This Row],[UID]]),_xlfn.MAXIFS(Tasks[_Row],Tasks[Pred4 UID],Tasks[[#This Row],[UID]])))</f>
        <v>0</v>
      </c>
      <c r="DA4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6" s="115" t="str">
        <f aca="false">IF(NOT(Tasks[[#This Row],[_IsLeaf]]=1),"",IF(N(Tasks[[#This Row],[Duration]])&lt;=0,Tasks[[#This Row],[_LeafLateFinish]],WORKDAY.INTL(Tasks[[#This Row],[_LeafLateFinish]],-(Tasks[[#This Row],[Duration]]-1),WorkWeek,Holidays)))</f>
        <v/>
      </c>
      <c r="DD4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6" s="114" t="b">
        <f aca="false">AND(Tasks[[#This Row],[_IsLeaf]]=1,Tasks[[#This Row],[_LeafProgress]]&lt;1,N(Tasks[[#This Row],[_LeafTotalSlack]])&lt;=CriticalSlackDays)</f>
        <v>0</v>
      </c>
      <c r="DF46" s="32" t="n">
        <f aca="false">IF(AND(Tasks[[#This Row],[_IsLeaf]]=1,Tasks[[#This Row],[_ConstraintCode]]=1,Tasks[[#This Row],[Mode]]&lt;&gt;"Manual",N(Tasks[[#This Row],[Actual Start]])=0),MAX(0,N(Tasks[[#This Row],[Free Slack]])),0)</f>
        <v>0</v>
      </c>
      <c r="DG46" s="115" t="str">
        <f aca="false">IF(NOT(Tasks[[#This Row],[_IsLeaf]]=1),"",IF(Tasks[[#This Row],[_AlapShift]]=0,Tasks[[#This Row],[_LeafCalcStart]],WORKDAY.INTL(Tasks[[#This Row],[_LeafCalcStart]],Tasks[[#This Row],[_AlapShift]],WorkWeek,Holidays)))</f>
        <v/>
      </c>
      <c r="DH46" s="115" t="str">
        <f aca="false">IF(NOT(Tasks[[#This Row],[_IsLeaf]]=1),"",IF(Tasks[[#This Row],[_AlapShift]]=0,Tasks[[#This Row],[_LeafCalcFinish]],WORKDAY.INTL(Tasks[[#This Row],[_LeafCalcFinish]],Tasks[[#This Row],[_AlapShift]],WorkWeek,Holidays)))</f>
        <v/>
      </c>
      <c r="DI46" s="115" t="str">
        <f aca="false">IF(NOT(Tasks[[#This Row],[_IsLeaf]]=1),"",IF(Tasks[[#This Row],[_AlapShift]]=0,Tasks[[#This Row],[_LeafFcstStart]],WORKDAY.INTL(Tasks[[#This Row],[_LeafFcstStart]],Tasks[[#This Row],[_AlapShift]],WorkWeek,Holidays)))</f>
        <v/>
      </c>
      <c r="DJ46" s="115" t="str">
        <f aca="false">IF(NOT(Tasks[[#This Row],[_IsLeaf]]=1),"",IF(Tasks[[#This Row],[_AlapShift]]=0,Tasks[[#This Row],[_LeafFcstFinish]],WORKDAY.INTL(Tasks[[#This Row],[_LeafFcstFinish]],Tasks[[#This Row],[_AlapShift]],WorkWeek,Holidays)))</f>
        <v/>
      </c>
      <c r="DK46" s="115" t="str">
        <f aca="false">IF(Tasks[[#This Row],[Task Name]]="","",IF(Tasks[[#This Row],[_IsSummary]],MIN(INDEX(Tasks[_ShownCalcStart],Tasks[[#This Row],[_Row]]+1):INDEX(Tasks[_ShownCalcStart],Tasks[[#This Row],[_Row]]+Tasks[[#This Row],[_Descendants]])),Tasks[[#This Row],[_ShownCalcStart]]))</f>
        <v/>
      </c>
      <c r="DL46" s="115" t="str">
        <f aca="false">IF(Tasks[[#This Row],[Task Name]]="","",IF(Tasks[[#This Row],[_IsSummary]],MAX(INDEX(Tasks[_ShownCalcFinish],Tasks[[#This Row],[_Row]]+1):INDEX(Tasks[_ShownCalcFinish],Tasks[[#This Row],[_Row]]+Tasks[[#This Row],[_Descendants]])),Tasks[[#This Row],[_ShownCalcFinish]]))</f>
        <v/>
      </c>
      <c r="DM4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6" s="32" t="n">
        <f aca="false">IF(AND(Tasks[[#This Row],[_IsLeaf]]=1,Tasks[[#This Row],[_LeafTotalWork]]&gt;0),NETWORKDAYS.INTL(ProjectStart,Tasks[[#This Row],[_ShownFcstStart]],WorkWeek,Holidays),0)</f>
        <v>0</v>
      </c>
      <c r="DZ46" s="32" t="n">
        <f aca="false">IF(AND(Tasks[[#This Row],[_IsLeaf]]=1,Tasks[[#This Row],[_LeafTotalWork]]&gt;0),MAX(Tasks[[#This Row],[_StartWorkday]],NETWORKDAYS.INTL(ProjectStart,Tasks[[#This Row],[_ShownFcstFinish]],WorkWeek,Holidays)),0)</f>
        <v>0</v>
      </c>
      <c r="EA46" s="32" t="n">
        <f aca="false">IF(AND(Tasks[[#This Row],[_IsLeaf]]=1,Tasks[[#This Row],[_LeafTotalWork]]&gt;0),Tasks[[#This Row],[_LeafWork]]/(Tasks[[#This Row],[_FinishWorkday]]-Tasks[[#This Row],[_StartWorkday]]+1),0)</f>
        <v>0</v>
      </c>
      <c r="EB46" s="32" t="n">
        <f aca="false">Tasks[[#This Row],[_WorkPerWorkday]]*(Tasks[[#This Row],[_StartWorkday]]-1)</f>
        <v>-0</v>
      </c>
      <c r="EC46" s="32" t="n">
        <f aca="false">IF(Tasks[[#This Row],[_IsLeaf]]=1,MAX(N(Tasks[[#This Row],[Duration]]),0.1),0)</f>
        <v>0</v>
      </c>
      <c r="ED46" s="32" t="n">
        <f aca="false">Tasks[[#This Row],[_WeightDur]]*Tasks[[#This Row],[_LeafProgress]]</f>
        <v>0</v>
      </c>
      <c r="EE4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6" s="32" t="str">
        <f aca="false">IF(AND(Tasks[[#This Row],[_IsLeaf]]=1,N(Tasks[[#This Row],[Duration]])=0,Tasks[[#This Row],[_LeafProgress]]&lt;1),Tasks[[#This Row],[_ShownFcstFinish]]+Tasks[[#This Row],[_Row]]/100000,"")</f>
        <v/>
      </c>
      <c r="EG4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6" s="32" t="n">
        <f aca="false">IF(NOT(Tasks[[#This Row],[_IsLeaf]]=1),0,IF(Tasks[[#This Row],[Baseline Cost]]="",Tasks[[#This Row],[_LeafTotalCost]],N(Tasks[[#This Row],[Baseline Cost]])))</f>
        <v>0</v>
      </c>
      <c r="EI46" s="32" t="n">
        <f aca="false">Tasks[[#This Row],[_LeafBudget]]*Tasks[[#This Row],[_PlannedPct]]</f>
        <v>0</v>
      </c>
      <c r="EJ46" s="32" t="n">
        <f aca="false">Tasks[[#This Row],[_LeafBudget]]*Tasks[[#This Row],[_LeafProgress]]</f>
        <v>0</v>
      </c>
      <c r="EK46" s="32" t="n">
        <f aca="false">IF(NOT(Tasks[[#This Row],[_IsLeaf]]=1),0,IF(Tasks[[#This Row],[Actual Cost]]="",Tasks[[#This Row],[_LeafTotalCost]]*Tasks[[#This Row],[_LeafProgress]],N(Tasks[[#This Row],[Actual Cost]])))</f>
        <v>0</v>
      </c>
      <c r="EL46" s="32" t="str">
        <f aca="false">IF(Tasks[[#This Row],[Task Name]]="","",LEFT(Tasks[[#This Row],[WBS]],FIND(".",Tasks[[#This Row],[WBS]]&amp;".")-1))</f>
        <v/>
      </c>
      <c r="EM46" s="32" t="str">
        <f aca="false">IF(AND(Tasks[[#This Row],[Task Name]]&lt;&gt;"",Tasks[[#This Row],[_Level]]=1),Tasks[[#This Row],[_Row]],"")</f>
        <v/>
      </c>
      <c r="EN46" s="32" t="str">
        <f aca="false">IF(AND(Tasks[[#This Row],[_IsLeaf]]=1,N(Tasks[[#This Row],[Duration]])=0),Tasks[[#This Row],[Planned Finish]]+Tasks[[#This Row],[_Row]]/100000,"")</f>
        <v/>
      </c>
      <c r="EO46" s="32" t="str">
        <f aca="false">IF(AND(Tasks[[#This Row],[_IsLeaf]]=1,Tasks[[#This Row],[_LeafProgress]]&lt;1,OR(N(Tasks[[#This Row],[Finish Var]])&gt;0,Tasks[[#This Row],[Status]]="Late Start")),MAX(0,Tasks[[#This Row],[Finish Var]])+1-Tasks[[#This Row],[_Row]]/1000000,"")</f>
        <v/>
      </c>
      <c r="EP46" s="32" t="str">
        <f aca="false">IF(AND(Tasks[[#This Row],[_IsLeaf]]=1,N(Tasks[[#This Row],[Actual Start]])=0,Tasks[[#This Row],[_ShownFcstStart]]&gt;=StatusDate,Tasks[[#This Row],[_ShownFcstStart]]&lt;=LookaheadEnd),Tasks[[#This Row],[_ShownFcstStart]]+Tasks[[#This Row],[_Row]]/100000,"")</f>
        <v/>
      </c>
      <c r="EQ46" s="32" t="str">
        <f aca="false">IF(AND(Tasks[[#This Row],[_IsLeaf]]=1,Tasks[[#This Row],[_LeafProgress]]&lt;1,Tasks[[#This Row],[_ShownFcstFinish]]&gt;=StatusDate,Tasks[[#This Row],[_ShownFcstFinish]]&lt;=LookaheadEnd),Tasks[[#This Row],[_ShownFcstFinish]]+Tasks[[#This Row],[_Row]]/100000,"")</f>
        <v/>
      </c>
      <c r="ER46" s="32" t="str">
        <f aca="false">IF(Tasks[[#This Row],[_LeafCritical]],Tasks[[#This Row],[_ShownFcstStart]]+Tasks[[#This Row],[_Row]]/100000,"")</f>
        <v/>
      </c>
      <c r="ES46" s="32" t="n">
        <f aca="false">Tasks[[#This Row],[_LeafWork]]*Tasks[[#This Row],[_LeafProgress]]</f>
        <v>0</v>
      </c>
      <c r="ET46" s="115" t="str">
        <f aca="false">IF(AND(Tasks[[#This Row],[_IsLeaf]]=1,Tasks[[#This Row],[_LeafProgress]]&gt;=1),IF(N(Tasks[[#This Row],[Actual Finish]])&gt;0,Tasks[[#This Row],[Actual Finish]],Tasks[[#This Row],[_ShownFcstFinish]]),"")</f>
        <v/>
      </c>
      <c r="EU46" s="32" t="n">
        <f aca="false">IF(Tasks[[#This Row],[_IsLeaf]]=1,N(Tasks[[#This Row],[Story Points]]),0)</f>
        <v>0</v>
      </c>
      <c r="EV46" s="32" t="str">
        <f aca="false">IF(AND(Tasks[[#This Row],[_IsLeaf]]=1,CurrentSprint&lt;&gt;"",Tasks[[#This Row],[Sprint]]=CurrentSprint),Tasks[[#This Row],[_Row]],"")</f>
        <v/>
      </c>
    </row>
    <row r="47" customFormat="false" ht="15" hidden="false" customHeight="false" outlineLevel="0" collapsed="false">
      <c r="A47" s="45" t="str">
        <f aca="false">IF(Tasks[[#This Row],[Task Name]]="","",COUNTA(Tasks[[#Headers],[Task Name]]:Tasks[[#This Row],[Task Name]])-1)</f>
        <v/>
      </c>
      <c r="B47" s="46" t="n">
        <v>42</v>
      </c>
      <c r="C4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7" s="46"/>
      <c r="E47" s="45" t="str">
        <f aca="false">IF(Tasks[[#This Row],[Task Name]]="","",IF(Tasks[[#This Row],[_Level]]&lt;=OutlineShowLevel,"Yes","No"))</f>
        <v/>
      </c>
      <c r="F47" s="47"/>
      <c r="G47" s="46"/>
      <c r="H47" s="46"/>
      <c r="I47" s="46"/>
      <c r="J47" s="46"/>
      <c r="K47" s="46"/>
      <c r="L47" s="46"/>
      <c r="M47" s="46"/>
      <c r="N47" s="46"/>
      <c r="O47" s="46"/>
      <c r="P47" s="46"/>
      <c r="Q47" s="46"/>
      <c r="R47" s="46"/>
      <c r="S47" s="46"/>
      <c r="T47" s="46"/>
      <c r="U47" s="47"/>
      <c r="V47" s="88"/>
      <c r="W47" s="88"/>
      <c r="X47" s="25" t="str">
        <f aca="false">IF(Tasks[[#This Row],[Task Name]]="","",IF(N(Tasks[[#This Row],[Baseline Start]])&gt;0,Tasks[[#This Row],[Baseline Start]],Tasks[[#This Row],[_CalcStart]]))</f>
        <v/>
      </c>
      <c r="Y47" s="25" t="str">
        <f aca="false">IF(Tasks[[#This Row],[Task Name]]="","",IF(N(Tasks[[#This Row],[Baseline Finish]])&gt;0,Tasks[[#This Row],[Baseline Finish]],Tasks[[#This Row],[_CalcFinish]]))</f>
        <v/>
      </c>
      <c r="Z47" s="88"/>
      <c r="AA47" s="88"/>
      <c r="AB47" s="25" t="str">
        <f aca="false">IF(Tasks[[#This Row],[Task Name]]="","",IF(Tasks[[#This Row],[_IsSummary]],MIN(INDEX(Tasks[_ShownFcstStart],Tasks[[#This Row],[_Row]]+1):INDEX(Tasks[_ShownFcstStart],Tasks[[#This Row],[_Row]]+Tasks[[#This Row],[_Descendants]])),Tasks[[#This Row],[_ShownFcstStart]]))</f>
        <v/>
      </c>
      <c r="AC47" s="25" t="str">
        <f aca="false">IF(Tasks[[#This Row],[Task Name]]="","",IF(Tasks[[#This Row],[_IsSummary]],MAX(INDEX(Tasks[_ShownFcstFinish],Tasks[[#This Row],[_Row]]+1):INDEX(Tasks[_ShownFcstFinish],Tasks[[#This Row],[_Row]]+Tasks[[#This Row],[_Descendants]])),Tasks[[#This Row],[_ShownFcstFinish]]))</f>
        <v/>
      </c>
      <c r="AD4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7" s="25" t="str">
        <f aca="false">IF(Tasks[[#This Row],[Task Name]]="","",IF(Tasks[[#This Row],[_IsSummary]],MIN(INDEX(Tasks[_LeafLateStart],Tasks[[#This Row],[_Row]]+1):INDEX(Tasks[_LeafLateStart],Tasks[[#This Row],[_Row]]+Tasks[[#This Row],[_Descendants]])),Tasks[[#This Row],[_LeafLateStart]]))</f>
        <v/>
      </c>
      <c r="AG47" s="25" t="str">
        <f aca="false">IF(Tasks[[#This Row],[Task Name]]="","",IF(Tasks[[#This Row],[_IsSummary]],MAX(INDEX(Tasks[_LeafLateFinish],Tasks[[#This Row],[_Row]]+1):INDEX(Tasks[_LeafLateFinish],Tasks[[#This Row],[_Row]]+Tasks[[#This Row],[_Descendants]])),Tasks[[#This Row],[_LeafLateFinish]]))</f>
        <v/>
      </c>
      <c r="AH47" s="56" t="str">
        <f aca="false">IF(Tasks[[#This Row],[Task Name]]="","",IF(Tasks[[#This Row],[_IsSummary]],MIN(INDEX(Tasks[_LeafTotalSlack],Tasks[[#This Row],[_Row]]+1):INDEX(Tasks[_LeafTotalSlack],Tasks[[#This Row],[_Row]]+Tasks[[#This Row],[_Descendants]])),Tasks[[#This Row],[_LeafTotalSlack]]))</f>
        <v/>
      </c>
      <c r="AI4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7" s="45" t="str">
        <f aca="false">IF(Tasks[[#This Row],[Task Name]]="","",IF(IF(Tasks[[#This Row],[_IsSummary]],COUNTIF(INDEX(Tasks[_LeafCritical],Tasks[[#This Row],[_Row]]+1):INDEX(Tasks[_LeafCritical],Tasks[[#This Row],[_Row]]+Tasks[[#This Row],[_Descendants]]),TRUE())&gt;0,Tasks[[#This Row],[_LeafCritical]]),"Yes",""))</f>
        <v/>
      </c>
      <c r="AK4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7" s="102"/>
      <c r="AN4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7" s="45" t="str">
        <f aca="false">IF(Tasks[[#This Row],[Task Name]]="","",IF(Tasks[[#This Row],[Progress]]&gt;=1,"Complete",IF(OR(N(Tasks[[#This Row],[Actual Start]])&gt;0,Tasks[[#This Row],[Progress]]&gt;0),IF(Tasks[[#This Row],[Finish Var]]&gt;0,"Behind","In Progress"),IF(Tasks[[#This Row],[Planned Start]]&lt;StatusDate,"Late Start","Not Started"))))</f>
        <v/>
      </c>
      <c r="AP47" s="47"/>
      <c r="AQ47" s="102"/>
      <c r="AR4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7" s="110" t="str">
        <f aca="false">IF(Tasks[[#This Row],[Task Name]]="","",IF(Tasks[[#This Row],[_IsSummary]],SUM(INDEX(Tasks[_LeafTotalWork],Tasks[[#This Row],[_Row]]+1):INDEX(Tasks[_LeafTotalWork],Tasks[[#This Row],[_Row]]+Tasks[[#This Row],[_Descendants]])),Tasks[[#This Row],[_LeafTotalWork]]))</f>
        <v/>
      </c>
      <c r="AU47" s="111" t="str">
        <f aca="false">IF(Tasks[[#This Row],[Task Name]]="","",IF(Tasks[[#This Row],[_IsSummary]],SUM(INDEX(Tasks[_LeafTotalCost],Tasks[[#This Row],[_Row]]+1):INDEX(Tasks[_LeafTotalCost],Tasks[[#This Row],[_Row]]+Tasks[[#This Row],[_Descendants]])),Tasks[[#This Row],[_LeafTotalCost]]))</f>
        <v/>
      </c>
      <c r="AV47" s="112"/>
      <c r="AW47" s="46"/>
      <c r="AX4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7" s="96"/>
      <c r="AZ4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7" s="47"/>
      <c r="BB47" s="25" t="str">
        <f aca="false">IF(Tasks[[#This Row],[Task Name]]="","",Tasks[[#This Row],[Forecast Start]])</f>
        <v/>
      </c>
      <c r="BC47" s="25" t="str">
        <f aca="false">IF(Tasks[[#This Row],[Task Name]]="","",Tasks[[#This Row],[Forecast Finish]])</f>
        <v/>
      </c>
      <c r="BD47" s="45" t="str">
        <f aca="false">IF(Tasks[[#This Row],[Task Name]]="","",IF(Tasks[[#This Row],[_IsSummary]],NETWORKDAYS.INTL(Tasks[[#This Row],[Forecast Start]],Tasks[[#This Row],[Forecast Finish]],WorkWeek,Holidays),N(Tasks[[#This Row],[Duration]])))</f>
        <v/>
      </c>
      <c r="BE47" s="110" t="str">
        <f aca="false">IF(Tasks[[#This Row],[Task Name]]="","",Tasks[[#This Row],[Work]])</f>
        <v/>
      </c>
      <c r="BF47" s="111" t="str">
        <f aca="false">IF(Tasks[[#This Row],[Task Name]]="","",Tasks[[#This Row],[Cost]])</f>
        <v/>
      </c>
      <c r="BG47" s="88"/>
      <c r="BH47" s="88"/>
      <c r="BI47" s="46"/>
      <c r="BJ47" s="113"/>
      <c r="BK47" s="112"/>
      <c r="BL47" s="45" t="str">
        <f aca="false">IF(OR(Tasks[[#This Row],[Task Name]]="",Tasks[[#This Row],[Baseline Duration]]=""),"",Tasks[[#This Row],[BL Source Duration]]-N(Tasks[[#This Row],[Baseline Duration]]))</f>
        <v/>
      </c>
      <c r="BM47" s="110" t="str">
        <f aca="false">IF(OR(Tasks[[#This Row],[Task Name]]="",Tasks[[#This Row],[Baseline Work]]=""),"",Tasks[[#This Row],[Work]]-N(Tasks[[#This Row],[Baseline Work]]))</f>
        <v/>
      </c>
      <c r="BN47" s="111" t="str">
        <f aca="false">IF(OR(Tasks[[#This Row],[Task Name]]="",Tasks[[#This Row],[Baseline Cost]]=""),"",Tasks[[#This Row],[Cost]]-N(Tasks[[#This Row],[Baseline Cost]]))</f>
        <v/>
      </c>
      <c r="BO47" s="111" t="str">
        <f aca="false">IF(Tasks[[#This Row],[Task Name]]="","",IF(Tasks[[#This Row],[_IsSummary]],SUM(INDEX(Tasks[_LeafBudget],Tasks[[#This Row],[_Row]]+1):INDEX(Tasks[_LeafBudget],Tasks[[#This Row],[_Row]]+Tasks[[#This Row],[_Descendants]])),Tasks[[#This Row],[_LeafBudget]]))</f>
        <v/>
      </c>
      <c r="BP47" s="111" t="str">
        <f aca="false">IF(Tasks[[#This Row],[Task Name]]="","",IF(Tasks[[#This Row],[_IsSummary]],SUM(INDEX(Tasks[_LeafPV],Tasks[[#This Row],[_Row]]+1):INDEX(Tasks[_LeafPV],Tasks[[#This Row],[_Row]]+Tasks[[#This Row],[_Descendants]])),Tasks[[#This Row],[_LeafPV]]))</f>
        <v/>
      </c>
      <c r="BQ47" s="111" t="str">
        <f aca="false">IF(Tasks[[#This Row],[Task Name]]="","",IF(Tasks[[#This Row],[_IsSummary]],SUM(INDEX(Tasks[_LeafEV],Tasks[[#This Row],[_Row]]+1):INDEX(Tasks[_LeafEV],Tasks[[#This Row],[_Row]]+Tasks[[#This Row],[_Descendants]])),Tasks[[#This Row],[_LeafEV]]))</f>
        <v/>
      </c>
      <c r="BR47" s="111" t="str">
        <f aca="false">IF(Tasks[[#This Row],[Task Name]]="","",IF(Tasks[[#This Row],[_IsSummary]],SUM(INDEX(Tasks[_LeafAC],Tasks[[#This Row],[_Row]]+1):INDEX(Tasks[_LeafAC],Tasks[[#This Row],[_Row]]+Tasks[[#This Row],[_Descendants]])),Tasks[[#This Row],[_LeafAC]]))</f>
        <v/>
      </c>
      <c r="BS47" s="32" t="str">
        <f aca="false">IF(Tasks[[#This Row],[Task Name]]="","",MAX(1,N(Tasks[[#This Row],[Level]])))</f>
        <v/>
      </c>
      <c r="BT47" s="32" t="n">
        <f aca="false">ROW()-ROW(Tasks[[#Headers],[ID]])</f>
        <v>42</v>
      </c>
      <c r="BU47" s="32" t="n">
        <f aca="false">IF(OR(Tasks[[#This Row],[Task Name]]="",Tasks[[#This Row],[_Level]]&lt;=1),0,IFERROR(LOOKUP(2,1/(Tasks[[#Headers],[_Level]]:Tasks[[#This Row],[_Level]]=Tasks[[#This Row],[_Level]]-1),ROW(Tasks[[#Headers],[_Level]]:Tasks[[#This Row],[_Level]])),0))</f>
        <v>0</v>
      </c>
      <c r="BV47" s="32" t="n">
        <f aca="false">IFERROR(N(INDEX(Tasks[_Level],Tasks[[#This Row],[_Row]]+1)),0)</f>
        <v>0</v>
      </c>
      <c r="BW47" s="114" t="b">
        <f aca="false">AND(Tasks[[#This Row],[Task Name]]&lt;&gt;"",Tasks[[#This Row],[_NextLevel]]&gt;Tasks[[#This Row],[_Level]])</f>
        <v>0</v>
      </c>
      <c r="BX47" s="32" t="n">
        <f aca="false">IF(Tasks[[#This Row],[_IsSummary]],COUNTIF(Tasks[WBS],Tasks[[#This Row],[WBS]]&amp;".*"),0)</f>
        <v>0</v>
      </c>
      <c r="BY47" s="32" t="n">
        <f aca="false">IF(AND(Tasks[[#This Row],[Task Name]]&lt;&gt;"",NOT(Tasks[[#This Row],[_IsSummary]])),1,0)</f>
        <v>0</v>
      </c>
      <c r="BZ47" s="32" t="n">
        <f aca="false">IF(N(Tasks[[#This Row],[Pred1 UID]])=0,0,IFERROR(MATCH(Tasks[[#This Row],[Pred1 UID]],Tasks[UID],0),-1))</f>
        <v>0</v>
      </c>
      <c r="CA47" s="32" t="n">
        <f aca="false">IF(N(Tasks[[#This Row],[Pred2 UID]])=0,0,IFERROR(MATCH(Tasks[[#This Row],[Pred2 UID]],Tasks[UID],0),-1))</f>
        <v>0</v>
      </c>
      <c r="CB47" s="32" t="n">
        <f aca="false">IF(N(Tasks[[#This Row],[Pred3 UID]])=0,0,IFERROR(MATCH(Tasks[[#This Row],[Pred3 UID]],Tasks[UID],0),-1))</f>
        <v>0</v>
      </c>
      <c r="CC47" s="32" t="n">
        <f aca="false">IF(N(Tasks[[#This Row],[Pred4 UID]])=0,0,IFERROR(MATCH(Tasks[[#This Row],[Pred4 UID]],Tasks[UID],0),-1))</f>
        <v>0</v>
      </c>
      <c r="CD4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7" s="115" t="n">
        <f aca="false">IF(OR(Tasks[[#This Row],[_ConstraintCode]]=2,Tasks[[#This Row],[_ConstraintCode]]=3,Tasks[[#This Row],[_ConstraintCode]]=4,Tasks[[#This Row],[_ConstraintCode]]=6),Tasks[[#This Row],[_ConstraintStart]],0)</f>
        <v>0</v>
      </c>
      <c r="CG47" s="115" t="n">
        <f aca="false">IF(OR(Tasks[[#This Row],[_ConstraintCode]]=2,Tasks[[#This Row],[_ConstraintCode]]=3,Tasks[[#This Row],[_ConstraintCode]]=5,Tasks[[#This Row],[_ConstraintCode]]=7),Tasks[[#This Row],[_ConstraintStart]],2958465)</f>
        <v>2958465</v>
      </c>
      <c r="CH4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7" s="115" t="str">
        <f aca="false">IF(NOT(Tasks[[#This Row],[_IsLeaf]]=1),"",IF(N(Tasks[[#This Row],[Duration]])&lt;=0,Tasks[[#This Row],[_LeafCalcStart]],WORKDAY.INTL(Tasks[[#This Row],[_LeafCalcStart]],Tasks[[#This Row],[Duration]]-1,WorkWeek,Holidays)))</f>
        <v/>
      </c>
      <c r="CJ4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7" s="32" t="n">
        <f aca="false">IF(NOT(Tasks[[#This Row],[_IsLeaf]]=1),0,IF(N(Tasks[[#This Row],[Actual Finish]])&gt;0,1,MIN(1,N(Tasks[[#This Row],[% Complete]]))))</f>
        <v>0</v>
      </c>
      <c r="CM47" s="32" t="n">
        <f aca="false">IF(OR(NOT(Tasks[[#This Row],[_IsLeaf]]=1),Tasks[[#This Row],[Resource]]=""),0,N(Tasks[[#This Row],[Duration]])*HoursPerDay*IF(Tasks[[#This Row],[Units]]="",DefaultUnits,Tasks[[#This Row],[Units]]))</f>
        <v>0</v>
      </c>
      <c r="CN47" s="32" t="n">
        <f aca="false">IF(Tasks[[#This Row],[_LeafWork]]=0,0,Tasks[[#This Row],[_LeafWork]]*IFERROR(INDEX(res_Rate,MATCH(Tasks[[#This Row],[Resource]],res_Name,0)),0))</f>
        <v>0</v>
      </c>
      <c r="CO47" s="32" t="n">
        <f aca="false">Tasks[[#This Row],[_LeafWork]]+IF(Tasks[[#This Row],[_IsLeaf]]=1,SUMIFS(asg_Work,asg_TaskUID,Tasks[[#This Row],[UID]],asg_Valid,1),0)</f>
        <v>0</v>
      </c>
      <c r="CP47" s="32" t="n">
        <f aca="false">Tasks[[#This Row],[_LeafCost]]+IF(Tasks[[#This Row],[_IsLeaf]]=1,SUMIFS(asg_Cost,asg_TaskUID,Tasks[[#This Row],[UID]],asg_Valid,1),0)</f>
        <v>0</v>
      </c>
      <c r="CQ47" s="32" t="n">
        <f aca="false">IF(Tasks[[#This Row],[_LeafTotalCost]]=0,Tasks[[#This Row],[_LeafAC]],Tasks[[#This Row],[_LeafAC]]*Tasks[[#This Row],[_LeafCost]]/Tasks[[#This Row],[_LeafTotalCost]])</f>
        <v>0</v>
      </c>
      <c r="CR4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7" s="32" t="n">
        <f aca="false">IF(NOT(Tasks[[#This Row],[_IsLeaf]]=1),0,MAX(_xlfn.MAXIFS(Tasks[_Row],Tasks[Pred1 UID],Tasks[[#This Row],[UID]]),_xlfn.MAXIFS(Tasks[_Row],Tasks[Pred2 UID],Tasks[[#This Row],[UID]]),_xlfn.MAXIFS(Tasks[_Row],Tasks[Pred3 UID],Tasks[[#This Row],[UID]]),_xlfn.MAXIFS(Tasks[_Row],Tasks[Pred4 UID],Tasks[[#This Row],[UID]])))</f>
        <v>0</v>
      </c>
      <c r="DA4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7" s="115" t="str">
        <f aca="false">IF(NOT(Tasks[[#This Row],[_IsLeaf]]=1),"",IF(N(Tasks[[#This Row],[Duration]])&lt;=0,Tasks[[#This Row],[_LeafLateFinish]],WORKDAY.INTL(Tasks[[#This Row],[_LeafLateFinish]],-(Tasks[[#This Row],[Duration]]-1),WorkWeek,Holidays)))</f>
        <v/>
      </c>
      <c r="DD4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7" s="114" t="b">
        <f aca="false">AND(Tasks[[#This Row],[_IsLeaf]]=1,Tasks[[#This Row],[_LeafProgress]]&lt;1,N(Tasks[[#This Row],[_LeafTotalSlack]])&lt;=CriticalSlackDays)</f>
        <v>0</v>
      </c>
      <c r="DF47" s="32" t="n">
        <f aca="false">IF(AND(Tasks[[#This Row],[_IsLeaf]]=1,Tasks[[#This Row],[_ConstraintCode]]=1,Tasks[[#This Row],[Mode]]&lt;&gt;"Manual",N(Tasks[[#This Row],[Actual Start]])=0),MAX(0,N(Tasks[[#This Row],[Free Slack]])),0)</f>
        <v>0</v>
      </c>
      <c r="DG47" s="115" t="str">
        <f aca="false">IF(NOT(Tasks[[#This Row],[_IsLeaf]]=1),"",IF(Tasks[[#This Row],[_AlapShift]]=0,Tasks[[#This Row],[_LeafCalcStart]],WORKDAY.INTL(Tasks[[#This Row],[_LeafCalcStart]],Tasks[[#This Row],[_AlapShift]],WorkWeek,Holidays)))</f>
        <v/>
      </c>
      <c r="DH47" s="115" t="str">
        <f aca="false">IF(NOT(Tasks[[#This Row],[_IsLeaf]]=1),"",IF(Tasks[[#This Row],[_AlapShift]]=0,Tasks[[#This Row],[_LeafCalcFinish]],WORKDAY.INTL(Tasks[[#This Row],[_LeafCalcFinish]],Tasks[[#This Row],[_AlapShift]],WorkWeek,Holidays)))</f>
        <v/>
      </c>
      <c r="DI47" s="115" t="str">
        <f aca="false">IF(NOT(Tasks[[#This Row],[_IsLeaf]]=1),"",IF(Tasks[[#This Row],[_AlapShift]]=0,Tasks[[#This Row],[_LeafFcstStart]],WORKDAY.INTL(Tasks[[#This Row],[_LeafFcstStart]],Tasks[[#This Row],[_AlapShift]],WorkWeek,Holidays)))</f>
        <v/>
      </c>
      <c r="DJ47" s="115" t="str">
        <f aca="false">IF(NOT(Tasks[[#This Row],[_IsLeaf]]=1),"",IF(Tasks[[#This Row],[_AlapShift]]=0,Tasks[[#This Row],[_LeafFcstFinish]],WORKDAY.INTL(Tasks[[#This Row],[_LeafFcstFinish]],Tasks[[#This Row],[_AlapShift]],WorkWeek,Holidays)))</f>
        <v/>
      </c>
      <c r="DK47" s="115" t="str">
        <f aca="false">IF(Tasks[[#This Row],[Task Name]]="","",IF(Tasks[[#This Row],[_IsSummary]],MIN(INDEX(Tasks[_ShownCalcStart],Tasks[[#This Row],[_Row]]+1):INDEX(Tasks[_ShownCalcStart],Tasks[[#This Row],[_Row]]+Tasks[[#This Row],[_Descendants]])),Tasks[[#This Row],[_ShownCalcStart]]))</f>
        <v/>
      </c>
      <c r="DL47" s="115" t="str">
        <f aca="false">IF(Tasks[[#This Row],[Task Name]]="","",IF(Tasks[[#This Row],[_IsSummary]],MAX(INDEX(Tasks[_ShownCalcFinish],Tasks[[#This Row],[_Row]]+1):INDEX(Tasks[_ShownCalcFinish],Tasks[[#This Row],[_Row]]+Tasks[[#This Row],[_Descendants]])),Tasks[[#This Row],[_ShownCalcFinish]]))</f>
        <v/>
      </c>
      <c r="DM4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7" s="32" t="n">
        <f aca="false">IF(AND(Tasks[[#This Row],[_IsLeaf]]=1,Tasks[[#This Row],[_LeafTotalWork]]&gt;0),NETWORKDAYS.INTL(ProjectStart,Tasks[[#This Row],[_ShownFcstStart]],WorkWeek,Holidays),0)</f>
        <v>0</v>
      </c>
      <c r="DZ47" s="32" t="n">
        <f aca="false">IF(AND(Tasks[[#This Row],[_IsLeaf]]=1,Tasks[[#This Row],[_LeafTotalWork]]&gt;0),MAX(Tasks[[#This Row],[_StartWorkday]],NETWORKDAYS.INTL(ProjectStart,Tasks[[#This Row],[_ShownFcstFinish]],WorkWeek,Holidays)),0)</f>
        <v>0</v>
      </c>
      <c r="EA47" s="32" t="n">
        <f aca="false">IF(AND(Tasks[[#This Row],[_IsLeaf]]=1,Tasks[[#This Row],[_LeafTotalWork]]&gt;0),Tasks[[#This Row],[_LeafWork]]/(Tasks[[#This Row],[_FinishWorkday]]-Tasks[[#This Row],[_StartWorkday]]+1),0)</f>
        <v>0</v>
      </c>
      <c r="EB47" s="32" t="n">
        <f aca="false">Tasks[[#This Row],[_WorkPerWorkday]]*(Tasks[[#This Row],[_StartWorkday]]-1)</f>
        <v>-0</v>
      </c>
      <c r="EC47" s="32" t="n">
        <f aca="false">IF(Tasks[[#This Row],[_IsLeaf]]=1,MAX(N(Tasks[[#This Row],[Duration]]),0.1),0)</f>
        <v>0</v>
      </c>
      <c r="ED47" s="32" t="n">
        <f aca="false">Tasks[[#This Row],[_WeightDur]]*Tasks[[#This Row],[_LeafProgress]]</f>
        <v>0</v>
      </c>
      <c r="EE4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7" s="32" t="str">
        <f aca="false">IF(AND(Tasks[[#This Row],[_IsLeaf]]=1,N(Tasks[[#This Row],[Duration]])=0,Tasks[[#This Row],[_LeafProgress]]&lt;1),Tasks[[#This Row],[_ShownFcstFinish]]+Tasks[[#This Row],[_Row]]/100000,"")</f>
        <v/>
      </c>
      <c r="EG4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7" s="32" t="n">
        <f aca="false">IF(NOT(Tasks[[#This Row],[_IsLeaf]]=1),0,IF(Tasks[[#This Row],[Baseline Cost]]="",Tasks[[#This Row],[_LeafTotalCost]],N(Tasks[[#This Row],[Baseline Cost]])))</f>
        <v>0</v>
      </c>
      <c r="EI47" s="32" t="n">
        <f aca="false">Tasks[[#This Row],[_LeafBudget]]*Tasks[[#This Row],[_PlannedPct]]</f>
        <v>0</v>
      </c>
      <c r="EJ47" s="32" t="n">
        <f aca="false">Tasks[[#This Row],[_LeafBudget]]*Tasks[[#This Row],[_LeafProgress]]</f>
        <v>0</v>
      </c>
      <c r="EK47" s="32" t="n">
        <f aca="false">IF(NOT(Tasks[[#This Row],[_IsLeaf]]=1),0,IF(Tasks[[#This Row],[Actual Cost]]="",Tasks[[#This Row],[_LeafTotalCost]]*Tasks[[#This Row],[_LeafProgress]],N(Tasks[[#This Row],[Actual Cost]])))</f>
        <v>0</v>
      </c>
      <c r="EL47" s="32" t="str">
        <f aca="false">IF(Tasks[[#This Row],[Task Name]]="","",LEFT(Tasks[[#This Row],[WBS]],FIND(".",Tasks[[#This Row],[WBS]]&amp;".")-1))</f>
        <v/>
      </c>
      <c r="EM47" s="32" t="str">
        <f aca="false">IF(AND(Tasks[[#This Row],[Task Name]]&lt;&gt;"",Tasks[[#This Row],[_Level]]=1),Tasks[[#This Row],[_Row]],"")</f>
        <v/>
      </c>
      <c r="EN47" s="32" t="str">
        <f aca="false">IF(AND(Tasks[[#This Row],[_IsLeaf]]=1,N(Tasks[[#This Row],[Duration]])=0),Tasks[[#This Row],[Planned Finish]]+Tasks[[#This Row],[_Row]]/100000,"")</f>
        <v/>
      </c>
      <c r="EO47" s="32" t="str">
        <f aca="false">IF(AND(Tasks[[#This Row],[_IsLeaf]]=1,Tasks[[#This Row],[_LeafProgress]]&lt;1,OR(N(Tasks[[#This Row],[Finish Var]])&gt;0,Tasks[[#This Row],[Status]]="Late Start")),MAX(0,Tasks[[#This Row],[Finish Var]])+1-Tasks[[#This Row],[_Row]]/1000000,"")</f>
        <v/>
      </c>
      <c r="EP47" s="32" t="str">
        <f aca="false">IF(AND(Tasks[[#This Row],[_IsLeaf]]=1,N(Tasks[[#This Row],[Actual Start]])=0,Tasks[[#This Row],[_ShownFcstStart]]&gt;=StatusDate,Tasks[[#This Row],[_ShownFcstStart]]&lt;=LookaheadEnd),Tasks[[#This Row],[_ShownFcstStart]]+Tasks[[#This Row],[_Row]]/100000,"")</f>
        <v/>
      </c>
      <c r="EQ47" s="32" t="str">
        <f aca="false">IF(AND(Tasks[[#This Row],[_IsLeaf]]=1,Tasks[[#This Row],[_LeafProgress]]&lt;1,Tasks[[#This Row],[_ShownFcstFinish]]&gt;=StatusDate,Tasks[[#This Row],[_ShownFcstFinish]]&lt;=LookaheadEnd),Tasks[[#This Row],[_ShownFcstFinish]]+Tasks[[#This Row],[_Row]]/100000,"")</f>
        <v/>
      </c>
      <c r="ER47" s="32" t="str">
        <f aca="false">IF(Tasks[[#This Row],[_LeafCritical]],Tasks[[#This Row],[_ShownFcstStart]]+Tasks[[#This Row],[_Row]]/100000,"")</f>
        <v/>
      </c>
      <c r="ES47" s="32" t="n">
        <f aca="false">Tasks[[#This Row],[_LeafWork]]*Tasks[[#This Row],[_LeafProgress]]</f>
        <v>0</v>
      </c>
      <c r="ET47" s="115" t="str">
        <f aca="false">IF(AND(Tasks[[#This Row],[_IsLeaf]]=1,Tasks[[#This Row],[_LeafProgress]]&gt;=1),IF(N(Tasks[[#This Row],[Actual Finish]])&gt;0,Tasks[[#This Row],[Actual Finish]],Tasks[[#This Row],[_ShownFcstFinish]]),"")</f>
        <v/>
      </c>
      <c r="EU47" s="32" t="n">
        <f aca="false">IF(Tasks[[#This Row],[_IsLeaf]]=1,N(Tasks[[#This Row],[Story Points]]),0)</f>
        <v>0</v>
      </c>
      <c r="EV47" s="32" t="str">
        <f aca="false">IF(AND(Tasks[[#This Row],[_IsLeaf]]=1,CurrentSprint&lt;&gt;"",Tasks[[#This Row],[Sprint]]=CurrentSprint),Tasks[[#This Row],[_Row]],"")</f>
        <v/>
      </c>
    </row>
    <row r="48" customFormat="false" ht="15" hidden="false" customHeight="false" outlineLevel="0" collapsed="false">
      <c r="A48" s="45" t="str">
        <f aca="false">IF(Tasks[[#This Row],[Task Name]]="","",COUNTA(Tasks[[#Headers],[Task Name]]:Tasks[[#This Row],[Task Name]])-1)</f>
        <v/>
      </c>
      <c r="B48" s="46" t="n">
        <v>43</v>
      </c>
      <c r="C4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8" s="46"/>
      <c r="E48" s="45" t="str">
        <f aca="false">IF(Tasks[[#This Row],[Task Name]]="","",IF(Tasks[[#This Row],[_Level]]&lt;=OutlineShowLevel,"Yes","No"))</f>
        <v/>
      </c>
      <c r="F48" s="47"/>
      <c r="G48" s="46"/>
      <c r="H48" s="46"/>
      <c r="I48" s="46"/>
      <c r="J48" s="46"/>
      <c r="K48" s="46"/>
      <c r="L48" s="46"/>
      <c r="M48" s="46"/>
      <c r="N48" s="46"/>
      <c r="O48" s="46"/>
      <c r="P48" s="46"/>
      <c r="Q48" s="46"/>
      <c r="R48" s="46"/>
      <c r="S48" s="46"/>
      <c r="T48" s="46"/>
      <c r="U48" s="47"/>
      <c r="V48" s="88"/>
      <c r="W48" s="88"/>
      <c r="X48" s="25" t="str">
        <f aca="false">IF(Tasks[[#This Row],[Task Name]]="","",IF(N(Tasks[[#This Row],[Baseline Start]])&gt;0,Tasks[[#This Row],[Baseline Start]],Tasks[[#This Row],[_CalcStart]]))</f>
        <v/>
      </c>
      <c r="Y48" s="25" t="str">
        <f aca="false">IF(Tasks[[#This Row],[Task Name]]="","",IF(N(Tasks[[#This Row],[Baseline Finish]])&gt;0,Tasks[[#This Row],[Baseline Finish]],Tasks[[#This Row],[_CalcFinish]]))</f>
        <v/>
      </c>
      <c r="Z48" s="88"/>
      <c r="AA48" s="88"/>
      <c r="AB48" s="25" t="str">
        <f aca="false">IF(Tasks[[#This Row],[Task Name]]="","",IF(Tasks[[#This Row],[_IsSummary]],MIN(INDEX(Tasks[_ShownFcstStart],Tasks[[#This Row],[_Row]]+1):INDEX(Tasks[_ShownFcstStart],Tasks[[#This Row],[_Row]]+Tasks[[#This Row],[_Descendants]])),Tasks[[#This Row],[_ShownFcstStart]]))</f>
        <v/>
      </c>
      <c r="AC48" s="25" t="str">
        <f aca="false">IF(Tasks[[#This Row],[Task Name]]="","",IF(Tasks[[#This Row],[_IsSummary]],MAX(INDEX(Tasks[_ShownFcstFinish],Tasks[[#This Row],[_Row]]+1):INDEX(Tasks[_ShownFcstFinish],Tasks[[#This Row],[_Row]]+Tasks[[#This Row],[_Descendants]])),Tasks[[#This Row],[_ShownFcstFinish]]))</f>
        <v/>
      </c>
      <c r="AD4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8" s="25" t="str">
        <f aca="false">IF(Tasks[[#This Row],[Task Name]]="","",IF(Tasks[[#This Row],[_IsSummary]],MIN(INDEX(Tasks[_LeafLateStart],Tasks[[#This Row],[_Row]]+1):INDEX(Tasks[_LeafLateStart],Tasks[[#This Row],[_Row]]+Tasks[[#This Row],[_Descendants]])),Tasks[[#This Row],[_LeafLateStart]]))</f>
        <v/>
      </c>
      <c r="AG48" s="25" t="str">
        <f aca="false">IF(Tasks[[#This Row],[Task Name]]="","",IF(Tasks[[#This Row],[_IsSummary]],MAX(INDEX(Tasks[_LeafLateFinish],Tasks[[#This Row],[_Row]]+1):INDEX(Tasks[_LeafLateFinish],Tasks[[#This Row],[_Row]]+Tasks[[#This Row],[_Descendants]])),Tasks[[#This Row],[_LeafLateFinish]]))</f>
        <v/>
      </c>
      <c r="AH48" s="56" t="str">
        <f aca="false">IF(Tasks[[#This Row],[Task Name]]="","",IF(Tasks[[#This Row],[_IsSummary]],MIN(INDEX(Tasks[_LeafTotalSlack],Tasks[[#This Row],[_Row]]+1):INDEX(Tasks[_LeafTotalSlack],Tasks[[#This Row],[_Row]]+Tasks[[#This Row],[_Descendants]])),Tasks[[#This Row],[_LeafTotalSlack]]))</f>
        <v/>
      </c>
      <c r="AI4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8" s="45" t="str">
        <f aca="false">IF(Tasks[[#This Row],[Task Name]]="","",IF(IF(Tasks[[#This Row],[_IsSummary]],COUNTIF(INDEX(Tasks[_LeafCritical],Tasks[[#This Row],[_Row]]+1):INDEX(Tasks[_LeafCritical],Tasks[[#This Row],[_Row]]+Tasks[[#This Row],[_Descendants]]),TRUE())&gt;0,Tasks[[#This Row],[_LeafCritical]]),"Yes",""))</f>
        <v/>
      </c>
      <c r="AK4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8" s="102"/>
      <c r="AN4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8" s="45" t="str">
        <f aca="false">IF(Tasks[[#This Row],[Task Name]]="","",IF(Tasks[[#This Row],[Progress]]&gt;=1,"Complete",IF(OR(N(Tasks[[#This Row],[Actual Start]])&gt;0,Tasks[[#This Row],[Progress]]&gt;0),IF(Tasks[[#This Row],[Finish Var]]&gt;0,"Behind","In Progress"),IF(Tasks[[#This Row],[Planned Start]]&lt;StatusDate,"Late Start","Not Started"))))</f>
        <v/>
      </c>
      <c r="AP48" s="47"/>
      <c r="AQ48" s="102"/>
      <c r="AR4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8" s="110" t="str">
        <f aca="false">IF(Tasks[[#This Row],[Task Name]]="","",IF(Tasks[[#This Row],[_IsSummary]],SUM(INDEX(Tasks[_LeafTotalWork],Tasks[[#This Row],[_Row]]+1):INDEX(Tasks[_LeafTotalWork],Tasks[[#This Row],[_Row]]+Tasks[[#This Row],[_Descendants]])),Tasks[[#This Row],[_LeafTotalWork]]))</f>
        <v/>
      </c>
      <c r="AU48" s="111" t="str">
        <f aca="false">IF(Tasks[[#This Row],[Task Name]]="","",IF(Tasks[[#This Row],[_IsSummary]],SUM(INDEX(Tasks[_LeafTotalCost],Tasks[[#This Row],[_Row]]+1):INDEX(Tasks[_LeafTotalCost],Tasks[[#This Row],[_Row]]+Tasks[[#This Row],[_Descendants]])),Tasks[[#This Row],[_LeafTotalCost]]))</f>
        <v/>
      </c>
      <c r="AV48" s="112"/>
      <c r="AW48" s="46"/>
      <c r="AX4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8" s="96"/>
      <c r="AZ4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8" s="47"/>
      <c r="BB48" s="25" t="str">
        <f aca="false">IF(Tasks[[#This Row],[Task Name]]="","",Tasks[[#This Row],[Forecast Start]])</f>
        <v/>
      </c>
      <c r="BC48" s="25" t="str">
        <f aca="false">IF(Tasks[[#This Row],[Task Name]]="","",Tasks[[#This Row],[Forecast Finish]])</f>
        <v/>
      </c>
      <c r="BD48" s="45" t="str">
        <f aca="false">IF(Tasks[[#This Row],[Task Name]]="","",IF(Tasks[[#This Row],[_IsSummary]],NETWORKDAYS.INTL(Tasks[[#This Row],[Forecast Start]],Tasks[[#This Row],[Forecast Finish]],WorkWeek,Holidays),N(Tasks[[#This Row],[Duration]])))</f>
        <v/>
      </c>
      <c r="BE48" s="110" t="str">
        <f aca="false">IF(Tasks[[#This Row],[Task Name]]="","",Tasks[[#This Row],[Work]])</f>
        <v/>
      </c>
      <c r="BF48" s="111" t="str">
        <f aca="false">IF(Tasks[[#This Row],[Task Name]]="","",Tasks[[#This Row],[Cost]])</f>
        <v/>
      </c>
      <c r="BG48" s="88"/>
      <c r="BH48" s="88"/>
      <c r="BI48" s="46"/>
      <c r="BJ48" s="113"/>
      <c r="BK48" s="112"/>
      <c r="BL48" s="45" t="str">
        <f aca="false">IF(OR(Tasks[[#This Row],[Task Name]]="",Tasks[[#This Row],[Baseline Duration]]=""),"",Tasks[[#This Row],[BL Source Duration]]-N(Tasks[[#This Row],[Baseline Duration]]))</f>
        <v/>
      </c>
      <c r="BM48" s="110" t="str">
        <f aca="false">IF(OR(Tasks[[#This Row],[Task Name]]="",Tasks[[#This Row],[Baseline Work]]=""),"",Tasks[[#This Row],[Work]]-N(Tasks[[#This Row],[Baseline Work]]))</f>
        <v/>
      </c>
      <c r="BN48" s="111" t="str">
        <f aca="false">IF(OR(Tasks[[#This Row],[Task Name]]="",Tasks[[#This Row],[Baseline Cost]]=""),"",Tasks[[#This Row],[Cost]]-N(Tasks[[#This Row],[Baseline Cost]]))</f>
        <v/>
      </c>
      <c r="BO48" s="111" t="str">
        <f aca="false">IF(Tasks[[#This Row],[Task Name]]="","",IF(Tasks[[#This Row],[_IsSummary]],SUM(INDEX(Tasks[_LeafBudget],Tasks[[#This Row],[_Row]]+1):INDEX(Tasks[_LeafBudget],Tasks[[#This Row],[_Row]]+Tasks[[#This Row],[_Descendants]])),Tasks[[#This Row],[_LeafBudget]]))</f>
        <v/>
      </c>
      <c r="BP48" s="111" t="str">
        <f aca="false">IF(Tasks[[#This Row],[Task Name]]="","",IF(Tasks[[#This Row],[_IsSummary]],SUM(INDEX(Tasks[_LeafPV],Tasks[[#This Row],[_Row]]+1):INDEX(Tasks[_LeafPV],Tasks[[#This Row],[_Row]]+Tasks[[#This Row],[_Descendants]])),Tasks[[#This Row],[_LeafPV]]))</f>
        <v/>
      </c>
      <c r="BQ48" s="111" t="str">
        <f aca="false">IF(Tasks[[#This Row],[Task Name]]="","",IF(Tasks[[#This Row],[_IsSummary]],SUM(INDEX(Tasks[_LeafEV],Tasks[[#This Row],[_Row]]+1):INDEX(Tasks[_LeafEV],Tasks[[#This Row],[_Row]]+Tasks[[#This Row],[_Descendants]])),Tasks[[#This Row],[_LeafEV]]))</f>
        <v/>
      </c>
      <c r="BR48" s="111" t="str">
        <f aca="false">IF(Tasks[[#This Row],[Task Name]]="","",IF(Tasks[[#This Row],[_IsSummary]],SUM(INDEX(Tasks[_LeafAC],Tasks[[#This Row],[_Row]]+1):INDEX(Tasks[_LeafAC],Tasks[[#This Row],[_Row]]+Tasks[[#This Row],[_Descendants]])),Tasks[[#This Row],[_LeafAC]]))</f>
        <v/>
      </c>
      <c r="BS48" s="32" t="str">
        <f aca="false">IF(Tasks[[#This Row],[Task Name]]="","",MAX(1,N(Tasks[[#This Row],[Level]])))</f>
        <v/>
      </c>
      <c r="BT48" s="32" t="n">
        <f aca="false">ROW()-ROW(Tasks[[#Headers],[ID]])</f>
        <v>43</v>
      </c>
      <c r="BU48" s="32" t="n">
        <f aca="false">IF(OR(Tasks[[#This Row],[Task Name]]="",Tasks[[#This Row],[_Level]]&lt;=1),0,IFERROR(LOOKUP(2,1/(Tasks[[#Headers],[_Level]]:Tasks[[#This Row],[_Level]]=Tasks[[#This Row],[_Level]]-1),ROW(Tasks[[#Headers],[_Level]]:Tasks[[#This Row],[_Level]])),0))</f>
        <v>0</v>
      </c>
      <c r="BV48" s="32" t="n">
        <f aca="false">IFERROR(N(INDEX(Tasks[_Level],Tasks[[#This Row],[_Row]]+1)),0)</f>
        <v>0</v>
      </c>
      <c r="BW48" s="114" t="b">
        <f aca="false">AND(Tasks[[#This Row],[Task Name]]&lt;&gt;"",Tasks[[#This Row],[_NextLevel]]&gt;Tasks[[#This Row],[_Level]])</f>
        <v>0</v>
      </c>
      <c r="BX48" s="32" t="n">
        <f aca="false">IF(Tasks[[#This Row],[_IsSummary]],COUNTIF(Tasks[WBS],Tasks[[#This Row],[WBS]]&amp;".*"),0)</f>
        <v>0</v>
      </c>
      <c r="BY48" s="32" t="n">
        <f aca="false">IF(AND(Tasks[[#This Row],[Task Name]]&lt;&gt;"",NOT(Tasks[[#This Row],[_IsSummary]])),1,0)</f>
        <v>0</v>
      </c>
      <c r="BZ48" s="32" t="n">
        <f aca="false">IF(N(Tasks[[#This Row],[Pred1 UID]])=0,0,IFERROR(MATCH(Tasks[[#This Row],[Pred1 UID]],Tasks[UID],0),-1))</f>
        <v>0</v>
      </c>
      <c r="CA48" s="32" t="n">
        <f aca="false">IF(N(Tasks[[#This Row],[Pred2 UID]])=0,0,IFERROR(MATCH(Tasks[[#This Row],[Pred2 UID]],Tasks[UID],0),-1))</f>
        <v>0</v>
      </c>
      <c r="CB48" s="32" t="n">
        <f aca="false">IF(N(Tasks[[#This Row],[Pred3 UID]])=0,0,IFERROR(MATCH(Tasks[[#This Row],[Pred3 UID]],Tasks[UID],0),-1))</f>
        <v>0</v>
      </c>
      <c r="CC48" s="32" t="n">
        <f aca="false">IF(N(Tasks[[#This Row],[Pred4 UID]])=0,0,IFERROR(MATCH(Tasks[[#This Row],[Pred4 UID]],Tasks[UID],0),-1))</f>
        <v>0</v>
      </c>
      <c r="CD4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8" s="115" t="n">
        <f aca="false">IF(OR(Tasks[[#This Row],[_ConstraintCode]]=2,Tasks[[#This Row],[_ConstraintCode]]=3,Tasks[[#This Row],[_ConstraintCode]]=4,Tasks[[#This Row],[_ConstraintCode]]=6),Tasks[[#This Row],[_ConstraintStart]],0)</f>
        <v>0</v>
      </c>
      <c r="CG48" s="115" t="n">
        <f aca="false">IF(OR(Tasks[[#This Row],[_ConstraintCode]]=2,Tasks[[#This Row],[_ConstraintCode]]=3,Tasks[[#This Row],[_ConstraintCode]]=5,Tasks[[#This Row],[_ConstraintCode]]=7),Tasks[[#This Row],[_ConstraintStart]],2958465)</f>
        <v>2958465</v>
      </c>
      <c r="CH4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8" s="115" t="str">
        <f aca="false">IF(NOT(Tasks[[#This Row],[_IsLeaf]]=1),"",IF(N(Tasks[[#This Row],[Duration]])&lt;=0,Tasks[[#This Row],[_LeafCalcStart]],WORKDAY.INTL(Tasks[[#This Row],[_LeafCalcStart]],Tasks[[#This Row],[Duration]]-1,WorkWeek,Holidays)))</f>
        <v/>
      </c>
      <c r="CJ4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8" s="32" t="n">
        <f aca="false">IF(NOT(Tasks[[#This Row],[_IsLeaf]]=1),0,IF(N(Tasks[[#This Row],[Actual Finish]])&gt;0,1,MIN(1,N(Tasks[[#This Row],[% Complete]]))))</f>
        <v>0</v>
      </c>
      <c r="CM48" s="32" t="n">
        <f aca="false">IF(OR(NOT(Tasks[[#This Row],[_IsLeaf]]=1),Tasks[[#This Row],[Resource]]=""),0,N(Tasks[[#This Row],[Duration]])*HoursPerDay*IF(Tasks[[#This Row],[Units]]="",DefaultUnits,Tasks[[#This Row],[Units]]))</f>
        <v>0</v>
      </c>
      <c r="CN48" s="32" t="n">
        <f aca="false">IF(Tasks[[#This Row],[_LeafWork]]=0,0,Tasks[[#This Row],[_LeafWork]]*IFERROR(INDEX(res_Rate,MATCH(Tasks[[#This Row],[Resource]],res_Name,0)),0))</f>
        <v>0</v>
      </c>
      <c r="CO48" s="32" t="n">
        <f aca="false">Tasks[[#This Row],[_LeafWork]]+IF(Tasks[[#This Row],[_IsLeaf]]=1,SUMIFS(asg_Work,asg_TaskUID,Tasks[[#This Row],[UID]],asg_Valid,1),0)</f>
        <v>0</v>
      </c>
      <c r="CP48" s="32" t="n">
        <f aca="false">Tasks[[#This Row],[_LeafCost]]+IF(Tasks[[#This Row],[_IsLeaf]]=1,SUMIFS(asg_Cost,asg_TaskUID,Tasks[[#This Row],[UID]],asg_Valid,1),0)</f>
        <v>0</v>
      </c>
      <c r="CQ48" s="32" t="n">
        <f aca="false">IF(Tasks[[#This Row],[_LeafTotalCost]]=0,Tasks[[#This Row],[_LeafAC]],Tasks[[#This Row],[_LeafAC]]*Tasks[[#This Row],[_LeafCost]]/Tasks[[#This Row],[_LeafTotalCost]])</f>
        <v>0</v>
      </c>
      <c r="CR4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8" s="32" t="n">
        <f aca="false">IF(NOT(Tasks[[#This Row],[_IsLeaf]]=1),0,MAX(_xlfn.MAXIFS(Tasks[_Row],Tasks[Pred1 UID],Tasks[[#This Row],[UID]]),_xlfn.MAXIFS(Tasks[_Row],Tasks[Pred2 UID],Tasks[[#This Row],[UID]]),_xlfn.MAXIFS(Tasks[_Row],Tasks[Pred3 UID],Tasks[[#This Row],[UID]]),_xlfn.MAXIFS(Tasks[_Row],Tasks[Pred4 UID],Tasks[[#This Row],[UID]])))</f>
        <v>0</v>
      </c>
      <c r="DA4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8" s="115" t="str">
        <f aca="false">IF(NOT(Tasks[[#This Row],[_IsLeaf]]=1),"",IF(N(Tasks[[#This Row],[Duration]])&lt;=0,Tasks[[#This Row],[_LeafLateFinish]],WORKDAY.INTL(Tasks[[#This Row],[_LeafLateFinish]],-(Tasks[[#This Row],[Duration]]-1),WorkWeek,Holidays)))</f>
        <v/>
      </c>
      <c r="DD4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8" s="114" t="b">
        <f aca="false">AND(Tasks[[#This Row],[_IsLeaf]]=1,Tasks[[#This Row],[_LeafProgress]]&lt;1,N(Tasks[[#This Row],[_LeafTotalSlack]])&lt;=CriticalSlackDays)</f>
        <v>0</v>
      </c>
      <c r="DF48" s="32" t="n">
        <f aca="false">IF(AND(Tasks[[#This Row],[_IsLeaf]]=1,Tasks[[#This Row],[_ConstraintCode]]=1,Tasks[[#This Row],[Mode]]&lt;&gt;"Manual",N(Tasks[[#This Row],[Actual Start]])=0),MAX(0,N(Tasks[[#This Row],[Free Slack]])),0)</f>
        <v>0</v>
      </c>
      <c r="DG48" s="115" t="str">
        <f aca="false">IF(NOT(Tasks[[#This Row],[_IsLeaf]]=1),"",IF(Tasks[[#This Row],[_AlapShift]]=0,Tasks[[#This Row],[_LeafCalcStart]],WORKDAY.INTL(Tasks[[#This Row],[_LeafCalcStart]],Tasks[[#This Row],[_AlapShift]],WorkWeek,Holidays)))</f>
        <v/>
      </c>
      <c r="DH48" s="115" t="str">
        <f aca="false">IF(NOT(Tasks[[#This Row],[_IsLeaf]]=1),"",IF(Tasks[[#This Row],[_AlapShift]]=0,Tasks[[#This Row],[_LeafCalcFinish]],WORKDAY.INTL(Tasks[[#This Row],[_LeafCalcFinish]],Tasks[[#This Row],[_AlapShift]],WorkWeek,Holidays)))</f>
        <v/>
      </c>
      <c r="DI48" s="115" t="str">
        <f aca="false">IF(NOT(Tasks[[#This Row],[_IsLeaf]]=1),"",IF(Tasks[[#This Row],[_AlapShift]]=0,Tasks[[#This Row],[_LeafFcstStart]],WORKDAY.INTL(Tasks[[#This Row],[_LeafFcstStart]],Tasks[[#This Row],[_AlapShift]],WorkWeek,Holidays)))</f>
        <v/>
      </c>
      <c r="DJ48" s="115" t="str">
        <f aca="false">IF(NOT(Tasks[[#This Row],[_IsLeaf]]=1),"",IF(Tasks[[#This Row],[_AlapShift]]=0,Tasks[[#This Row],[_LeafFcstFinish]],WORKDAY.INTL(Tasks[[#This Row],[_LeafFcstFinish]],Tasks[[#This Row],[_AlapShift]],WorkWeek,Holidays)))</f>
        <v/>
      </c>
      <c r="DK48" s="115" t="str">
        <f aca="false">IF(Tasks[[#This Row],[Task Name]]="","",IF(Tasks[[#This Row],[_IsSummary]],MIN(INDEX(Tasks[_ShownCalcStart],Tasks[[#This Row],[_Row]]+1):INDEX(Tasks[_ShownCalcStart],Tasks[[#This Row],[_Row]]+Tasks[[#This Row],[_Descendants]])),Tasks[[#This Row],[_ShownCalcStart]]))</f>
        <v/>
      </c>
      <c r="DL48" s="115" t="str">
        <f aca="false">IF(Tasks[[#This Row],[Task Name]]="","",IF(Tasks[[#This Row],[_IsSummary]],MAX(INDEX(Tasks[_ShownCalcFinish],Tasks[[#This Row],[_Row]]+1):INDEX(Tasks[_ShownCalcFinish],Tasks[[#This Row],[_Row]]+Tasks[[#This Row],[_Descendants]])),Tasks[[#This Row],[_ShownCalcFinish]]))</f>
        <v/>
      </c>
      <c r="DM4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8" s="32" t="n">
        <f aca="false">IF(AND(Tasks[[#This Row],[_IsLeaf]]=1,Tasks[[#This Row],[_LeafTotalWork]]&gt;0),NETWORKDAYS.INTL(ProjectStart,Tasks[[#This Row],[_ShownFcstStart]],WorkWeek,Holidays),0)</f>
        <v>0</v>
      </c>
      <c r="DZ48" s="32" t="n">
        <f aca="false">IF(AND(Tasks[[#This Row],[_IsLeaf]]=1,Tasks[[#This Row],[_LeafTotalWork]]&gt;0),MAX(Tasks[[#This Row],[_StartWorkday]],NETWORKDAYS.INTL(ProjectStart,Tasks[[#This Row],[_ShownFcstFinish]],WorkWeek,Holidays)),0)</f>
        <v>0</v>
      </c>
      <c r="EA48" s="32" t="n">
        <f aca="false">IF(AND(Tasks[[#This Row],[_IsLeaf]]=1,Tasks[[#This Row],[_LeafTotalWork]]&gt;0),Tasks[[#This Row],[_LeafWork]]/(Tasks[[#This Row],[_FinishWorkday]]-Tasks[[#This Row],[_StartWorkday]]+1),0)</f>
        <v>0</v>
      </c>
      <c r="EB48" s="32" t="n">
        <f aca="false">Tasks[[#This Row],[_WorkPerWorkday]]*(Tasks[[#This Row],[_StartWorkday]]-1)</f>
        <v>-0</v>
      </c>
      <c r="EC48" s="32" t="n">
        <f aca="false">IF(Tasks[[#This Row],[_IsLeaf]]=1,MAX(N(Tasks[[#This Row],[Duration]]),0.1),0)</f>
        <v>0</v>
      </c>
      <c r="ED48" s="32" t="n">
        <f aca="false">Tasks[[#This Row],[_WeightDur]]*Tasks[[#This Row],[_LeafProgress]]</f>
        <v>0</v>
      </c>
      <c r="EE4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8" s="32" t="str">
        <f aca="false">IF(AND(Tasks[[#This Row],[_IsLeaf]]=1,N(Tasks[[#This Row],[Duration]])=0,Tasks[[#This Row],[_LeafProgress]]&lt;1),Tasks[[#This Row],[_ShownFcstFinish]]+Tasks[[#This Row],[_Row]]/100000,"")</f>
        <v/>
      </c>
      <c r="EG4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8" s="32" t="n">
        <f aca="false">IF(NOT(Tasks[[#This Row],[_IsLeaf]]=1),0,IF(Tasks[[#This Row],[Baseline Cost]]="",Tasks[[#This Row],[_LeafTotalCost]],N(Tasks[[#This Row],[Baseline Cost]])))</f>
        <v>0</v>
      </c>
      <c r="EI48" s="32" t="n">
        <f aca="false">Tasks[[#This Row],[_LeafBudget]]*Tasks[[#This Row],[_PlannedPct]]</f>
        <v>0</v>
      </c>
      <c r="EJ48" s="32" t="n">
        <f aca="false">Tasks[[#This Row],[_LeafBudget]]*Tasks[[#This Row],[_LeafProgress]]</f>
        <v>0</v>
      </c>
      <c r="EK48" s="32" t="n">
        <f aca="false">IF(NOT(Tasks[[#This Row],[_IsLeaf]]=1),0,IF(Tasks[[#This Row],[Actual Cost]]="",Tasks[[#This Row],[_LeafTotalCost]]*Tasks[[#This Row],[_LeafProgress]],N(Tasks[[#This Row],[Actual Cost]])))</f>
        <v>0</v>
      </c>
      <c r="EL48" s="32" t="str">
        <f aca="false">IF(Tasks[[#This Row],[Task Name]]="","",LEFT(Tasks[[#This Row],[WBS]],FIND(".",Tasks[[#This Row],[WBS]]&amp;".")-1))</f>
        <v/>
      </c>
      <c r="EM48" s="32" t="str">
        <f aca="false">IF(AND(Tasks[[#This Row],[Task Name]]&lt;&gt;"",Tasks[[#This Row],[_Level]]=1),Tasks[[#This Row],[_Row]],"")</f>
        <v/>
      </c>
      <c r="EN48" s="32" t="str">
        <f aca="false">IF(AND(Tasks[[#This Row],[_IsLeaf]]=1,N(Tasks[[#This Row],[Duration]])=0),Tasks[[#This Row],[Planned Finish]]+Tasks[[#This Row],[_Row]]/100000,"")</f>
        <v/>
      </c>
      <c r="EO48" s="32" t="str">
        <f aca="false">IF(AND(Tasks[[#This Row],[_IsLeaf]]=1,Tasks[[#This Row],[_LeafProgress]]&lt;1,OR(N(Tasks[[#This Row],[Finish Var]])&gt;0,Tasks[[#This Row],[Status]]="Late Start")),MAX(0,Tasks[[#This Row],[Finish Var]])+1-Tasks[[#This Row],[_Row]]/1000000,"")</f>
        <v/>
      </c>
      <c r="EP48" s="32" t="str">
        <f aca="false">IF(AND(Tasks[[#This Row],[_IsLeaf]]=1,N(Tasks[[#This Row],[Actual Start]])=0,Tasks[[#This Row],[_ShownFcstStart]]&gt;=StatusDate,Tasks[[#This Row],[_ShownFcstStart]]&lt;=LookaheadEnd),Tasks[[#This Row],[_ShownFcstStart]]+Tasks[[#This Row],[_Row]]/100000,"")</f>
        <v/>
      </c>
      <c r="EQ48" s="32" t="str">
        <f aca="false">IF(AND(Tasks[[#This Row],[_IsLeaf]]=1,Tasks[[#This Row],[_LeafProgress]]&lt;1,Tasks[[#This Row],[_ShownFcstFinish]]&gt;=StatusDate,Tasks[[#This Row],[_ShownFcstFinish]]&lt;=LookaheadEnd),Tasks[[#This Row],[_ShownFcstFinish]]+Tasks[[#This Row],[_Row]]/100000,"")</f>
        <v/>
      </c>
      <c r="ER48" s="32" t="str">
        <f aca="false">IF(Tasks[[#This Row],[_LeafCritical]],Tasks[[#This Row],[_ShownFcstStart]]+Tasks[[#This Row],[_Row]]/100000,"")</f>
        <v/>
      </c>
      <c r="ES48" s="32" t="n">
        <f aca="false">Tasks[[#This Row],[_LeafWork]]*Tasks[[#This Row],[_LeafProgress]]</f>
        <v>0</v>
      </c>
      <c r="ET48" s="115" t="str">
        <f aca="false">IF(AND(Tasks[[#This Row],[_IsLeaf]]=1,Tasks[[#This Row],[_LeafProgress]]&gt;=1),IF(N(Tasks[[#This Row],[Actual Finish]])&gt;0,Tasks[[#This Row],[Actual Finish]],Tasks[[#This Row],[_ShownFcstFinish]]),"")</f>
        <v/>
      </c>
      <c r="EU48" s="32" t="n">
        <f aca="false">IF(Tasks[[#This Row],[_IsLeaf]]=1,N(Tasks[[#This Row],[Story Points]]),0)</f>
        <v>0</v>
      </c>
      <c r="EV48" s="32" t="str">
        <f aca="false">IF(AND(Tasks[[#This Row],[_IsLeaf]]=1,CurrentSprint&lt;&gt;"",Tasks[[#This Row],[Sprint]]=CurrentSprint),Tasks[[#This Row],[_Row]],"")</f>
        <v/>
      </c>
    </row>
    <row r="49" customFormat="false" ht="15" hidden="false" customHeight="false" outlineLevel="0" collapsed="false">
      <c r="A49" s="45" t="str">
        <f aca="false">IF(Tasks[[#This Row],[Task Name]]="","",COUNTA(Tasks[[#Headers],[Task Name]]:Tasks[[#This Row],[Task Name]])-1)</f>
        <v/>
      </c>
      <c r="B49" s="46" t="n">
        <v>44</v>
      </c>
      <c r="C4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49" s="46"/>
      <c r="E49" s="45" t="str">
        <f aca="false">IF(Tasks[[#This Row],[Task Name]]="","",IF(Tasks[[#This Row],[_Level]]&lt;=OutlineShowLevel,"Yes","No"))</f>
        <v/>
      </c>
      <c r="F49" s="47"/>
      <c r="G49" s="46"/>
      <c r="H49" s="46"/>
      <c r="I49" s="46"/>
      <c r="J49" s="46"/>
      <c r="K49" s="46"/>
      <c r="L49" s="46"/>
      <c r="M49" s="46"/>
      <c r="N49" s="46"/>
      <c r="O49" s="46"/>
      <c r="P49" s="46"/>
      <c r="Q49" s="46"/>
      <c r="R49" s="46"/>
      <c r="S49" s="46"/>
      <c r="T49" s="46"/>
      <c r="U49" s="47"/>
      <c r="V49" s="88"/>
      <c r="W49" s="88"/>
      <c r="X49" s="25" t="str">
        <f aca="false">IF(Tasks[[#This Row],[Task Name]]="","",IF(N(Tasks[[#This Row],[Baseline Start]])&gt;0,Tasks[[#This Row],[Baseline Start]],Tasks[[#This Row],[_CalcStart]]))</f>
        <v/>
      </c>
      <c r="Y49" s="25" t="str">
        <f aca="false">IF(Tasks[[#This Row],[Task Name]]="","",IF(N(Tasks[[#This Row],[Baseline Finish]])&gt;0,Tasks[[#This Row],[Baseline Finish]],Tasks[[#This Row],[_CalcFinish]]))</f>
        <v/>
      </c>
      <c r="Z49" s="88"/>
      <c r="AA49" s="88"/>
      <c r="AB49" s="25" t="str">
        <f aca="false">IF(Tasks[[#This Row],[Task Name]]="","",IF(Tasks[[#This Row],[_IsSummary]],MIN(INDEX(Tasks[_ShownFcstStart],Tasks[[#This Row],[_Row]]+1):INDEX(Tasks[_ShownFcstStart],Tasks[[#This Row],[_Row]]+Tasks[[#This Row],[_Descendants]])),Tasks[[#This Row],[_ShownFcstStart]]))</f>
        <v/>
      </c>
      <c r="AC49" s="25" t="str">
        <f aca="false">IF(Tasks[[#This Row],[Task Name]]="","",IF(Tasks[[#This Row],[_IsSummary]],MAX(INDEX(Tasks[_ShownFcstFinish],Tasks[[#This Row],[_Row]]+1):INDEX(Tasks[_ShownFcstFinish],Tasks[[#This Row],[_Row]]+Tasks[[#This Row],[_Descendants]])),Tasks[[#This Row],[_ShownFcstFinish]]))</f>
        <v/>
      </c>
      <c r="AD4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4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49" s="25" t="str">
        <f aca="false">IF(Tasks[[#This Row],[Task Name]]="","",IF(Tasks[[#This Row],[_IsSummary]],MIN(INDEX(Tasks[_LeafLateStart],Tasks[[#This Row],[_Row]]+1):INDEX(Tasks[_LeafLateStart],Tasks[[#This Row],[_Row]]+Tasks[[#This Row],[_Descendants]])),Tasks[[#This Row],[_LeafLateStart]]))</f>
        <v/>
      </c>
      <c r="AG49" s="25" t="str">
        <f aca="false">IF(Tasks[[#This Row],[Task Name]]="","",IF(Tasks[[#This Row],[_IsSummary]],MAX(INDEX(Tasks[_LeafLateFinish],Tasks[[#This Row],[_Row]]+1):INDEX(Tasks[_LeafLateFinish],Tasks[[#This Row],[_Row]]+Tasks[[#This Row],[_Descendants]])),Tasks[[#This Row],[_LeafLateFinish]]))</f>
        <v/>
      </c>
      <c r="AH49" s="56" t="str">
        <f aca="false">IF(Tasks[[#This Row],[Task Name]]="","",IF(Tasks[[#This Row],[_IsSummary]],MIN(INDEX(Tasks[_LeafTotalSlack],Tasks[[#This Row],[_Row]]+1):INDEX(Tasks[_LeafTotalSlack],Tasks[[#This Row],[_Row]]+Tasks[[#This Row],[_Descendants]])),Tasks[[#This Row],[_LeafTotalSlack]]))</f>
        <v/>
      </c>
      <c r="AI4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49" s="45" t="str">
        <f aca="false">IF(Tasks[[#This Row],[Task Name]]="","",IF(IF(Tasks[[#This Row],[_IsSummary]],COUNTIF(INDEX(Tasks[_LeafCritical],Tasks[[#This Row],[_Row]]+1):INDEX(Tasks[_LeafCritical],Tasks[[#This Row],[_Row]]+Tasks[[#This Row],[_Descendants]]),TRUE())&gt;0,Tasks[[#This Row],[_LeafCritical]]),"Yes",""))</f>
        <v/>
      </c>
      <c r="AK4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4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49" s="102"/>
      <c r="AN4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49" s="45" t="str">
        <f aca="false">IF(Tasks[[#This Row],[Task Name]]="","",IF(Tasks[[#This Row],[Progress]]&gt;=1,"Complete",IF(OR(N(Tasks[[#This Row],[Actual Start]])&gt;0,Tasks[[#This Row],[Progress]]&gt;0),IF(Tasks[[#This Row],[Finish Var]]&gt;0,"Behind","In Progress"),IF(Tasks[[#This Row],[Planned Start]]&lt;StatusDate,"Late Start","Not Started"))))</f>
        <v/>
      </c>
      <c r="AP49" s="47"/>
      <c r="AQ49" s="102"/>
      <c r="AR4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4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49" s="110" t="str">
        <f aca="false">IF(Tasks[[#This Row],[Task Name]]="","",IF(Tasks[[#This Row],[_IsSummary]],SUM(INDEX(Tasks[_LeafTotalWork],Tasks[[#This Row],[_Row]]+1):INDEX(Tasks[_LeafTotalWork],Tasks[[#This Row],[_Row]]+Tasks[[#This Row],[_Descendants]])),Tasks[[#This Row],[_LeafTotalWork]]))</f>
        <v/>
      </c>
      <c r="AU49" s="111" t="str">
        <f aca="false">IF(Tasks[[#This Row],[Task Name]]="","",IF(Tasks[[#This Row],[_IsSummary]],SUM(INDEX(Tasks[_LeafTotalCost],Tasks[[#This Row],[_Row]]+1):INDEX(Tasks[_LeafTotalCost],Tasks[[#This Row],[_Row]]+Tasks[[#This Row],[_Descendants]])),Tasks[[#This Row],[_LeafTotalCost]]))</f>
        <v/>
      </c>
      <c r="AV49" s="112"/>
      <c r="AW49" s="46"/>
      <c r="AX4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49" s="96"/>
      <c r="AZ4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49" s="47"/>
      <c r="BB49" s="25" t="str">
        <f aca="false">IF(Tasks[[#This Row],[Task Name]]="","",Tasks[[#This Row],[Forecast Start]])</f>
        <v/>
      </c>
      <c r="BC49" s="25" t="str">
        <f aca="false">IF(Tasks[[#This Row],[Task Name]]="","",Tasks[[#This Row],[Forecast Finish]])</f>
        <v/>
      </c>
      <c r="BD49" s="45" t="str">
        <f aca="false">IF(Tasks[[#This Row],[Task Name]]="","",IF(Tasks[[#This Row],[_IsSummary]],NETWORKDAYS.INTL(Tasks[[#This Row],[Forecast Start]],Tasks[[#This Row],[Forecast Finish]],WorkWeek,Holidays),N(Tasks[[#This Row],[Duration]])))</f>
        <v/>
      </c>
      <c r="BE49" s="110" t="str">
        <f aca="false">IF(Tasks[[#This Row],[Task Name]]="","",Tasks[[#This Row],[Work]])</f>
        <v/>
      </c>
      <c r="BF49" s="111" t="str">
        <f aca="false">IF(Tasks[[#This Row],[Task Name]]="","",Tasks[[#This Row],[Cost]])</f>
        <v/>
      </c>
      <c r="BG49" s="88"/>
      <c r="BH49" s="88"/>
      <c r="BI49" s="46"/>
      <c r="BJ49" s="113"/>
      <c r="BK49" s="112"/>
      <c r="BL49" s="45" t="str">
        <f aca="false">IF(OR(Tasks[[#This Row],[Task Name]]="",Tasks[[#This Row],[Baseline Duration]]=""),"",Tasks[[#This Row],[BL Source Duration]]-N(Tasks[[#This Row],[Baseline Duration]]))</f>
        <v/>
      </c>
      <c r="BM49" s="110" t="str">
        <f aca="false">IF(OR(Tasks[[#This Row],[Task Name]]="",Tasks[[#This Row],[Baseline Work]]=""),"",Tasks[[#This Row],[Work]]-N(Tasks[[#This Row],[Baseline Work]]))</f>
        <v/>
      </c>
      <c r="BN49" s="111" t="str">
        <f aca="false">IF(OR(Tasks[[#This Row],[Task Name]]="",Tasks[[#This Row],[Baseline Cost]]=""),"",Tasks[[#This Row],[Cost]]-N(Tasks[[#This Row],[Baseline Cost]]))</f>
        <v/>
      </c>
      <c r="BO49" s="111" t="str">
        <f aca="false">IF(Tasks[[#This Row],[Task Name]]="","",IF(Tasks[[#This Row],[_IsSummary]],SUM(INDEX(Tasks[_LeafBudget],Tasks[[#This Row],[_Row]]+1):INDEX(Tasks[_LeafBudget],Tasks[[#This Row],[_Row]]+Tasks[[#This Row],[_Descendants]])),Tasks[[#This Row],[_LeafBudget]]))</f>
        <v/>
      </c>
      <c r="BP49" s="111" t="str">
        <f aca="false">IF(Tasks[[#This Row],[Task Name]]="","",IF(Tasks[[#This Row],[_IsSummary]],SUM(INDEX(Tasks[_LeafPV],Tasks[[#This Row],[_Row]]+1):INDEX(Tasks[_LeafPV],Tasks[[#This Row],[_Row]]+Tasks[[#This Row],[_Descendants]])),Tasks[[#This Row],[_LeafPV]]))</f>
        <v/>
      </c>
      <c r="BQ49" s="111" t="str">
        <f aca="false">IF(Tasks[[#This Row],[Task Name]]="","",IF(Tasks[[#This Row],[_IsSummary]],SUM(INDEX(Tasks[_LeafEV],Tasks[[#This Row],[_Row]]+1):INDEX(Tasks[_LeafEV],Tasks[[#This Row],[_Row]]+Tasks[[#This Row],[_Descendants]])),Tasks[[#This Row],[_LeafEV]]))</f>
        <v/>
      </c>
      <c r="BR49" s="111" t="str">
        <f aca="false">IF(Tasks[[#This Row],[Task Name]]="","",IF(Tasks[[#This Row],[_IsSummary]],SUM(INDEX(Tasks[_LeafAC],Tasks[[#This Row],[_Row]]+1):INDEX(Tasks[_LeafAC],Tasks[[#This Row],[_Row]]+Tasks[[#This Row],[_Descendants]])),Tasks[[#This Row],[_LeafAC]]))</f>
        <v/>
      </c>
      <c r="BS49" s="32" t="str">
        <f aca="false">IF(Tasks[[#This Row],[Task Name]]="","",MAX(1,N(Tasks[[#This Row],[Level]])))</f>
        <v/>
      </c>
      <c r="BT49" s="32" t="n">
        <f aca="false">ROW()-ROW(Tasks[[#Headers],[ID]])</f>
        <v>44</v>
      </c>
      <c r="BU49" s="32" t="n">
        <f aca="false">IF(OR(Tasks[[#This Row],[Task Name]]="",Tasks[[#This Row],[_Level]]&lt;=1),0,IFERROR(LOOKUP(2,1/(Tasks[[#Headers],[_Level]]:Tasks[[#This Row],[_Level]]=Tasks[[#This Row],[_Level]]-1),ROW(Tasks[[#Headers],[_Level]]:Tasks[[#This Row],[_Level]])),0))</f>
        <v>0</v>
      </c>
      <c r="BV49" s="32" t="n">
        <f aca="false">IFERROR(N(INDEX(Tasks[_Level],Tasks[[#This Row],[_Row]]+1)),0)</f>
        <v>0</v>
      </c>
      <c r="BW49" s="114" t="b">
        <f aca="false">AND(Tasks[[#This Row],[Task Name]]&lt;&gt;"",Tasks[[#This Row],[_NextLevel]]&gt;Tasks[[#This Row],[_Level]])</f>
        <v>0</v>
      </c>
      <c r="BX49" s="32" t="n">
        <f aca="false">IF(Tasks[[#This Row],[_IsSummary]],COUNTIF(Tasks[WBS],Tasks[[#This Row],[WBS]]&amp;".*"),0)</f>
        <v>0</v>
      </c>
      <c r="BY49" s="32" t="n">
        <f aca="false">IF(AND(Tasks[[#This Row],[Task Name]]&lt;&gt;"",NOT(Tasks[[#This Row],[_IsSummary]])),1,0)</f>
        <v>0</v>
      </c>
      <c r="BZ49" s="32" t="n">
        <f aca="false">IF(N(Tasks[[#This Row],[Pred1 UID]])=0,0,IFERROR(MATCH(Tasks[[#This Row],[Pred1 UID]],Tasks[UID],0),-1))</f>
        <v>0</v>
      </c>
      <c r="CA49" s="32" t="n">
        <f aca="false">IF(N(Tasks[[#This Row],[Pred2 UID]])=0,0,IFERROR(MATCH(Tasks[[#This Row],[Pred2 UID]],Tasks[UID],0),-1))</f>
        <v>0</v>
      </c>
      <c r="CB49" s="32" t="n">
        <f aca="false">IF(N(Tasks[[#This Row],[Pred3 UID]])=0,0,IFERROR(MATCH(Tasks[[#This Row],[Pred3 UID]],Tasks[UID],0),-1))</f>
        <v>0</v>
      </c>
      <c r="CC49" s="32" t="n">
        <f aca="false">IF(N(Tasks[[#This Row],[Pred4 UID]])=0,0,IFERROR(MATCH(Tasks[[#This Row],[Pred4 UID]],Tasks[UID],0),-1))</f>
        <v>0</v>
      </c>
      <c r="CD4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4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49" s="115" t="n">
        <f aca="false">IF(OR(Tasks[[#This Row],[_ConstraintCode]]=2,Tasks[[#This Row],[_ConstraintCode]]=3,Tasks[[#This Row],[_ConstraintCode]]=4,Tasks[[#This Row],[_ConstraintCode]]=6),Tasks[[#This Row],[_ConstraintStart]],0)</f>
        <v>0</v>
      </c>
      <c r="CG49" s="115" t="n">
        <f aca="false">IF(OR(Tasks[[#This Row],[_ConstraintCode]]=2,Tasks[[#This Row],[_ConstraintCode]]=3,Tasks[[#This Row],[_ConstraintCode]]=5,Tasks[[#This Row],[_ConstraintCode]]=7),Tasks[[#This Row],[_ConstraintStart]],2958465)</f>
        <v>2958465</v>
      </c>
      <c r="CH4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49" s="115" t="str">
        <f aca="false">IF(NOT(Tasks[[#This Row],[_IsLeaf]]=1),"",IF(N(Tasks[[#This Row],[Duration]])&lt;=0,Tasks[[#This Row],[_LeafCalcStart]],WORKDAY.INTL(Tasks[[#This Row],[_LeafCalcStart]],Tasks[[#This Row],[Duration]]-1,WorkWeek,Holidays)))</f>
        <v/>
      </c>
      <c r="CJ4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4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49" s="32" t="n">
        <f aca="false">IF(NOT(Tasks[[#This Row],[_IsLeaf]]=1),0,IF(N(Tasks[[#This Row],[Actual Finish]])&gt;0,1,MIN(1,N(Tasks[[#This Row],[% Complete]]))))</f>
        <v>0</v>
      </c>
      <c r="CM49" s="32" t="n">
        <f aca="false">IF(OR(NOT(Tasks[[#This Row],[_IsLeaf]]=1),Tasks[[#This Row],[Resource]]=""),0,N(Tasks[[#This Row],[Duration]])*HoursPerDay*IF(Tasks[[#This Row],[Units]]="",DefaultUnits,Tasks[[#This Row],[Units]]))</f>
        <v>0</v>
      </c>
      <c r="CN49" s="32" t="n">
        <f aca="false">IF(Tasks[[#This Row],[_LeafWork]]=0,0,Tasks[[#This Row],[_LeafWork]]*IFERROR(INDEX(res_Rate,MATCH(Tasks[[#This Row],[Resource]],res_Name,0)),0))</f>
        <v>0</v>
      </c>
      <c r="CO49" s="32" t="n">
        <f aca="false">Tasks[[#This Row],[_LeafWork]]+IF(Tasks[[#This Row],[_IsLeaf]]=1,SUMIFS(asg_Work,asg_TaskUID,Tasks[[#This Row],[UID]],asg_Valid,1),0)</f>
        <v>0</v>
      </c>
      <c r="CP49" s="32" t="n">
        <f aca="false">Tasks[[#This Row],[_LeafCost]]+IF(Tasks[[#This Row],[_IsLeaf]]=1,SUMIFS(asg_Cost,asg_TaskUID,Tasks[[#This Row],[UID]],asg_Valid,1),0)</f>
        <v>0</v>
      </c>
      <c r="CQ49" s="32" t="n">
        <f aca="false">IF(Tasks[[#This Row],[_LeafTotalCost]]=0,Tasks[[#This Row],[_LeafAC]],Tasks[[#This Row],[_LeafAC]]*Tasks[[#This Row],[_LeafCost]]/Tasks[[#This Row],[_LeafTotalCost]])</f>
        <v>0</v>
      </c>
      <c r="CR4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4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4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4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4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4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4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4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49" s="32" t="n">
        <f aca="false">IF(NOT(Tasks[[#This Row],[_IsLeaf]]=1),0,MAX(_xlfn.MAXIFS(Tasks[_Row],Tasks[Pred1 UID],Tasks[[#This Row],[UID]]),_xlfn.MAXIFS(Tasks[_Row],Tasks[Pred2 UID],Tasks[[#This Row],[UID]]),_xlfn.MAXIFS(Tasks[_Row],Tasks[Pred3 UID],Tasks[[#This Row],[UID]]),_xlfn.MAXIFS(Tasks[_Row],Tasks[Pred4 UID],Tasks[[#This Row],[UID]])))</f>
        <v>0</v>
      </c>
      <c r="DA4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4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49" s="115" t="str">
        <f aca="false">IF(NOT(Tasks[[#This Row],[_IsLeaf]]=1),"",IF(N(Tasks[[#This Row],[Duration]])&lt;=0,Tasks[[#This Row],[_LeafLateFinish]],WORKDAY.INTL(Tasks[[#This Row],[_LeafLateFinish]],-(Tasks[[#This Row],[Duration]]-1),WorkWeek,Holidays)))</f>
        <v/>
      </c>
      <c r="DD4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49" s="114" t="b">
        <f aca="false">AND(Tasks[[#This Row],[_IsLeaf]]=1,Tasks[[#This Row],[_LeafProgress]]&lt;1,N(Tasks[[#This Row],[_LeafTotalSlack]])&lt;=CriticalSlackDays)</f>
        <v>0</v>
      </c>
      <c r="DF49" s="32" t="n">
        <f aca="false">IF(AND(Tasks[[#This Row],[_IsLeaf]]=1,Tasks[[#This Row],[_ConstraintCode]]=1,Tasks[[#This Row],[Mode]]&lt;&gt;"Manual",N(Tasks[[#This Row],[Actual Start]])=0),MAX(0,N(Tasks[[#This Row],[Free Slack]])),0)</f>
        <v>0</v>
      </c>
      <c r="DG49" s="115" t="str">
        <f aca="false">IF(NOT(Tasks[[#This Row],[_IsLeaf]]=1),"",IF(Tasks[[#This Row],[_AlapShift]]=0,Tasks[[#This Row],[_LeafCalcStart]],WORKDAY.INTL(Tasks[[#This Row],[_LeafCalcStart]],Tasks[[#This Row],[_AlapShift]],WorkWeek,Holidays)))</f>
        <v/>
      </c>
      <c r="DH49" s="115" t="str">
        <f aca="false">IF(NOT(Tasks[[#This Row],[_IsLeaf]]=1),"",IF(Tasks[[#This Row],[_AlapShift]]=0,Tasks[[#This Row],[_LeafCalcFinish]],WORKDAY.INTL(Tasks[[#This Row],[_LeafCalcFinish]],Tasks[[#This Row],[_AlapShift]],WorkWeek,Holidays)))</f>
        <v/>
      </c>
      <c r="DI49" s="115" t="str">
        <f aca="false">IF(NOT(Tasks[[#This Row],[_IsLeaf]]=1),"",IF(Tasks[[#This Row],[_AlapShift]]=0,Tasks[[#This Row],[_LeafFcstStart]],WORKDAY.INTL(Tasks[[#This Row],[_LeafFcstStart]],Tasks[[#This Row],[_AlapShift]],WorkWeek,Holidays)))</f>
        <v/>
      </c>
      <c r="DJ49" s="115" t="str">
        <f aca="false">IF(NOT(Tasks[[#This Row],[_IsLeaf]]=1),"",IF(Tasks[[#This Row],[_AlapShift]]=0,Tasks[[#This Row],[_LeafFcstFinish]],WORKDAY.INTL(Tasks[[#This Row],[_LeafFcstFinish]],Tasks[[#This Row],[_AlapShift]],WorkWeek,Holidays)))</f>
        <v/>
      </c>
      <c r="DK49" s="115" t="str">
        <f aca="false">IF(Tasks[[#This Row],[Task Name]]="","",IF(Tasks[[#This Row],[_IsSummary]],MIN(INDEX(Tasks[_ShownCalcStart],Tasks[[#This Row],[_Row]]+1):INDEX(Tasks[_ShownCalcStart],Tasks[[#This Row],[_Row]]+Tasks[[#This Row],[_Descendants]])),Tasks[[#This Row],[_ShownCalcStart]]))</f>
        <v/>
      </c>
      <c r="DL49" s="115" t="str">
        <f aca="false">IF(Tasks[[#This Row],[Task Name]]="","",IF(Tasks[[#This Row],[_IsSummary]],MAX(INDEX(Tasks[_ShownCalcFinish],Tasks[[#This Row],[_Row]]+1):INDEX(Tasks[_ShownCalcFinish],Tasks[[#This Row],[_Row]]+Tasks[[#This Row],[_Descendants]])),Tasks[[#This Row],[_ShownCalcFinish]]))</f>
        <v/>
      </c>
      <c r="DM4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4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4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4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4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4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4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4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4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4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4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4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49" s="32" t="n">
        <f aca="false">IF(AND(Tasks[[#This Row],[_IsLeaf]]=1,Tasks[[#This Row],[_LeafTotalWork]]&gt;0),NETWORKDAYS.INTL(ProjectStart,Tasks[[#This Row],[_ShownFcstStart]],WorkWeek,Holidays),0)</f>
        <v>0</v>
      </c>
      <c r="DZ49" s="32" t="n">
        <f aca="false">IF(AND(Tasks[[#This Row],[_IsLeaf]]=1,Tasks[[#This Row],[_LeafTotalWork]]&gt;0),MAX(Tasks[[#This Row],[_StartWorkday]],NETWORKDAYS.INTL(ProjectStart,Tasks[[#This Row],[_ShownFcstFinish]],WorkWeek,Holidays)),0)</f>
        <v>0</v>
      </c>
      <c r="EA49" s="32" t="n">
        <f aca="false">IF(AND(Tasks[[#This Row],[_IsLeaf]]=1,Tasks[[#This Row],[_LeafTotalWork]]&gt;0),Tasks[[#This Row],[_LeafWork]]/(Tasks[[#This Row],[_FinishWorkday]]-Tasks[[#This Row],[_StartWorkday]]+1),0)</f>
        <v>0</v>
      </c>
      <c r="EB49" s="32" t="n">
        <f aca="false">Tasks[[#This Row],[_WorkPerWorkday]]*(Tasks[[#This Row],[_StartWorkday]]-1)</f>
        <v>-0</v>
      </c>
      <c r="EC49" s="32" t="n">
        <f aca="false">IF(Tasks[[#This Row],[_IsLeaf]]=1,MAX(N(Tasks[[#This Row],[Duration]]),0.1),0)</f>
        <v>0</v>
      </c>
      <c r="ED49" s="32" t="n">
        <f aca="false">Tasks[[#This Row],[_WeightDur]]*Tasks[[#This Row],[_LeafProgress]]</f>
        <v>0</v>
      </c>
      <c r="EE4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49" s="32" t="str">
        <f aca="false">IF(AND(Tasks[[#This Row],[_IsLeaf]]=1,N(Tasks[[#This Row],[Duration]])=0,Tasks[[#This Row],[_LeafProgress]]&lt;1),Tasks[[#This Row],[_ShownFcstFinish]]+Tasks[[#This Row],[_Row]]/100000,"")</f>
        <v/>
      </c>
      <c r="EG4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49" s="32" t="n">
        <f aca="false">IF(NOT(Tasks[[#This Row],[_IsLeaf]]=1),0,IF(Tasks[[#This Row],[Baseline Cost]]="",Tasks[[#This Row],[_LeafTotalCost]],N(Tasks[[#This Row],[Baseline Cost]])))</f>
        <v>0</v>
      </c>
      <c r="EI49" s="32" t="n">
        <f aca="false">Tasks[[#This Row],[_LeafBudget]]*Tasks[[#This Row],[_PlannedPct]]</f>
        <v>0</v>
      </c>
      <c r="EJ49" s="32" t="n">
        <f aca="false">Tasks[[#This Row],[_LeafBudget]]*Tasks[[#This Row],[_LeafProgress]]</f>
        <v>0</v>
      </c>
      <c r="EK49" s="32" t="n">
        <f aca="false">IF(NOT(Tasks[[#This Row],[_IsLeaf]]=1),0,IF(Tasks[[#This Row],[Actual Cost]]="",Tasks[[#This Row],[_LeafTotalCost]]*Tasks[[#This Row],[_LeafProgress]],N(Tasks[[#This Row],[Actual Cost]])))</f>
        <v>0</v>
      </c>
      <c r="EL49" s="32" t="str">
        <f aca="false">IF(Tasks[[#This Row],[Task Name]]="","",LEFT(Tasks[[#This Row],[WBS]],FIND(".",Tasks[[#This Row],[WBS]]&amp;".")-1))</f>
        <v/>
      </c>
      <c r="EM49" s="32" t="str">
        <f aca="false">IF(AND(Tasks[[#This Row],[Task Name]]&lt;&gt;"",Tasks[[#This Row],[_Level]]=1),Tasks[[#This Row],[_Row]],"")</f>
        <v/>
      </c>
      <c r="EN49" s="32" t="str">
        <f aca="false">IF(AND(Tasks[[#This Row],[_IsLeaf]]=1,N(Tasks[[#This Row],[Duration]])=0),Tasks[[#This Row],[Planned Finish]]+Tasks[[#This Row],[_Row]]/100000,"")</f>
        <v/>
      </c>
      <c r="EO49" s="32" t="str">
        <f aca="false">IF(AND(Tasks[[#This Row],[_IsLeaf]]=1,Tasks[[#This Row],[_LeafProgress]]&lt;1,OR(N(Tasks[[#This Row],[Finish Var]])&gt;0,Tasks[[#This Row],[Status]]="Late Start")),MAX(0,Tasks[[#This Row],[Finish Var]])+1-Tasks[[#This Row],[_Row]]/1000000,"")</f>
        <v/>
      </c>
      <c r="EP49" s="32" t="str">
        <f aca="false">IF(AND(Tasks[[#This Row],[_IsLeaf]]=1,N(Tasks[[#This Row],[Actual Start]])=0,Tasks[[#This Row],[_ShownFcstStart]]&gt;=StatusDate,Tasks[[#This Row],[_ShownFcstStart]]&lt;=LookaheadEnd),Tasks[[#This Row],[_ShownFcstStart]]+Tasks[[#This Row],[_Row]]/100000,"")</f>
        <v/>
      </c>
      <c r="EQ49" s="32" t="str">
        <f aca="false">IF(AND(Tasks[[#This Row],[_IsLeaf]]=1,Tasks[[#This Row],[_LeafProgress]]&lt;1,Tasks[[#This Row],[_ShownFcstFinish]]&gt;=StatusDate,Tasks[[#This Row],[_ShownFcstFinish]]&lt;=LookaheadEnd),Tasks[[#This Row],[_ShownFcstFinish]]+Tasks[[#This Row],[_Row]]/100000,"")</f>
        <v/>
      </c>
      <c r="ER49" s="32" t="str">
        <f aca="false">IF(Tasks[[#This Row],[_LeafCritical]],Tasks[[#This Row],[_ShownFcstStart]]+Tasks[[#This Row],[_Row]]/100000,"")</f>
        <v/>
      </c>
      <c r="ES49" s="32" t="n">
        <f aca="false">Tasks[[#This Row],[_LeafWork]]*Tasks[[#This Row],[_LeafProgress]]</f>
        <v>0</v>
      </c>
      <c r="ET49" s="115" t="str">
        <f aca="false">IF(AND(Tasks[[#This Row],[_IsLeaf]]=1,Tasks[[#This Row],[_LeafProgress]]&gt;=1),IF(N(Tasks[[#This Row],[Actual Finish]])&gt;0,Tasks[[#This Row],[Actual Finish]],Tasks[[#This Row],[_ShownFcstFinish]]),"")</f>
        <v/>
      </c>
      <c r="EU49" s="32" t="n">
        <f aca="false">IF(Tasks[[#This Row],[_IsLeaf]]=1,N(Tasks[[#This Row],[Story Points]]),0)</f>
        <v>0</v>
      </c>
      <c r="EV49" s="32" t="str">
        <f aca="false">IF(AND(Tasks[[#This Row],[_IsLeaf]]=1,CurrentSprint&lt;&gt;"",Tasks[[#This Row],[Sprint]]=CurrentSprint),Tasks[[#This Row],[_Row]],"")</f>
        <v/>
      </c>
    </row>
    <row r="50" customFormat="false" ht="15" hidden="false" customHeight="false" outlineLevel="0" collapsed="false">
      <c r="A50" s="45" t="str">
        <f aca="false">IF(Tasks[[#This Row],[Task Name]]="","",COUNTA(Tasks[[#Headers],[Task Name]]:Tasks[[#This Row],[Task Name]])-1)</f>
        <v/>
      </c>
      <c r="B50" s="46" t="n">
        <v>45</v>
      </c>
      <c r="C5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0" s="46"/>
      <c r="E50" s="45" t="str">
        <f aca="false">IF(Tasks[[#This Row],[Task Name]]="","",IF(Tasks[[#This Row],[_Level]]&lt;=OutlineShowLevel,"Yes","No"))</f>
        <v/>
      </c>
      <c r="F50" s="47"/>
      <c r="G50" s="46"/>
      <c r="H50" s="46"/>
      <c r="I50" s="46"/>
      <c r="J50" s="46"/>
      <c r="K50" s="46"/>
      <c r="L50" s="46"/>
      <c r="M50" s="46"/>
      <c r="N50" s="46"/>
      <c r="O50" s="46"/>
      <c r="P50" s="46"/>
      <c r="Q50" s="46"/>
      <c r="R50" s="46"/>
      <c r="S50" s="46"/>
      <c r="T50" s="46"/>
      <c r="U50" s="47"/>
      <c r="V50" s="88"/>
      <c r="W50" s="88"/>
      <c r="X50" s="25" t="str">
        <f aca="false">IF(Tasks[[#This Row],[Task Name]]="","",IF(N(Tasks[[#This Row],[Baseline Start]])&gt;0,Tasks[[#This Row],[Baseline Start]],Tasks[[#This Row],[_CalcStart]]))</f>
        <v/>
      </c>
      <c r="Y50" s="25" t="str">
        <f aca="false">IF(Tasks[[#This Row],[Task Name]]="","",IF(N(Tasks[[#This Row],[Baseline Finish]])&gt;0,Tasks[[#This Row],[Baseline Finish]],Tasks[[#This Row],[_CalcFinish]]))</f>
        <v/>
      </c>
      <c r="Z50" s="88"/>
      <c r="AA50" s="88"/>
      <c r="AB50" s="25" t="str">
        <f aca="false">IF(Tasks[[#This Row],[Task Name]]="","",IF(Tasks[[#This Row],[_IsSummary]],MIN(INDEX(Tasks[_ShownFcstStart],Tasks[[#This Row],[_Row]]+1):INDEX(Tasks[_ShownFcstStart],Tasks[[#This Row],[_Row]]+Tasks[[#This Row],[_Descendants]])),Tasks[[#This Row],[_ShownFcstStart]]))</f>
        <v/>
      </c>
      <c r="AC50" s="25" t="str">
        <f aca="false">IF(Tasks[[#This Row],[Task Name]]="","",IF(Tasks[[#This Row],[_IsSummary]],MAX(INDEX(Tasks[_ShownFcstFinish],Tasks[[#This Row],[_Row]]+1):INDEX(Tasks[_ShownFcstFinish],Tasks[[#This Row],[_Row]]+Tasks[[#This Row],[_Descendants]])),Tasks[[#This Row],[_ShownFcstFinish]]))</f>
        <v/>
      </c>
      <c r="AD5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0" s="25" t="str">
        <f aca="false">IF(Tasks[[#This Row],[Task Name]]="","",IF(Tasks[[#This Row],[_IsSummary]],MIN(INDEX(Tasks[_LeafLateStart],Tasks[[#This Row],[_Row]]+1):INDEX(Tasks[_LeafLateStart],Tasks[[#This Row],[_Row]]+Tasks[[#This Row],[_Descendants]])),Tasks[[#This Row],[_LeafLateStart]]))</f>
        <v/>
      </c>
      <c r="AG50" s="25" t="str">
        <f aca="false">IF(Tasks[[#This Row],[Task Name]]="","",IF(Tasks[[#This Row],[_IsSummary]],MAX(INDEX(Tasks[_LeafLateFinish],Tasks[[#This Row],[_Row]]+1):INDEX(Tasks[_LeafLateFinish],Tasks[[#This Row],[_Row]]+Tasks[[#This Row],[_Descendants]])),Tasks[[#This Row],[_LeafLateFinish]]))</f>
        <v/>
      </c>
      <c r="AH50" s="56" t="str">
        <f aca="false">IF(Tasks[[#This Row],[Task Name]]="","",IF(Tasks[[#This Row],[_IsSummary]],MIN(INDEX(Tasks[_LeafTotalSlack],Tasks[[#This Row],[_Row]]+1):INDEX(Tasks[_LeafTotalSlack],Tasks[[#This Row],[_Row]]+Tasks[[#This Row],[_Descendants]])),Tasks[[#This Row],[_LeafTotalSlack]]))</f>
        <v/>
      </c>
      <c r="AI5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0" s="45" t="str">
        <f aca="false">IF(Tasks[[#This Row],[Task Name]]="","",IF(IF(Tasks[[#This Row],[_IsSummary]],COUNTIF(INDEX(Tasks[_LeafCritical],Tasks[[#This Row],[_Row]]+1):INDEX(Tasks[_LeafCritical],Tasks[[#This Row],[_Row]]+Tasks[[#This Row],[_Descendants]]),TRUE())&gt;0,Tasks[[#This Row],[_LeafCritical]]),"Yes",""))</f>
        <v/>
      </c>
      <c r="AK5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0" s="102"/>
      <c r="AN5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0" s="45" t="str">
        <f aca="false">IF(Tasks[[#This Row],[Task Name]]="","",IF(Tasks[[#This Row],[Progress]]&gt;=1,"Complete",IF(OR(N(Tasks[[#This Row],[Actual Start]])&gt;0,Tasks[[#This Row],[Progress]]&gt;0),IF(Tasks[[#This Row],[Finish Var]]&gt;0,"Behind","In Progress"),IF(Tasks[[#This Row],[Planned Start]]&lt;StatusDate,"Late Start","Not Started"))))</f>
        <v/>
      </c>
      <c r="AP50" s="47"/>
      <c r="AQ50" s="102"/>
      <c r="AR5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0" s="110" t="str">
        <f aca="false">IF(Tasks[[#This Row],[Task Name]]="","",IF(Tasks[[#This Row],[_IsSummary]],SUM(INDEX(Tasks[_LeafTotalWork],Tasks[[#This Row],[_Row]]+1):INDEX(Tasks[_LeafTotalWork],Tasks[[#This Row],[_Row]]+Tasks[[#This Row],[_Descendants]])),Tasks[[#This Row],[_LeafTotalWork]]))</f>
        <v/>
      </c>
      <c r="AU50" s="111" t="str">
        <f aca="false">IF(Tasks[[#This Row],[Task Name]]="","",IF(Tasks[[#This Row],[_IsSummary]],SUM(INDEX(Tasks[_LeafTotalCost],Tasks[[#This Row],[_Row]]+1):INDEX(Tasks[_LeafTotalCost],Tasks[[#This Row],[_Row]]+Tasks[[#This Row],[_Descendants]])),Tasks[[#This Row],[_LeafTotalCost]]))</f>
        <v/>
      </c>
      <c r="AV50" s="112"/>
      <c r="AW50" s="46"/>
      <c r="AX5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0" s="96"/>
      <c r="AZ5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0" s="47"/>
      <c r="BB50" s="25" t="str">
        <f aca="false">IF(Tasks[[#This Row],[Task Name]]="","",Tasks[[#This Row],[Forecast Start]])</f>
        <v/>
      </c>
      <c r="BC50" s="25" t="str">
        <f aca="false">IF(Tasks[[#This Row],[Task Name]]="","",Tasks[[#This Row],[Forecast Finish]])</f>
        <v/>
      </c>
      <c r="BD50" s="45" t="str">
        <f aca="false">IF(Tasks[[#This Row],[Task Name]]="","",IF(Tasks[[#This Row],[_IsSummary]],NETWORKDAYS.INTL(Tasks[[#This Row],[Forecast Start]],Tasks[[#This Row],[Forecast Finish]],WorkWeek,Holidays),N(Tasks[[#This Row],[Duration]])))</f>
        <v/>
      </c>
      <c r="BE50" s="110" t="str">
        <f aca="false">IF(Tasks[[#This Row],[Task Name]]="","",Tasks[[#This Row],[Work]])</f>
        <v/>
      </c>
      <c r="BF50" s="111" t="str">
        <f aca="false">IF(Tasks[[#This Row],[Task Name]]="","",Tasks[[#This Row],[Cost]])</f>
        <v/>
      </c>
      <c r="BG50" s="88"/>
      <c r="BH50" s="88"/>
      <c r="BI50" s="46"/>
      <c r="BJ50" s="113"/>
      <c r="BK50" s="112"/>
      <c r="BL50" s="45" t="str">
        <f aca="false">IF(OR(Tasks[[#This Row],[Task Name]]="",Tasks[[#This Row],[Baseline Duration]]=""),"",Tasks[[#This Row],[BL Source Duration]]-N(Tasks[[#This Row],[Baseline Duration]]))</f>
        <v/>
      </c>
      <c r="BM50" s="110" t="str">
        <f aca="false">IF(OR(Tasks[[#This Row],[Task Name]]="",Tasks[[#This Row],[Baseline Work]]=""),"",Tasks[[#This Row],[Work]]-N(Tasks[[#This Row],[Baseline Work]]))</f>
        <v/>
      </c>
      <c r="BN50" s="111" t="str">
        <f aca="false">IF(OR(Tasks[[#This Row],[Task Name]]="",Tasks[[#This Row],[Baseline Cost]]=""),"",Tasks[[#This Row],[Cost]]-N(Tasks[[#This Row],[Baseline Cost]]))</f>
        <v/>
      </c>
      <c r="BO50" s="111" t="str">
        <f aca="false">IF(Tasks[[#This Row],[Task Name]]="","",IF(Tasks[[#This Row],[_IsSummary]],SUM(INDEX(Tasks[_LeafBudget],Tasks[[#This Row],[_Row]]+1):INDEX(Tasks[_LeafBudget],Tasks[[#This Row],[_Row]]+Tasks[[#This Row],[_Descendants]])),Tasks[[#This Row],[_LeafBudget]]))</f>
        <v/>
      </c>
      <c r="BP50" s="111" t="str">
        <f aca="false">IF(Tasks[[#This Row],[Task Name]]="","",IF(Tasks[[#This Row],[_IsSummary]],SUM(INDEX(Tasks[_LeafPV],Tasks[[#This Row],[_Row]]+1):INDEX(Tasks[_LeafPV],Tasks[[#This Row],[_Row]]+Tasks[[#This Row],[_Descendants]])),Tasks[[#This Row],[_LeafPV]]))</f>
        <v/>
      </c>
      <c r="BQ50" s="111" t="str">
        <f aca="false">IF(Tasks[[#This Row],[Task Name]]="","",IF(Tasks[[#This Row],[_IsSummary]],SUM(INDEX(Tasks[_LeafEV],Tasks[[#This Row],[_Row]]+1):INDEX(Tasks[_LeafEV],Tasks[[#This Row],[_Row]]+Tasks[[#This Row],[_Descendants]])),Tasks[[#This Row],[_LeafEV]]))</f>
        <v/>
      </c>
      <c r="BR50" s="111" t="str">
        <f aca="false">IF(Tasks[[#This Row],[Task Name]]="","",IF(Tasks[[#This Row],[_IsSummary]],SUM(INDEX(Tasks[_LeafAC],Tasks[[#This Row],[_Row]]+1):INDEX(Tasks[_LeafAC],Tasks[[#This Row],[_Row]]+Tasks[[#This Row],[_Descendants]])),Tasks[[#This Row],[_LeafAC]]))</f>
        <v/>
      </c>
      <c r="BS50" s="32" t="str">
        <f aca="false">IF(Tasks[[#This Row],[Task Name]]="","",MAX(1,N(Tasks[[#This Row],[Level]])))</f>
        <v/>
      </c>
      <c r="BT50" s="32" t="n">
        <f aca="false">ROW()-ROW(Tasks[[#Headers],[ID]])</f>
        <v>45</v>
      </c>
      <c r="BU50" s="32" t="n">
        <f aca="false">IF(OR(Tasks[[#This Row],[Task Name]]="",Tasks[[#This Row],[_Level]]&lt;=1),0,IFERROR(LOOKUP(2,1/(Tasks[[#Headers],[_Level]]:Tasks[[#This Row],[_Level]]=Tasks[[#This Row],[_Level]]-1),ROW(Tasks[[#Headers],[_Level]]:Tasks[[#This Row],[_Level]])),0))</f>
        <v>0</v>
      </c>
      <c r="BV50" s="32" t="n">
        <f aca="false">IFERROR(N(INDEX(Tasks[_Level],Tasks[[#This Row],[_Row]]+1)),0)</f>
        <v>0</v>
      </c>
      <c r="BW50" s="114" t="b">
        <f aca="false">AND(Tasks[[#This Row],[Task Name]]&lt;&gt;"",Tasks[[#This Row],[_NextLevel]]&gt;Tasks[[#This Row],[_Level]])</f>
        <v>0</v>
      </c>
      <c r="BX50" s="32" t="n">
        <f aca="false">IF(Tasks[[#This Row],[_IsSummary]],COUNTIF(Tasks[WBS],Tasks[[#This Row],[WBS]]&amp;".*"),0)</f>
        <v>0</v>
      </c>
      <c r="BY50" s="32" t="n">
        <f aca="false">IF(AND(Tasks[[#This Row],[Task Name]]&lt;&gt;"",NOT(Tasks[[#This Row],[_IsSummary]])),1,0)</f>
        <v>0</v>
      </c>
      <c r="BZ50" s="32" t="n">
        <f aca="false">IF(N(Tasks[[#This Row],[Pred1 UID]])=0,0,IFERROR(MATCH(Tasks[[#This Row],[Pred1 UID]],Tasks[UID],0),-1))</f>
        <v>0</v>
      </c>
      <c r="CA50" s="32" t="n">
        <f aca="false">IF(N(Tasks[[#This Row],[Pred2 UID]])=0,0,IFERROR(MATCH(Tasks[[#This Row],[Pred2 UID]],Tasks[UID],0),-1))</f>
        <v>0</v>
      </c>
      <c r="CB50" s="32" t="n">
        <f aca="false">IF(N(Tasks[[#This Row],[Pred3 UID]])=0,0,IFERROR(MATCH(Tasks[[#This Row],[Pred3 UID]],Tasks[UID],0),-1))</f>
        <v>0</v>
      </c>
      <c r="CC50" s="32" t="n">
        <f aca="false">IF(N(Tasks[[#This Row],[Pred4 UID]])=0,0,IFERROR(MATCH(Tasks[[#This Row],[Pred4 UID]],Tasks[UID],0),-1))</f>
        <v>0</v>
      </c>
      <c r="CD5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0" s="115" t="n">
        <f aca="false">IF(OR(Tasks[[#This Row],[_ConstraintCode]]=2,Tasks[[#This Row],[_ConstraintCode]]=3,Tasks[[#This Row],[_ConstraintCode]]=4,Tasks[[#This Row],[_ConstraintCode]]=6),Tasks[[#This Row],[_ConstraintStart]],0)</f>
        <v>0</v>
      </c>
      <c r="CG50" s="115" t="n">
        <f aca="false">IF(OR(Tasks[[#This Row],[_ConstraintCode]]=2,Tasks[[#This Row],[_ConstraintCode]]=3,Tasks[[#This Row],[_ConstraintCode]]=5,Tasks[[#This Row],[_ConstraintCode]]=7),Tasks[[#This Row],[_ConstraintStart]],2958465)</f>
        <v>2958465</v>
      </c>
      <c r="CH5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0" s="115" t="str">
        <f aca="false">IF(NOT(Tasks[[#This Row],[_IsLeaf]]=1),"",IF(N(Tasks[[#This Row],[Duration]])&lt;=0,Tasks[[#This Row],[_LeafCalcStart]],WORKDAY.INTL(Tasks[[#This Row],[_LeafCalcStart]],Tasks[[#This Row],[Duration]]-1,WorkWeek,Holidays)))</f>
        <v/>
      </c>
      <c r="CJ5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0" s="32" t="n">
        <f aca="false">IF(NOT(Tasks[[#This Row],[_IsLeaf]]=1),0,IF(N(Tasks[[#This Row],[Actual Finish]])&gt;0,1,MIN(1,N(Tasks[[#This Row],[% Complete]]))))</f>
        <v>0</v>
      </c>
      <c r="CM50" s="32" t="n">
        <f aca="false">IF(OR(NOT(Tasks[[#This Row],[_IsLeaf]]=1),Tasks[[#This Row],[Resource]]=""),0,N(Tasks[[#This Row],[Duration]])*HoursPerDay*IF(Tasks[[#This Row],[Units]]="",DefaultUnits,Tasks[[#This Row],[Units]]))</f>
        <v>0</v>
      </c>
      <c r="CN50" s="32" t="n">
        <f aca="false">IF(Tasks[[#This Row],[_LeafWork]]=0,0,Tasks[[#This Row],[_LeafWork]]*IFERROR(INDEX(res_Rate,MATCH(Tasks[[#This Row],[Resource]],res_Name,0)),0))</f>
        <v>0</v>
      </c>
      <c r="CO50" s="32" t="n">
        <f aca="false">Tasks[[#This Row],[_LeafWork]]+IF(Tasks[[#This Row],[_IsLeaf]]=1,SUMIFS(asg_Work,asg_TaskUID,Tasks[[#This Row],[UID]],asg_Valid,1),0)</f>
        <v>0</v>
      </c>
      <c r="CP50" s="32" t="n">
        <f aca="false">Tasks[[#This Row],[_LeafCost]]+IF(Tasks[[#This Row],[_IsLeaf]]=1,SUMIFS(asg_Cost,asg_TaskUID,Tasks[[#This Row],[UID]],asg_Valid,1),0)</f>
        <v>0</v>
      </c>
      <c r="CQ50" s="32" t="n">
        <f aca="false">IF(Tasks[[#This Row],[_LeafTotalCost]]=0,Tasks[[#This Row],[_LeafAC]],Tasks[[#This Row],[_LeafAC]]*Tasks[[#This Row],[_LeafCost]]/Tasks[[#This Row],[_LeafTotalCost]])</f>
        <v>0</v>
      </c>
      <c r="CR5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0" s="32" t="n">
        <f aca="false">IF(NOT(Tasks[[#This Row],[_IsLeaf]]=1),0,MAX(_xlfn.MAXIFS(Tasks[_Row],Tasks[Pred1 UID],Tasks[[#This Row],[UID]]),_xlfn.MAXIFS(Tasks[_Row],Tasks[Pred2 UID],Tasks[[#This Row],[UID]]),_xlfn.MAXIFS(Tasks[_Row],Tasks[Pred3 UID],Tasks[[#This Row],[UID]]),_xlfn.MAXIFS(Tasks[_Row],Tasks[Pred4 UID],Tasks[[#This Row],[UID]])))</f>
        <v>0</v>
      </c>
      <c r="DA5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0" s="115" t="str">
        <f aca="false">IF(NOT(Tasks[[#This Row],[_IsLeaf]]=1),"",IF(N(Tasks[[#This Row],[Duration]])&lt;=0,Tasks[[#This Row],[_LeafLateFinish]],WORKDAY.INTL(Tasks[[#This Row],[_LeafLateFinish]],-(Tasks[[#This Row],[Duration]]-1),WorkWeek,Holidays)))</f>
        <v/>
      </c>
      <c r="DD5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0" s="114" t="b">
        <f aca="false">AND(Tasks[[#This Row],[_IsLeaf]]=1,Tasks[[#This Row],[_LeafProgress]]&lt;1,N(Tasks[[#This Row],[_LeafTotalSlack]])&lt;=CriticalSlackDays)</f>
        <v>0</v>
      </c>
      <c r="DF50" s="32" t="n">
        <f aca="false">IF(AND(Tasks[[#This Row],[_IsLeaf]]=1,Tasks[[#This Row],[_ConstraintCode]]=1,Tasks[[#This Row],[Mode]]&lt;&gt;"Manual",N(Tasks[[#This Row],[Actual Start]])=0),MAX(0,N(Tasks[[#This Row],[Free Slack]])),0)</f>
        <v>0</v>
      </c>
      <c r="DG50" s="115" t="str">
        <f aca="false">IF(NOT(Tasks[[#This Row],[_IsLeaf]]=1),"",IF(Tasks[[#This Row],[_AlapShift]]=0,Tasks[[#This Row],[_LeafCalcStart]],WORKDAY.INTL(Tasks[[#This Row],[_LeafCalcStart]],Tasks[[#This Row],[_AlapShift]],WorkWeek,Holidays)))</f>
        <v/>
      </c>
      <c r="DH50" s="115" t="str">
        <f aca="false">IF(NOT(Tasks[[#This Row],[_IsLeaf]]=1),"",IF(Tasks[[#This Row],[_AlapShift]]=0,Tasks[[#This Row],[_LeafCalcFinish]],WORKDAY.INTL(Tasks[[#This Row],[_LeafCalcFinish]],Tasks[[#This Row],[_AlapShift]],WorkWeek,Holidays)))</f>
        <v/>
      </c>
      <c r="DI50" s="115" t="str">
        <f aca="false">IF(NOT(Tasks[[#This Row],[_IsLeaf]]=1),"",IF(Tasks[[#This Row],[_AlapShift]]=0,Tasks[[#This Row],[_LeafFcstStart]],WORKDAY.INTL(Tasks[[#This Row],[_LeafFcstStart]],Tasks[[#This Row],[_AlapShift]],WorkWeek,Holidays)))</f>
        <v/>
      </c>
      <c r="DJ50" s="115" t="str">
        <f aca="false">IF(NOT(Tasks[[#This Row],[_IsLeaf]]=1),"",IF(Tasks[[#This Row],[_AlapShift]]=0,Tasks[[#This Row],[_LeafFcstFinish]],WORKDAY.INTL(Tasks[[#This Row],[_LeafFcstFinish]],Tasks[[#This Row],[_AlapShift]],WorkWeek,Holidays)))</f>
        <v/>
      </c>
      <c r="DK50" s="115" t="str">
        <f aca="false">IF(Tasks[[#This Row],[Task Name]]="","",IF(Tasks[[#This Row],[_IsSummary]],MIN(INDEX(Tasks[_ShownCalcStart],Tasks[[#This Row],[_Row]]+1):INDEX(Tasks[_ShownCalcStart],Tasks[[#This Row],[_Row]]+Tasks[[#This Row],[_Descendants]])),Tasks[[#This Row],[_ShownCalcStart]]))</f>
        <v/>
      </c>
      <c r="DL50" s="115" t="str">
        <f aca="false">IF(Tasks[[#This Row],[Task Name]]="","",IF(Tasks[[#This Row],[_IsSummary]],MAX(INDEX(Tasks[_ShownCalcFinish],Tasks[[#This Row],[_Row]]+1):INDEX(Tasks[_ShownCalcFinish],Tasks[[#This Row],[_Row]]+Tasks[[#This Row],[_Descendants]])),Tasks[[#This Row],[_ShownCalcFinish]]))</f>
        <v/>
      </c>
      <c r="DM5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0" s="32" t="n">
        <f aca="false">IF(AND(Tasks[[#This Row],[_IsLeaf]]=1,Tasks[[#This Row],[_LeafTotalWork]]&gt;0),NETWORKDAYS.INTL(ProjectStart,Tasks[[#This Row],[_ShownFcstStart]],WorkWeek,Holidays),0)</f>
        <v>0</v>
      </c>
      <c r="DZ50" s="32" t="n">
        <f aca="false">IF(AND(Tasks[[#This Row],[_IsLeaf]]=1,Tasks[[#This Row],[_LeafTotalWork]]&gt;0),MAX(Tasks[[#This Row],[_StartWorkday]],NETWORKDAYS.INTL(ProjectStart,Tasks[[#This Row],[_ShownFcstFinish]],WorkWeek,Holidays)),0)</f>
        <v>0</v>
      </c>
      <c r="EA50" s="32" t="n">
        <f aca="false">IF(AND(Tasks[[#This Row],[_IsLeaf]]=1,Tasks[[#This Row],[_LeafTotalWork]]&gt;0),Tasks[[#This Row],[_LeafWork]]/(Tasks[[#This Row],[_FinishWorkday]]-Tasks[[#This Row],[_StartWorkday]]+1),0)</f>
        <v>0</v>
      </c>
      <c r="EB50" s="32" t="n">
        <f aca="false">Tasks[[#This Row],[_WorkPerWorkday]]*(Tasks[[#This Row],[_StartWorkday]]-1)</f>
        <v>-0</v>
      </c>
      <c r="EC50" s="32" t="n">
        <f aca="false">IF(Tasks[[#This Row],[_IsLeaf]]=1,MAX(N(Tasks[[#This Row],[Duration]]),0.1),0)</f>
        <v>0</v>
      </c>
      <c r="ED50" s="32" t="n">
        <f aca="false">Tasks[[#This Row],[_WeightDur]]*Tasks[[#This Row],[_LeafProgress]]</f>
        <v>0</v>
      </c>
      <c r="EE5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0" s="32" t="str">
        <f aca="false">IF(AND(Tasks[[#This Row],[_IsLeaf]]=1,N(Tasks[[#This Row],[Duration]])=0,Tasks[[#This Row],[_LeafProgress]]&lt;1),Tasks[[#This Row],[_ShownFcstFinish]]+Tasks[[#This Row],[_Row]]/100000,"")</f>
        <v/>
      </c>
      <c r="EG5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0" s="32" t="n">
        <f aca="false">IF(NOT(Tasks[[#This Row],[_IsLeaf]]=1),0,IF(Tasks[[#This Row],[Baseline Cost]]="",Tasks[[#This Row],[_LeafTotalCost]],N(Tasks[[#This Row],[Baseline Cost]])))</f>
        <v>0</v>
      </c>
      <c r="EI50" s="32" t="n">
        <f aca="false">Tasks[[#This Row],[_LeafBudget]]*Tasks[[#This Row],[_PlannedPct]]</f>
        <v>0</v>
      </c>
      <c r="EJ50" s="32" t="n">
        <f aca="false">Tasks[[#This Row],[_LeafBudget]]*Tasks[[#This Row],[_LeafProgress]]</f>
        <v>0</v>
      </c>
      <c r="EK50" s="32" t="n">
        <f aca="false">IF(NOT(Tasks[[#This Row],[_IsLeaf]]=1),0,IF(Tasks[[#This Row],[Actual Cost]]="",Tasks[[#This Row],[_LeafTotalCost]]*Tasks[[#This Row],[_LeafProgress]],N(Tasks[[#This Row],[Actual Cost]])))</f>
        <v>0</v>
      </c>
      <c r="EL50" s="32" t="str">
        <f aca="false">IF(Tasks[[#This Row],[Task Name]]="","",LEFT(Tasks[[#This Row],[WBS]],FIND(".",Tasks[[#This Row],[WBS]]&amp;".")-1))</f>
        <v/>
      </c>
      <c r="EM50" s="32" t="str">
        <f aca="false">IF(AND(Tasks[[#This Row],[Task Name]]&lt;&gt;"",Tasks[[#This Row],[_Level]]=1),Tasks[[#This Row],[_Row]],"")</f>
        <v/>
      </c>
      <c r="EN50" s="32" t="str">
        <f aca="false">IF(AND(Tasks[[#This Row],[_IsLeaf]]=1,N(Tasks[[#This Row],[Duration]])=0),Tasks[[#This Row],[Planned Finish]]+Tasks[[#This Row],[_Row]]/100000,"")</f>
        <v/>
      </c>
      <c r="EO50" s="32" t="str">
        <f aca="false">IF(AND(Tasks[[#This Row],[_IsLeaf]]=1,Tasks[[#This Row],[_LeafProgress]]&lt;1,OR(N(Tasks[[#This Row],[Finish Var]])&gt;0,Tasks[[#This Row],[Status]]="Late Start")),MAX(0,Tasks[[#This Row],[Finish Var]])+1-Tasks[[#This Row],[_Row]]/1000000,"")</f>
        <v/>
      </c>
      <c r="EP50" s="32" t="str">
        <f aca="false">IF(AND(Tasks[[#This Row],[_IsLeaf]]=1,N(Tasks[[#This Row],[Actual Start]])=0,Tasks[[#This Row],[_ShownFcstStart]]&gt;=StatusDate,Tasks[[#This Row],[_ShownFcstStart]]&lt;=LookaheadEnd),Tasks[[#This Row],[_ShownFcstStart]]+Tasks[[#This Row],[_Row]]/100000,"")</f>
        <v/>
      </c>
      <c r="EQ50" s="32" t="str">
        <f aca="false">IF(AND(Tasks[[#This Row],[_IsLeaf]]=1,Tasks[[#This Row],[_LeafProgress]]&lt;1,Tasks[[#This Row],[_ShownFcstFinish]]&gt;=StatusDate,Tasks[[#This Row],[_ShownFcstFinish]]&lt;=LookaheadEnd),Tasks[[#This Row],[_ShownFcstFinish]]+Tasks[[#This Row],[_Row]]/100000,"")</f>
        <v/>
      </c>
      <c r="ER50" s="32" t="str">
        <f aca="false">IF(Tasks[[#This Row],[_LeafCritical]],Tasks[[#This Row],[_ShownFcstStart]]+Tasks[[#This Row],[_Row]]/100000,"")</f>
        <v/>
      </c>
      <c r="ES50" s="32" t="n">
        <f aca="false">Tasks[[#This Row],[_LeafWork]]*Tasks[[#This Row],[_LeafProgress]]</f>
        <v>0</v>
      </c>
      <c r="ET50" s="115" t="str">
        <f aca="false">IF(AND(Tasks[[#This Row],[_IsLeaf]]=1,Tasks[[#This Row],[_LeafProgress]]&gt;=1),IF(N(Tasks[[#This Row],[Actual Finish]])&gt;0,Tasks[[#This Row],[Actual Finish]],Tasks[[#This Row],[_ShownFcstFinish]]),"")</f>
        <v/>
      </c>
      <c r="EU50" s="32" t="n">
        <f aca="false">IF(Tasks[[#This Row],[_IsLeaf]]=1,N(Tasks[[#This Row],[Story Points]]),0)</f>
        <v>0</v>
      </c>
      <c r="EV50" s="32" t="str">
        <f aca="false">IF(AND(Tasks[[#This Row],[_IsLeaf]]=1,CurrentSprint&lt;&gt;"",Tasks[[#This Row],[Sprint]]=CurrentSprint),Tasks[[#This Row],[_Row]],"")</f>
        <v/>
      </c>
    </row>
    <row r="51" customFormat="false" ht="15" hidden="false" customHeight="false" outlineLevel="0" collapsed="false">
      <c r="A51" s="45" t="str">
        <f aca="false">IF(Tasks[[#This Row],[Task Name]]="","",COUNTA(Tasks[[#Headers],[Task Name]]:Tasks[[#This Row],[Task Name]])-1)</f>
        <v/>
      </c>
      <c r="B51" s="46" t="n">
        <v>46</v>
      </c>
      <c r="C5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1" s="46"/>
      <c r="E51" s="45" t="str">
        <f aca="false">IF(Tasks[[#This Row],[Task Name]]="","",IF(Tasks[[#This Row],[_Level]]&lt;=OutlineShowLevel,"Yes","No"))</f>
        <v/>
      </c>
      <c r="F51" s="47"/>
      <c r="G51" s="46"/>
      <c r="H51" s="46"/>
      <c r="I51" s="46"/>
      <c r="J51" s="46"/>
      <c r="K51" s="46"/>
      <c r="L51" s="46"/>
      <c r="M51" s="46"/>
      <c r="N51" s="46"/>
      <c r="O51" s="46"/>
      <c r="P51" s="46"/>
      <c r="Q51" s="46"/>
      <c r="R51" s="46"/>
      <c r="S51" s="46"/>
      <c r="T51" s="46"/>
      <c r="U51" s="47"/>
      <c r="V51" s="88"/>
      <c r="W51" s="88"/>
      <c r="X51" s="25" t="str">
        <f aca="false">IF(Tasks[[#This Row],[Task Name]]="","",IF(N(Tasks[[#This Row],[Baseline Start]])&gt;0,Tasks[[#This Row],[Baseline Start]],Tasks[[#This Row],[_CalcStart]]))</f>
        <v/>
      </c>
      <c r="Y51" s="25" t="str">
        <f aca="false">IF(Tasks[[#This Row],[Task Name]]="","",IF(N(Tasks[[#This Row],[Baseline Finish]])&gt;0,Tasks[[#This Row],[Baseline Finish]],Tasks[[#This Row],[_CalcFinish]]))</f>
        <v/>
      </c>
      <c r="Z51" s="88"/>
      <c r="AA51" s="88"/>
      <c r="AB51" s="25" t="str">
        <f aca="false">IF(Tasks[[#This Row],[Task Name]]="","",IF(Tasks[[#This Row],[_IsSummary]],MIN(INDEX(Tasks[_ShownFcstStart],Tasks[[#This Row],[_Row]]+1):INDEX(Tasks[_ShownFcstStart],Tasks[[#This Row],[_Row]]+Tasks[[#This Row],[_Descendants]])),Tasks[[#This Row],[_ShownFcstStart]]))</f>
        <v/>
      </c>
      <c r="AC51" s="25" t="str">
        <f aca="false">IF(Tasks[[#This Row],[Task Name]]="","",IF(Tasks[[#This Row],[_IsSummary]],MAX(INDEX(Tasks[_ShownFcstFinish],Tasks[[#This Row],[_Row]]+1):INDEX(Tasks[_ShownFcstFinish],Tasks[[#This Row],[_Row]]+Tasks[[#This Row],[_Descendants]])),Tasks[[#This Row],[_ShownFcstFinish]]))</f>
        <v/>
      </c>
      <c r="AD5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1" s="25" t="str">
        <f aca="false">IF(Tasks[[#This Row],[Task Name]]="","",IF(Tasks[[#This Row],[_IsSummary]],MIN(INDEX(Tasks[_LeafLateStart],Tasks[[#This Row],[_Row]]+1):INDEX(Tasks[_LeafLateStart],Tasks[[#This Row],[_Row]]+Tasks[[#This Row],[_Descendants]])),Tasks[[#This Row],[_LeafLateStart]]))</f>
        <v/>
      </c>
      <c r="AG51" s="25" t="str">
        <f aca="false">IF(Tasks[[#This Row],[Task Name]]="","",IF(Tasks[[#This Row],[_IsSummary]],MAX(INDEX(Tasks[_LeafLateFinish],Tasks[[#This Row],[_Row]]+1):INDEX(Tasks[_LeafLateFinish],Tasks[[#This Row],[_Row]]+Tasks[[#This Row],[_Descendants]])),Tasks[[#This Row],[_LeafLateFinish]]))</f>
        <v/>
      </c>
      <c r="AH51" s="56" t="str">
        <f aca="false">IF(Tasks[[#This Row],[Task Name]]="","",IF(Tasks[[#This Row],[_IsSummary]],MIN(INDEX(Tasks[_LeafTotalSlack],Tasks[[#This Row],[_Row]]+1):INDEX(Tasks[_LeafTotalSlack],Tasks[[#This Row],[_Row]]+Tasks[[#This Row],[_Descendants]])),Tasks[[#This Row],[_LeafTotalSlack]]))</f>
        <v/>
      </c>
      <c r="AI5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1" s="45" t="str">
        <f aca="false">IF(Tasks[[#This Row],[Task Name]]="","",IF(IF(Tasks[[#This Row],[_IsSummary]],COUNTIF(INDEX(Tasks[_LeafCritical],Tasks[[#This Row],[_Row]]+1):INDEX(Tasks[_LeafCritical],Tasks[[#This Row],[_Row]]+Tasks[[#This Row],[_Descendants]]),TRUE())&gt;0,Tasks[[#This Row],[_LeafCritical]]),"Yes",""))</f>
        <v/>
      </c>
      <c r="AK5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1" s="102"/>
      <c r="AN5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1" s="45" t="str">
        <f aca="false">IF(Tasks[[#This Row],[Task Name]]="","",IF(Tasks[[#This Row],[Progress]]&gt;=1,"Complete",IF(OR(N(Tasks[[#This Row],[Actual Start]])&gt;0,Tasks[[#This Row],[Progress]]&gt;0),IF(Tasks[[#This Row],[Finish Var]]&gt;0,"Behind","In Progress"),IF(Tasks[[#This Row],[Planned Start]]&lt;StatusDate,"Late Start","Not Started"))))</f>
        <v/>
      </c>
      <c r="AP51" s="47"/>
      <c r="AQ51" s="102"/>
      <c r="AR5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1" s="110" t="str">
        <f aca="false">IF(Tasks[[#This Row],[Task Name]]="","",IF(Tasks[[#This Row],[_IsSummary]],SUM(INDEX(Tasks[_LeafTotalWork],Tasks[[#This Row],[_Row]]+1):INDEX(Tasks[_LeafTotalWork],Tasks[[#This Row],[_Row]]+Tasks[[#This Row],[_Descendants]])),Tasks[[#This Row],[_LeafTotalWork]]))</f>
        <v/>
      </c>
      <c r="AU51" s="111" t="str">
        <f aca="false">IF(Tasks[[#This Row],[Task Name]]="","",IF(Tasks[[#This Row],[_IsSummary]],SUM(INDEX(Tasks[_LeafTotalCost],Tasks[[#This Row],[_Row]]+1):INDEX(Tasks[_LeafTotalCost],Tasks[[#This Row],[_Row]]+Tasks[[#This Row],[_Descendants]])),Tasks[[#This Row],[_LeafTotalCost]]))</f>
        <v/>
      </c>
      <c r="AV51" s="112"/>
      <c r="AW51" s="46"/>
      <c r="AX5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1" s="96"/>
      <c r="AZ5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1" s="47"/>
      <c r="BB51" s="25" t="str">
        <f aca="false">IF(Tasks[[#This Row],[Task Name]]="","",Tasks[[#This Row],[Forecast Start]])</f>
        <v/>
      </c>
      <c r="BC51" s="25" t="str">
        <f aca="false">IF(Tasks[[#This Row],[Task Name]]="","",Tasks[[#This Row],[Forecast Finish]])</f>
        <v/>
      </c>
      <c r="BD51" s="45" t="str">
        <f aca="false">IF(Tasks[[#This Row],[Task Name]]="","",IF(Tasks[[#This Row],[_IsSummary]],NETWORKDAYS.INTL(Tasks[[#This Row],[Forecast Start]],Tasks[[#This Row],[Forecast Finish]],WorkWeek,Holidays),N(Tasks[[#This Row],[Duration]])))</f>
        <v/>
      </c>
      <c r="BE51" s="110" t="str">
        <f aca="false">IF(Tasks[[#This Row],[Task Name]]="","",Tasks[[#This Row],[Work]])</f>
        <v/>
      </c>
      <c r="BF51" s="111" t="str">
        <f aca="false">IF(Tasks[[#This Row],[Task Name]]="","",Tasks[[#This Row],[Cost]])</f>
        <v/>
      </c>
      <c r="BG51" s="88"/>
      <c r="BH51" s="88"/>
      <c r="BI51" s="46"/>
      <c r="BJ51" s="113"/>
      <c r="BK51" s="112"/>
      <c r="BL51" s="45" t="str">
        <f aca="false">IF(OR(Tasks[[#This Row],[Task Name]]="",Tasks[[#This Row],[Baseline Duration]]=""),"",Tasks[[#This Row],[BL Source Duration]]-N(Tasks[[#This Row],[Baseline Duration]]))</f>
        <v/>
      </c>
      <c r="BM51" s="110" t="str">
        <f aca="false">IF(OR(Tasks[[#This Row],[Task Name]]="",Tasks[[#This Row],[Baseline Work]]=""),"",Tasks[[#This Row],[Work]]-N(Tasks[[#This Row],[Baseline Work]]))</f>
        <v/>
      </c>
      <c r="BN51" s="111" t="str">
        <f aca="false">IF(OR(Tasks[[#This Row],[Task Name]]="",Tasks[[#This Row],[Baseline Cost]]=""),"",Tasks[[#This Row],[Cost]]-N(Tasks[[#This Row],[Baseline Cost]]))</f>
        <v/>
      </c>
      <c r="BO51" s="111" t="str">
        <f aca="false">IF(Tasks[[#This Row],[Task Name]]="","",IF(Tasks[[#This Row],[_IsSummary]],SUM(INDEX(Tasks[_LeafBudget],Tasks[[#This Row],[_Row]]+1):INDEX(Tasks[_LeafBudget],Tasks[[#This Row],[_Row]]+Tasks[[#This Row],[_Descendants]])),Tasks[[#This Row],[_LeafBudget]]))</f>
        <v/>
      </c>
      <c r="BP51" s="111" t="str">
        <f aca="false">IF(Tasks[[#This Row],[Task Name]]="","",IF(Tasks[[#This Row],[_IsSummary]],SUM(INDEX(Tasks[_LeafPV],Tasks[[#This Row],[_Row]]+1):INDEX(Tasks[_LeafPV],Tasks[[#This Row],[_Row]]+Tasks[[#This Row],[_Descendants]])),Tasks[[#This Row],[_LeafPV]]))</f>
        <v/>
      </c>
      <c r="BQ51" s="111" t="str">
        <f aca="false">IF(Tasks[[#This Row],[Task Name]]="","",IF(Tasks[[#This Row],[_IsSummary]],SUM(INDEX(Tasks[_LeafEV],Tasks[[#This Row],[_Row]]+1):INDEX(Tasks[_LeafEV],Tasks[[#This Row],[_Row]]+Tasks[[#This Row],[_Descendants]])),Tasks[[#This Row],[_LeafEV]]))</f>
        <v/>
      </c>
      <c r="BR51" s="111" t="str">
        <f aca="false">IF(Tasks[[#This Row],[Task Name]]="","",IF(Tasks[[#This Row],[_IsSummary]],SUM(INDEX(Tasks[_LeafAC],Tasks[[#This Row],[_Row]]+1):INDEX(Tasks[_LeafAC],Tasks[[#This Row],[_Row]]+Tasks[[#This Row],[_Descendants]])),Tasks[[#This Row],[_LeafAC]]))</f>
        <v/>
      </c>
      <c r="BS51" s="32" t="str">
        <f aca="false">IF(Tasks[[#This Row],[Task Name]]="","",MAX(1,N(Tasks[[#This Row],[Level]])))</f>
        <v/>
      </c>
      <c r="BT51" s="32" t="n">
        <f aca="false">ROW()-ROW(Tasks[[#Headers],[ID]])</f>
        <v>46</v>
      </c>
      <c r="BU51" s="32" t="n">
        <f aca="false">IF(OR(Tasks[[#This Row],[Task Name]]="",Tasks[[#This Row],[_Level]]&lt;=1),0,IFERROR(LOOKUP(2,1/(Tasks[[#Headers],[_Level]]:Tasks[[#This Row],[_Level]]=Tasks[[#This Row],[_Level]]-1),ROW(Tasks[[#Headers],[_Level]]:Tasks[[#This Row],[_Level]])),0))</f>
        <v>0</v>
      </c>
      <c r="BV51" s="32" t="n">
        <f aca="false">IFERROR(N(INDEX(Tasks[_Level],Tasks[[#This Row],[_Row]]+1)),0)</f>
        <v>0</v>
      </c>
      <c r="BW51" s="114" t="b">
        <f aca="false">AND(Tasks[[#This Row],[Task Name]]&lt;&gt;"",Tasks[[#This Row],[_NextLevel]]&gt;Tasks[[#This Row],[_Level]])</f>
        <v>0</v>
      </c>
      <c r="BX51" s="32" t="n">
        <f aca="false">IF(Tasks[[#This Row],[_IsSummary]],COUNTIF(Tasks[WBS],Tasks[[#This Row],[WBS]]&amp;".*"),0)</f>
        <v>0</v>
      </c>
      <c r="BY51" s="32" t="n">
        <f aca="false">IF(AND(Tasks[[#This Row],[Task Name]]&lt;&gt;"",NOT(Tasks[[#This Row],[_IsSummary]])),1,0)</f>
        <v>0</v>
      </c>
      <c r="BZ51" s="32" t="n">
        <f aca="false">IF(N(Tasks[[#This Row],[Pred1 UID]])=0,0,IFERROR(MATCH(Tasks[[#This Row],[Pred1 UID]],Tasks[UID],0),-1))</f>
        <v>0</v>
      </c>
      <c r="CA51" s="32" t="n">
        <f aca="false">IF(N(Tasks[[#This Row],[Pred2 UID]])=0,0,IFERROR(MATCH(Tasks[[#This Row],[Pred2 UID]],Tasks[UID],0),-1))</f>
        <v>0</v>
      </c>
      <c r="CB51" s="32" t="n">
        <f aca="false">IF(N(Tasks[[#This Row],[Pred3 UID]])=0,0,IFERROR(MATCH(Tasks[[#This Row],[Pred3 UID]],Tasks[UID],0),-1))</f>
        <v>0</v>
      </c>
      <c r="CC51" s="32" t="n">
        <f aca="false">IF(N(Tasks[[#This Row],[Pred4 UID]])=0,0,IFERROR(MATCH(Tasks[[#This Row],[Pred4 UID]],Tasks[UID],0),-1))</f>
        <v>0</v>
      </c>
      <c r="CD5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1" s="115" t="n">
        <f aca="false">IF(OR(Tasks[[#This Row],[_ConstraintCode]]=2,Tasks[[#This Row],[_ConstraintCode]]=3,Tasks[[#This Row],[_ConstraintCode]]=4,Tasks[[#This Row],[_ConstraintCode]]=6),Tasks[[#This Row],[_ConstraintStart]],0)</f>
        <v>0</v>
      </c>
      <c r="CG51" s="115" t="n">
        <f aca="false">IF(OR(Tasks[[#This Row],[_ConstraintCode]]=2,Tasks[[#This Row],[_ConstraintCode]]=3,Tasks[[#This Row],[_ConstraintCode]]=5,Tasks[[#This Row],[_ConstraintCode]]=7),Tasks[[#This Row],[_ConstraintStart]],2958465)</f>
        <v>2958465</v>
      </c>
      <c r="CH5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1" s="115" t="str">
        <f aca="false">IF(NOT(Tasks[[#This Row],[_IsLeaf]]=1),"",IF(N(Tasks[[#This Row],[Duration]])&lt;=0,Tasks[[#This Row],[_LeafCalcStart]],WORKDAY.INTL(Tasks[[#This Row],[_LeafCalcStart]],Tasks[[#This Row],[Duration]]-1,WorkWeek,Holidays)))</f>
        <v/>
      </c>
      <c r="CJ5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1" s="32" t="n">
        <f aca="false">IF(NOT(Tasks[[#This Row],[_IsLeaf]]=1),0,IF(N(Tasks[[#This Row],[Actual Finish]])&gt;0,1,MIN(1,N(Tasks[[#This Row],[% Complete]]))))</f>
        <v>0</v>
      </c>
      <c r="CM51" s="32" t="n">
        <f aca="false">IF(OR(NOT(Tasks[[#This Row],[_IsLeaf]]=1),Tasks[[#This Row],[Resource]]=""),0,N(Tasks[[#This Row],[Duration]])*HoursPerDay*IF(Tasks[[#This Row],[Units]]="",DefaultUnits,Tasks[[#This Row],[Units]]))</f>
        <v>0</v>
      </c>
      <c r="CN51" s="32" t="n">
        <f aca="false">IF(Tasks[[#This Row],[_LeafWork]]=0,0,Tasks[[#This Row],[_LeafWork]]*IFERROR(INDEX(res_Rate,MATCH(Tasks[[#This Row],[Resource]],res_Name,0)),0))</f>
        <v>0</v>
      </c>
      <c r="CO51" s="32" t="n">
        <f aca="false">Tasks[[#This Row],[_LeafWork]]+IF(Tasks[[#This Row],[_IsLeaf]]=1,SUMIFS(asg_Work,asg_TaskUID,Tasks[[#This Row],[UID]],asg_Valid,1),0)</f>
        <v>0</v>
      </c>
      <c r="CP51" s="32" t="n">
        <f aca="false">Tasks[[#This Row],[_LeafCost]]+IF(Tasks[[#This Row],[_IsLeaf]]=1,SUMIFS(asg_Cost,asg_TaskUID,Tasks[[#This Row],[UID]],asg_Valid,1),0)</f>
        <v>0</v>
      </c>
      <c r="CQ51" s="32" t="n">
        <f aca="false">IF(Tasks[[#This Row],[_LeafTotalCost]]=0,Tasks[[#This Row],[_LeafAC]],Tasks[[#This Row],[_LeafAC]]*Tasks[[#This Row],[_LeafCost]]/Tasks[[#This Row],[_LeafTotalCost]])</f>
        <v>0</v>
      </c>
      <c r="CR5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1" s="32" t="n">
        <f aca="false">IF(NOT(Tasks[[#This Row],[_IsLeaf]]=1),0,MAX(_xlfn.MAXIFS(Tasks[_Row],Tasks[Pred1 UID],Tasks[[#This Row],[UID]]),_xlfn.MAXIFS(Tasks[_Row],Tasks[Pred2 UID],Tasks[[#This Row],[UID]]),_xlfn.MAXIFS(Tasks[_Row],Tasks[Pred3 UID],Tasks[[#This Row],[UID]]),_xlfn.MAXIFS(Tasks[_Row],Tasks[Pred4 UID],Tasks[[#This Row],[UID]])))</f>
        <v>0</v>
      </c>
      <c r="DA5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1" s="115" t="str">
        <f aca="false">IF(NOT(Tasks[[#This Row],[_IsLeaf]]=1),"",IF(N(Tasks[[#This Row],[Duration]])&lt;=0,Tasks[[#This Row],[_LeafLateFinish]],WORKDAY.INTL(Tasks[[#This Row],[_LeafLateFinish]],-(Tasks[[#This Row],[Duration]]-1),WorkWeek,Holidays)))</f>
        <v/>
      </c>
      <c r="DD5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1" s="114" t="b">
        <f aca="false">AND(Tasks[[#This Row],[_IsLeaf]]=1,Tasks[[#This Row],[_LeafProgress]]&lt;1,N(Tasks[[#This Row],[_LeafTotalSlack]])&lt;=CriticalSlackDays)</f>
        <v>0</v>
      </c>
      <c r="DF51" s="32" t="n">
        <f aca="false">IF(AND(Tasks[[#This Row],[_IsLeaf]]=1,Tasks[[#This Row],[_ConstraintCode]]=1,Tasks[[#This Row],[Mode]]&lt;&gt;"Manual",N(Tasks[[#This Row],[Actual Start]])=0),MAX(0,N(Tasks[[#This Row],[Free Slack]])),0)</f>
        <v>0</v>
      </c>
      <c r="DG51" s="115" t="str">
        <f aca="false">IF(NOT(Tasks[[#This Row],[_IsLeaf]]=1),"",IF(Tasks[[#This Row],[_AlapShift]]=0,Tasks[[#This Row],[_LeafCalcStart]],WORKDAY.INTL(Tasks[[#This Row],[_LeafCalcStart]],Tasks[[#This Row],[_AlapShift]],WorkWeek,Holidays)))</f>
        <v/>
      </c>
      <c r="DH51" s="115" t="str">
        <f aca="false">IF(NOT(Tasks[[#This Row],[_IsLeaf]]=1),"",IF(Tasks[[#This Row],[_AlapShift]]=0,Tasks[[#This Row],[_LeafCalcFinish]],WORKDAY.INTL(Tasks[[#This Row],[_LeafCalcFinish]],Tasks[[#This Row],[_AlapShift]],WorkWeek,Holidays)))</f>
        <v/>
      </c>
      <c r="DI51" s="115" t="str">
        <f aca="false">IF(NOT(Tasks[[#This Row],[_IsLeaf]]=1),"",IF(Tasks[[#This Row],[_AlapShift]]=0,Tasks[[#This Row],[_LeafFcstStart]],WORKDAY.INTL(Tasks[[#This Row],[_LeafFcstStart]],Tasks[[#This Row],[_AlapShift]],WorkWeek,Holidays)))</f>
        <v/>
      </c>
      <c r="DJ51" s="115" t="str">
        <f aca="false">IF(NOT(Tasks[[#This Row],[_IsLeaf]]=1),"",IF(Tasks[[#This Row],[_AlapShift]]=0,Tasks[[#This Row],[_LeafFcstFinish]],WORKDAY.INTL(Tasks[[#This Row],[_LeafFcstFinish]],Tasks[[#This Row],[_AlapShift]],WorkWeek,Holidays)))</f>
        <v/>
      </c>
      <c r="DK51" s="115" t="str">
        <f aca="false">IF(Tasks[[#This Row],[Task Name]]="","",IF(Tasks[[#This Row],[_IsSummary]],MIN(INDEX(Tasks[_ShownCalcStart],Tasks[[#This Row],[_Row]]+1):INDEX(Tasks[_ShownCalcStart],Tasks[[#This Row],[_Row]]+Tasks[[#This Row],[_Descendants]])),Tasks[[#This Row],[_ShownCalcStart]]))</f>
        <v/>
      </c>
      <c r="DL51" s="115" t="str">
        <f aca="false">IF(Tasks[[#This Row],[Task Name]]="","",IF(Tasks[[#This Row],[_IsSummary]],MAX(INDEX(Tasks[_ShownCalcFinish],Tasks[[#This Row],[_Row]]+1):INDEX(Tasks[_ShownCalcFinish],Tasks[[#This Row],[_Row]]+Tasks[[#This Row],[_Descendants]])),Tasks[[#This Row],[_ShownCalcFinish]]))</f>
        <v/>
      </c>
      <c r="DM5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1" s="32" t="n">
        <f aca="false">IF(AND(Tasks[[#This Row],[_IsLeaf]]=1,Tasks[[#This Row],[_LeafTotalWork]]&gt;0),NETWORKDAYS.INTL(ProjectStart,Tasks[[#This Row],[_ShownFcstStart]],WorkWeek,Holidays),0)</f>
        <v>0</v>
      </c>
      <c r="DZ51" s="32" t="n">
        <f aca="false">IF(AND(Tasks[[#This Row],[_IsLeaf]]=1,Tasks[[#This Row],[_LeafTotalWork]]&gt;0),MAX(Tasks[[#This Row],[_StartWorkday]],NETWORKDAYS.INTL(ProjectStart,Tasks[[#This Row],[_ShownFcstFinish]],WorkWeek,Holidays)),0)</f>
        <v>0</v>
      </c>
      <c r="EA51" s="32" t="n">
        <f aca="false">IF(AND(Tasks[[#This Row],[_IsLeaf]]=1,Tasks[[#This Row],[_LeafTotalWork]]&gt;0),Tasks[[#This Row],[_LeafWork]]/(Tasks[[#This Row],[_FinishWorkday]]-Tasks[[#This Row],[_StartWorkday]]+1),0)</f>
        <v>0</v>
      </c>
      <c r="EB51" s="32" t="n">
        <f aca="false">Tasks[[#This Row],[_WorkPerWorkday]]*(Tasks[[#This Row],[_StartWorkday]]-1)</f>
        <v>-0</v>
      </c>
      <c r="EC51" s="32" t="n">
        <f aca="false">IF(Tasks[[#This Row],[_IsLeaf]]=1,MAX(N(Tasks[[#This Row],[Duration]]),0.1),0)</f>
        <v>0</v>
      </c>
      <c r="ED51" s="32" t="n">
        <f aca="false">Tasks[[#This Row],[_WeightDur]]*Tasks[[#This Row],[_LeafProgress]]</f>
        <v>0</v>
      </c>
      <c r="EE5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1" s="32" t="str">
        <f aca="false">IF(AND(Tasks[[#This Row],[_IsLeaf]]=1,N(Tasks[[#This Row],[Duration]])=0,Tasks[[#This Row],[_LeafProgress]]&lt;1),Tasks[[#This Row],[_ShownFcstFinish]]+Tasks[[#This Row],[_Row]]/100000,"")</f>
        <v/>
      </c>
      <c r="EG5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1" s="32" t="n">
        <f aca="false">IF(NOT(Tasks[[#This Row],[_IsLeaf]]=1),0,IF(Tasks[[#This Row],[Baseline Cost]]="",Tasks[[#This Row],[_LeafTotalCost]],N(Tasks[[#This Row],[Baseline Cost]])))</f>
        <v>0</v>
      </c>
      <c r="EI51" s="32" t="n">
        <f aca="false">Tasks[[#This Row],[_LeafBudget]]*Tasks[[#This Row],[_PlannedPct]]</f>
        <v>0</v>
      </c>
      <c r="EJ51" s="32" t="n">
        <f aca="false">Tasks[[#This Row],[_LeafBudget]]*Tasks[[#This Row],[_LeafProgress]]</f>
        <v>0</v>
      </c>
      <c r="EK51" s="32" t="n">
        <f aca="false">IF(NOT(Tasks[[#This Row],[_IsLeaf]]=1),0,IF(Tasks[[#This Row],[Actual Cost]]="",Tasks[[#This Row],[_LeafTotalCost]]*Tasks[[#This Row],[_LeafProgress]],N(Tasks[[#This Row],[Actual Cost]])))</f>
        <v>0</v>
      </c>
      <c r="EL51" s="32" t="str">
        <f aca="false">IF(Tasks[[#This Row],[Task Name]]="","",LEFT(Tasks[[#This Row],[WBS]],FIND(".",Tasks[[#This Row],[WBS]]&amp;".")-1))</f>
        <v/>
      </c>
      <c r="EM51" s="32" t="str">
        <f aca="false">IF(AND(Tasks[[#This Row],[Task Name]]&lt;&gt;"",Tasks[[#This Row],[_Level]]=1),Tasks[[#This Row],[_Row]],"")</f>
        <v/>
      </c>
      <c r="EN51" s="32" t="str">
        <f aca="false">IF(AND(Tasks[[#This Row],[_IsLeaf]]=1,N(Tasks[[#This Row],[Duration]])=0),Tasks[[#This Row],[Planned Finish]]+Tasks[[#This Row],[_Row]]/100000,"")</f>
        <v/>
      </c>
      <c r="EO51" s="32" t="str">
        <f aca="false">IF(AND(Tasks[[#This Row],[_IsLeaf]]=1,Tasks[[#This Row],[_LeafProgress]]&lt;1,OR(N(Tasks[[#This Row],[Finish Var]])&gt;0,Tasks[[#This Row],[Status]]="Late Start")),MAX(0,Tasks[[#This Row],[Finish Var]])+1-Tasks[[#This Row],[_Row]]/1000000,"")</f>
        <v/>
      </c>
      <c r="EP51" s="32" t="str">
        <f aca="false">IF(AND(Tasks[[#This Row],[_IsLeaf]]=1,N(Tasks[[#This Row],[Actual Start]])=0,Tasks[[#This Row],[_ShownFcstStart]]&gt;=StatusDate,Tasks[[#This Row],[_ShownFcstStart]]&lt;=LookaheadEnd),Tasks[[#This Row],[_ShownFcstStart]]+Tasks[[#This Row],[_Row]]/100000,"")</f>
        <v/>
      </c>
      <c r="EQ51" s="32" t="str">
        <f aca="false">IF(AND(Tasks[[#This Row],[_IsLeaf]]=1,Tasks[[#This Row],[_LeafProgress]]&lt;1,Tasks[[#This Row],[_ShownFcstFinish]]&gt;=StatusDate,Tasks[[#This Row],[_ShownFcstFinish]]&lt;=LookaheadEnd),Tasks[[#This Row],[_ShownFcstFinish]]+Tasks[[#This Row],[_Row]]/100000,"")</f>
        <v/>
      </c>
      <c r="ER51" s="32" t="str">
        <f aca="false">IF(Tasks[[#This Row],[_LeafCritical]],Tasks[[#This Row],[_ShownFcstStart]]+Tasks[[#This Row],[_Row]]/100000,"")</f>
        <v/>
      </c>
      <c r="ES51" s="32" t="n">
        <f aca="false">Tasks[[#This Row],[_LeafWork]]*Tasks[[#This Row],[_LeafProgress]]</f>
        <v>0</v>
      </c>
      <c r="ET51" s="115" t="str">
        <f aca="false">IF(AND(Tasks[[#This Row],[_IsLeaf]]=1,Tasks[[#This Row],[_LeafProgress]]&gt;=1),IF(N(Tasks[[#This Row],[Actual Finish]])&gt;0,Tasks[[#This Row],[Actual Finish]],Tasks[[#This Row],[_ShownFcstFinish]]),"")</f>
        <v/>
      </c>
      <c r="EU51" s="32" t="n">
        <f aca="false">IF(Tasks[[#This Row],[_IsLeaf]]=1,N(Tasks[[#This Row],[Story Points]]),0)</f>
        <v>0</v>
      </c>
      <c r="EV51" s="32" t="str">
        <f aca="false">IF(AND(Tasks[[#This Row],[_IsLeaf]]=1,CurrentSprint&lt;&gt;"",Tasks[[#This Row],[Sprint]]=CurrentSprint),Tasks[[#This Row],[_Row]],"")</f>
        <v/>
      </c>
    </row>
    <row r="52" customFormat="false" ht="15" hidden="false" customHeight="false" outlineLevel="0" collapsed="false">
      <c r="A52" s="45" t="str">
        <f aca="false">IF(Tasks[[#This Row],[Task Name]]="","",COUNTA(Tasks[[#Headers],[Task Name]]:Tasks[[#This Row],[Task Name]])-1)</f>
        <v/>
      </c>
      <c r="B52" s="46" t="n">
        <v>47</v>
      </c>
      <c r="C5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2" s="46"/>
      <c r="E52" s="45" t="str">
        <f aca="false">IF(Tasks[[#This Row],[Task Name]]="","",IF(Tasks[[#This Row],[_Level]]&lt;=OutlineShowLevel,"Yes","No"))</f>
        <v/>
      </c>
      <c r="F52" s="47"/>
      <c r="G52" s="46"/>
      <c r="H52" s="46"/>
      <c r="I52" s="46"/>
      <c r="J52" s="46"/>
      <c r="K52" s="46"/>
      <c r="L52" s="46"/>
      <c r="M52" s="46"/>
      <c r="N52" s="46"/>
      <c r="O52" s="46"/>
      <c r="P52" s="46"/>
      <c r="Q52" s="46"/>
      <c r="R52" s="46"/>
      <c r="S52" s="46"/>
      <c r="T52" s="46"/>
      <c r="U52" s="47"/>
      <c r="V52" s="88"/>
      <c r="W52" s="88"/>
      <c r="X52" s="25" t="str">
        <f aca="false">IF(Tasks[[#This Row],[Task Name]]="","",IF(N(Tasks[[#This Row],[Baseline Start]])&gt;0,Tasks[[#This Row],[Baseline Start]],Tasks[[#This Row],[_CalcStart]]))</f>
        <v/>
      </c>
      <c r="Y52" s="25" t="str">
        <f aca="false">IF(Tasks[[#This Row],[Task Name]]="","",IF(N(Tasks[[#This Row],[Baseline Finish]])&gt;0,Tasks[[#This Row],[Baseline Finish]],Tasks[[#This Row],[_CalcFinish]]))</f>
        <v/>
      </c>
      <c r="Z52" s="88"/>
      <c r="AA52" s="88"/>
      <c r="AB52" s="25" t="str">
        <f aca="false">IF(Tasks[[#This Row],[Task Name]]="","",IF(Tasks[[#This Row],[_IsSummary]],MIN(INDEX(Tasks[_ShownFcstStart],Tasks[[#This Row],[_Row]]+1):INDEX(Tasks[_ShownFcstStart],Tasks[[#This Row],[_Row]]+Tasks[[#This Row],[_Descendants]])),Tasks[[#This Row],[_ShownFcstStart]]))</f>
        <v/>
      </c>
      <c r="AC52" s="25" t="str">
        <f aca="false">IF(Tasks[[#This Row],[Task Name]]="","",IF(Tasks[[#This Row],[_IsSummary]],MAX(INDEX(Tasks[_ShownFcstFinish],Tasks[[#This Row],[_Row]]+1):INDEX(Tasks[_ShownFcstFinish],Tasks[[#This Row],[_Row]]+Tasks[[#This Row],[_Descendants]])),Tasks[[#This Row],[_ShownFcstFinish]]))</f>
        <v/>
      </c>
      <c r="AD5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2" s="25" t="str">
        <f aca="false">IF(Tasks[[#This Row],[Task Name]]="","",IF(Tasks[[#This Row],[_IsSummary]],MIN(INDEX(Tasks[_LeafLateStart],Tasks[[#This Row],[_Row]]+1):INDEX(Tasks[_LeafLateStart],Tasks[[#This Row],[_Row]]+Tasks[[#This Row],[_Descendants]])),Tasks[[#This Row],[_LeafLateStart]]))</f>
        <v/>
      </c>
      <c r="AG52" s="25" t="str">
        <f aca="false">IF(Tasks[[#This Row],[Task Name]]="","",IF(Tasks[[#This Row],[_IsSummary]],MAX(INDEX(Tasks[_LeafLateFinish],Tasks[[#This Row],[_Row]]+1):INDEX(Tasks[_LeafLateFinish],Tasks[[#This Row],[_Row]]+Tasks[[#This Row],[_Descendants]])),Tasks[[#This Row],[_LeafLateFinish]]))</f>
        <v/>
      </c>
      <c r="AH52" s="56" t="str">
        <f aca="false">IF(Tasks[[#This Row],[Task Name]]="","",IF(Tasks[[#This Row],[_IsSummary]],MIN(INDEX(Tasks[_LeafTotalSlack],Tasks[[#This Row],[_Row]]+1):INDEX(Tasks[_LeafTotalSlack],Tasks[[#This Row],[_Row]]+Tasks[[#This Row],[_Descendants]])),Tasks[[#This Row],[_LeafTotalSlack]]))</f>
        <v/>
      </c>
      <c r="AI5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2" s="45" t="str">
        <f aca="false">IF(Tasks[[#This Row],[Task Name]]="","",IF(IF(Tasks[[#This Row],[_IsSummary]],COUNTIF(INDEX(Tasks[_LeafCritical],Tasks[[#This Row],[_Row]]+1):INDEX(Tasks[_LeafCritical],Tasks[[#This Row],[_Row]]+Tasks[[#This Row],[_Descendants]]),TRUE())&gt;0,Tasks[[#This Row],[_LeafCritical]]),"Yes",""))</f>
        <v/>
      </c>
      <c r="AK5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2" s="102"/>
      <c r="AN5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2" s="45" t="str">
        <f aca="false">IF(Tasks[[#This Row],[Task Name]]="","",IF(Tasks[[#This Row],[Progress]]&gt;=1,"Complete",IF(OR(N(Tasks[[#This Row],[Actual Start]])&gt;0,Tasks[[#This Row],[Progress]]&gt;0),IF(Tasks[[#This Row],[Finish Var]]&gt;0,"Behind","In Progress"),IF(Tasks[[#This Row],[Planned Start]]&lt;StatusDate,"Late Start","Not Started"))))</f>
        <v/>
      </c>
      <c r="AP52" s="47"/>
      <c r="AQ52" s="102"/>
      <c r="AR5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2" s="110" t="str">
        <f aca="false">IF(Tasks[[#This Row],[Task Name]]="","",IF(Tasks[[#This Row],[_IsSummary]],SUM(INDEX(Tasks[_LeafTotalWork],Tasks[[#This Row],[_Row]]+1):INDEX(Tasks[_LeafTotalWork],Tasks[[#This Row],[_Row]]+Tasks[[#This Row],[_Descendants]])),Tasks[[#This Row],[_LeafTotalWork]]))</f>
        <v/>
      </c>
      <c r="AU52" s="111" t="str">
        <f aca="false">IF(Tasks[[#This Row],[Task Name]]="","",IF(Tasks[[#This Row],[_IsSummary]],SUM(INDEX(Tasks[_LeafTotalCost],Tasks[[#This Row],[_Row]]+1):INDEX(Tasks[_LeafTotalCost],Tasks[[#This Row],[_Row]]+Tasks[[#This Row],[_Descendants]])),Tasks[[#This Row],[_LeafTotalCost]]))</f>
        <v/>
      </c>
      <c r="AV52" s="112"/>
      <c r="AW52" s="46"/>
      <c r="AX5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2" s="96"/>
      <c r="AZ5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2" s="47"/>
      <c r="BB52" s="25" t="str">
        <f aca="false">IF(Tasks[[#This Row],[Task Name]]="","",Tasks[[#This Row],[Forecast Start]])</f>
        <v/>
      </c>
      <c r="BC52" s="25" t="str">
        <f aca="false">IF(Tasks[[#This Row],[Task Name]]="","",Tasks[[#This Row],[Forecast Finish]])</f>
        <v/>
      </c>
      <c r="BD52" s="45" t="str">
        <f aca="false">IF(Tasks[[#This Row],[Task Name]]="","",IF(Tasks[[#This Row],[_IsSummary]],NETWORKDAYS.INTL(Tasks[[#This Row],[Forecast Start]],Tasks[[#This Row],[Forecast Finish]],WorkWeek,Holidays),N(Tasks[[#This Row],[Duration]])))</f>
        <v/>
      </c>
      <c r="BE52" s="110" t="str">
        <f aca="false">IF(Tasks[[#This Row],[Task Name]]="","",Tasks[[#This Row],[Work]])</f>
        <v/>
      </c>
      <c r="BF52" s="111" t="str">
        <f aca="false">IF(Tasks[[#This Row],[Task Name]]="","",Tasks[[#This Row],[Cost]])</f>
        <v/>
      </c>
      <c r="BG52" s="88"/>
      <c r="BH52" s="88"/>
      <c r="BI52" s="46"/>
      <c r="BJ52" s="113"/>
      <c r="BK52" s="112"/>
      <c r="BL52" s="45" t="str">
        <f aca="false">IF(OR(Tasks[[#This Row],[Task Name]]="",Tasks[[#This Row],[Baseline Duration]]=""),"",Tasks[[#This Row],[BL Source Duration]]-N(Tasks[[#This Row],[Baseline Duration]]))</f>
        <v/>
      </c>
      <c r="BM52" s="110" t="str">
        <f aca="false">IF(OR(Tasks[[#This Row],[Task Name]]="",Tasks[[#This Row],[Baseline Work]]=""),"",Tasks[[#This Row],[Work]]-N(Tasks[[#This Row],[Baseline Work]]))</f>
        <v/>
      </c>
      <c r="BN52" s="111" t="str">
        <f aca="false">IF(OR(Tasks[[#This Row],[Task Name]]="",Tasks[[#This Row],[Baseline Cost]]=""),"",Tasks[[#This Row],[Cost]]-N(Tasks[[#This Row],[Baseline Cost]]))</f>
        <v/>
      </c>
      <c r="BO52" s="111" t="str">
        <f aca="false">IF(Tasks[[#This Row],[Task Name]]="","",IF(Tasks[[#This Row],[_IsSummary]],SUM(INDEX(Tasks[_LeafBudget],Tasks[[#This Row],[_Row]]+1):INDEX(Tasks[_LeafBudget],Tasks[[#This Row],[_Row]]+Tasks[[#This Row],[_Descendants]])),Tasks[[#This Row],[_LeafBudget]]))</f>
        <v/>
      </c>
      <c r="BP52" s="111" t="str">
        <f aca="false">IF(Tasks[[#This Row],[Task Name]]="","",IF(Tasks[[#This Row],[_IsSummary]],SUM(INDEX(Tasks[_LeafPV],Tasks[[#This Row],[_Row]]+1):INDEX(Tasks[_LeafPV],Tasks[[#This Row],[_Row]]+Tasks[[#This Row],[_Descendants]])),Tasks[[#This Row],[_LeafPV]]))</f>
        <v/>
      </c>
      <c r="BQ52" s="111" t="str">
        <f aca="false">IF(Tasks[[#This Row],[Task Name]]="","",IF(Tasks[[#This Row],[_IsSummary]],SUM(INDEX(Tasks[_LeafEV],Tasks[[#This Row],[_Row]]+1):INDEX(Tasks[_LeafEV],Tasks[[#This Row],[_Row]]+Tasks[[#This Row],[_Descendants]])),Tasks[[#This Row],[_LeafEV]]))</f>
        <v/>
      </c>
      <c r="BR52" s="111" t="str">
        <f aca="false">IF(Tasks[[#This Row],[Task Name]]="","",IF(Tasks[[#This Row],[_IsSummary]],SUM(INDEX(Tasks[_LeafAC],Tasks[[#This Row],[_Row]]+1):INDEX(Tasks[_LeafAC],Tasks[[#This Row],[_Row]]+Tasks[[#This Row],[_Descendants]])),Tasks[[#This Row],[_LeafAC]]))</f>
        <v/>
      </c>
      <c r="BS52" s="32" t="str">
        <f aca="false">IF(Tasks[[#This Row],[Task Name]]="","",MAX(1,N(Tasks[[#This Row],[Level]])))</f>
        <v/>
      </c>
      <c r="BT52" s="32" t="n">
        <f aca="false">ROW()-ROW(Tasks[[#Headers],[ID]])</f>
        <v>47</v>
      </c>
      <c r="BU52" s="32" t="n">
        <f aca="false">IF(OR(Tasks[[#This Row],[Task Name]]="",Tasks[[#This Row],[_Level]]&lt;=1),0,IFERROR(LOOKUP(2,1/(Tasks[[#Headers],[_Level]]:Tasks[[#This Row],[_Level]]=Tasks[[#This Row],[_Level]]-1),ROW(Tasks[[#Headers],[_Level]]:Tasks[[#This Row],[_Level]])),0))</f>
        <v>0</v>
      </c>
      <c r="BV52" s="32" t="n">
        <f aca="false">IFERROR(N(INDEX(Tasks[_Level],Tasks[[#This Row],[_Row]]+1)),0)</f>
        <v>0</v>
      </c>
      <c r="BW52" s="114" t="b">
        <f aca="false">AND(Tasks[[#This Row],[Task Name]]&lt;&gt;"",Tasks[[#This Row],[_NextLevel]]&gt;Tasks[[#This Row],[_Level]])</f>
        <v>0</v>
      </c>
      <c r="BX52" s="32" t="n">
        <f aca="false">IF(Tasks[[#This Row],[_IsSummary]],COUNTIF(Tasks[WBS],Tasks[[#This Row],[WBS]]&amp;".*"),0)</f>
        <v>0</v>
      </c>
      <c r="BY52" s="32" t="n">
        <f aca="false">IF(AND(Tasks[[#This Row],[Task Name]]&lt;&gt;"",NOT(Tasks[[#This Row],[_IsSummary]])),1,0)</f>
        <v>0</v>
      </c>
      <c r="BZ52" s="32" t="n">
        <f aca="false">IF(N(Tasks[[#This Row],[Pred1 UID]])=0,0,IFERROR(MATCH(Tasks[[#This Row],[Pred1 UID]],Tasks[UID],0),-1))</f>
        <v>0</v>
      </c>
      <c r="CA52" s="32" t="n">
        <f aca="false">IF(N(Tasks[[#This Row],[Pred2 UID]])=0,0,IFERROR(MATCH(Tasks[[#This Row],[Pred2 UID]],Tasks[UID],0),-1))</f>
        <v>0</v>
      </c>
      <c r="CB52" s="32" t="n">
        <f aca="false">IF(N(Tasks[[#This Row],[Pred3 UID]])=0,0,IFERROR(MATCH(Tasks[[#This Row],[Pred3 UID]],Tasks[UID],0),-1))</f>
        <v>0</v>
      </c>
      <c r="CC52" s="32" t="n">
        <f aca="false">IF(N(Tasks[[#This Row],[Pred4 UID]])=0,0,IFERROR(MATCH(Tasks[[#This Row],[Pred4 UID]],Tasks[UID],0),-1))</f>
        <v>0</v>
      </c>
      <c r="CD5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2" s="115" t="n">
        <f aca="false">IF(OR(Tasks[[#This Row],[_ConstraintCode]]=2,Tasks[[#This Row],[_ConstraintCode]]=3,Tasks[[#This Row],[_ConstraintCode]]=4,Tasks[[#This Row],[_ConstraintCode]]=6),Tasks[[#This Row],[_ConstraintStart]],0)</f>
        <v>0</v>
      </c>
      <c r="CG52" s="115" t="n">
        <f aca="false">IF(OR(Tasks[[#This Row],[_ConstraintCode]]=2,Tasks[[#This Row],[_ConstraintCode]]=3,Tasks[[#This Row],[_ConstraintCode]]=5,Tasks[[#This Row],[_ConstraintCode]]=7),Tasks[[#This Row],[_ConstraintStart]],2958465)</f>
        <v>2958465</v>
      </c>
      <c r="CH5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2" s="115" t="str">
        <f aca="false">IF(NOT(Tasks[[#This Row],[_IsLeaf]]=1),"",IF(N(Tasks[[#This Row],[Duration]])&lt;=0,Tasks[[#This Row],[_LeafCalcStart]],WORKDAY.INTL(Tasks[[#This Row],[_LeafCalcStart]],Tasks[[#This Row],[Duration]]-1,WorkWeek,Holidays)))</f>
        <v/>
      </c>
      <c r="CJ5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2" s="32" t="n">
        <f aca="false">IF(NOT(Tasks[[#This Row],[_IsLeaf]]=1),0,IF(N(Tasks[[#This Row],[Actual Finish]])&gt;0,1,MIN(1,N(Tasks[[#This Row],[% Complete]]))))</f>
        <v>0</v>
      </c>
      <c r="CM52" s="32" t="n">
        <f aca="false">IF(OR(NOT(Tasks[[#This Row],[_IsLeaf]]=1),Tasks[[#This Row],[Resource]]=""),0,N(Tasks[[#This Row],[Duration]])*HoursPerDay*IF(Tasks[[#This Row],[Units]]="",DefaultUnits,Tasks[[#This Row],[Units]]))</f>
        <v>0</v>
      </c>
      <c r="CN52" s="32" t="n">
        <f aca="false">IF(Tasks[[#This Row],[_LeafWork]]=0,0,Tasks[[#This Row],[_LeafWork]]*IFERROR(INDEX(res_Rate,MATCH(Tasks[[#This Row],[Resource]],res_Name,0)),0))</f>
        <v>0</v>
      </c>
      <c r="CO52" s="32" t="n">
        <f aca="false">Tasks[[#This Row],[_LeafWork]]+IF(Tasks[[#This Row],[_IsLeaf]]=1,SUMIFS(asg_Work,asg_TaskUID,Tasks[[#This Row],[UID]],asg_Valid,1),0)</f>
        <v>0</v>
      </c>
      <c r="CP52" s="32" t="n">
        <f aca="false">Tasks[[#This Row],[_LeafCost]]+IF(Tasks[[#This Row],[_IsLeaf]]=1,SUMIFS(asg_Cost,asg_TaskUID,Tasks[[#This Row],[UID]],asg_Valid,1),0)</f>
        <v>0</v>
      </c>
      <c r="CQ52" s="32" t="n">
        <f aca="false">IF(Tasks[[#This Row],[_LeafTotalCost]]=0,Tasks[[#This Row],[_LeafAC]],Tasks[[#This Row],[_LeafAC]]*Tasks[[#This Row],[_LeafCost]]/Tasks[[#This Row],[_LeafTotalCost]])</f>
        <v>0</v>
      </c>
      <c r="CR5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2" s="32" t="n">
        <f aca="false">IF(NOT(Tasks[[#This Row],[_IsLeaf]]=1),0,MAX(_xlfn.MAXIFS(Tasks[_Row],Tasks[Pred1 UID],Tasks[[#This Row],[UID]]),_xlfn.MAXIFS(Tasks[_Row],Tasks[Pred2 UID],Tasks[[#This Row],[UID]]),_xlfn.MAXIFS(Tasks[_Row],Tasks[Pred3 UID],Tasks[[#This Row],[UID]]),_xlfn.MAXIFS(Tasks[_Row],Tasks[Pred4 UID],Tasks[[#This Row],[UID]])))</f>
        <v>0</v>
      </c>
      <c r="DA5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2" s="115" t="str">
        <f aca="false">IF(NOT(Tasks[[#This Row],[_IsLeaf]]=1),"",IF(N(Tasks[[#This Row],[Duration]])&lt;=0,Tasks[[#This Row],[_LeafLateFinish]],WORKDAY.INTL(Tasks[[#This Row],[_LeafLateFinish]],-(Tasks[[#This Row],[Duration]]-1),WorkWeek,Holidays)))</f>
        <v/>
      </c>
      <c r="DD5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2" s="114" t="b">
        <f aca="false">AND(Tasks[[#This Row],[_IsLeaf]]=1,Tasks[[#This Row],[_LeafProgress]]&lt;1,N(Tasks[[#This Row],[_LeafTotalSlack]])&lt;=CriticalSlackDays)</f>
        <v>0</v>
      </c>
      <c r="DF52" s="32" t="n">
        <f aca="false">IF(AND(Tasks[[#This Row],[_IsLeaf]]=1,Tasks[[#This Row],[_ConstraintCode]]=1,Tasks[[#This Row],[Mode]]&lt;&gt;"Manual",N(Tasks[[#This Row],[Actual Start]])=0),MAX(0,N(Tasks[[#This Row],[Free Slack]])),0)</f>
        <v>0</v>
      </c>
      <c r="DG52" s="115" t="str">
        <f aca="false">IF(NOT(Tasks[[#This Row],[_IsLeaf]]=1),"",IF(Tasks[[#This Row],[_AlapShift]]=0,Tasks[[#This Row],[_LeafCalcStart]],WORKDAY.INTL(Tasks[[#This Row],[_LeafCalcStart]],Tasks[[#This Row],[_AlapShift]],WorkWeek,Holidays)))</f>
        <v/>
      </c>
      <c r="DH52" s="115" t="str">
        <f aca="false">IF(NOT(Tasks[[#This Row],[_IsLeaf]]=1),"",IF(Tasks[[#This Row],[_AlapShift]]=0,Tasks[[#This Row],[_LeafCalcFinish]],WORKDAY.INTL(Tasks[[#This Row],[_LeafCalcFinish]],Tasks[[#This Row],[_AlapShift]],WorkWeek,Holidays)))</f>
        <v/>
      </c>
      <c r="DI52" s="115" t="str">
        <f aca="false">IF(NOT(Tasks[[#This Row],[_IsLeaf]]=1),"",IF(Tasks[[#This Row],[_AlapShift]]=0,Tasks[[#This Row],[_LeafFcstStart]],WORKDAY.INTL(Tasks[[#This Row],[_LeafFcstStart]],Tasks[[#This Row],[_AlapShift]],WorkWeek,Holidays)))</f>
        <v/>
      </c>
      <c r="DJ52" s="115" t="str">
        <f aca="false">IF(NOT(Tasks[[#This Row],[_IsLeaf]]=1),"",IF(Tasks[[#This Row],[_AlapShift]]=0,Tasks[[#This Row],[_LeafFcstFinish]],WORKDAY.INTL(Tasks[[#This Row],[_LeafFcstFinish]],Tasks[[#This Row],[_AlapShift]],WorkWeek,Holidays)))</f>
        <v/>
      </c>
      <c r="DK52" s="115" t="str">
        <f aca="false">IF(Tasks[[#This Row],[Task Name]]="","",IF(Tasks[[#This Row],[_IsSummary]],MIN(INDEX(Tasks[_ShownCalcStart],Tasks[[#This Row],[_Row]]+1):INDEX(Tasks[_ShownCalcStart],Tasks[[#This Row],[_Row]]+Tasks[[#This Row],[_Descendants]])),Tasks[[#This Row],[_ShownCalcStart]]))</f>
        <v/>
      </c>
      <c r="DL52" s="115" t="str">
        <f aca="false">IF(Tasks[[#This Row],[Task Name]]="","",IF(Tasks[[#This Row],[_IsSummary]],MAX(INDEX(Tasks[_ShownCalcFinish],Tasks[[#This Row],[_Row]]+1):INDEX(Tasks[_ShownCalcFinish],Tasks[[#This Row],[_Row]]+Tasks[[#This Row],[_Descendants]])),Tasks[[#This Row],[_ShownCalcFinish]]))</f>
        <v/>
      </c>
      <c r="DM5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2" s="32" t="n">
        <f aca="false">IF(AND(Tasks[[#This Row],[_IsLeaf]]=1,Tasks[[#This Row],[_LeafTotalWork]]&gt;0),NETWORKDAYS.INTL(ProjectStart,Tasks[[#This Row],[_ShownFcstStart]],WorkWeek,Holidays),0)</f>
        <v>0</v>
      </c>
      <c r="DZ52" s="32" t="n">
        <f aca="false">IF(AND(Tasks[[#This Row],[_IsLeaf]]=1,Tasks[[#This Row],[_LeafTotalWork]]&gt;0),MAX(Tasks[[#This Row],[_StartWorkday]],NETWORKDAYS.INTL(ProjectStart,Tasks[[#This Row],[_ShownFcstFinish]],WorkWeek,Holidays)),0)</f>
        <v>0</v>
      </c>
      <c r="EA52" s="32" t="n">
        <f aca="false">IF(AND(Tasks[[#This Row],[_IsLeaf]]=1,Tasks[[#This Row],[_LeafTotalWork]]&gt;0),Tasks[[#This Row],[_LeafWork]]/(Tasks[[#This Row],[_FinishWorkday]]-Tasks[[#This Row],[_StartWorkday]]+1),0)</f>
        <v>0</v>
      </c>
      <c r="EB52" s="32" t="n">
        <f aca="false">Tasks[[#This Row],[_WorkPerWorkday]]*(Tasks[[#This Row],[_StartWorkday]]-1)</f>
        <v>-0</v>
      </c>
      <c r="EC52" s="32" t="n">
        <f aca="false">IF(Tasks[[#This Row],[_IsLeaf]]=1,MAX(N(Tasks[[#This Row],[Duration]]),0.1),0)</f>
        <v>0</v>
      </c>
      <c r="ED52" s="32" t="n">
        <f aca="false">Tasks[[#This Row],[_WeightDur]]*Tasks[[#This Row],[_LeafProgress]]</f>
        <v>0</v>
      </c>
      <c r="EE5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2" s="32" t="str">
        <f aca="false">IF(AND(Tasks[[#This Row],[_IsLeaf]]=1,N(Tasks[[#This Row],[Duration]])=0,Tasks[[#This Row],[_LeafProgress]]&lt;1),Tasks[[#This Row],[_ShownFcstFinish]]+Tasks[[#This Row],[_Row]]/100000,"")</f>
        <v/>
      </c>
      <c r="EG5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2" s="32" t="n">
        <f aca="false">IF(NOT(Tasks[[#This Row],[_IsLeaf]]=1),0,IF(Tasks[[#This Row],[Baseline Cost]]="",Tasks[[#This Row],[_LeafTotalCost]],N(Tasks[[#This Row],[Baseline Cost]])))</f>
        <v>0</v>
      </c>
      <c r="EI52" s="32" t="n">
        <f aca="false">Tasks[[#This Row],[_LeafBudget]]*Tasks[[#This Row],[_PlannedPct]]</f>
        <v>0</v>
      </c>
      <c r="EJ52" s="32" t="n">
        <f aca="false">Tasks[[#This Row],[_LeafBudget]]*Tasks[[#This Row],[_LeafProgress]]</f>
        <v>0</v>
      </c>
      <c r="EK52" s="32" t="n">
        <f aca="false">IF(NOT(Tasks[[#This Row],[_IsLeaf]]=1),0,IF(Tasks[[#This Row],[Actual Cost]]="",Tasks[[#This Row],[_LeafTotalCost]]*Tasks[[#This Row],[_LeafProgress]],N(Tasks[[#This Row],[Actual Cost]])))</f>
        <v>0</v>
      </c>
      <c r="EL52" s="32" t="str">
        <f aca="false">IF(Tasks[[#This Row],[Task Name]]="","",LEFT(Tasks[[#This Row],[WBS]],FIND(".",Tasks[[#This Row],[WBS]]&amp;".")-1))</f>
        <v/>
      </c>
      <c r="EM52" s="32" t="str">
        <f aca="false">IF(AND(Tasks[[#This Row],[Task Name]]&lt;&gt;"",Tasks[[#This Row],[_Level]]=1),Tasks[[#This Row],[_Row]],"")</f>
        <v/>
      </c>
      <c r="EN52" s="32" t="str">
        <f aca="false">IF(AND(Tasks[[#This Row],[_IsLeaf]]=1,N(Tasks[[#This Row],[Duration]])=0),Tasks[[#This Row],[Planned Finish]]+Tasks[[#This Row],[_Row]]/100000,"")</f>
        <v/>
      </c>
      <c r="EO52" s="32" t="str">
        <f aca="false">IF(AND(Tasks[[#This Row],[_IsLeaf]]=1,Tasks[[#This Row],[_LeafProgress]]&lt;1,OR(N(Tasks[[#This Row],[Finish Var]])&gt;0,Tasks[[#This Row],[Status]]="Late Start")),MAX(0,Tasks[[#This Row],[Finish Var]])+1-Tasks[[#This Row],[_Row]]/1000000,"")</f>
        <v/>
      </c>
      <c r="EP52" s="32" t="str">
        <f aca="false">IF(AND(Tasks[[#This Row],[_IsLeaf]]=1,N(Tasks[[#This Row],[Actual Start]])=0,Tasks[[#This Row],[_ShownFcstStart]]&gt;=StatusDate,Tasks[[#This Row],[_ShownFcstStart]]&lt;=LookaheadEnd),Tasks[[#This Row],[_ShownFcstStart]]+Tasks[[#This Row],[_Row]]/100000,"")</f>
        <v/>
      </c>
      <c r="EQ52" s="32" t="str">
        <f aca="false">IF(AND(Tasks[[#This Row],[_IsLeaf]]=1,Tasks[[#This Row],[_LeafProgress]]&lt;1,Tasks[[#This Row],[_ShownFcstFinish]]&gt;=StatusDate,Tasks[[#This Row],[_ShownFcstFinish]]&lt;=LookaheadEnd),Tasks[[#This Row],[_ShownFcstFinish]]+Tasks[[#This Row],[_Row]]/100000,"")</f>
        <v/>
      </c>
      <c r="ER52" s="32" t="str">
        <f aca="false">IF(Tasks[[#This Row],[_LeafCritical]],Tasks[[#This Row],[_ShownFcstStart]]+Tasks[[#This Row],[_Row]]/100000,"")</f>
        <v/>
      </c>
      <c r="ES52" s="32" t="n">
        <f aca="false">Tasks[[#This Row],[_LeafWork]]*Tasks[[#This Row],[_LeafProgress]]</f>
        <v>0</v>
      </c>
      <c r="ET52" s="115" t="str">
        <f aca="false">IF(AND(Tasks[[#This Row],[_IsLeaf]]=1,Tasks[[#This Row],[_LeafProgress]]&gt;=1),IF(N(Tasks[[#This Row],[Actual Finish]])&gt;0,Tasks[[#This Row],[Actual Finish]],Tasks[[#This Row],[_ShownFcstFinish]]),"")</f>
        <v/>
      </c>
      <c r="EU52" s="32" t="n">
        <f aca="false">IF(Tasks[[#This Row],[_IsLeaf]]=1,N(Tasks[[#This Row],[Story Points]]),0)</f>
        <v>0</v>
      </c>
      <c r="EV52" s="32" t="str">
        <f aca="false">IF(AND(Tasks[[#This Row],[_IsLeaf]]=1,CurrentSprint&lt;&gt;"",Tasks[[#This Row],[Sprint]]=CurrentSprint),Tasks[[#This Row],[_Row]],"")</f>
        <v/>
      </c>
    </row>
    <row r="53" customFormat="false" ht="15" hidden="false" customHeight="false" outlineLevel="0" collapsed="false">
      <c r="A53" s="45" t="str">
        <f aca="false">IF(Tasks[[#This Row],[Task Name]]="","",COUNTA(Tasks[[#Headers],[Task Name]]:Tasks[[#This Row],[Task Name]])-1)</f>
        <v/>
      </c>
      <c r="B53" s="46" t="n">
        <v>48</v>
      </c>
      <c r="C5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3" s="46"/>
      <c r="E53" s="45" t="str">
        <f aca="false">IF(Tasks[[#This Row],[Task Name]]="","",IF(Tasks[[#This Row],[_Level]]&lt;=OutlineShowLevel,"Yes","No"))</f>
        <v/>
      </c>
      <c r="F53" s="47"/>
      <c r="G53" s="46"/>
      <c r="H53" s="46"/>
      <c r="I53" s="46"/>
      <c r="J53" s="46"/>
      <c r="K53" s="46"/>
      <c r="L53" s="46"/>
      <c r="M53" s="46"/>
      <c r="N53" s="46"/>
      <c r="O53" s="46"/>
      <c r="P53" s="46"/>
      <c r="Q53" s="46"/>
      <c r="R53" s="46"/>
      <c r="S53" s="46"/>
      <c r="T53" s="46"/>
      <c r="U53" s="47"/>
      <c r="V53" s="88"/>
      <c r="W53" s="88"/>
      <c r="X53" s="25" t="str">
        <f aca="false">IF(Tasks[[#This Row],[Task Name]]="","",IF(N(Tasks[[#This Row],[Baseline Start]])&gt;0,Tasks[[#This Row],[Baseline Start]],Tasks[[#This Row],[_CalcStart]]))</f>
        <v/>
      </c>
      <c r="Y53" s="25" t="str">
        <f aca="false">IF(Tasks[[#This Row],[Task Name]]="","",IF(N(Tasks[[#This Row],[Baseline Finish]])&gt;0,Tasks[[#This Row],[Baseline Finish]],Tasks[[#This Row],[_CalcFinish]]))</f>
        <v/>
      </c>
      <c r="Z53" s="88"/>
      <c r="AA53" s="88"/>
      <c r="AB53" s="25" t="str">
        <f aca="false">IF(Tasks[[#This Row],[Task Name]]="","",IF(Tasks[[#This Row],[_IsSummary]],MIN(INDEX(Tasks[_ShownFcstStart],Tasks[[#This Row],[_Row]]+1):INDEX(Tasks[_ShownFcstStart],Tasks[[#This Row],[_Row]]+Tasks[[#This Row],[_Descendants]])),Tasks[[#This Row],[_ShownFcstStart]]))</f>
        <v/>
      </c>
      <c r="AC53" s="25" t="str">
        <f aca="false">IF(Tasks[[#This Row],[Task Name]]="","",IF(Tasks[[#This Row],[_IsSummary]],MAX(INDEX(Tasks[_ShownFcstFinish],Tasks[[#This Row],[_Row]]+1):INDEX(Tasks[_ShownFcstFinish],Tasks[[#This Row],[_Row]]+Tasks[[#This Row],[_Descendants]])),Tasks[[#This Row],[_ShownFcstFinish]]))</f>
        <v/>
      </c>
      <c r="AD5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3" s="25" t="str">
        <f aca="false">IF(Tasks[[#This Row],[Task Name]]="","",IF(Tasks[[#This Row],[_IsSummary]],MIN(INDEX(Tasks[_LeafLateStart],Tasks[[#This Row],[_Row]]+1):INDEX(Tasks[_LeafLateStart],Tasks[[#This Row],[_Row]]+Tasks[[#This Row],[_Descendants]])),Tasks[[#This Row],[_LeafLateStart]]))</f>
        <v/>
      </c>
      <c r="AG53" s="25" t="str">
        <f aca="false">IF(Tasks[[#This Row],[Task Name]]="","",IF(Tasks[[#This Row],[_IsSummary]],MAX(INDEX(Tasks[_LeafLateFinish],Tasks[[#This Row],[_Row]]+1):INDEX(Tasks[_LeafLateFinish],Tasks[[#This Row],[_Row]]+Tasks[[#This Row],[_Descendants]])),Tasks[[#This Row],[_LeafLateFinish]]))</f>
        <v/>
      </c>
      <c r="AH53" s="56" t="str">
        <f aca="false">IF(Tasks[[#This Row],[Task Name]]="","",IF(Tasks[[#This Row],[_IsSummary]],MIN(INDEX(Tasks[_LeafTotalSlack],Tasks[[#This Row],[_Row]]+1):INDEX(Tasks[_LeafTotalSlack],Tasks[[#This Row],[_Row]]+Tasks[[#This Row],[_Descendants]])),Tasks[[#This Row],[_LeafTotalSlack]]))</f>
        <v/>
      </c>
      <c r="AI5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3" s="45" t="str">
        <f aca="false">IF(Tasks[[#This Row],[Task Name]]="","",IF(IF(Tasks[[#This Row],[_IsSummary]],COUNTIF(INDEX(Tasks[_LeafCritical],Tasks[[#This Row],[_Row]]+1):INDEX(Tasks[_LeafCritical],Tasks[[#This Row],[_Row]]+Tasks[[#This Row],[_Descendants]]),TRUE())&gt;0,Tasks[[#This Row],[_LeafCritical]]),"Yes",""))</f>
        <v/>
      </c>
      <c r="AK5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3" s="102"/>
      <c r="AN5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3" s="45" t="str">
        <f aca="false">IF(Tasks[[#This Row],[Task Name]]="","",IF(Tasks[[#This Row],[Progress]]&gt;=1,"Complete",IF(OR(N(Tasks[[#This Row],[Actual Start]])&gt;0,Tasks[[#This Row],[Progress]]&gt;0),IF(Tasks[[#This Row],[Finish Var]]&gt;0,"Behind","In Progress"),IF(Tasks[[#This Row],[Planned Start]]&lt;StatusDate,"Late Start","Not Started"))))</f>
        <v/>
      </c>
      <c r="AP53" s="47"/>
      <c r="AQ53" s="102"/>
      <c r="AR5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3" s="110" t="str">
        <f aca="false">IF(Tasks[[#This Row],[Task Name]]="","",IF(Tasks[[#This Row],[_IsSummary]],SUM(INDEX(Tasks[_LeafTotalWork],Tasks[[#This Row],[_Row]]+1):INDEX(Tasks[_LeafTotalWork],Tasks[[#This Row],[_Row]]+Tasks[[#This Row],[_Descendants]])),Tasks[[#This Row],[_LeafTotalWork]]))</f>
        <v/>
      </c>
      <c r="AU53" s="111" t="str">
        <f aca="false">IF(Tasks[[#This Row],[Task Name]]="","",IF(Tasks[[#This Row],[_IsSummary]],SUM(INDEX(Tasks[_LeafTotalCost],Tasks[[#This Row],[_Row]]+1):INDEX(Tasks[_LeafTotalCost],Tasks[[#This Row],[_Row]]+Tasks[[#This Row],[_Descendants]])),Tasks[[#This Row],[_LeafTotalCost]]))</f>
        <v/>
      </c>
      <c r="AV53" s="112"/>
      <c r="AW53" s="46"/>
      <c r="AX5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3" s="96"/>
      <c r="AZ5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3" s="47"/>
      <c r="BB53" s="25" t="str">
        <f aca="false">IF(Tasks[[#This Row],[Task Name]]="","",Tasks[[#This Row],[Forecast Start]])</f>
        <v/>
      </c>
      <c r="BC53" s="25" t="str">
        <f aca="false">IF(Tasks[[#This Row],[Task Name]]="","",Tasks[[#This Row],[Forecast Finish]])</f>
        <v/>
      </c>
      <c r="BD53" s="45" t="str">
        <f aca="false">IF(Tasks[[#This Row],[Task Name]]="","",IF(Tasks[[#This Row],[_IsSummary]],NETWORKDAYS.INTL(Tasks[[#This Row],[Forecast Start]],Tasks[[#This Row],[Forecast Finish]],WorkWeek,Holidays),N(Tasks[[#This Row],[Duration]])))</f>
        <v/>
      </c>
      <c r="BE53" s="110" t="str">
        <f aca="false">IF(Tasks[[#This Row],[Task Name]]="","",Tasks[[#This Row],[Work]])</f>
        <v/>
      </c>
      <c r="BF53" s="111" t="str">
        <f aca="false">IF(Tasks[[#This Row],[Task Name]]="","",Tasks[[#This Row],[Cost]])</f>
        <v/>
      </c>
      <c r="BG53" s="88"/>
      <c r="BH53" s="88"/>
      <c r="BI53" s="46"/>
      <c r="BJ53" s="113"/>
      <c r="BK53" s="112"/>
      <c r="BL53" s="45" t="str">
        <f aca="false">IF(OR(Tasks[[#This Row],[Task Name]]="",Tasks[[#This Row],[Baseline Duration]]=""),"",Tasks[[#This Row],[BL Source Duration]]-N(Tasks[[#This Row],[Baseline Duration]]))</f>
        <v/>
      </c>
      <c r="BM53" s="110" t="str">
        <f aca="false">IF(OR(Tasks[[#This Row],[Task Name]]="",Tasks[[#This Row],[Baseline Work]]=""),"",Tasks[[#This Row],[Work]]-N(Tasks[[#This Row],[Baseline Work]]))</f>
        <v/>
      </c>
      <c r="BN53" s="111" t="str">
        <f aca="false">IF(OR(Tasks[[#This Row],[Task Name]]="",Tasks[[#This Row],[Baseline Cost]]=""),"",Tasks[[#This Row],[Cost]]-N(Tasks[[#This Row],[Baseline Cost]]))</f>
        <v/>
      </c>
      <c r="BO53" s="111" t="str">
        <f aca="false">IF(Tasks[[#This Row],[Task Name]]="","",IF(Tasks[[#This Row],[_IsSummary]],SUM(INDEX(Tasks[_LeafBudget],Tasks[[#This Row],[_Row]]+1):INDEX(Tasks[_LeafBudget],Tasks[[#This Row],[_Row]]+Tasks[[#This Row],[_Descendants]])),Tasks[[#This Row],[_LeafBudget]]))</f>
        <v/>
      </c>
      <c r="BP53" s="111" t="str">
        <f aca="false">IF(Tasks[[#This Row],[Task Name]]="","",IF(Tasks[[#This Row],[_IsSummary]],SUM(INDEX(Tasks[_LeafPV],Tasks[[#This Row],[_Row]]+1):INDEX(Tasks[_LeafPV],Tasks[[#This Row],[_Row]]+Tasks[[#This Row],[_Descendants]])),Tasks[[#This Row],[_LeafPV]]))</f>
        <v/>
      </c>
      <c r="BQ53" s="111" t="str">
        <f aca="false">IF(Tasks[[#This Row],[Task Name]]="","",IF(Tasks[[#This Row],[_IsSummary]],SUM(INDEX(Tasks[_LeafEV],Tasks[[#This Row],[_Row]]+1):INDEX(Tasks[_LeafEV],Tasks[[#This Row],[_Row]]+Tasks[[#This Row],[_Descendants]])),Tasks[[#This Row],[_LeafEV]]))</f>
        <v/>
      </c>
      <c r="BR53" s="111" t="str">
        <f aca="false">IF(Tasks[[#This Row],[Task Name]]="","",IF(Tasks[[#This Row],[_IsSummary]],SUM(INDEX(Tasks[_LeafAC],Tasks[[#This Row],[_Row]]+1):INDEX(Tasks[_LeafAC],Tasks[[#This Row],[_Row]]+Tasks[[#This Row],[_Descendants]])),Tasks[[#This Row],[_LeafAC]]))</f>
        <v/>
      </c>
      <c r="BS53" s="32" t="str">
        <f aca="false">IF(Tasks[[#This Row],[Task Name]]="","",MAX(1,N(Tasks[[#This Row],[Level]])))</f>
        <v/>
      </c>
      <c r="BT53" s="32" t="n">
        <f aca="false">ROW()-ROW(Tasks[[#Headers],[ID]])</f>
        <v>48</v>
      </c>
      <c r="BU53" s="32" t="n">
        <f aca="false">IF(OR(Tasks[[#This Row],[Task Name]]="",Tasks[[#This Row],[_Level]]&lt;=1),0,IFERROR(LOOKUP(2,1/(Tasks[[#Headers],[_Level]]:Tasks[[#This Row],[_Level]]=Tasks[[#This Row],[_Level]]-1),ROW(Tasks[[#Headers],[_Level]]:Tasks[[#This Row],[_Level]])),0))</f>
        <v>0</v>
      </c>
      <c r="BV53" s="32" t="n">
        <f aca="false">IFERROR(N(INDEX(Tasks[_Level],Tasks[[#This Row],[_Row]]+1)),0)</f>
        <v>0</v>
      </c>
      <c r="BW53" s="114" t="b">
        <f aca="false">AND(Tasks[[#This Row],[Task Name]]&lt;&gt;"",Tasks[[#This Row],[_NextLevel]]&gt;Tasks[[#This Row],[_Level]])</f>
        <v>0</v>
      </c>
      <c r="BX53" s="32" t="n">
        <f aca="false">IF(Tasks[[#This Row],[_IsSummary]],COUNTIF(Tasks[WBS],Tasks[[#This Row],[WBS]]&amp;".*"),0)</f>
        <v>0</v>
      </c>
      <c r="BY53" s="32" t="n">
        <f aca="false">IF(AND(Tasks[[#This Row],[Task Name]]&lt;&gt;"",NOT(Tasks[[#This Row],[_IsSummary]])),1,0)</f>
        <v>0</v>
      </c>
      <c r="BZ53" s="32" t="n">
        <f aca="false">IF(N(Tasks[[#This Row],[Pred1 UID]])=0,0,IFERROR(MATCH(Tasks[[#This Row],[Pred1 UID]],Tasks[UID],0),-1))</f>
        <v>0</v>
      </c>
      <c r="CA53" s="32" t="n">
        <f aca="false">IF(N(Tasks[[#This Row],[Pred2 UID]])=0,0,IFERROR(MATCH(Tasks[[#This Row],[Pred2 UID]],Tasks[UID],0),-1))</f>
        <v>0</v>
      </c>
      <c r="CB53" s="32" t="n">
        <f aca="false">IF(N(Tasks[[#This Row],[Pred3 UID]])=0,0,IFERROR(MATCH(Tasks[[#This Row],[Pred3 UID]],Tasks[UID],0),-1))</f>
        <v>0</v>
      </c>
      <c r="CC53" s="32" t="n">
        <f aca="false">IF(N(Tasks[[#This Row],[Pred4 UID]])=0,0,IFERROR(MATCH(Tasks[[#This Row],[Pred4 UID]],Tasks[UID],0),-1))</f>
        <v>0</v>
      </c>
      <c r="CD5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3" s="115" t="n">
        <f aca="false">IF(OR(Tasks[[#This Row],[_ConstraintCode]]=2,Tasks[[#This Row],[_ConstraintCode]]=3,Tasks[[#This Row],[_ConstraintCode]]=4,Tasks[[#This Row],[_ConstraintCode]]=6),Tasks[[#This Row],[_ConstraintStart]],0)</f>
        <v>0</v>
      </c>
      <c r="CG53" s="115" t="n">
        <f aca="false">IF(OR(Tasks[[#This Row],[_ConstraintCode]]=2,Tasks[[#This Row],[_ConstraintCode]]=3,Tasks[[#This Row],[_ConstraintCode]]=5,Tasks[[#This Row],[_ConstraintCode]]=7),Tasks[[#This Row],[_ConstraintStart]],2958465)</f>
        <v>2958465</v>
      </c>
      <c r="CH5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3" s="115" t="str">
        <f aca="false">IF(NOT(Tasks[[#This Row],[_IsLeaf]]=1),"",IF(N(Tasks[[#This Row],[Duration]])&lt;=0,Tasks[[#This Row],[_LeafCalcStart]],WORKDAY.INTL(Tasks[[#This Row],[_LeafCalcStart]],Tasks[[#This Row],[Duration]]-1,WorkWeek,Holidays)))</f>
        <v/>
      </c>
      <c r="CJ5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3" s="32" t="n">
        <f aca="false">IF(NOT(Tasks[[#This Row],[_IsLeaf]]=1),0,IF(N(Tasks[[#This Row],[Actual Finish]])&gt;0,1,MIN(1,N(Tasks[[#This Row],[% Complete]]))))</f>
        <v>0</v>
      </c>
      <c r="CM53" s="32" t="n">
        <f aca="false">IF(OR(NOT(Tasks[[#This Row],[_IsLeaf]]=1),Tasks[[#This Row],[Resource]]=""),0,N(Tasks[[#This Row],[Duration]])*HoursPerDay*IF(Tasks[[#This Row],[Units]]="",DefaultUnits,Tasks[[#This Row],[Units]]))</f>
        <v>0</v>
      </c>
      <c r="CN53" s="32" t="n">
        <f aca="false">IF(Tasks[[#This Row],[_LeafWork]]=0,0,Tasks[[#This Row],[_LeafWork]]*IFERROR(INDEX(res_Rate,MATCH(Tasks[[#This Row],[Resource]],res_Name,0)),0))</f>
        <v>0</v>
      </c>
      <c r="CO53" s="32" t="n">
        <f aca="false">Tasks[[#This Row],[_LeafWork]]+IF(Tasks[[#This Row],[_IsLeaf]]=1,SUMIFS(asg_Work,asg_TaskUID,Tasks[[#This Row],[UID]],asg_Valid,1),0)</f>
        <v>0</v>
      </c>
      <c r="CP53" s="32" t="n">
        <f aca="false">Tasks[[#This Row],[_LeafCost]]+IF(Tasks[[#This Row],[_IsLeaf]]=1,SUMIFS(asg_Cost,asg_TaskUID,Tasks[[#This Row],[UID]],asg_Valid,1),0)</f>
        <v>0</v>
      </c>
      <c r="CQ53" s="32" t="n">
        <f aca="false">IF(Tasks[[#This Row],[_LeafTotalCost]]=0,Tasks[[#This Row],[_LeafAC]],Tasks[[#This Row],[_LeafAC]]*Tasks[[#This Row],[_LeafCost]]/Tasks[[#This Row],[_LeafTotalCost]])</f>
        <v>0</v>
      </c>
      <c r="CR5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3" s="32" t="n">
        <f aca="false">IF(NOT(Tasks[[#This Row],[_IsLeaf]]=1),0,MAX(_xlfn.MAXIFS(Tasks[_Row],Tasks[Pred1 UID],Tasks[[#This Row],[UID]]),_xlfn.MAXIFS(Tasks[_Row],Tasks[Pred2 UID],Tasks[[#This Row],[UID]]),_xlfn.MAXIFS(Tasks[_Row],Tasks[Pred3 UID],Tasks[[#This Row],[UID]]),_xlfn.MAXIFS(Tasks[_Row],Tasks[Pred4 UID],Tasks[[#This Row],[UID]])))</f>
        <v>0</v>
      </c>
      <c r="DA5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3" s="115" t="str">
        <f aca="false">IF(NOT(Tasks[[#This Row],[_IsLeaf]]=1),"",IF(N(Tasks[[#This Row],[Duration]])&lt;=0,Tasks[[#This Row],[_LeafLateFinish]],WORKDAY.INTL(Tasks[[#This Row],[_LeafLateFinish]],-(Tasks[[#This Row],[Duration]]-1),WorkWeek,Holidays)))</f>
        <v/>
      </c>
      <c r="DD5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3" s="114" t="b">
        <f aca="false">AND(Tasks[[#This Row],[_IsLeaf]]=1,Tasks[[#This Row],[_LeafProgress]]&lt;1,N(Tasks[[#This Row],[_LeafTotalSlack]])&lt;=CriticalSlackDays)</f>
        <v>0</v>
      </c>
      <c r="DF53" s="32" t="n">
        <f aca="false">IF(AND(Tasks[[#This Row],[_IsLeaf]]=1,Tasks[[#This Row],[_ConstraintCode]]=1,Tasks[[#This Row],[Mode]]&lt;&gt;"Manual",N(Tasks[[#This Row],[Actual Start]])=0),MAX(0,N(Tasks[[#This Row],[Free Slack]])),0)</f>
        <v>0</v>
      </c>
      <c r="DG53" s="115" t="str">
        <f aca="false">IF(NOT(Tasks[[#This Row],[_IsLeaf]]=1),"",IF(Tasks[[#This Row],[_AlapShift]]=0,Tasks[[#This Row],[_LeafCalcStart]],WORKDAY.INTL(Tasks[[#This Row],[_LeafCalcStart]],Tasks[[#This Row],[_AlapShift]],WorkWeek,Holidays)))</f>
        <v/>
      </c>
      <c r="DH53" s="115" t="str">
        <f aca="false">IF(NOT(Tasks[[#This Row],[_IsLeaf]]=1),"",IF(Tasks[[#This Row],[_AlapShift]]=0,Tasks[[#This Row],[_LeafCalcFinish]],WORKDAY.INTL(Tasks[[#This Row],[_LeafCalcFinish]],Tasks[[#This Row],[_AlapShift]],WorkWeek,Holidays)))</f>
        <v/>
      </c>
      <c r="DI53" s="115" t="str">
        <f aca="false">IF(NOT(Tasks[[#This Row],[_IsLeaf]]=1),"",IF(Tasks[[#This Row],[_AlapShift]]=0,Tasks[[#This Row],[_LeafFcstStart]],WORKDAY.INTL(Tasks[[#This Row],[_LeafFcstStart]],Tasks[[#This Row],[_AlapShift]],WorkWeek,Holidays)))</f>
        <v/>
      </c>
      <c r="DJ53" s="115" t="str">
        <f aca="false">IF(NOT(Tasks[[#This Row],[_IsLeaf]]=1),"",IF(Tasks[[#This Row],[_AlapShift]]=0,Tasks[[#This Row],[_LeafFcstFinish]],WORKDAY.INTL(Tasks[[#This Row],[_LeafFcstFinish]],Tasks[[#This Row],[_AlapShift]],WorkWeek,Holidays)))</f>
        <v/>
      </c>
      <c r="DK53" s="115" t="str">
        <f aca="false">IF(Tasks[[#This Row],[Task Name]]="","",IF(Tasks[[#This Row],[_IsSummary]],MIN(INDEX(Tasks[_ShownCalcStart],Tasks[[#This Row],[_Row]]+1):INDEX(Tasks[_ShownCalcStart],Tasks[[#This Row],[_Row]]+Tasks[[#This Row],[_Descendants]])),Tasks[[#This Row],[_ShownCalcStart]]))</f>
        <v/>
      </c>
      <c r="DL53" s="115" t="str">
        <f aca="false">IF(Tasks[[#This Row],[Task Name]]="","",IF(Tasks[[#This Row],[_IsSummary]],MAX(INDEX(Tasks[_ShownCalcFinish],Tasks[[#This Row],[_Row]]+1):INDEX(Tasks[_ShownCalcFinish],Tasks[[#This Row],[_Row]]+Tasks[[#This Row],[_Descendants]])),Tasks[[#This Row],[_ShownCalcFinish]]))</f>
        <v/>
      </c>
      <c r="DM5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3" s="32" t="n">
        <f aca="false">IF(AND(Tasks[[#This Row],[_IsLeaf]]=1,Tasks[[#This Row],[_LeafTotalWork]]&gt;0),NETWORKDAYS.INTL(ProjectStart,Tasks[[#This Row],[_ShownFcstStart]],WorkWeek,Holidays),0)</f>
        <v>0</v>
      </c>
      <c r="DZ53" s="32" t="n">
        <f aca="false">IF(AND(Tasks[[#This Row],[_IsLeaf]]=1,Tasks[[#This Row],[_LeafTotalWork]]&gt;0),MAX(Tasks[[#This Row],[_StartWorkday]],NETWORKDAYS.INTL(ProjectStart,Tasks[[#This Row],[_ShownFcstFinish]],WorkWeek,Holidays)),0)</f>
        <v>0</v>
      </c>
      <c r="EA53" s="32" t="n">
        <f aca="false">IF(AND(Tasks[[#This Row],[_IsLeaf]]=1,Tasks[[#This Row],[_LeafTotalWork]]&gt;0),Tasks[[#This Row],[_LeafWork]]/(Tasks[[#This Row],[_FinishWorkday]]-Tasks[[#This Row],[_StartWorkday]]+1),0)</f>
        <v>0</v>
      </c>
      <c r="EB53" s="32" t="n">
        <f aca="false">Tasks[[#This Row],[_WorkPerWorkday]]*(Tasks[[#This Row],[_StartWorkday]]-1)</f>
        <v>-0</v>
      </c>
      <c r="EC53" s="32" t="n">
        <f aca="false">IF(Tasks[[#This Row],[_IsLeaf]]=1,MAX(N(Tasks[[#This Row],[Duration]]),0.1),0)</f>
        <v>0</v>
      </c>
      <c r="ED53" s="32" t="n">
        <f aca="false">Tasks[[#This Row],[_WeightDur]]*Tasks[[#This Row],[_LeafProgress]]</f>
        <v>0</v>
      </c>
      <c r="EE5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3" s="32" t="str">
        <f aca="false">IF(AND(Tasks[[#This Row],[_IsLeaf]]=1,N(Tasks[[#This Row],[Duration]])=0,Tasks[[#This Row],[_LeafProgress]]&lt;1),Tasks[[#This Row],[_ShownFcstFinish]]+Tasks[[#This Row],[_Row]]/100000,"")</f>
        <v/>
      </c>
      <c r="EG5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3" s="32" t="n">
        <f aca="false">IF(NOT(Tasks[[#This Row],[_IsLeaf]]=1),0,IF(Tasks[[#This Row],[Baseline Cost]]="",Tasks[[#This Row],[_LeafTotalCost]],N(Tasks[[#This Row],[Baseline Cost]])))</f>
        <v>0</v>
      </c>
      <c r="EI53" s="32" t="n">
        <f aca="false">Tasks[[#This Row],[_LeafBudget]]*Tasks[[#This Row],[_PlannedPct]]</f>
        <v>0</v>
      </c>
      <c r="EJ53" s="32" t="n">
        <f aca="false">Tasks[[#This Row],[_LeafBudget]]*Tasks[[#This Row],[_LeafProgress]]</f>
        <v>0</v>
      </c>
      <c r="EK53" s="32" t="n">
        <f aca="false">IF(NOT(Tasks[[#This Row],[_IsLeaf]]=1),0,IF(Tasks[[#This Row],[Actual Cost]]="",Tasks[[#This Row],[_LeafTotalCost]]*Tasks[[#This Row],[_LeafProgress]],N(Tasks[[#This Row],[Actual Cost]])))</f>
        <v>0</v>
      </c>
      <c r="EL53" s="32" t="str">
        <f aca="false">IF(Tasks[[#This Row],[Task Name]]="","",LEFT(Tasks[[#This Row],[WBS]],FIND(".",Tasks[[#This Row],[WBS]]&amp;".")-1))</f>
        <v/>
      </c>
      <c r="EM53" s="32" t="str">
        <f aca="false">IF(AND(Tasks[[#This Row],[Task Name]]&lt;&gt;"",Tasks[[#This Row],[_Level]]=1),Tasks[[#This Row],[_Row]],"")</f>
        <v/>
      </c>
      <c r="EN53" s="32" t="str">
        <f aca="false">IF(AND(Tasks[[#This Row],[_IsLeaf]]=1,N(Tasks[[#This Row],[Duration]])=0),Tasks[[#This Row],[Planned Finish]]+Tasks[[#This Row],[_Row]]/100000,"")</f>
        <v/>
      </c>
      <c r="EO53" s="32" t="str">
        <f aca="false">IF(AND(Tasks[[#This Row],[_IsLeaf]]=1,Tasks[[#This Row],[_LeafProgress]]&lt;1,OR(N(Tasks[[#This Row],[Finish Var]])&gt;0,Tasks[[#This Row],[Status]]="Late Start")),MAX(0,Tasks[[#This Row],[Finish Var]])+1-Tasks[[#This Row],[_Row]]/1000000,"")</f>
        <v/>
      </c>
      <c r="EP53" s="32" t="str">
        <f aca="false">IF(AND(Tasks[[#This Row],[_IsLeaf]]=1,N(Tasks[[#This Row],[Actual Start]])=0,Tasks[[#This Row],[_ShownFcstStart]]&gt;=StatusDate,Tasks[[#This Row],[_ShownFcstStart]]&lt;=LookaheadEnd),Tasks[[#This Row],[_ShownFcstStart]]+Tasks[[#This Row],[_Row]]/100000,"")</f>
        <v/>
      </c>
      <c r="EQ53" s="32" t="str">
        <f aca="false">IF(AND(Tasks[[#This Row],[_IsLeaf]]=1,Tasks[[#This Row],[_LeafProgress]]&lt;1,Tasks[[#This Row],[_ShownFcstFinish]]&gt;=StatusDate,Tasks[[#This Row],[_ShownFcstFinish]]&lt;=LookaheadEnd),Tasks[[#This Row],[_ShownFcstFinish]]+Tasks[[#This Row],[_Row]]/100000,"")</f>
        <v/>
      </c>
      <c r="ER53" s="32" t="str">
        <f aca="false">IF(Tasks[[#This Row],[_LeafCritical]],Tasks[[#This Row],[_ShownFcstStart]]+Tasks[[#This Row],[_Row]]/100000,"")</f>
        <v/>
      </c>
      <c r="ES53" s="32" t="n">
        <f aca="false">Tasks[[#This Row],[_LeafWork]]*Tasks[[#This Row],[_LeafProgress]]</f>
        <v>0</v>
      </c>
      <c r="ET53" s="115" t="str">
        <f aca="false">IF(AND(Tasks[[#This Row],[_IsLeaf]]=1,Tasks[[#This Row],[_LeafProgress]]&gt;=1),IF(N(Tasks[[#This Row],[Actual Finish]])&gt;0,Tasks[[#This Row],[Actual Finish]],Tasks[[#This Row],[_ShownFcstFinish]]),"")</f>
        <v/>
      </c>
      <c r="EU53" s="32" t="n">
        <f aca="false">IF(Tasks[[#This Row],[_IsLeaf]]=1,N(Tasks[[#This Row],[Story Points]]),0)</f>
        <v>0</v>
      </c>
      <c r="EV53" s="32" t="str">
        <f aca="false">IF(AND(Tasks[[#This Row],[_IsLeaf]]=1,CurrentSprint&lt;&gt;"",Tasks[[#This Row],[Sprint]]=CurrentSprint),Tasks[[#This Row],[_Row]],"")</f>
        <v/>
      </c>
    </row>
    <row r="54" customFormat="false" ht="15" hidden="false" customHeight="false" outlineLevel="0" collapsed="false">
      <c r="A54" s="45" t="str">
        <f aca="false">IF(Tasks[[#This Row],[Task Name]]="","",COUNTA(Tasks[[#Headers],[Task Name]]:Tasks[[#This Row],[Task Name]])-1)</f>
        <v/>
      </c>
      <c r="B54" s="46" t="n">
        <v>49</v>
      </c>
      <c r="C5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4" s="46"/>
      <c r="E54" s="45" t="str">
        <f aca="false">IF(Tasks[[#This Row],[Task Name]]="","",IF(Tasks[[#This Row],[_Level]]&lt;=OutlineShowLevel,"Yes","No"))</f>
        <v/>
      </c>
      <c r="F54" s="47"/>
      <c r="G54" s="46"/>
      <c r="H54" s="46"/>
      <c r="I54" s="46"/>
      <c r="J54" s="46"/>
      <c r="K54" s="46"/>
      <c r="L54" s="46"/>
      <c r="M54" s="46"/>
      <c r="N54" s="46"/>
      <c r="O54" s="46"/>
      <c r="P54" s="46"/>
      <c r="Q54" s="46"/>
      <c r="R54" s="46"/>
      <c r="S54" s="46"/>
      <c r="T54" s="46"/>
      <c r="U54" s="47"/>
      <c r="V54" s="88"/>
      <c r="W54" s="88"/>
      <c r="X54" s="25" t="str">
        <f aca="false">IF(Tasks[[#This Row],[Task Name]]="","",IF(N(Tasks[[#This Row],[Baseline Start]])&gt;0,Tasks[[#This Row],[Baseline Start]],Tasks[[#This Row],[_CalcStart]]))</f>
        <v/>
      </c>
      <c r="Y54" s="25" t="str">
        <f aca="false">IF(Tasks[[#This Row],[Task Name]]="","",IF(N(Tasks[[#This Row],[Baseline Finish]])&gt;0,Tasks[[#This Row],[Baseline Finish]],Tasks[[#This Row],[_CalcFinish]]))</f>
        <v/>
      </c>
      <c r="Z54" s="88"/>
      <c r="AA54" s="88"/>
      <c r="AB54" s="25" t="str">
        <f aca="false">IF(Tasks[[#This Row],[Task Name]]="","",IF(Tasks[[#This Row],[_IsSummary]],MIN(INDEX(Tasks[_ShownFcstStart],Tasks[[#This Row],[_Row]]+1):INDEX(Tasks[_ShownFcstStart],Tasks[[#This Row],[_Row]]+Tasks[[#This Row],[_Descendants]])),Tasks[[#This Row],[_ShownFcstStart]]))</f>
        <v/>
      </c>
      <c r="AC54" s="25" t="str">
        <f aca="false">IF(Tasks[[#This Row],[Task Name]]="","",IF(Tasks[[#This Row],[_IsSummary]],MAX(INDEX(Tasks[_ShownFcstFinish],Tasks[[#This Row],[_Row]]+1):INDEX(Tasks[_ShownFcstFinish],Tasks[[#This Row],[_Row]]+Tasks[[#This Row],[_Descendants]])),Tasks[[#This Row],[_ShownFcstFinish]]))</f>
        <v/>
      </c>
      <c r="AD5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4" s="25" t="str">
        <f aca="false">IF(Tasks[[#This Row],[Task Name]]="","",IF(Tasks[[#This Row],[_IsSummary]],MIN(INDEX(Tasks[_LeafLateStart],Tasks[[#This Row],[_Row]]+1):INDEX(Tasks[_LeafLateStart],Tasks[[#This Row],[_Row]]+Tasks[[#This Row],[_Descendants]])),Tasks[[#This Row],[_LeafLateStart]]))</f>
        <v/>
      </c>
      <c r="AG54" s="25" t="str">
        <f aca="false">IF(Tasks[[#This Row],[Task Name]]="","",IF(Tasks[[#This Row],[_IsSummary]],MAX(INDEX(Tasks[_LeafLateFinish],Tasks[[#This Row],[_Row]]+1):INDEX(Tasks[_LeafLateFinish],Tasks[[#This Row],[_Row]]+Tasks[[#This Row],[_Descendants]])),Tasks[[#This Row],[_LeafLateFinish]]))</f>
        <v/>
      </c>
      <c r="AH54" s="56" t="str">
        <f aca="false">IF(Tasks[[#This Row],[Task Name]]="","",IF(Tasks[[#This Row],[_IsSummary]],MIN(INDEX(Tasks[_LeafTotalSlack],Tasks[[#This Row],[_Row]]+1):INDEX(Tasks[_LeafTotalSlack],Tasks[[#This Row],[_Row]]+Tasks[[#This Row],[_Descendants]])),Tasks[[#This Row],[_LeafTotalSlack]]))</f>
        <v/>
      </c>
      <c r="AI5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4" s="45" t="str">
        <f aca="false">IF(Tasks[[#This Row],[Task Name]]="","",IF(IF(Tasks[[#This Row],[_IsSummary]],COUNTIF(INDEX(Tasks[_LeafCritical],Tasks[[#This Row],[_Row]]+1):INDEX(Tasks[_LeafCritical],Tasks[[#This Row],[_Row]]+Tasks[[#This Row],[_Descendants]]),TRUE())&gt;0,Tasks[[#This Row],[_LeafCritical]]),"Yes",""))</f>
        <v/>
      </c>
      <c r="AK5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4" s="102"/>
      <c r="AN5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4" s="45" t="str">
        <f aca="false">IF(Tasks[[#This Row],[Task Name]]="","",IF(Tasks[[#This Row],[Progress]]&gt;=1,"Complete",IF(OR(N(Tasks[[#This Row],[Actual Start]])&gt;0,Tasks[[#This Row],[Progress]]&gt;0),IF(Tasks[[#This Row],[Finish Var]]&gt;0,"Behind","In Progress"),IF(Tasks[[#This Row],[Planned Start]]&lt;StatusDate,"Late Start","Not Started"))))</f>
        <v/>
      </c>
      <c r="AP54" s="47"/>
      <c r="AQ54" s="102"/>
      <c r="AR5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4" s="110" t="str">
        <f aca="false">IF(Tasks[[#This Row],[Task Name]]="","",IF(Tasks[[#This Row],[_IsSummary]],SUM(INDEX(Tasks[_LeafTotalWork],Tasks[[#This Row],[_Row]]+1):INDEX(Tasks[_LeafTotalWork],Tasks[[#This Row],[_Row]]+Tasks[[#This Row],[_Descendants]])),Tasks[[#This Row],[_LeafTotalWork]]))</f>
        <v/>
      </c>
      <c r="AU54" s="111" t="str">
        <f aca="false">IF(Tasks[[#This Row],[Task Name]]="","",IF(Tasks[[#This Row],[_IsSummary]],SUM(INDEX(Tasks[_LeafTotalCost],Tasks[[#This Row],[_Row]]+1):INDEX(Tasks[_LeafTotalCost],Tasks[[#This Row],[_Row]]+Tasks[[#This Row],[_Descendants]])),Tasks[[#This Row],[_LeafTotalCost]]))</f>
        <v/>
      </c>
      <c r="AV54" s="112"/>
      <c r="AW54" s="46"/>
      <c r="AX5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4" s="96"/>
      <c r="AZ5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4" s="47"/>
      <c r="BB54" s="25" t="str">
        <f aca="false">IF(Tasks[[#This Row],[Task Name]]="","",Tasks[[#This Row],[Forecast Start]])</f>
        <v/>
      </c>
      <c r="BC54" s="25" t="str">
        <f aca="false">IF(Tasks[[#This Row],[Task Name]]="","",Tasks[[#This Row],[Forecast Finish]])</f>
        <v/>
      </c>
      <c r="BD54" s="45" t="str">
        <f aca="false">IF(Tasks[[#This Row],[Task Name]]="","",IF(Tasks[[#This Row],[_IsSummary]],NETWORKDAYS.INTL(Tasks[[#This Row],[Forecast Start]],Tasks[[#This Row],[Forecast Finish]],WorkWeek,Holidays),N(Tasks[[#This Row],[Duration]])))</f>
        <v/>
      </c>
      <c r="BE54" s="110" t="str">
        <f aca="false">IF(Tasks[[#This Row],[Task Name]]="","",Tasks[[#This Row],[Work]])</f>
        <v/>
      </c>
      <c r="BF54" s="111" t="str">
        <f aca="false">IF(Tasks[[#This Row],[Task Name]]="","",Tasks[[#This Row],[Cost]])</f>
        <v/>
      </c>
      <c r="BG54" s="88"/>
      <c r="BH54" s="88"/>
      <c r="BI54" s="46"/>
      <c r="BJ54" s="113"/>
      <c r="BK54" s="112"/>
      <c r="BL54" s="45" t="str">
        <f aca="false">IF(OR(Tasks[[#This Row],[Task Name]]="",Tasks[[#This Row],[Baseline Duration]]=""),"",Tasks[[#This Row],[BL Source Duration]]-N(Tasks[[#This Row],[Baseline Duration]]))</f>
        <v/>
      </c>
      <c r="BM54" s="110" t="str">
        <f aca="false">IF(OR(Tasks[[#This Row],[Task Name]]="",Tasks[[#This Row],[Baseline Work]]=""),"",Tasks[[#This Row],[Work]]-N(Tasks[[#This Row],[Baseline Work]]))</f>
        <v/>
      </c>
      <c r="BN54" s="111" t="str">
        <f aca="false">IF(OR(Tasks[[#This Row],[Task Name]]="",Tasks[[#This Row],[Baseline Cost]]=""),"",Tasks[[#This Row],[Cost]]-N(Tasks[[#This Row],[Baseline Cost]]))</f>
        <v/>
      </c>
      <c r="BO54" s="111" t="str">
        <f aca="false">IF(Tasks[[#This Row],[Task Name]]="","",IF(Tasks[[#This Row],[_IsSummary]],SUM(INDEX(Tasks[_LeafBudget],Tasks[[#This Row],[_Row]]+1):INDEX(Tasks[_LeafBudget],Tasks[[#This Row],[_Row]]+Tasks[[#This Row],[_Descendants]])),Tasks[[#This Row],[_LeafBudget]]))</f>
        <v/>
      </c>
      <c r="BP54" s="111" t="str">
        <f aca="false">IF(Tasks[[#This Row],[Task Name]]="","",IF(Tasks[[#This Row],[_IsSummary]],SUM(INDEX(Tasks[_LeafPV],Tasks[[#This Row],[_Row]]+1):INDEX(Tasks[_LeafPV],Tasks[[#This Row],[_Row]]+Tasks[[#This Row],[_Descendants]])),Tasks[[#This Row],[_LeafPV]]))</f>
        <v/>
      </c>
      <c r="BQ54" s="111" t="str">
        <f aca="false">IF(Tasks[[#This Row],[Task Name]]="","",IF(Tasks[[#This Row],[_IsSummary]],SUM(INDEX(Tasks[_LeafEV],Tasks[[#This Row],[_Row]]+1):INDEX(Tasks[_LeafEV],Tasks[[#This Row],[_Row]]+Tasks[[#This Row],[_Descendants]])),Tasks[[#This Row],[_LeafEV]]))</f>
        <v/>
      </c>
      <c r="BR54" s="111" t="str">
        <f aca="false">IF(Tasks[[#This Row],[Task Name]]="","",IF(Tasks[[#This Row],[_IsSummary]],SUM(INDEX(Tasks[_LeafAC],Tasks[[#This Row],[_Row]]+1):INDEX(Tasks[_LeafAC],Tasks[[#This Row],[_Row]]+Tasks[[#This Row],[_Descendants]])),Tasks[[#This Row],[_LeafAC]]))</f>
        <v/>
      </c>
      <c r="BS54" s="32" t="str">
        <f aca="false">IF(Tasks[[#This Row],[Task Name]]="","",MAX(1,N(Tasks[[#This Row],[Level]])))</f>
        <v/>
      </c>
      <c r="BT54" s="32" t="n">
        <f aca="false">ROW()-ROW(Tasks[[#Headers],[ID]])</f>
        <v>49</v>
      </c>
      <c r="BU54" s="32" t="n">
        <f aca="false">IF(OR(Tasks[[#This Row],[Task Name]]="",Tasks[[#This Row],[_Level]]&lt;=1),0,IFERROR(LOOKUP(2,1/(Tasks[[#Headers],[_Level]]:Tasks[[#This Row],[_Level]]=Tasks[[#This Row],[_Level]]-1),ROW(Tasks[[#Headers],[_Level]]:Tasks[[#This Row],[_Level]])),0))</f>
        <v>0</v>
      </c>
      <c r="BV54" s="32" t="n">
        <f aca="false">IFERROR(N(INDEX(Tasks[_Level],Tasks[[#This Row],[_Row]]+1)),0)</f>
        <v>0</v>
      </c>
      <c r="BW54" s="114" t="b">
        <f aca="false">AND(Tasks[[#This Row],[Task Name]]&lt;&gt;"",Tasks[[#This Row],[_NextLevel]]&gt;Tasks[[#This Row],[_Level]])</f>
        <v>0</v>
      </c>
      <c r="BX54" s="32" t="n">
        <f aca="false">IF(Tasks[[#This Row],[_IsSummary]],COUNTIF(Tasks[WBS],Tasks[[#This Row],[WBS]]&amp;".*"),0)</f>
        <v>0</v>
      </c>
      <c r="BY54" s="32" t="n">
        <f aca="false">IF(AND(Tasks[[#This Row],[Task Name]]&lt;&gt;"",NOT(Tasks[[#This Row],[_IsSummary]])),1,0)</f>
        <v>0</v>
      </c>
      <c r="BZ54" s="32" t="n">
        <f aca="false">IF(N(Tasks[[#This Row],[Pred1 UID]])=0,0,IFERROR(MATCH(Tasks[[#This Row],[Pred1 UID]],Tasks[UID],0),-1))</f>
        <v>0</v>
      </c>
      <c r="CA54" s="32" t="n">
        <f aca="false">IF(N(Tasks[[#This Row],[Pred2 UID]])=0,0,IFERROR(MATCH(Tasks[[#This Row],[Pred2 UID]],Tasks[UID],0),-1))</f>
        <v>0</v>
      </c>
      <c r="CB54" s="32" t="n">
        <f aca="false">IF(N(Tasks[[#This Row],[Pred3 UID]])=0,0,IFERROR(MATCH(Tasks[[#This Row],[Pred3 UID]],Tasks[UID],0),-1))</f>
        <v>0</v>
      </c>
      <c r="CC54" s="32" t="n">
        <f aca="false">IF(N(Tasks[[#This Row],[Pred4 UID]])=0,0,IFERROR(MATCH(Tasks[[#This Row],[Pred4 UID]],Tasks[UID],0),-1))</f>
        <v>0</v>
      </c>
      <c r="CD5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4" s="115" t="n">
        <f aca="false">IF(OR(Tasks[[#This Row],[_ConstraintCode]]=2,Tasks[[#This Row],[_ConstraintCode]]=3,Tasks[[#This Row],[_ConstraintCode]]=4,Tasks[[#This Row],[_ConstraintCode]]=6),Tasks[[#This Row],[_ConstraintStart]],0)</f>
        <v>0</v>
      </c>
      <c r="CG54" s="115" t="n">
        <f aca="false">IF(OR(Tasks[[#This Row],[_ConstraintCode]]=2,Tasks[[#This Row],[_ConstraintCode]]=3,Tasks[[#This Row],[_ConstraintCode]]=5,Tasks[[#This Row],[_ConstraintCode]]=7),Tasks[[#This Row],[_ConstraintStart]],2958465)</f>
        <v>2958465</v>
      </c>
      <c r="CH5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4" s="115" t="str">
        <f aca="false">IF(NOT(Tasks[[#This Row],[_IsLeaf]]=1),"",IF(N(Tasks[[#This Row],[Duration]])&lt;=0,Tasks[[#This Row],[_LeafCalcStart]],WORKDAY.INTL(Tasks[[#This Row],[_LeafCalcStart]],Tasks[[#This Row],[Duration]]-1,WorkWeek,Holidays)))</f>
        <v/>
      </c>
      <c r="CJ5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4" s="32" t="n">
        <f aca="false">IF(NOT(Tasks[[#This Row],[_IsLeaf]]=1),0,IF(N(Tasks[[#This Row],[Actual Finish]])&gt;0,1,MIN(1,N(Tasks[[#This Row],[% Complete]]))))</f>
        <v>0</v>
      </c>
      <c r="CM54" s="32" t="n">
        <f aca="false">IF(OR(NOT(Tasks[[#This Row],[_IsLeaf]]=1),Tasks[[#This Row],[Resource]]=""),0,N(Tasks[[#This Row],[Duration]])*HoursPerDay*IF(Tasks[[#This Row],[Units]]="",DefaultUnits,Tasks[[#This Row],[Units]]))</f>
        <v>0</v>
      </c>
      <c r="CN54" s="32" t="n">
        <f aca="false">IF(Tasks[[#This Row],[_LeafWork]]=0,0,Tasks[[#This Row],[_LeafWork]]*IFERROR(INDEX(res_Rate,MATCH(Tasks[[#This Row],[Resource]],res_Name,0)),0))</f>
        <v>0</v>
      </c>
      <c r="CO54" s="32" t="n">
        <f aca="false">Tasks[[#This Row],[_LeafWork]]+IF(Tasks[[#This Row],[_IsLeaf]]=1,SUMIFS(asg_Work,asg_TaskUID,Tasks[[#This Row],[UID]],asg_Valid,1),0)</f>
        <v>0</v>
      </c>
      <c r="CP54" s="32" t="n">
        <f aca="false">Tasks[[#This Row],[_LeafCost]]+IF(Tasks[[#This Row],[_IsLeaf]]=1,SUMIFS(asg_Cost,asg_TaskUID,Tasks[[#This Row],[UID]],asg_Valid,1),0)</f>
        <v>0</v>
      </c>
      <c r="CQ54" s="32" t="n">
        <f aca="false">IF(Tasks[[#This Row],[_LeafTotalCost]]=0,Tasks[[#This Row],[_LeafAC]],Tasks[[#This Row],[_LeafAC]]*Tasks[[#This Row],[_LeafCost]]/Tasks[[#This Row],[_LeafTotalCost]])</f>
        <v>0</v>
      </c>
      <c r="CR5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4" s="32" t="n">
        <f aca="false">IF(NOT(Tasks[[#This Row],[_IsLeaf]]=1),0,MAX(_xlfn.MAXIFS(Tasks[_Row],Tasks[Pred1 UID],Tasks[[#This Row],[UID]]),_xlfn.MAXIFS(Tasks[_Row],Tasks[Pred2 UID],Tasks[[#This Row],[UID]]),_xlfn.MAXIFS(Tasks[_Row],Tasks[Pred3 UID],Tasks[[#This Row],[UID]]),_xlfn.MAXIFS(Tasks[_Row],Tasks[Pred4 UID],Tasks[[#This Row],[UID]])))</f>
        <v>0</v>
      </c>
      <c r="DA5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4" s="115" t="str">
        <f aca="false">IF(NOT(Tasks[[#This Row],[_IsLeaf]]=1),"",IF(N(Tasks[[#This Row],[Duration]])&lt;=0,Tasks[[#This Row],[_LeafLateFinish]],WORKDAY.INTL(Tasks[[#This Row],[_LeafLateFinish]],-(Tasks[[#This Row],[Duration]]-1),WorkWeek,Holidays)))</f>
        <v/>
      </c>
      <c r="DD5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4" s="114" t="b">
        <f aca="false">AND(Tasks[[#This Row],[_IsLeaf]]=1,Tasks[[#This Row],[_LeafProgress]]&lt;1,N(Tasks[[#This Row],[_LeafTotalSlack]])&lt;=CriticalSlackDays)</f>
        <v>0</v>
      </c>
      <c r="DF54" s="32" t="n">
        <f aca="false">IF(AND(Tasks[[#This Row],[_IsLeaf]]=1,Tasks[[#This Row],[_ConstraintCode]]=1,Tasks[[#This Row],[Mode]]&lt;&gt;"Manual",N(Tasks[[#This Row],[Actual Start]])=0),MAX(0,N(Tasks[[#This Row],[Free Slack]])),0)</f>
        <v>0</v>
      </c>
      <c r="DG54" s="115" t="str">
        <f aca="false">IF(NOT(Tasks[[#This Row],[_IsLeaf]]=1),"",IF(Tasks[[#This Row],[_AlapShift]]=0,Tasks[[#This Row],[_LeafCalcStart]],WORKDAY.INTL(Tasks[[#This Row],[_LeafCalcStart]],Tasks[[#This Row],[_AlapShift]],WorkWeek,Holidays)))</f>
        <v/>
      </c>
      <c r="DH54" s="115" t="str">
        <f aca="false">IF(NOT(Tasks[[#This Row],[_IsLeaf]]=1),"",IF(Tasks[[#This Row],[_AlapShift]]=0,Tasks[[#This Row],[_LeafCalcFinish]],WORKDAY.INTL(Tasks[[#This Row],[_LeafCalcFinish]],Tasks[[#This Row],[_AlapShift]],WorkWeek,Holidays)))</f>
        <v/>
      </c>
      <c r="DI54" s="115" t="str">
        <f aca="false">IF(NOT(Tasks[[#This Row],[_IsLeaf]]=1),"",IF(Tasks[[#This Row],[_AlapShift]]=0,Tasks[[#This Row],[_LeafFcstStart]],WORKDAY.INTL(Tasks[[#This Row],[_LeafFcstStart]],Tasks[[#This Row],[_AlapShift]],WorkWeek,Holidays)))</f>
        <v/>
      </c>
      <c r="DJ54" s="115" t="str">
        <f aca="false">IF(NOT(Tasks[[#This Row],[_IsLeaf]]=1),"",IF(Tasks[[#This Row],[_AlapShift]]=0,Tasks[[#This Row],[_LeafFcstFinish]],WORKDAY.INTL(Tasks[[#This Row],[_LeafFcstFinish]],Tasks[[#This Row],[_AlapShift]],WorkWeek,Holidays)))</f>
        <v/>
      </c>
      <c r="DK54" s="115" t="str">
        <f aca="false">IF(Tasks[[#This Row],[Task Name]]="","",IF(Tasks[[#This Row],[_IsSummary]],MIN(INDEX(Tasks[_ShownCalcStart],Tasks[[#This Row],[_Row]]+1):INDEX(Tasks[_ShownCalcStart],Tasks[[#This Row],[_Row]]+Tasks[[#This Row],[_Descendants]])),Tasks[[#This Row],[_ShownCalcStart]]))</f>
        <v/>
      </c>
      <c r="DL54" s="115" t="str">
        <f aca="false">IF(Tasks[[#This Row],[Task Name]]="","",IF(Tasks[[#This Row],[_IsSummary]],MAX(INDEX(Tasks[_ShownCalcFinish],Tasks[[#This Row],[_Row]]+1):INDEX(Tasks[_ShownCalcFinish],Tasks[[#This Row],[_Row]]+Tasks[[#This Row],[_Descendants]])),Tasks[[#This Row],[_ShownCalcFinish]]))</f>
        <v/>
      </c>
      <c r="DM5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4" s="32" t="n">
        <f aca="false">IF(AND(Tasks[[#This Row],[_IsLeaf]]=1,Tasks[[#This Row],[_LeafTotalWork]]&gt;0),NETWORKDAYS.INTL(ProjectStart,Tasks[[#This Row],[_ShownFcstStart]],WorkWeek,Holidays),0)</f>
        <v>0</v>
      </c>
      <c r="DZ54" s="32" t="n">
        <f aca="false">IF(AND(Tasks[[#This Row],[_IsLeaf]]=1,Tasks[[#This Row],[_LeafTotalWork]]&gt;0),MAX(Tasks[[#This Row],[_StartWorkday]],NETWORKDAYS.INTL(ProjectStart,Tasks[[#This Row],[_ShownFcstFinish]],WorkWeek,Holidays)),0)</f>
        <v>0</v>
      </c>
      <c r="EA54" s="32" t="n">
        <f aca="false">IF(AND(Tasks[[#This Row],[_IsLeaf]]=1,Tasks[[#This Row],[_LeafTotalWork]]&gt;0),Tasks[[#This Row],[_LeafWork]]/(Tasks[[#This Row],[_FinishWorkday]]-Tasks[[#This Row],[_StartWorkday]]+1),0)</f>
        <v>0</v>
      </c>
      <c r="EB54" s="32" t="n">
        <f aca="false">Tasks[[#This Row],[_WorkPerWorkday]]*(Tasks[[#This Row],[_StartWorkday]]-1)</f>
        <v>-0</v>
      </c>
      <c r="EC54" s="32" t="n">
        <f aca="false">IF(Tasks[[#This Row],[_IsLeaf]]=1,MAX(N(Tasks[[#This Row],[Duration]]),0.1),0)</f>
        <v>0</v>
      </c>
      <c r="ED54" s="32" t="n">
        <f aca="false">Tasks[[#This Row],[_WeightDur]]*Tasks[[#This Row],[_LeafProgress]]</f>
        <v>0</v>
      </c>
      <c r="EE5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4" s="32" t="str">
        <f aca="false">IF(AND(Tasks[[#This Row],[_IsLeaf]]=1,N(Tasks[[#This Row],[Duration]])=0,Tasks[[#This Row],[_LeafProgress]]&lt;1),Tasks[[#This Row],[_ShownFcstFinish]]+Tasks[[#This Row],[_Row]]/100000,"")</f>
        <v/>
      </c>
      <c r="EG5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4" s="32" t="n">
        <f aca="false">IF(NOT(Tasks[[#This Row],[_IsLeaf]]=1),0,IF(Tasks[[#This Row],[Baseline Cost]]="",Tasks[[#This Row],[_LeafTotalCost]],N(Tasks[[#This Row],[Baseline Cost]])))</f>
        <v>0</v>
      </c>
      <c r="EI54" s="32" t="n">
        <f aca="false">Tasks[[#This Row],[_LeafBudget]]*Tasks[[#This Row],[_PlannedPct]]</f>
        <v>0</v>
      </c>
      <c r="EJ54" s="32" t="n">
        <f aca="false">Tasks[[#This Row],[_LeafBudget]]*Tasks[[#This Row],[_LeafProgress]]</f>
        <v>0</v>
      </c>
      <c r="EK54" s="32" t="n">
        <f aca="false">IF(NOT(Tasks[[#This Row],[_IsLeaf]]=1),0,IF(Tasks[[#This Row],[Actual Cost]]="",Tasks[[#This Row],[_LeafTotalCost]]*Tasks[[#This Row],[_LeafProgress]],N(Tasks[[#This Row],[Actual Cost]])))</f>
        <v>0</v>
      </c>
      <c r="EL54" s="32" t="str">
        <f aca="false">IF(Tasks[[#This Row],[Task Name]]="","",LEFT(Tasks[[#This Row],[WBS]],FIND(".",Tasks[[#This Row],[WBS]]&amp;".")-1))</f>
        <v/>
      </c>
      <c r="EM54" s="32" t="str">
        <f aca="false">IF(AND(Tasks[[#This Row],[Task Name]]&lt;&gt;"",Tasks[[#This Row],[_Level]]=1),Tasks[[#This Row],[_Row]],"")</f>
        <v/>
      </c>
      <c r="EN54" s="32" t="str">
        <f aca="false">IF(AND(Tasks[[#This Row],[_IsLeaf]]=1,N(Tasks[[#This Row],[Duration]])=0),Tasks[[#This Row],[Planned Finish]]+Tasks[[#This Row],[_Row]]/100000,"")</f>
        <v/>
      </c>
      <c r="EO54" s="32" t="str">
        <f aca="false">IF(AND(Tasks[[#This Row],[_IsLeaf]]=1,Tasks[[#This Row],[_LeafProgress]]&lt;1,OR(N(Tasks[[#This Row],[Finish Var]])&gt;0,Tasks[[#This Row],[Status]]="Late Start")),MAX(0,Tasks[[#This Row],[Finish Var]])+1-Tasks[[#This Row],[_Row]]/1000000,"")</f>
        <v/>
      </c>
      <c r="EP54" s="32" t="str">
        <f aca="false">IF(AND(Tasks[[#This Row],[_IsLeaf]]=1,N(Tasks[[#This Row],[Actual Start]])=0,Tasks[[#This Row],[_ShownFcstStart]]&gt;=StatusDate,Tasks[[#This Row],[_ShownFcstStart]]&lt;=LookaheadEnd),Tasks[[#This Row],[_ShownFcstStart]]+Tasks[[#This Row],[_Row]]/100000,"")</f>
        <v/>
      </c>
      <c r="EQ54" s="32" t="str">
        <f aca="false">IF(AND(Tasks[[#This Row],[_IsLeaf]]=1,Tasks[[#This Row],[_LeafProgress]]&lt;1,Tasks[[#This Row],[_ShownFcstFinish]]&gt;=StatusDate,Tasks[[#This Row],[_ShownFcstFinish]]&lt;=LookaheadEnd),Tasks[[#This Row],[_ShownFcstFinish]]+Tasks[[#This Row],[_Row]]/100000,"")</f>
        <v/>
      </c>
      <c r="ER54" s="32" t="str">
        <f aca="false">IF(Tasks[[#This Row],[_LeafCritical]],Tasks[[#This Row],[_ShownFcstStart]]+Tasks[[#This Row],[_Row]]/100000,"")</f>
        <v/>
      </c>
      <c r="ES54" s="32" t="n">
        <f aca="false">Tasks[[#This Row],[_LeafWork]]*Tasks[[#This Row],[_LeafProgress]]</f>
        <v>0</v>
      </c>
      <c r="ET54" s="115" t="str">
        <f aca="false">IF(AND(Tasks[[#This Row],[_IsLeaf]]=1,Tasks[[#This Row],[_LeafProgress]]&gt;=1),IF(N(Tasks[[#This Row],[Actual Finish]])&gt;0,Tasks[[#This Row],[Actual Finish]],Tasks[[#This Row],[_ShownFcstFinish]]),"")</f>
        <v/>
      </c>
      <c r="EU54" s="32" t="n">
        <f aca="false">IF(Tasks[[#This Row],[_IsLeaf]]=1,N(Tasks[[#This Row],[Story Points]]),0)</f>
        <v>0</v>
      </c>
      <c r="EV54" s="32" t="str">
        <f aca="false">IF(AND(Tasks[[#This Row],[_IsLeaf]]=1,CurrentSprint&lt;&gt;"",Tasks[[#This Row],[Sprint]]=CurrentSprint),Tasks[[#This Row],[_Row]],"")</f>
        <v/>
      </c>
    </row>
    <row r="55" customFormat="false" ht="15" hidden="false" customHeight="false" outlineLevel="0" collapsed="false">
      <c r="A55" s="45" t="str">
        <f aca="false">IF(Tasks[[#This Row],[Task Name]]="","",COUNTA(Tasks[[#Headers],[Task Name]]:Tasks[[#This Row],[Task Name]])-1)</f>
        <v/>
      </c>
      <c r="B55" s="46" t="n">
        <v>50</v>
      </c>
      <c r="C5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5" s="46"/>
      <c r="E55" s="45" t="str">
        <f aca="false">IF(Tasks[[#This Row],[Task Name]]="","",IF(Tasks[[#This Row],[_Level]]&lt;=OutlineShowLevel,"Yes","No"))</f>
        <v/>
      </c>
      <c r="F55" s="47"/>
      <c r="G55" s="46"/>
      <c r="H55" s="46"/>
      <c r="I55" s="46"/>
      <c r="J55" s="46"/>
      <c r="K55" s="46"/>
      <c r="L55" s="46"/>
      <c r="M55" s="46"/>
      <c r="N55" s="46"/>
      <c r="O55" s="46"/>
      <c r="P55" s="46"/>
      <c r="Q55" s="46"/>
      <c r="R55" s="46"/>
      <c r="S55" s="46"/>
      <c r="T55" s="46"/>
      <c r="U55" s="47"/>
      <c r="V55" s="88"/>
      <c r="W55" s="88"/>
      <c r="X55" s="25" t="str">
        <f aca="false">IF(Tasks[[#This Row],[Task Name]]="","",IF(N(Tasks[[#This Row],[Baseline Start]])&gt;0,Tasks[[#This Row],[Baseline Start]],Tasks[[#This Row],[_CalcStart]]))</f>
        <v/>
      </c>
      <c r="Y55" s="25" t="str">
        <f aca="false">IF(Tasks[[#This Row],[Task Name]]="","",IF(N(Tasks[[#This Row],[Baseline Finish]])&gt;0,Tasks[[#This Row],[Baseline Finish]],Tasks[[#This Row],[_CalcFinish]]))</f>
        <v/>
      </c>
      <c r="Z55" s="88"/>
      <c r="AA55" s="88"/>
      <c r="AB55" s="25" t="str">
        <f aca="false">IF(Tasks[[#This Row],[Task Name]]="","",IF(Tasks[[#This Row],[_IsSummary]],MIN(INDEX(Tasks[_ShownFcstStart],Tasks[[#This Row],[_Row]]+1):INDEX(Tasks[_ShownFcstStart],Tasks[[#This Row],[_Row]]+Tasks[[#This Row],[_Descendants]])),Tasks[[#This Row],[_ShownFcstStart]]))</f>
        <v/>
      </c>
      <c r="AC55" s="25" t="str">
        <f aca="false">IF(Tasks[[#This Row],[Task Name]]="","",IF(Tasks[[#This Row],[_IsSummary]],MAX(INDEX(Tasks[_ShownFcstFinish],Tasks[[#This Row],[_Row]]+1):INDEX(Tasks[_ShownFcstFinish],Tasks[[#This Row],[_Row]]+Tasks[[#This Row],[_Descendants]])),Tasks[[#This Row],[_ShownFcstFinish]]))</f>
        <v/>
      </c>
      <c r="AD5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5" s="25" t="str">
        <f aca="false">IF(Tasks[[#This Row],[Task Name]]="","",IF(Tasks[[#This Row],[_IsSummary]],MIN(INDEX(Tasks[_LeafLateStart],Tasks[[#This Row],[_Row]]+1):INDEX(Tasks[_LeafLateStart],Tasks[[#This Row],[_Row]]+Tasks[[#This Row],[_Descendants]])),Tasks[[#This Row],[_LeafLateStart]]))</f>
        <v/>
      </c>
      <c r="AG55" s="25" t="str">
        <f aca="false">IF(Tasks[[#This Row],[Task Name]]="","",IF(Tasks[[#This Row],[_IsSummary]],MAX(INDEX(Tasks[_LeafLateFinish],Tasks[[#This Row],[_Row]]+1):INDEX(Tasks[_LeafLateFinish],Tasks[[#This Row],[_Row]]+Tasks[[#This Row],[_Descendants]])),Tasks[[#This Row],[_LeafLateFinish]]))</f>
        <v/>
      </c>
      <c r="AH55" s="56" t="str">
        <f aca="false">IF(Tasks[[#This Row],[Task Name]]="","",IF(Tasks[[#This Row],[_IsSummary]],MIN(INDEX(Tasks[_LeafTotalSlack],Tasks[[#This Row],[_Row]]+1):INDEX(Tasks[_LeafTotalSlack],Tasks[[#This Row],[_Row]]+Tasks[[#This Row],[_Descendants]])),Tasks[[#This Row],[_LeafTotalSlack]]))</f>
        <v/>
      </c>
      <c r="AI5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5" s="45" t="str">
        <f aca="false">IF(Tasks[[#This Row],[Task Name]]="","",IF(IF(Tasks[[#This Row],[_IsSummary]],COUNTIF(INDEX(Tasks[_LeafCritical],Tasks[[#This Row],[_Row]]+1):INDEX(Tasks[_LeafCritical],Tasks[[#This Row],[_Row]]+Tasks[[#This Row],[_Descendants]]),TRUE())&gt;0,Tasks[[#This Row],[_LeafCritical]]),"Yes",""))</f>
        <v/>
      </c>
      <c r="AK5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5" s="102"/>
      <c r="AN5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5" s="45" t="str">
        <f aca="false">IF(Tasks[[#This Row],[Task Name]]="","",IF(Tasks[[#This Row],[Progress]]&gt;=1,"Complete",IF(OR(N(Tasks[[#This Row],[Actual Start]])&gt;0,Tasks[[#This Row],[Progress]]&gt;0),IF(Tasks[[#This Row],[Finish Var]]&gt;0,"Behind","In Progress"),IF(Tasks[[#This Row],[Planned Start]]&lt;StatusDate,"Late Start","Not Started"))))</f>
        <v/>
      </c>
      <c r="AP55" s="47"/>
      <c r="AQ55" s="102"/>
      <c r="AR5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5" s="110" t="str">
        <f aca="false">IF(Tasks[[#This Row],[Task Name]]="","",IF(Tasks[[#This Row],[_IsSummary]],SUM(INDEX(Tasks[_LeafTotalWork],Tasks[[#This Row],[_Row]]+1):INDEX(Tasks[_LeafTotalWork],Tasks[[#This Row],[_Row]]+Tasks[[#This Row],[_Descendants]])),Tasks[[#This Row],[_LeafTotalWork]]))</f>
        <v/>
      </c>
      <c r="AU55" s="111" t="str">
        <f aca="false">IF(Tasks[[#This Row],[Task Name]]="","",IF(Tasks[[#This Row],[_IsSummary]],SUM(INDEX(Tasks[_LeafTotalCost],Tasks[[#This Row],[_Row]]+1):INDEX(Tasks[_LeafTotalCost],Tasks[[#This Row],[_Row]]+Tasks[[#This Row],[_Descendants]])),Tasks[[#This Row],[_LeafTotalCost]]))</f>
        <v/>
      </c>
      <c r="AV55" s="112"/>
      <c r="AW55" s="46"/>
      <c r="AX5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5" s="96"/>
      <c r="AZ5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5" s="47"/>
      <c r="BB55" s="25" t="str">
        <f aca="false">IF(Tasks[[#This Row],[Task Name]]="","",Tasks[[#This Row],[Forecast Start]])</f>
        <v/>
      </c>
      <c r="BC55" s="25" t="str">
        <f aca="false">IF(Tasks[[#This Row],[Task Name]]="","",Tasks[[#This Row],[Forecast Finish]])</f>
        <v/>
      </c>
      <c r="BD55" s="45" t="str">
        <f aca="false">IF(Tasks[[#This Row],[Task Name]]="","",IF(Tasks[[#This Row],[_IsSummary]],NETWORKDAYS.INTL(Tasks[[#This Row],[Forecast Start]],Tasks[[#This Row],[Forecast Finish]],WorkWeek,Holidays),N(Tasks[[#This Row],[Duration]])))</f>
        <v/>
      </c>
      <c r="BE55" s="110" t="str">
        <f aca="false">IF(Tasks[[#This Row],[Task Name]]="","",Tasks[[#This Row],[Work]])</f>
        <v/>
      </c>
      <c r="BF55" s="111" t="str">
        <f aca="false">IF(Tasks[[#This Row],[Task Name]]="","",Tasks[[#This Row],[Cost]])</f>
        <v/>
      </c>
      <c r="BG55" s="88"/>
      <c r="BH55" s="88"/>
      <c r="BI55" s="46"/>
      <c r="BJ55" s="113"/>
      <c r="BK55" s="112"/>
      <c r="BL55" s="45" t="str">
        <f aca="false">IF(OR(Tasks[[#This Row],[Task Name]]="",Tasks[[#This Row],[Baseline Duration]]=""),"",Tasks[[#This Row],[BL Source Duration]]-N(Tasks[[#This Row],[Baseline Duration]]))</f>
        <v/>
      </c>
      <c r="BM55" s="110" t="str">
        <f aca="false">IF(OR(Tasks[[#This Row],[Task Name]]="",Tasks[[#This Row],[Baseline Work]]=""),"",Tasks[[#This Row],[Work]]-N(Tasks[[#This Row],[Baseline Work]]))</f>
        <v/>
      </c>
      <c r="BN55" s="111" t="str">
        <f aca="false">IF(OR(Tasks[[#This Row],[Task Name]]="",Tasks[[#This Row],[Baseline Cost]]=""),"",Tasks[[#This Row],[Cost]]-N(Tasks[[#This Row],[Baseline Cost]]))</f>
        <v/>
      </c>
      <c r="BO55" s="111" t="str">
        <f aca="false">IF(Tasks[[#This Row],[Task Name]]="","",IF(Tasks[[#This Row],[_IsSummary]],SUM(INDEX(Tasks[_LeafBudget],Tasks[[#This Row],[_Row]]+1):INDEX(Tasks[_LeafBudget],Tasks[[#This Row],[_Row]]+Tasks[[#This Row],[_Descendants]])),Tasks[[#This Row],[_LeafBudget]]))</f>
        <v/>
      </c>
      <c r="BP55" s="111" t="str">
        <f aca="false">IF(Tasks[[#This Row],[Task Name]]="","",IF(Tasks[[#This Row],[_IsSummary]],SUM(INDEX(Tasks[_LeafPV],Tasks[[#This Row],[_Row]]+1):INDEX(Tasks[_LeafPV],Tasks[[#This Row],[_Row]]+Tasks[[#This Row],[_Descendants]])),Tasks[[#This Row],[_LeafPV]]))</f>
        <v/>
      </c>
      <c r="BQ55" s="111" t="str">
        <f aca="false">IF(Tasks[[#This Row],[Task Name]]="","",IF(Tasks[[#This Row],[_IsSummary]],SUM(INDEX(Tasks[_LeafEV],Tasks[[#This Row],[_Row]]+1):INDEX(Tasks[_LeafEV],Tasks[[#This Row],[_Row]]+Tasks[[#This Row],[_Descendants]])),Tasks[[#This Row],[_LeafEV]]))</f>
        <v/>
      </c>
      <c r="BR55" s="111" t="str">
        <f aca="false">IF(Tasks[[#This Row],[Task Name]]="","",IF(Tasks[[#This Row],[_IsSummary]],SUM(INDEX(Tasks[_LeafAC],Tasks[[#This Row],[_Row]]+1):INDEX(Tasks[_LeafAC],Tasks[[#This Row],[_Row]]+Tasks[[#This Row],[_Descendants]])),Tasks[[#This Row],[_LeafAC]]))</f>
        <v/>
      </c>
      <c r="BS55" s="32" t="str">
        <f aca="false">IF(Tasks[[#This Row],[Task Name]]="","",MAX(1,N(Tasks[[#This Row],[Level]])))</f>
        <v/>
      </c>
      <c r="BT55" s="32" t="n">
        <f aca="false">ROW()-ROW(Tasks[[#Headers],[ID]])</f>
        <v>50</v>
      </c>
      <c r="BU55" s="32" t="n">
        <f aca="false">IF(OR(Tasks[[#This Row],[Task Name]]="",Tasks[[#This Row],[_Level]]&lt;=1),0,IFERROR(LOOKUP(2,1/(Tasks[[#Headers],[_Level]]:Tasks[[#This Row],[_Level]]=Tasks[[#This Row],[_Level]]-1),ROW(Tasks[[#Headers],[_Level]]:Tasks[[#This Row],[_Level]])),0))</f>
        <v>0</v>
      </c>
      <c r="BV55" s="32" t="n">
        <f aca="false">IFERROR(N(INDEX(Tasks[_Level],Tasks[[#This Row],[_Row]]+1)),0)</f>
        <v>0</v>
      </c>
      <c r="BW55" s="114" t="b">
        <f aca="false">AND(Tasks[[#This Row],[Task Name]]&lt;&gt;"",Tasks[[#This Row],[_NextLevel]]&gt;Tasks[[#This Row],[_Level]])</f>
        <v>0</v>
      </c>
      <c r="BX55" s="32" t="n">
        <f aca="false">IF(Tasks[[#This Row],[_IsSummary]],COUNTIF(Tasks[WBS],Tasks[[#This Row],[WBS]]&amp;".*"),0)</f>
        <v>0</v>
      </c>
      <c r="BY55" s="32" t="n">
        <f aca="false">IF(AND(Tasks[[#This Row],[Task Name]]&lt;&gt;"",NOT(Tasks[[#This Row],[_IsSummary]])),1,0)</f>
        <v>0</v>
      </c>
      <c r="BZ55" s="32" t="n">
        <f aca="false">IF(N(Tasks[[#This Row],[Pred1 UID]])=0,0,IFERROR(MATCH(Tasks[[#This Row],[Pred1 UID]],Tasks[UID],0),-1))</f>
        <v>0</v>
      </c>
      <c r="CA55" s="32" t="n">
        <f aca="false">IF(N(Tasks[[#This Row],[Pred2 UID]])=0,0,IFERROR(MATCH(Tasks[[#This Row],[Pred2 UID]],Tasks[UID],0),-1))</f>
        <v>0</v>
      </c>
      <c r="CB55" s="32" t="n">
        <f aca="false">IF(N(Tasks[[#This Row],[Pred3 UID]])=0,0,IFERROR(MATCH(Tasks[[#This Row],[Pred3 UID]],Tasks[UID],0),-1))</f>
        <v>0</v>
      </c>
      <c r="CC55" s="32" t="n">
        <f aca="false">IF(N(Tasks[[#This Row],[Pred4 UID]])=0,0,IFERROR(MATCH(Tasks[[#This Row],[Pred4 UID]],Tasks[UID],0),-1))</f>
        <v>0</v>
      </c>
      <c r="CD5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5" s="115" t="n">
        <f aca="false">IF(OR(Tasks[[#This Row],[_ConstraintCode]]=2,Tasks[[#This Row],[_ConstraintCode]]=3,Tasks[[#This Row],[_ConstraintCode]]=4,Tasks[[#This Row],[_ConstraintCode]]=6),Tasks[[#This Row],[_ConstraintStart]],0)</f>
        <v>0</v>
      </c>
      <c r="CG55" s="115" t="n">
        <f aca="false">IF(OR(Tasks[[#This Row],[_ConstraintCode]]=2,Tasks[[#This Row],[_ConstraintCode]]=3,Tasks[[#This Row],[_ConstraintCode]]=5,Tasks[[#This Row],[_ConstraintCode]]=7),Tasks[[#This Row],[_ConstraintStart]],2958465)</f>
        <v>2958465</v>
      </c>
      <c r="CH5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5" s="115" t="str">
        <f aca="false">IF(NOT(Tasks[[#This Row],[_IsLeaf]]=1),"",IF(N(Tasks[[#This Row],[Duration]])&lt;=0,Tasks[[#This Row],[_LeafCalcStart]],WORKDAY.INTL(Tasks[[#This Row],[_LeafCalcStart]],Tasks[[#This Row],[Duration]]-1,WorkWeek,Holidays)))</f>
        <v/>
      </c>
      <c r="CJ5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5" s="32" t="n">
        <f aca="false">IF(NOT(Tasks[[#This Row],[_IsLeaf]]=1),0,IF(N(Tasks[[#This Row],[Actual Finish]])&gt;0,1,MIN(1,N(Tasks[[#This Row],[% Complete]]))))</f>
        <v>0</v>
      </c>
      <c r="CM55" s="32" t="n">
        <f aca="false">IF(OR(NOT(Tasks[[#This Row],[_IsLeaf]]=1),Tasks[[#This Row],[Resource]]=""),0,N(Tasks[[#This Row],[Duration]])*HoursPerDay*IF(Tasks[[#This Row],[Units]]="",DefaultUnits,Tasks[[#This Row],[Units]]))</f>
        <v>0</v>
      </c>
      <c r="CN55" s="32" t="n">
        <f aca="false">IF(Tasks[[#This Row],[_LeafWork]]=0,0,Tasks[[#This Row],[_LeafWork]]*IFERROR(INDEX(res_Rate,MATCH(Tasks[[#This Row],[Resource]],res_Name,0)),0))</f>
        <v>0</v>
      </c>
      <c r="CO55" s="32" t="n">
        <f aca="false">Tasks[[#This Row],[_LeafWork]]+IF(Tasks[[#This Row],[_IsLeaf]]=1,SUMIFS(asg_Work,asg_TaskUID,Tasks[[#This Row],[UID]],asg_Valid,1),0)</f>
        <v>0</v>
      </c>
      <c r="CP55" s="32" t="n">
        <f aca="false">Tasks[[#This Row],[_LeafCost]]+IF(Tasks[[#This Row],[_IsLeaf]]=1,SUMIFS(asg_Cost,asg_TaskUID,Tasks[[#This Row],[UID]],asg_Valid,1),0)</f>
        <v>0</v>
      </c>
      <c r="CQ55" s="32" t="n">
        <f aca="false">IF(Tasks[[#This Row],[_LeafTotalCost]]=0,Tasks[[#This Row],[_LeafAC]],Tasks[[#This Row],[_LeafAC]]*Tasks[[#This Row],[_LeafCost]]/Tasks[[#This Row],[_LeafTotalCost]])</f>
        <v>0</v>
      </c>
      <c r="CR5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5" s="32" t="n">
        <f aca="false">IF(NOT(Tasks[[#This Row],[_IsLeaf]]=1),0,MAX(_xlfn.MAXIFS(Tasks[_Row],Tasks[Pred1 UID],Tasks[[#This Row],[UID]]),_xlfn.MAXIFS(Tasks[_Row],Tasks[Pred2 UID],Tasks[[#This Row],[UID]]),_xlfn.MAXIFS(Tasks[_Row],Tasks[Pred3 UID],Tasks[[#This Row],[UID]]),_xlfn.MAXIFS(Tasks[_Row],Tasks[Pred4 UID],Tasks[[#This Row],[UID]])))</f>
        <v>0</v>
      </c>
      <c r="DA5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5" s="115" t="str">
        <f aca="false">IF(NOT(Tasks[[#This Row],[_IsLeaf]]=1),"",IF(N(Tasks[[#This Row],[Duration]])&lt;=0,Tasks[[#This Row],[_LeafLateFinish]],WORKDAY.INTL(Tasks[[#This Row],[_LeafLateFinish]],-(Tasks[[#This Row],[Duration]]-1),WorkWeek,Holidays)))</f>
        <v/>
      </c>
      <c r="DD5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5" s="114" t="b">
        <f aca="false">AND(Tasks[[#This Row],[_IsLeaf]]=1,Tasks[[#This Row],[_LeafProgress]]&lt;1,N(Tasks[[#This Row],[_LeafTotalSlack]])&lt;=CriticalSlackDays)</f>
        <v>0</v>
      </c>
      <c r="DF55" s="32" t="n">
        <f aca="false">IF(AND(Tasks[[#This Row],[_IsLeaf]]=1,Tasks[[#This Row],[_ConstraintCode]]=1,Tasks[[#This Row],[Mode]]&lt;&gt;"Manual",N(Tasks[[#This Row],[Actual Start]])=0),MAX(0,N(Tasks[[#This Row],[Free Slack]])),0)</f>
        <v>0</v>
      </c>
      <c r="DG55" s="115" t="str">
        <f aca="false">IF(NOT(Tasks[[#This Row],[_IsLeaf]]=1),"",IF(Tasks[[#This Row],[_AlapShift]]=0,Tasks[[#This Row],[_LeafCalcStart]],WORKDAY.INTL(Tasks[[#This Row],[_LeafCalcStart]],Tasks[[#This Row],[_AlapShift]],WorkWeek,Holidays)))</f>
        <v/>
      </c>
      <c r="DH55" s="115" t="str">
        <f aca="false">IF(NOT(Tasks[[#This Row],[_IsLeaf]]=1),"",IF(Tasks[[#This Row],[_AlapShift]]=0,Tasks[[#This Row],[_LeafCalcFinish]],WORKDAY.INTL(Tasks[[#This Row],[_LeafCalcFinish]],Tasks[[#This Row],[_AlapShift]],WorkWeek,Holidays)))</f>
        <v/>
      </c>
      <c r="DI55" s="115" t="str">
        <f aca="false">IF(NOT(Tasks[[#This Row],[_IsLeaf]]=1),"",IF(Tasks[[#This Row],[_AlapShift]]=0,Tasks[[#This Row],[_LeafFcstStart]],WORKDAY.INTL(Tasks[[#This Row],[_LeafFcstStart]],Tasks[[#This Row],[_AlapShift]],WorkWeek,Holidays)))</f>
        <v/>
      </c>
      <c r="DJ55" s="115" t="str">
        <f aca="false">IF(NOT(Tasks[[#This Row],[_IsLeaf]]=1),"",IF(Tasks[[#This Row],[_AlapShift]]=0,Tasks[[#This Row],[_LeafFcstFinish]],WORKDAY.INTL(Tasks[[#This Row],[_LeafFcstFinish]],Tasks[[#This Row],[_AlapShift]],WorkWeek,Holidays)))</f>
        <v/>
      </c>
      <c r="DK55" s="115" t="str">
        <f aca="false">IF(Tasks[[#This Row],[Task Name]]="","",IF(Tasks[[#This Row],[_IsSummary]],MIN(INDEX(Tasks[_ShownCalcStart],Tasks[[#This Row],[_Row]]+1):INDEX(Tasks[_ShownCalcStart],Tasks[[#This Row],[_Row]]+Tasks[[#This Row],[_Descendants]])),Tasks[[#This Row],[_ShownCalcStart]]))</f>
        <v/>
      </c>
      <c r="DL55" s="115" t="str">
        <f aca="false">IF(Tasks[[#This Row],[Task Name]]="","",IF(Tasks[[#This Row],[_IsSummary]],MAX(INDEX(Tasks[_ShownCalcFinish],Tasks[[#This Row],[_Row]]+1):INDEX(Tasks[_ShownCalcFinish],Tasks[[#This Row],[_Row]]+Tasks[[#This Row],[_Descendants]])),Tasks[[#This Row],[_ShownCalcFinish]]))</f>
        <v/>
      </c>
      <c r="DM5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5" s="32" t="n">
        <f aca="false">IF(AND(Tasks[[#This Row],[_IsLeaf]]=1,Tasks[[#This Row],[_LeafTotalWork]]&gt;0),NETWORKDAYS.INTL(ProjectStart,Tasks[[#This Row],[_ShownFcstStart]],WorkWeek,Holidays),0)</f>
        <v>0</v>
      </c>
      <c r="DZ55" s="32" t="n">
        <f aca="false">IF(AND(Tasks[[#This Row],[_IsLeaf]]=1,Tasks[[#This Row],[_LeafTotalWork]]&gt;0),MAX(Tasks[[#This Row],[_StartWorkday]],NETWORKDAYS.INTL(ProjectStart,Tasks[[#This Row],[_ShownFcstFinish]],WorkWeek,Holidays)),0)</f>
        <v>0</v>
      </c>
      <c r="EA55" s="32" t="n">
        <f aca="false">IF(AND(Tasks[[#This Row],[_IsLeaf]]=1,Tasks[[#This Row],[_LeafTotalWork]]&gt;0),Tasks[[#This Row],[_LeafWork]]/(Tasks[[#This Row],[_FinishWorkday]]-Tasks[[#This Row],[_StartWorkday]]+1),0)</f>
        <v>0</v>
      </c>
      <c r="EB55" s="32" t="n">
        <f aca="false">Tasks[[#This Row],[_WorkPerWorkday]]*(Tasks[[#This Row],[_StartWorkday]]-1)</f>
        <v>-0</v>
      </c>
      <c r="EC55" s="32" t="n">
        <f aca="false">IF(Tasks[[#This Row],[_IsLeaf]]=1,MAX(N(Tasks[[#This Row],[Duration]]),0.1),0)</f>
        <v>0</v>
      </c>
      <c r="ED55" s="32" t="n">
        <f aca="false">Tasks[[#This Row],[_WeightDur]]*Tasks[[#This Row],[_LeafProgress]]</f>
        <v>0</v>
      </c>
      <c r="EE5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5" s="32" t="str">
        <f aca="false">IF(AND(Tasks[[#This Row],[_IsLeaf]]=1,N(Tasks[[#This Row],[Duration]])=0,Tasks[[#This Row],[_LeafProgress]]&lt;1),Tasks[[#This Row],[_ShownFcstFinish]]+Tasks[[#This Row],[_Row]]/100000,"")</f>
        <v/>
      </c>
      <c r="EG5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5" s="32" t="n">
        <f aca="false">IF(NOT(Tasks[[#This Row],[_IsLeaf]]=1),0,IF(Tasks[[#This Row],[Baseline Cost]]="",Tasks[[#This Row],[_LeafTotalCost]],N(Tasks[[#This Row],[Baseline Cost]])))</f>
        <v>0</v>
      </c>
      <c r="EI55" s="32" t="n">
        <f aca="false">Tasks[[#This Row],[_LeafBudget]]*Tasks[[#This Row],[_PlannedPct]]</f>
        <v>0</v>
      </c>
      <c r="EJ55" s="32" t="n">
        <f aca="false">Tasks[[#This Row],[_LeafBudget]]*Tasks[[#This Row],[_LeafProgress]]</f>
        <v>0</v>
      </c>
      <c r="EK55" s="32" t="n">
        <f aca="false">IF(NOT(Tasks[[#This Row],[_IsLeaf]]=1),0,IF(Tasks[[#This Row],[Actual Cost]]="",Tasks[[#This Row],[_LeafTotalCost]]*Tasks[[#This Row],[_LeafProgress]],N(Tasks[[#This Row],[Actual Cost]])))</f>
        <v>0</v>
      </c>
      <c r="EL55" s="32" t="str">
        <f aca="false">IF(Tasks[[#This Row],[Task Name]]="","",LEFT(Tasks[[#This Row],[WBS]],FIND(".",Tasks[[#This Row],[WBS]]&amp;".")-1))</f>
        <v/>
      </c>
      <c r="EM55" s="32" t="str">
        <f aca="false">IF(AND(Tasks[[#This Row],[Task Name]]&lt;&gt;"",Tasks[[#This Row],[_Level]]=1),Tasks[[#This Row],[_Row]],"")</f>
        <v/>
      </c>
      <c r="EN55" s="32" t="str">
        <f aca="false">IF(AND(Tasks[[#This Row],[_IsLeaf]]=1,N(Tasks[[#This Row],[Duration]])=0),Tasks[[#This Row],[Planned Finish]]+Tasks[[#This Row],[_Row]]/100000,"")</f>
        <v/>
      </c>
      <c r="EO55" s="32" t="str">
        <f aca="false">IF(AND(Tasks[[#This Row],[_IsLeaf]]=1,Tasks[[#This Row],[_LeafProgress]]&lt;1,OR(N(Tasks[[#This Row],[Finish Var]])&gt;0,Tasks[[#This Row],[Status]]="Late Start")),MAX(0,Tasks[[#This Row],[Finish Var]])+1-Tasks[[#This Row],[_Row]]/1000000,"")</f>
        <v/>
      </c>
      <c r="EP55" s="32" t="str">
        <f aca="false">IF(AND(Tasks[[#This Row],[_IsLeaf]]=1,N(Tasks[[#This Row],[Actual Start]])=0,Tasks[[#This Row],[_ShownFcstStart]]&gt;=StatusDate,Tasks[[#This Row],[_ShownFcstStart]]&lt;=LookaheadEnd),Tasks[[#This Row],[_ShownFcstStart]]+Tasks[[#This Row],[_Row]]/100000,"")</f>
        <v/>
      </c>
      <c r="EQ55" s="32" t="str">
        <f aca="false">IF(AND(Tasks[[#This Row],[_IsLeaf]]=1,Tasks[[#This Row],[_LeafProgress]]&lt;1,Tasks[[#This Row],[_ShownFcstFinish]]&gt;=StatusDate,Tasks[[#This Row],[_ShownFcstFinish]]&lt;=LookaheadEnd),Tasks[[#This Row],[_ShownFcstFinish]]+Tasks[[#This Row],[_Row]]/100000,"")</f>
        <v/>
      </c>
      <c r="ER55" s="32" t="str">
        <f aca="false">IF(Tasks[[#This Row],[_LeafCritical]],Tasks[[#This Row],[_ShownFcstStart]]+Tasks[[#This Row],[_Row]]/100000,"")</f>
        <v/>
      </c>
      <c r="ES55" s="32" t="n">
        <f aca="false">Tasks[[#This Row],[_LeafWork]]*Tasks[[#This Row],[_LeafProgress]]</f>
        <v>0</v>
      </c>
      <c r="ET55" s="115" t="str">
        <f aca="false">IF(AND(Tasks[[#This Row],[_IsLeaf]]=1,Tasks[[#This Row],[_LeafProgress]]&gt;=1),IF(N(Tasks[[#This Row],[Actual Finish]])&gt;0,Tasks[[#This Row],[Actual Finish]],Tasks[[#This Row],[_ShownFcstFinish]]),"")</f>
        <v/>
      </c>
      <c r="EU55" s="32" t="n">
        <f aca="false">IF(Tasks[[#This Row],[_IsLeaf]]=1,N(Tasks[[#This Row],[Story Points]]),0)</f>
        <v>0</v>
      </c>
      <c r="EV55" s="32" t="str">
        <f aca="false">IF(AND(Tasks[[#This Row],[_IsLeaf]]=1,CurrentSprint&lt;&gt;"",Tasks[[#This Row],[Sprint]]=CurrentSprint),Tasks[[#This Row],[_Row]],"")</f>
        <v/>
      </c>
    </row>
    <row r="56" customFormat="false" ht="15" hidden="false" customHeight="false" outlineLevel="0" collapsed="false">
      <c r="A56" s="45" t="str">
        <f aca="false">IF(Tasks[[#This Row],[Task Name]]="","",COUNTA(Tasks[[#Headers],[Task Name]]:Tasks[[#This Row],[Task Name]])-1)</f>
        <v/>
      </c>
      <c r="B56" s="46" t="n">
        <v>51</v>
      </c>
      <c r="C5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6" s="46"/>
      <c r="E56" s="45" t="str">
        <f aca="false">IF(Tasks[[#This Row],[Task Name]]="","",IF(Tasks[[#This Row],[_Level]]&lt;=OutlineShowLevel,"Yes","No"))</f>
        <v/>
      </c>
      <c r="F56" s="47"/>
      <c r="G56" s="46"/>
      <c r="H56" s="46"/>
      <c r="I56" s="46"/>
      <c r="J56" s="46"/>
      <c r="K56" s="46"/>
      <c r="L56" s="46"/>
      <c r="M56" s="46"/>
      <c r="N56" s="46"/>
      <c r="O56" s="46"/>
      <c r="P56" s="46"/>
      <c r="Q56" s="46"/>
      <c r="R56" s="46"/>
      <c r="S56" s="46"/>
      <c r="T56" s="46"/>
      <c r="U56" s="47"/>
      <c r="V56" s="88"/>
      <c r="W56" s="88"/>
      <c r="X56" s="25" t="str">
        <f aca="false">IF(Tasks[[#This Row],[Task Name]]="","",IF(N(Tasks[[#This Row],[Baseline Start]])&gt;0,Tasks[[#This Row],[Baseline Start]],Tasks[[#This Row],[_CalcStart]]))</f>
        <v/>
      </c>
      <c r="Y56" s="25" t="str">
        <f aca="false">IF(Tasks[[#This Row],[Task Name]]="","",IF(N(Tasks[[#This Row],[Baseline Finish]])&gt;0,Tasks[[#This Row],[Baseline Finish]],Tasks[[#This Row],[_CalcFinish]]))</f>
        <v/>
      </c>
      <c r="Z56" s="88"/>
      <c r="AA56" s="88"/>
      <c r="AB56" s="25" t="str">
        <f aca="false">IF(Tasks[[#This Row],[Task Name]]="","",IF(Tasks[[#This Row],[_IsSummary]],MIN(INDEX(Tasks[_ShownFcstStart],Tasks[[#This Row],[_Row]]+1):INDEX(Tasks[_ShownFcstStart],Tasks[[#This Row],[_Row]]+Tasks[[#This Row],[_Descendants]])),Tasks[[#This Row],[_ShownFcstStart]]))</f>
        <v/>
      </c>
      <c r="AC56" s="25" t="str">
        <f aca="false">IF(Tasks[[#This Row],[Task Name]]="","",IF(Tasks[[#This Row],[_IsSummary]],MAX(INDEX(Tasks[_ShownFcstFinish],Tasks[[#This Row],[_Row]]+1):INDEX(Tasks[_ShownFcstFinish],Tasks[[#This Row],[_Row]]+Tasks[[#This Row],[_Descendants]])),Tasks[[#This Row],[_ShownFcstFinish]]))</f>
        <v/>
      </c>
      <c r="AD5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6" s="25" t="str">
        <f aca="false">IF(Tasks[[#This Row],[Task Name]]="","",IF(Tasks[[#This Row],[_IsSummary]],MIN(INDEX(Tasks[_LeafLateStart],Tasks[[#This Row],[_Row]]+1):INDEX(Tasks[_LeafLateStart],Tasks[[#This Row],[_Row]]+Tasks[[#This Row],[_Descendants]])),Tasks[[#This Row],[_LeafLateStart]]))</f>
        <v/>
      </c>
      <c r="AG56" s="25" t="str">
        <f aca="false">IF(Tasks[[#This Row],[Task Name]]="","",IF(Tasks[[#This Row],[_IsSummary]],MAX(INDEX(Tasks[_LeafLateFinish],Tasks[[#This Row],[_Row]]+1):INDEX(Tasks[_LeafLateFinish],Tasks[[#This Row],[_Row]]+Tasks[[#This Row],[_Descendants]])),Tasks[[#This Row],[_LeafLateFinish]]))</f>
        <v/>
      </c>
      <c r="AH56" s="56" t="str">
        <f aca="false">IF(Tasks[[#This Row],[Task Name]]="","",IF(Tasks[[#This Row],[_IsSummary]],MIN(INDEX(Tasks[_LeafTotalSlack],Tasks[[#This Row],[_Row]]+1):INDEX(Tasks[_LeafTotalSlack],Tasks[[#This Row],[_Row]]+Tasks[[#This Row],[_Descendants]])),Tasks[[#This Row],[_LeafTotalSlack]]))</f>
        <v/>
      </c>
      <c r="AI5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6" s="45" t="str">
        <f aca="false">IF(Tasks[[#This Row],[Task Name]]="","",IF(IF(Tasks[[#This Row],[_IsSummary]],COUNTIF(INDEX(Tasks[_LeafCritical],Tasks[[#This Row],[_Row]]+1):INDEX(Tasks[_LeafCritical],Tasks[[#This Row],[_Row]]+Tasks[[#This Row],[_Descendants]]),TRUE())&gt;0,Tasks[[#This Row],[_LeafCritical]]),"Yes",""))</f>
        <v/>
      </c>
      <c r="AK5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6" s="102"/>
      <c r="AN5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6" s="45" t="str">
        <f aca="false">IF(Tasks[[#This Row],[Task Name]]="","",IF(Tasks[[#This Row],[Progress]]&gt;=1,"Complete",IF(OR(N(Tasks[[#This Row],[Actual Start]])&gt;0,Tasks[[#This Row],[Progress]]&gt;0),IF(Tasks[[#This Row],[Finish Var]]&gt;0,"Behind","In Progress"),IF(Tasks[[#This Row],[Planned Start]]&lt;StatusDate,"Late Start","Not Started"))))</f>
        <v/>
      </c>
      <c r="AP56" s="47"/>
      <c r="AQ56" s="102"/>
      <c r="AR5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6" s="110" t="str">
        <f aca="false">IF(Tasks[[#This Row],[Task Name]]="","",IF(Tasks[[#This Row],[_IsSummary]],SUM(INDEX(Tasks[_LeafTotalWork],Tasks[[#This Row],[_Row]]+1):INDEX(Tasks[_LeafTotalWork],Tasks[[#This Row],[_Row]]+Tasks[[#This Row],[_Descendants]])),Tasks[[#This Row],[_LeafTotalWork]]))</f>
        <v/>
      </c>
      <c r="AU56" s="111" t="str">
        <f aca="false">IF(Tasks[[#This Row],[Task Name]]="","",IF(Tasks[[#This Row],[_IsSummary]],SUM(INDEX(Tasks[_LeafTotalCost],Tasks[[#This Row],[_Row]]+1):INDEX(Tasks[_LeafTotalCost],Tasks[[#This Row],[_Row]]+Tasks[[#This Row],[_Descendants]])),Tasks[[#This Row],[_LeafTotalCost]]))</f>
        <v/>
      </c>
      <c r="AV56" s="112"/>
      <c r="AW56" s="46"/>
      <c r="AX5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6" s="96"/>
      <c r="AZ5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6" s="47"/>
      <c r="BB56" s="25" t="str">
        <f aca="false">IF(Tasks[[#This Row],[Task Name]]="","",Tasks[[#This Row],[Forecast Start]])</f>
        <v/>
      </c>
      <c r="BC56" s="25" t="str">
        <f aca="false">IF(Tasks[[#This Row],[Task Name]]="","",Tasks[[#This Row],[Forecast Finish]])</f>
        <v/>
      </c>
      <c r="BD56" s="45" t="str">
        <f aca="false">IF(Tasks[[#This Row],[Task Name]]="","",IF(Tasks[[#This Row],[_IsSummary]],NETWORKDAYS.INTL(Tasks[[#This Row],[Forecast Start]],Tasks[[#This Row],[Forecast Finish]],WorkWeek,Holidays),N(Tasks[[#This Row],[Duration]])))</f>
        <v/>
      </c>
      <c r="BE56" s="110" t="str">
        <f aca="false">IF(Tasks[[#This Row],[Task Name]]="","",Tasks[[#This Row],[Work]])</f>
        <v/>
      </c>
      <c r="BF56" s="111" t="str">
        <f aca="false">IF(Tasks[[#This Row],[Task Name]]="","",Tasks[[#This Row],[Cost]])</f>
        <v/>
      </c>
      <c r="BG56" s="88"/>
      <c r="BH56" s="88"/>
      <c r="BI56" s="46"/>
      <c r="BJ56" s="113"/>
      <c r="BK56" s="112"/>
      <c r="BL56" s="45" t="str">
        <f aca="false">IF(OR(Tasks[[#This Row],[Task Name]]="",Tasks[[#This Row],[Baseline Duration]]=""),"",Tasks[[#This Row],[BL Source Duration]]-N(Tasks[[#This Row],[Baseline Duration]]))</f>
        <v/>
      </c>
      <c r="BM56" s="110" t="str">
        <f aca="false">IF(OR(Tasks[[#This Row],[Task Name]]="",Tasks[[#This Row],[Baseline Work]]=""),"",Tasks[[#This Row],[Work]]-N(Tasks[[#This Row],[Baseline Work]]))</f>
        <v/>
      </c>
      <c r="BN56" s="111" t="str">
        <f aca="false">IF(OR(Tasks[[#This Row],[Task Name]]="",Tasks[[#This Row],[Baseline Cost]]=""),"",Tasks[[#This Row],[Cost]]-N(Tasks[[#This Row],[Baseline Cost]]))</f>
        <v/>
      </c>
      <c r="BO56" s="111" t="str">
        <f aca="false">IF(Tasks[[#This Row],[Task Name]]="","",IF(Tasks[[#This Row],[_IsSummary]],SUM(INDEX(Tasks[_LeafBudget],Tasks[[#This Row],[_Row]]+1):INDEX(Tasks[_LeafBudget],Tasks[[#This Row],[_Row]]+Tasks[[#This Row],[_Descendants]])),Tasks[[#This Row],[_LeafBudget]]))</f>
        <v/>
      </c>
      <c r="BP56" s="111" t="str">
        <f aca="false">IF(Tasks[[#This Row],[Task Name]]="","",IF(Tasks[[#This Row],[_IsSummary]],SUM(INDEX(Tasks[_LeafPV],Tasks[[#This Row],[_Row]]+1):INDEX(Tasks[_LeafPV],Tasks[[#This Row],[_Row]]+Tasks[[#This Row],[_Descendants]])),Tasks[[#This Row],[_LeafPV]]))</f>
        <v/>
      </c>
      <c r="BQ56" s="111" t="str">
        <f aca="false">IF(Tasks[[#This Row],[Task Name]]="","",IF(Tasks[[#This Row],[_IsSummary]],SUM(INDEX(Tasks[_LeafEV],Tasks[[#This Row],[_Row]]+1):INDEX(Tasks[_LeafEV],Tasks[[#This Row],[_Row]]+Tasks[[#This Row],[_Descendants]])),Tasks[[#This Row],[_LeafEV]]))</f>
        <v/>
      </c>
      <c r="BR56" s="111" t="str">
        <f aca="false">IF(Tasks[[#This Row],[Task Name]]="","",IF(Tasks[[#This Row],[_IsSummary]],SUM(INDEX(Tasks[_LeafAC],Tasks[[#This Row],[_Row]]+1):INDEX(Tasks[_LeafAC],Tasks[[#This Row],[_Row]]+Tasks[[#This Row],[_Descendants]])),Tasks[[#This Row],[_LeafAC]]))</f>
        <v/>
      </c>
      <c r="BS56" s="32" t="str">
        <f aca="false">IF(Tasks[[#This Row],[Task Name]]="","",MAX(1,N(Tasks[[#This Row],[Level]])))</f>
        <v/>
      </c>
      <c r="BT56" s="32" t="n">
        <f aca="false">ROW()-ROW(Tasks[[#Headers],[ID]])</f>
        <v>51</v>
      </c>
      <c r="BU56" s="32" t="n">
        <f aca="false">IF(OR(Tasks[[#This Row],[Task Name]]="",Tasks[[#This Row],[_Level]]&lt;=1),0,IFERROR(LOOKUP(2,1/(Tasks[[#Headers],[_Level]]:Tasks[[#This Row],[_Level]]=Tasks[[#This Row],[_Level]]-1),ROW(Tasks[[#Headers],[_Level]]:Tasks[[#This Row],[_Level]])),0))</f>
        <v>0</v>
      </c>
      <c r="BV56" s="32" t="n">
        <f aca="false">IFERROR(N(INDEX(Tasks[_Level],Tasks[[#This Row],[_Row]]+1)),0)</f>
        <v>0</v>
      </c>
      <c r="BW56" s="114" t="b">
        <f aca="false">AND(Tasks[[#This Row],[Task Name]]&lt;&gt;"",Tasks[[#This Row],[_NextLevel]]&gt;Tasks[[#This Row],[_Level]])</f>
        <v>0</v>
      </c>
      <c r="BX56" s="32" t="n">
        <f aca="false">IF(Tasks[[#This Row],[_IsSummary]],COUNTIF(Tasks[WBS],Tasks[[#This Row],[WBS]]&amp;".*"),0)</f>
        <v>0</v>
      </c>
      <c r="BY56" s="32" t="n">
        <f aca="false">IF(AND(Tasks[[#This Row],[Task Name]]&lt;&gt;"",NOT(Tasks[[#This Row],[_IsSummary]])),1,0)</f>
        <v>0</v>
      </c>
      <c r="BZ56" s="32" t="n">
        <f aca="false">IF(N(Tasks[[#This Row],[Pred1 UID]])=0,0,IFERROR(MATCH(Tasks[[#This Row],[Pred1 UID]],Tasks[UID],0),-1))</f>
        <v>0</v>
      </c>
      <c r="CA56" s="32" t="n">
        <f aca="false">IF(N(Tasks[[#This Row],[Pred2 UID]])=0,0,IFERROR(MATCH(Tasks[[#This Row],[Pred2 UID]],Tasks[UID],0),-1))</f>
        <v>0</v>
      </c>
      <c r="CB56" s="32" t="n">
        <f aca="false">IF(N(Tasks[[#This Row],[Pred3 UID]])=0,0,IFERROR(MATCH(Tasks[[#This Row],[Pred3 UID]],Tasks[UID],0),-1))</f>
        <v>0</v>
      </c>
      <c r="CC56" s="32" t="n">
        <f aca="false">IF(N(Tasks[[#This Row],[Pred4 UID]])=0,0,IFERROR(MATCH(Tasks[[#This Row],[Pred4 UID]],Tasks[UID],0),-1))</f>
        <v>0</v>
      </c>
      <c r="CD5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6" s="115" t="n">
        <f aca="false">IF(OR(Tasks[[#This Row],[_ConstraintCode]]=2,Tasks[[#This Row],[_ConstraintCode]]=3,Tasks[[#This Row],[_ConstraintCode]]=4,Tasks[[#This Row],[_ConstraintCode]]=6),Tasks[[#This Row],[_ConstraintStart]],0)</f>
        <v>0</v>
      </c>
      <c r="CG56" s="115" t="n">
        <f aca="false">IF(OR(Tasks[[#This Row],[_ConstraintCode]]=2,Tasks[[#This Row],[_ConstraintCode]]=3,Tasks[[#This Row],[_ConstraintCode]]=5,Tasks[[#This Row],[_ConstraintCode]]=7),Tasks[[#This Row],[_ConstraintStart]],2958465)</f>
        <v>2958465</v>
      </c>
      <c r="CH5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6" s="115" t="str">
        <f aca="false">IF(NOT(Tasks[[#This Row],[_IsLeaf]]=1),"",IF(N(Tasks[[#This Row],[Duration]])&lt;=0,Tasks[[#This Row],[_LeafCalcStart]],WORKDAY.INTL(Tasks[[#This Row],[_LeafCalcStart]],Tasks[[#This Row],[Duration]]-1,WorkWeek,Holidays)))</f>
        <v/>
      </c>
      <c r="CJ5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6" s="32" t="n">
        <f aca="false">IF(NOT(Tasks[[#This Row],[_IsLeaf]]=1),0,IF(N(Tasks[[#This Row],[Actual Finish]])&gt;0,1,MIN(1,N(Tasks[[#This Row],[% Complete]]))))</f>
        <v>0</v>
      </c>
      <c r="CM56" s="32" t="n">
        <f aca="false">IF(OR(NOT(Tasks[[#This Row],[_IsLeaf]]=1),Tasks[[#This Row],[Resource]]=""),0,N(Tasks[[#This Row],[Duration]])*HoursPerDay*IF(Tasks[[#This Row],[Units]]="",DefaultUnits,Tasks[[#This Row],[Units]]))</f>
        <v>0</v>
      </c>
      <c r="CN56" s="32" t="n">
        <f aca="false">IF(Tasks[[#This Row],[_LeafWork]]=0,0,Tasks[[#This Row],[_LeafWork]]*IFERROR(INDEX(res_Rate,MATCH(Tasks[[#This Row],[Resource]],res_Name,0)),0))</f>
        <v>0</v>
      </c>
      <c r="CO56" s="32" t="n">
        <f aca="false">Tasks[[#This Row],[_LeafWork]]+IF(Tasks[[#This Row],[_IsLeaf]]=1,SUMIFS(asg_Work,asg_TaskUID,Tasks[[#This Row],[UID]],asg_Valid,1),0)</f>
        <v>0</v>
      </c>
      <c r="CP56" s="32" t="n">
        <f aca="false">Tasks[[#This Row],[_LeafCost]]+IF(Tasks[[#This Row],[_IsLeaf]]=1,SUMIFS(asg_Cost,asg_TaskUID,Tasks[[#This Row],[UID]],asg_Valid,1),0)</f>
        <v>0</v>
      </c>
      <c r="CQ56" s="32" t="n">
        <f aca="false">IF(Tasks[[#This Row],[_LeafTotalCost]]=0,Tasks[[#This Row],[_LeafAC]],Tasks[[#This Row],[_LeafAC]]*Tasks[[#This Row],[_LeafCost]]/Tasks[[#This Row],[_LeafTotalCost]])</f>
        <v>0</v>
      </c>
      <c r="CR5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6" s="32" t="n">
        <f aca="false">IF(NOT(Tasks[[#This Row],[_IsLeaf]]=1),0,MAX(_xlfn.MAXIFS(Tasks[_Row],Tasks[Pred1 UID],Tasks[[#This Row],[UID]]),_xlfn.MAXIFS(Tasks[_Row],Tasks[Pred2 UID],Tasks[[#This Row],[UID]]),_xlfn.MAXIFS(Tasks[_Row],Tasks[Pred3 UID],Tasks[[#This Row],[UID]]),_xlfn.MAXIFS(Tasks[_Row],Tasks[Pred4 UID],Tasks[[#This Row],[UID]])))</f>
        <v>0</v>
      </c>
      <c r="DA5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6" s="115" t="str">
        <f aca="false">IF(NOT(Tasks[[#This Row],[_IsLeaf]]=1),"",IF(N(Tasks[[#This Row],[Duration]])&lt;=0,Tasks[[#This Row],[_LeafLateFinish]],WORKDAY.INTL(Tasks[[#This Row],[_LeafLateFinish]],-(Tasks[[#This Row],[Duration]]-1),WorkWeek,Holidays)))</f>
        <v/>
      </c>
      <c r="DD5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6" s="114" t="b">
        <f aca="false">AND(Tasks[[#This Row],[_IsLeaf]]=1,Tasks[[#This Row],[_LeafProgress]]&lt;1,N(Tasks[[#This Row],[_LeafTotalSlack]])&lt;=CriticalSlackDays)</f>
        <v>0</v>
      </c>
      <c r="DF56" s="32" t="n">
        <f aca="false">IF(AND(Tasks[[#This Row],[_IsLeaf]]=1,Tasks[[#This Row],[_ConstraintCode]]=1,Tasks[[#This Row],[Mode]]&lt;&gt;"Manual",N(Tasks[[#This Row],[Actual Start]])=0),MAX(0,N(Tasks[[#This Row],[Free Slack]])),0)</f>
        <v>0</v>
      </c>
      <c r="DG56" s="115" t="str">
        <f aca="false">IF(NOT(Tasks[[#This Row],[_IsLeaf]]=1),"",IF(Tasks[[#This Row],[_AlapShift]]=0,Tasks[[#This Row],[_LeafCalcStart]],WORKDAY.INTL(Tasks[[#This Row],[_LeafCalcStart]],Tasks[[#This Row],[_AlapShift]],WorkWeek,Holidays)))</f>
        <v/>
      </c>
      <c r="DH56" s="115" t="str">
        <f aca="false">IF(NOT(Tasks[[#This Row],[_IsLeaf]]=1),"",IF(Tasks[[#This Row],[_AlapShift]]=0,Tasks[[#This Row],[_LeafCalcFinish]],WORKDAY.INTL(Tasks[[#This Row],[_LeafCalcFinish]],Tasks[[#This Row],[_AlapShift]],WorkWeek,Holidays)))</f>
        <v/>
      </c>
      <c r="DI56" s="115" t="str">
        <f aca="false">IF(NOT(Tasks[[#This Row],[_IsLeaf]]=1),"",IF(Tasks[[#This Row],[_AlapShift]]=0,Tasks[[#This Row],[_LeafFcstStart]],WORKDAY.INTL(Tasks[[#This Row],[_LeafFcstStart]],Tasks[[#This Row],[_AlapShift]],WorkWeek,Holidays)))</f>
        <v/>
      </c>
      <c r="DJ56" s="115" t="str">
        <f aca="false">IF(NOT(Tasks[[#This Row],[_IsLeaf]]=1),"",IF(Tasks[[#This Row],[_AlapShift]]=0,Tasks[[#This Row],[_LeafFcstFinish]],WORKDAY.INTL(Tasks[[#This Row],[_LeafFcstFinish]],Tasks[[#This Row],[_AlapShift]],WorkWeek,Holidays)))</f>
        <v/>
      </c>
      <c r="DK56" s="115" t="str">
        <f aca="false">IF(Tasks[[#This Row],[Task Name]]="","",IF(Tasks[[#This Row],[_IsSummary]],MIN(INDEX(Tasks[_ShownCalcStart],Tasks[[#This Row],[_Row]]+1):INDEX(Tasks[_ShownCalcStart],Tasks[[#This Row],[_Row]]+Tasks[[#This Row],[_Descendants]])),Tasks[[#This Row],[_ShownCalcStart]]))</f>
        <v/>
      </c>
      <c r="DL56" s="115" t="str">
        <f aca="false">IF(Tasks[[#This Row],[Task Name]]="","",IF(Tasks[[#This Row],[_IsSummary]],MAX(INDEX(Tasks[_ShownCalcFinish],Tasks[[#This Row],[_Row]]+1):INDEX(Tasks[_ShownCalcFinish],Tasks[[#This Row],[_Row]]+Tasks[[#This Row],[_Descendants]])),Tasks[[#This Row],[_ShownCalcFinish]]))</f>
        <v/>
      </c>
      <c r="DM5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6" s="32" t="n">
        <f aca="false">IF(AND(Tasks[[#This Row],[_IsLeaf]]=1,Tasks[[#This Row],[_LeafTotalWork]]&gt;0),NETWORKDAYS.INTL(ProjectStart,Tasks[[#This Row],[_ShownFcstStart]],WorkWeek,Holidays),0)</f>
        <v>0</v>
      </c>
      <c r="DZ56" s="32" t="n">
        <f aca="false">IF(AND(Tasks[[#This Row],[_IsLeaf]]=1,Tasks[[#This Row],[_LeafTotalWork]]&gt;0),MAX(Tasks[[#This Row],[_StartWorkday]],NETWORKDAYS.INTL(ProjectStart,Tasks[[#This Row],[_ShownFcstFinish]],WorkWeek,Holidays)),0)</f>
        <v>0</v>
      </c>
      <c r="EA56" s="32" t="n">
        <f aca="false">IF(AND(Tasks[[#This Row],[_IsLeaf]]=1,Tasks[[#This Row],[_LeafTotalWork]]&gt;0),Tasks[[#This Row],[_LeafWork]]/(Tasks[[#This Row],[_FinishWorkday]]-Tasks[[#This Row],[_StartWorkday]]+1),0)</f>
        <v>0</v>
      </c>
      <c r="EB56" s="32" t="n">
        <f aca="false">Tasks[[#This Row],[_WorkPerWorkday]]*(Tasks[[#This Row],[_StartWorkday]]-1)</f>
        <v>-0</v>
      </c>
      <c r="EC56" s="32" t="n">
        <f aca="false">IF(Tasks[[#This Row],[_IsLeaf]]=1,MAX(N(Tasks[[#This Row],[Duration]]),0.1),0)</f>
        <v>0</v>
      </c>
      <c r="ED56" s="32" t="n">
        <f aca="false">Tasks[[#This Row],[_WeightDur]]*Tasks[[#This Row],[_LeafProgress]]</f>
        <v>0</v>
      </c>
      <c r="EE5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6" s="32" t="str">
        <f aca="false">IF(AND(Tasks[[#This Row],[_IsLeaf]]=1,N(Tasks[[#This Row],[Duration]])=0,Tasks[[#This Row],[_LeafProgress]]&lt;1),Tasks[[#This Row],[_ShownFcstFinish]]+Tasks[[#This Row],[_Row]]/100000,"")</f>
        <v/>
      </c>
      <c r="EG5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6" s="32" t="n">
        <f aca="false">IF(NOT(Tasks[[#This Row],[_IsLeaf]]=1),0,IF(Tasks[[#This Row],[Baseline Cost]]="",Tasks[[#This Row],[_LeafTotalCost]],N(Tasks[[#This Row],[Baseline Cost]])))</f>
        <v>0</v>
      </c>
      <c r="EI56" s="32" t="n">
        <f aca="false">Tasks[[#This Row],[_LeafBudget]]*Tasks[[#This Row],[_PlannedPct]]</f>
        <v>0</v>
      </c>
      <c r="EJ56" s="32" t="n">
        <f aca="false">Tasks[[#This Row],[_LeafBudget]]*Tasks[[#This Row],[_LeafProgress]]</f>
        <v>0</v>
      </c>
      <c r="EK56" s="32" t="n">
        <f aca="false">IF(NOT(Tasks[[#This Row],[_IsLeaf]]=1),0,IF(Tasks[[#This Row],[Actual Cost]]="",Tasks[[#This Row],[_LeafTotalCost]]*Tasks[[#This Row],[_LeafProgress]],N(Tasks[[#This Row],[Actual Cost]])))</f>
        <v>0</v>
      </c>
      <c r="EL56" s="32" t="str">
        <f aca="false">IF(Tasks[[#This Row],[Task Name]]="","",LEFT(Tasks[[#This Row],[WBS]],FIND(".",Tasks[[#This Row],[WBS]]&amp;".")-1))</f>
        <v/>
      </c>
      <c r="EM56" s="32" t="str">
        <f aca="false">IF(AND(Tasks[[#This Row],[Task Name]]&lt;&gt;"",Tasks[[#This Row],[_Level]]=1),Tasks[[#This Row],[_Row]],"")</f>
        <v/>
      </c>
      <c r="EN56" s="32" t="str">
        <f aca="false">IF(AND(Tasks[[#This Row],[_IsLeaf]]=1,N(Tasks[[#This Row],[Duration]])=0),Tasks[[#This Row],[Planned Finish]]+Tasks[[#This Row],[_Row]]/100000,"")</f>
        <v/>
      </c>
      <c r="EO56" s="32" t="str">
        <f aca="false">IF(AND(Tasks[[#This Row],[_IsLeaf]]=1,Tasks[[#This Row],[_LeafProgress]]&lt;1,OR(N(Tasks[[#This Row],[Finish Var]])&gt;0,Tasks[[#This Row],[Status]]="Late Start")),MAX(0,Tasks[[#This Row],[Finish Var]])+1-Tasks[[#This Row],[_Row]]/1000000,"")</f>
        <v/>
      </c>
      <c r="EP56" s="32" t="str">
        <f aca="false">IF(AND(Tasks[[#This Row],[_IsLeaf]]=1,N(Tasks[[#This Row],[Actual Start]])=0,Tasks[[#This Row],[_ShownFcstStart]]&gt;=StatusDate,Tasks[[#This Row],[_ShownFcstStart]]&lt;=LookaheadEnd),Tasks[[#This Row],[_ShownFcstStart]]+Tasks[[#This Row],[_Row]]/100000,"")</f>
        <v/>
      </c>
      <c r="EQ56" s="32" t="str">
        <f aca="false">IF(AND(Tasks[[#This Row],[_IsLeaf]]=1,Tasks[[#This Row],[_LeafProgress]]&lt;1,Tasks[[#This Row],[_ShownFcstFinish]]&gt;=StatusDate,Tasks[[#This Row],[_ShownFcstFinish]]&lt;=LookaheadEnd),Tasks[[#This Row],[_ShownFcstFinish]]+Tasks[[#This Row],[_Row]]/100000,"")</f>
        <v/>
      </c>
      <c r="ER56" s="32" t="str">
        <f aca="false">IF(Tasks[[#This Row],[_LeafCritical]],Tasks[[#This Row],[_ShownFcstStart]]+Tasks[[#This Row],[_Row]]/100000,"")</f>
        <v/>
      </c>
      <c r="ES56" s="32" t="n">
        <f aca="false">Tasks[[#This Row],[_LeafWork]]*Tasks[[#This Row],[_LeafProgress]]</f>
        <v>0</v>
      </c>
      <c r="ET56" s="115" t="str">
        <f aca="false">IF(AND(Tasks[[#This Row],[_IsLeaf]]=1,Tasks[[#This Row],[_LeafProgress]]&gt;=1),IF(N(Tasks[[#This Row],[Actual Finish]])&gt;0,Tasks[[#This Row],[Actual Finish]],Tasks[[#This Row],[_ShownFcstFinish]]),"")</f>
        <v/>
      </c>
      <c r="EU56" s="32" t="n">
        <f aca="false">IF(Tasks[[#This Row],[_IsLeaf]]=1,N(Tasks[[#This Row],[Story Points]]),0)</f>
        <v>0</v>
      </c>
      <c r="EV56" s="32" t="str">
        <f aca="false">IF(AND(Tasks[[#This Row],[_IsLeaf]]=1,CurrentSprint&lt;&gt;"",Tasks[[#This Row],[Sprint]]=CurrentSprint),Tasks[[#This Row],[_Row]],"")</f>
        <v/>
      </c>
    </row>
    <row r="57" customFormat="false" ht="15" hidden="false" customHeight="false" outlineLevel="0" collapsed="false">
      <c r="A57" s="45" t="str">
        <f aca="false">IF(Tasks[[#This Row],[Task Name]]="","",COUNTA(Tasks[[#Headers],[Task Name]]:Tasks[[#This Row],[Task Name]])-1)</f>
        <v/>
      </c>
      <c r="B57" s="46" t="n">
        <v>52</v>
      </c>
      <c r="C5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7" s="46"/>
      <c r="E57" s="45" t="str">
        <f aca="false">IF(Tasks[[#This Row],[Task Name]]="","",IF(Tasks[[#This Row],[_Level]]&lt;=OutlineShowLevel,"Yes","No"))</f>
        <v/>
      </c>
      <c r="F57" s="47"/>
      <c r="G57" s="46"/>
      <c r="H57" s="46"/>
      <c r="I57" s="46"/>
      <c r="J57" s="46"/>
      <c r="K57" s="46"/>
      <c r="L57" s="46"/>
      <c r="M57" s="46"/>
      <c r="N57" s="46"/>
      <c r="O57" s="46"/>
      <c r="P57" s="46"/>
      <c r="Q57" s="46"/>
      <c r="R57" s="46"/>
      <c r="S57" s="46"/>
      <c r="T57" s="46"/>
      <c r="U57" s="47"/>
      <c r="V57" s="88"/>
      <c r="W57" s="88"/>
      <c r="X57" s="25" t="str">
        <f aca="false">IF(Tasks[[#This Row],[Task Name]]="","",IF(N(Tasks[[#This Row],[Baseline Start]])&gt;0,Tasks[[#This Row],[Baseline Start]],Tasks[[#This Row],[_CalcStart]]))</f>
        <v/>
      </c>
      <c r="Y57" s="25" t="str">
        <f aca="false">IF(Tasks[[#This Row],[Task Name]]="","",IF(N(Tasks[[#This Row],[Baseline Finish]])&gt;0,Tasks[[#This Row],[Baseline Finish]],Tasks[[#This Row],[_CalcFinish]]))</f>
        <v/>
      </c>
      <c r="Z57" s="88"/>
      <c r="AA57" s="88"/>
      <c r="AB57" s="25" t="str">
        <f aca="false">IF(Tasks[[#This Row],[Task Name]]="","",IF(Tasks[[#This Row],[_IsSummary]],MIN(INDEX(Tasks[_ShownFcstStart],Tasks[[#This Row],[_Row]]+1):INDEX(Tasks[_ShownFcstStart],Tasks[[#This Row],[_Row]]+Tasks[[#This Row],[_Descendants]])),Tasks[[#This Row],[_ShownFcstStart]]))</f>
        <v/>
      </c>
      <c r="AC57" s="25" t="str">
        <f aca="false">IF(Tasks[[#This Row],[Task Name]]="","",IF(Tasks[[#This Row],[_IsSummary]],MAX(INDEX(Tasks[_ShownFcstFinish],Tasks[[#This Row],[_Row]]+1):INDEX(Tasks[_ShownFcstFinish],Tasks[[#This Row],[_Row]]+Tasks[[#This Row],[_Descendants]])),Tasks[[#This Row],[_ShownFcstFinish]]))</f>
        <v/>
      </c>
      <c r="AD5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7" s="25" t="str">
        <f aca="false">IF(Tasks[[#This Row],[Task Name]]="","",IF(Tasks[[#This Row],[_IsSummary]],MIN(INDEX(Tasks[_LeafLateStart],Tasks[[#This Row],[_Row]]+1):INDEX(Tasks[_LeafLateStart],Tasks[[#This Row],[_Row]]+Tasks[[#This Row],[_Descendants]])),Tasks[[#This Row],[_LeafLateStart]]))</f>
        <v/>
      </c>
      <c r="AG57" s="25" t="str">
        <f aca="false">IF(Tasks[[#This Row],[Task Name]]="","",IF(Tasks[[#This Row],[_IsSummary]],MAX(INDEX(Tasks[_LeafLateFinish],Tasks[[#This Row],[_Row]]+1):INDEX(Tasks[_LeafLateFinish],Tasks[[#This Row],[_Row]]+Tasks[[#This Row],[_Descendants]])),Tasks[[#This Row],[_LeafLateFinish]]))</f>
        <v/>
      </c>
      <c r="AH57" s="56" t="str">
        <f aca="false">IF(Tasks[[#This Row],[Task Name]]="","",IF(Tasks[[#This Row],[_IsSummary]],MIN(INDEX(Tasks[_LeafTotalSlack],Tasks[[#This Row],[_Row]]+1):INDEX(Tasks[_LeafTotalSlack],Tasks[[#This Row],[_Row]]+Tasks[[#This Row],[_Descendants]])),Tasks[[#This Row],[_LeafTotalSlack]]))</f>
        <v/>
      </c>
      <c r="AI5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7" s="45" t="str">
        <f aca="false">IF(Tasks[[#This Row],[Task Name]]="","",IF(IF(Tasks[[#This Row],[_IsSummary]],COUNTIF(INDEX(Tasks[_LeafCritical],Tasks[[#This Row],[_Row]]+1):INDEX(Tasks[_LeafCritical],Tasks[[#This Row],[_Row]]+Tasks[[#This Row],[_Descendants]]),TRUE())&gt;0,Tasks[[#This Row],[_LeafCritical]]),"Yes",""))</f>
        <v/>
      </c>
      <c r="AK5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7" s="102"/>
      <c r="AN5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7" s="45" t="str">
        <f aca="false">IF(Tasks[[#This Row],[Task Name]]="","",IF(Tasks[[#This Row],[Progress]]&gt;=1,"Complete",IF(OR(N(Tasks[[#This Row],[Actual Start]])&gt;0,Tasks[[#This Row],[Progress]]&gt;0),IF(Tasks[[#This Row],[Finish Var]]&gt;0,"Behind","In Progress"),IF(Tasks[[#This Row],[Planned Start]]&lt;StatusDate,"Late Start","Not Started"))))</f>
        <v/>
      </c>
      <c r="AP57" s="47"/>
      <c r="AQ57" s="102"/>
      <c r="AR5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7" s="110" t="str">
        <f aca="false">IF(Tasks[[#This Row],[Task Name]]="","",IF(Tasks[[#This Row],[_IsSummary]],SUM(INDEX(Tasks[_LeafTotalWork],Tasks[[#This Row],[_Row]]+1):INDEX(Tasks[_LeafTotalWork],Tasks[[#This Row],[_Row]]+Tasks[[#This Row],[_Descendants]])),Tasks[[#This Row],[_LeafTotalWork]]))</f>
        <v/>
      </c>
      <c r="AU57" s="111" t="str">
        <f aca="false">IF(Tasks[[#This Row],[Task Name]]="","",IF(Tasks[[#This Row],[_IsSummary]],SUM(INDEX(Tasks[_LeafTotalCost],Tasks[[#This Row],[_Row]]+1):INDEX(Tasks[_LeafTotalCost],Tasks[[#This Row],[_Row]]+Tasks[[#This Row],[_Descendants]])),Tasks[[#This Row],[_LeafTotalCost]]))</f>
        <v/>
      </c>
      <c r="AV57" s="112"/>
      <c r="AW57" s="46"/>
      <c r="AX5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7" s="96"/>
      <c r="AZ5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7" s="47"/>
      <c r="BB57" s="25" t="str">
        <f aca="false">IF(Tasks[[#This Row],[Task Name]]="","",Tasks[[#This Row],[Forecast Start]])</f>
        <v/>
      </c>
      <c r="BC57" s="25" t="str">
        <f aca="false">IF(Tasks[[#This Row],[Task Name]]="","",Tasks[[#This Row],[Forecast Finish]])</f>
        <v/>
      </c>
      <c r="BD57" s="45" t="str">
        <f aca="false">IF(Tasks[[#This Row],[Task Name]]="","",IF(Tasks[[#This Row],[_IsSummary]],NETWORKDAYS.INTL(Tasks[[#This Row],[Forecast Start]],Tasks[[#This Row],[Forecast Finish]],WorkWeek,Holidays),N(Tasks[[#This Row],[Duration]])))</f>
        <v/>
      </c>
      <c r="BE57" s="110" t="str">
        <f aca="false">IF(Tasks[[#This Row],[Task Name]]="","",Tasks[[#This Row],[Work]])</f>
        <v/>
      </c>
      <c r="BF57" s="111" t="str">
        <f aca="false">IF(Tasks[[#This Row],[Task Name]]="","",Tasks[[#This Row],[Cost]])</f>
        <v/>
      </c>
      <c r="BG57" s="88"/>
      <c r="BH57" s="88"/>
      <c r="BI57" s="46"/>
      <c r="BJ57" s="113"/>
      <c r="BK57" s="112"/>
      <c r="BL57" s="45" t="str">
        <f aca="false">IF(OR(Tasks[[#This Row],[Task Name]]="",Tasks[[#This Row],[Baseline Duration]]=""),"",Tasks[[#This Row],[BL Source Duration]]-N(Tasks[[#This Row],[Baseline Duration]]))</f>
        <v/>
      </c>
      <c r="BM57" s="110" t="str">
        <f aca="false">IF(OR(Tasks[[#This Row],[Task Name]]="",Tasks[[#This Row],[Baseline Work]]=""),"",Tasks[[#This Row],[Work]]-N(Tasks[[#This Row],[Baseline Work]]))</f>
        <v/>
      </c>
      <c r="BN57" s="111" t="str">
        <f aca="false">IF(OR(Tasks[[#This Row],[Task Name]]="",Tasks[[#This Row],[Baseline Cost]]=""),"",Tasks[[#This Row],[Cost]]-N(Tasks[[#This Row],[Baseline Cost]]))</f>
        <v/>
      </c>
      <c r="BO57" s="111" t="str">
        <f aca="false">IF(Tasks[[#This Row],[Task Name]]="","",IF(Tasks[[#This Row],[_IsSummary]],SUM(INDEX(Tasks[_LeafBudget],Tasks[[#This Row],[_Row]]+1):INDEX(Tasks[_LeafBudget],Tasks[[#This Row],[_Row]]+Tasks[[#This Row],[_Descendants]])),Tasks[[#This Row],[_LeafBudget]]))</f>
        <v/>
      </c>
      <c r="BP57" s="111" t="str">
        <f aca="false">IF(Tasks[[#This Row],[Task Name]]="","",IF(Tasks[[#This Row],[_IsSummary]],SUM(INDEX(Tasks[_LeafPV],Tasks[[#This Row],[_Row]]+1):INDEX(Tasks[_LeafPV],Tasks[[#This Row],[_Row]]+Tasks[[#This Row],[_Descendants]])),Tasks[[#This Row],[_LeafPV]]))</f>
        <v/>
      </c>
      <c r="BQ57" s="111" t="str">
        <f aca="false">IF(Tasks[[#This Row],[Task Name]]="","",IF(Tasks[[#This Row],[_IsSummary]],SUM(INDEX(Tasks[_LeafEV],Tasks[[#This Row],[_Row]]+1):INDEX(Tasks[_LeafEV],Tasks[[#This Row],[_Row]]+Tasks[[#This Row],[_Descendants]])),Tasks[[#This Row],[_LeafEV]]))</f>
        <v/>
      </c>
      <c r="BR57" s="111" t="str">
        <f aca="false">IF(Tasks[[#This Row],[Task Name]]="","",IF(Tasks[[#This Row],[_IsSummary]],SUM(INDEX(Tasks[_LeafAC],Tasks[[#This Row],[_Row]]+1):INDEX(Tasks[_LeafAC],Tasks[[#This Row],[_Row]]+Tasks[[#This Row],[_Descendants]])),Tasks[[#This Row],[_LeafAC]]))</f>
        <v/>
      </c>
      <c r="BS57" s="32" t="str">
        <f aca="false">IF(Tasks[[#This Row],[Task Name]]="","",MAX(1,N(Tasks[[#This Row],[Level]])))</f>
        <v/>
      </c>
      <c r="BT57" s="32" t="n">
        <f aca="false">ROW()-ROW(Tasks[[#Headers],[ID]])</f>
        <v>52</v>
      </c>
      <c r="BU57" s="32" t="n">
        <f aca="false">IF(OR(Tasks[[#This Row],[Task Name]]="",Tasks[[#This Row],[_Level]]&lt;=1),0,IFERROR(LOOKUP(2,1/(Tasks[[#Headers],[_Level]]:Tasks[[#This Row],[_Level]]=Tasks[[#This Row],[_Level]]-1),ROW(Tasks[[#Headers],[_Level]]:Tasks[[#This Row],[_Level]])),0))</f>
        <v>0</v>
      </c>
      <c r="BV57" s="32" t="n">
        <f aca="false">IFERROR(N(INDEX(Tasks[_Level],Tasks[[#This Row],[_Row]]+1)),0)</f>
        <v>0</v>
      </c>
      <c r="BW57" s="114" t="b">
        <f aca="false">AND(Tasks[[#This Row],[Task Name]]&lt;&gt;"",Tasks[[#This Row],[_NextLevel]]&gt;Tasks[[#This Row],[_Level]])</f>
        <v>0</v>
      </c>
      <c r="BX57" s="32" t="n">
        <f aca="false">IF(Tasks[[#This Row],[_IsSummary]],COUNTIF(Tasks[WBS],Tasks[[#This Row],[WBS]]&amp;".*"),0)</f>
        <v>0</v>
      </c>
      <c r="BY57" s="32" t="n">
        <f aca="false">IF(AND(Tasks[[#This Row],[Task Name]]&lt;&gt;"",NOT(Tasks[[#This Row],[_IsSummary]])),1,0)</f>
        <v>0</v>
      </c>
      <c r="BZ57" s="32" t="n">
        <f aca="false">IF(N(Tasks[[#This Row],[Pred1 UID]])=0,0,IFERROR(MATCH(Tasks[[#This Row],[Pred1 UID]],Tasks[UID],0),-1))</f>
        <v>0</v>
      </c>
      <c r="CA57" s="32" t="n">
        <f aca="false">IF(N(Tasks[[#This Row],[Pred2 UID]])=0,0,IFERROR(MATCH(Tasks[[#This Row],[Pred2 UID]],Tasks[UID],0),-1))</f>
        <v>0</v>
      </c>
      <c r="CB57" s="32" t="n">
        <f aca="false">IF(N(Tasks[[#This Row],[Pred3 UID]])=0,0,IFERROR(MATCH(Tasks[[#This Row],[Pred3 UID]],Tasks[UID],0),-1))</f>
        <v>0</v>
      </c>
      <c r="CC57" s="32" t="n">
        <f aca="false">IF(N(Tasks[[#This Row],[Pred4 UID]])=0,0,IFERROR(MATCH(Tasks[[#This Row],[Pred4 UID]],Tasks[UID],0),-1))</f>
        <v>0</v>
      </c>
      <c r="CD5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7" s="115" t="n">
        <f aca="false">IF(OR(Tasks[[#This Row],[_ConstraintCode]]=2,Tasks[[#This Row],[_ConstraintCode]]=3,Tasks[[#This Row],[_ConstraintCode]]=4,Tasks[[#This Row],[_ConstraintCode]]=6),Tasks[[#This Row],[_ConstraintStart]],0)</f>
        <v>0</v>
      </c>
      <c r="CG57" s="115" t="n">
        <f aca="false">IF(OR(Tasks[[#This Row],[_ConstraintCode]]=2,Tasks[[#This Row],[_ConstraintCode]]=3,Tasks[[#This Row],[_ConstraintCode]]=5,Tasks[[#This Row],[_ConstraintCode]]=7),Tasks[[#This Row],[_ConstraintStart]],2958465)</f>
        <v>2958465</v>
      </c>
      <c r="CH5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7" s="115" t="str">
        <f aca="false">IF(NOT(Tasks[[#This Row],[_IsLeaf]]=1),"",IF(N(Tasks[[#This Row],[Duration]])&lt;=0,Tasks[[#This Row],[_LeafCalcStart]],WORKDAY.INTL(Tasks[[#This Row],[_LeafCalcStart]],Tasks[[#This Row],[Duration]]-1,WorkWeek,Holidays)))</f>
        <v/>
      </c>
      <c r="CJ5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7" s="32" t="n">
        <f aca="false">IF(NOT(Tasks[[#This Row],[_IsLeaf]]=1),0,IF(N(Tasks[[#This Row],[Actual Finish]])&gt;0,1,MIN(1,N(Tasks[[#This Row],[% Complete]]))))</f>
        <v>0</v>
      </c>
      <c r="CM57" s="32" t="n">
        <f aca="false">IF(OR(NOT(Tasks[[#This Row],[_IsLeaf]]=1),Tasks[[#This Row],[Resource]]=""),0,N(Tasks[[#This Row],[Duration]])*HoursPerDay*IF(Tasks[[#This Row],[Units]]="",DefaultUnits,Tasks[[#This Row],[Units]]))</f>
        <v>0</v>
      </c>
      <c r="CN57" s="32" t="n">
        <f aca="false">IF(Tasks[[#This Row],[_LeafWork]]=0,0,Tasks[[#This Row],[_LeafWork]]*IFERROR(INDEX(res_Rate,MATCH(Tasks[[#This Row],[Resource]],res_Name,0)),0))</f>
        <v>0</v>
      </c>
      <c r="CO57" s="32" t="n">
        <f aca="false">Tasks[[#This Row],[_LeafWork]]+IF(Tasks[[#This Row],[_IsLeaf]]=1,SUMIFS(asg_Work,asg_TaskUID,Tasks[[#This Row],[UID]],asg_Valid,1),0)</f>
        <v>0</v>
      </c>
      <c r="CP57" s="32" t="n">
        <f aca="false">Tasks[[#This Row],[_LeafCost]]+IF(Tasks[[#This Row],[_IsLeaf]]=1,SUMIFS(asg_Cost,asg_TaskUID,Tasks[[#This Row],[UID]],asg_Valid,1),0)</f>
        <v>0</v>
      </c>
      <c r="CQ57" s="32" t="n">
        <f aca="false">IF(Tasks[[#This Row],[_LeafTotalCost]]=0,Tasks[[#This Row],[_LeafAC]],Tasks[[#This Row],[_LeafAC]]*Tasks[[#This Row],[_LeafCost]]/Tasks[[#This Row],[_LeafTotalCost]])</f>
        <v>0</v>
      </c>
      <c r="CR5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7" s="32" t="n">
        <f aca="false">IF(NOT(Tasks[[#This Row],[_IsLeaf]]=1),0,MAX(_xlfn.MAXIFS(Tasks[_Row],Tasks[Pred1 UID],Tasks[[#This Row],[UID]]),_xlfn.MAXIFS(Tasks[_Row],Tasks[Pred2 UID],Tasks[[#This Row],[UID]]),_xlfn.MAXIFS(Tasks[_Row],Tasks[Pred3 UID],Tasks[[#This Row],[UID]]),_xlfn.MAXIFS(Tasks[_Row],Tasks[Pred4 UID],Tasks[[#This Row],[UID]])))</f>
        <v>0</v>
      </c>
      <c r="DA5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7" s="115" t="str">
        <f aca="false">IF(NOT(Tasks[[#This Row],[_IsLeaf]]=1),"",IF(N(Tasks[[#This Row],[Duration]])&lt;=0,Tasks[[#This Row],[_LeafLateFinish]],WORKDAY.INTL(Tasks[[#This Row],[_LeafLateFinish]],-(Tasks[[#This Row],[Duration]]-1),WorkWeek,Holidays)))</f>
        <v/>
      </c>
      <c r="DD5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7" s="114" t="b">
        <f aca="false">AND(Tasks[[#This Row],[_IsLeaf]]=1,Tasks[[#This Row],[_LeafProgress]]&lt;1,N(Tasks[[#This Row],[_LeafTotalSlack]])&lt;=CriticalSlackDays)</f>
        <v>0</v>
      </c>
      <c r="DF57" s="32" t="n">
        <f aca="false">IF(AND(Tasks[[#This Row],[_IsLeaf]]=1,Tasks[[#This Row],[_ConstraintCode]]=1,Tasks[[#This Row],[Mode]]&lt;&gt;"Manual",N(Tasks[[#This Row],[Actual Start]])=0),MAX(0,N(Tasks[[#This Row],[Free Slack]])),0)</f>
        <v>0</v>
      </c>
      <c r="DG57" s="115" t="str">
        <f aca="false">IF(NOT(Tasks[[#This Row],[_IsLeaf]]=1),"",IF(Tasks[[#This Row],[_AlapShift]]=0,Tasks[[#This Row],[_LeafCalcStart]],WORKDAY.INTL(Tasks[[#This Row],[_LeafCalcStart]],Tasks[[#This Row],[_AlapShift]],WorkWeek,Holidays)))</f>
        <v/>
      </c>
      <c r="DH57" s="115" t="str">
        <f aca="false">IF(NOT(Tasks[[#This Row],[_IsLeaf]]=1),"",IF(Tasks[[#This Row],[_AlapShift]]=0,Tasks[[#This Row],[_LeafCalcFinish]],WORKDAY.INTL(Tasks[[#This Row],[_LeafCalcFinish]],Tasks[[#This Row],[_AlapShift]],WorkWeek,Holidays)))</f>
        <v/>
      </c>
      <c r="DI57" s="115" t="str">
        <f aca="false">IF(NOT(Tasks[[#This Row],[_IsLeaf]]=1),"",IF(Tasks[[#This Row],[_AlapShift]]=0,Tasks[[#This Row],[_LeafFcstStart]],WORKDAY.INTL(Tasks[[#This Row],[_LeafFcstStart]],Tasks[[#This Row],[_AlapShift]],WorkWeek,Holidays)))</f>
        <v/>
      </c>
      <c r="DJ57" s="115" t="str">
        <f aca="false">IF(NOT(Tasks[[#This Row],[_IsLeaf]]=1),"",IF(Tasks[[#This Row],[_AlapShift]]=0,Tasks[[#This Row],[_LeafFcstFinish]],WORKDAY.INTL(Tasks[[#This Row],[_LeafFcstFinish]],Tasks[[#This Row],[_AlapShift]],WorkWeek,Holidays)))</f>
        <v/>
      </c>
      <c r="DK57" s="115" t="str">
        <f aca="false">IF(Tasks[[#This Row],[Task Name]]="","",IF(Tasks[[#This Row],[_IsSummary]],MIN(INDEX(Tasks[_ShownCalcStart],Tasks[[#This Row],[_Row]]+1):INDEX(Tasks[_ShownCalcStart],Tasks[[#This Row],[_Row]]+Tasks[[#This Row],[_Descendants]])),Tasks[[#This Row],[_ShownCalcStart]]))</f>
        <v/>
      </c>
      <c r="DL57" s="115" t="str">
        <f aca="false">IF(Tasks[[#This Row],[Task Name]]="","",IF(Tasks[[#This Row],[_IsSummary]],MAX(INDEX(Tasks[_ShownCalcFinish],Tasks[[#This Row],[_Row]]+1):INDEX(Tasks[_ShownCalcFinish],Tasks[[#This Row],[_Row]]+Tasks[[#This Row],[_Descendants]])),Tasks[[#This Row],[_ShownCalcFinish]]))</f>
        <v/>
      </c>
      <c r="DM5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7" s="32" t="n">
        <f aca="false">IF(AND(Tasks[[#This Row],[_IsLeaf]]=1,Tasks[[#This Row],[_LeafTotalWork]]&gt;0),NETWORKDAYS.INTL(ProjectStart,Tasks[[#This Row],[_ShownFcstStart]],WorkWeek,Holidays),0)</f>
        <v>0</v>
      </c>
      <c r="DZ57" s="32" t="n">
        <f aca="false">IF(AND(Tasks[[#This Row],[_IsLeaf]]=1,Tasks[[#This Row],[_LeafTotalWork]]&gt;0),MAX(Tasks[[#This Row],[_StartWorkday]],NETWORKDAYS.INTL(ProjectStart,Tasks[[#This Row],[_ShownFcstFinish]],WorkWeek,Holidays)),0)</f>
        <v>0</v>
      </c>
      <c r="EA57" s="32" t="n">
        <f aca="false">IF(AND(Tasks[[#This Row],[_IsLeaf]]=1,Tasks[[#This Row],[_LeafTotalWork]]&gt;0),Tasks[[#This Row],[_LeafWork]]/(Tasks[[#This Row],[_FinishWorkday]]-Tasks[[#This Row],[_StartWorkday]]+1),0)</f>
        <v>0</v>
      </c>
      <c r="EB57" s="32" t="n">
        <f aca="false">Tasks[[#This Row],[_WorkPerWorkday]]*(Tasks[[#This Row],[_StartWorkday]]-1)</f>
        <v>-0</v>
      </c>
      <c r="EC57" s="32" t="n">
        <f aca="false">IF(Tasks[[#This Row],[_IsLeaf]]=1,MAX(N(Tasks[[#This Row],[Duration]]),0.1),0)</f>
        <v>0</v>
      </c>
      <c r="ED57" s="32" t="n">
        <f aca="false">Tasks[[#This Row],[_WeightDur]]*Tasks[[#This Row],[_LeafProgress]]</f>
        <v>0</v>
      </c>
      <c r="EE5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7" s="32" t="str">
        <f aca="false">IF(AND(Tasks[[#This Row],[_IsLeaf]]=1,N(Tasks[[#This Row],[Duration]])=0,Tasks[[#This Row],[_LeafProgress]]&lt;1),Tasks[[#This Row],[_ShownFcstFinish]]+Tasks[[#This Row],[_Row]]/100000,"")</f>
        <v/>
      </c>
      <c r="EG5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7" s="32" t="n">
        <f aca="false">IF(NOT(Tasks[[#This Row],[_IsLeaf]]=1),0,IF(Tasks[[#This Row],[Baseline Cost]]="",Tasks[[#This Row],[_LeafTotalCost]],N(Tasks[[#This Row],[Baseline Cost]])))</f>
        <v>0</v>
      </c>
      <c r="EI57" s="32" t="n">
        <f aca="false">Tasks[[#This Row],[_LeafBudget]]*Tasks[[#This Row],[_PlannedPct]]</f>
        <v>0</v>
      </c>
      <c r="EJ57" s="32" t="n">
        <f aca="false">Tasks[[#This Row],[_LeafBudget]]*Tasks[[#This Row],[_LeafProgress]]</f>
        <v>0</v>
      </c>
      <c r="EK57" s="32" t="n">
        <f aca="false">IF(NOT(Tasks[[#This Row],[_IsLeaf]]=1),0,IF(Tasks[[#This Row],[Actual Cost]]="",Tasks[[#This Row],[_LeafTotalCost]]*Tasks[[#This Row],[_LeafProgress]],N(Tasks[[#This Row],[Actual Cost]])))</f>
        <v>0</v>
      </c>
      <c r="EL57" s="32" t="str">
        <f aca="false">IF(Tasks[[#This Row],[Task Name]]="","",LEFT(Tasks[[#This Row],[WBS]],FIND(".",Tasks[[#This Row],[WBS]]&amp;".")-1))</f>
        <v/>
      </c>
      <c r="EM57" s="32" t="str">
        <f aca="false">IF(AND(Tasks[[#This Row],[Task Name]]&lt;&gt;"",Tasks[[#This Row],[_Level]]=1),Tasks[[#This Row],[_Row]],"")</f>
        <v/>
      </c>
      <c r="EN57" s="32" t="str">
        <f aca="false">IF(AND(Tasks[[#This Row],[_IsLeaf]]=1,N(Tasks[[#This Row],[Duration]])=0),Tasks[[#This Row],[Planned Finish]]+Tasks[[#This Row],[_Row]]/100000,"")</f>
        <v/>
      </c>
      <c r="EO57" s="32" t="str">
        <f aca="false">IF(AND(Tasks[[#This Row],[_IsLeaf]]=1,Tasks[[#This Row],[_LeafProgress]]&lt;1,OR(N(Tasks[[#This Row],[Finish Var]])&gt;0,Tasks[[#This Row],[Status]]="Late Start")),MAX(0,Tasks[[#This Row],[Finish Var]])+1-Tasks[[#This Row],[_Row]]/1000000,"")</f>
        <v/>
      </c>
      <c r="EP57" s="32" t="str">
        <f aca="false">IF(AND(Tasks[[#This Row],[_IsLeaf]]=1,N(Tasks[[#This Row],[Actual Start]])=0,Tasks[[#This Row],[_ShownFcstStart]]&gt;=StatusDate,Tasks[[#This Row],[_ShownFcstStart]]&lt;=LookaheadEnd),Tasks[[#This Row],[_ShownFcstStart]]+Tasks[[#This Row],[_Row]]/100000,"")</f>
        <v/>
      </c>
      <c r="EQ57" s="32" t="str">
        <f aca="false">IF(AND(Tasks[[#This Row],[_IsLeaf]]=1,Tasks[[#This Row],[_LeafProgress]]&lt;1,Tasks[[#This Row],[_ShownFcstFinish]]&gt;=StatusDate,Tasks[[#This Row],[_ShownFcstFinish]]&lt;=LookaheadEnd),Tasks[[#This Row],[_ShownFcstFinish]]+Tasks[[#This Row],[_Row]]/100000,"")</f>
        <v/>
      </c>
      <c r="ER57" s="32" t="str">
        <f aca="false">IF(Tasks[[#This Row],[_LeafCritical]],Tasks[[#This Row],[_ShownFcstStart]]+Tasks[[#This Row],[_Row]]/100000,"")</f>
        <v/>
      </c>
      <c r="ES57" s="32" t="n">
        <f aca="false">Tasks[[#This Row],[_LeafWork]]*Tasks[[#This Row],[_LeafProgress]]</f>
        <v>0</v>
      </c>
      <c r="ET57" s="115" t="str">
        <f aca="false">IF(AND(Tasks[[#This Row],[_IsLeaf]]=1,Tasks[[#This Row],[_LeafProgress]]&gt;=1),IF(N(Tasks[[#This Row],[Actual Finish]])&gt;0,Tasks[[#This Row],[Actual Finish]],Tasks[[#This Row],[_ShownFcstFinish]]),"")</f>
        <v/>
      </c>
      <c r="EU57" s="32" t="n">
        <f aca="false">IF(Tasks[[#This Row],[_IsLeaf]]=1,N(Tasks[[#This Row],[Story Points]]),0)</f>
        <v>0</v>
      </c>
      <c r="EV57" s="32" t="str">
        <f aca="false">IF(AND(Tasks[[#This Row],[_IsLeaf]]=1,CurrentSprint&lt;&gt;"",Tasks[[#This Row],[Sprint]]=CurrentSprint),Tasks[[#This Row],[_Row]],"")</f>
        <v/>
      </c>
    </row>
    <row r="58" customFormat="false" ht="15" hidden="false" customHeight="false" outlineLevel="0" collapsed="false">
      <c r="A58" s="45" t="str">
        <f aca="false">IF(Tasks[[#This Row],[Task Name]]="","",COUNTA(Tasks[[#Headers],[Task Name]]:Tasks[[#This Row],[Task Name]])-1)</f>
        <v/>
      </c>
      <c r="B58" s="46" t="n">
        <v>53</v>
      </c>
      <c r="C5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8" s="46"/>
      <c r="E58" s="45" t="str">
        <f aca="false">IF(Tasks[[#This Row],[Task Name]]="","",IF(Tasks[[#This Row],[_Level]]&lt;=OutlineShowLevel,"Yes","No"))</f>
        <v/>
      </c>
      <c r="F58" s="47"/>
      <c r="G58" s="46"/>
      <c r="H58" s="46"/>
      <c r="I58" s="46"/>
      <c r="J58" s="46"/>
      <c r="K58" s="46"/>
      <c r="L58" s="46"/>
      <c r="M58" s="46"/>
      <c r="N58" s="46"/>
      <c r="O58" s="46"/>
      <c r="P58" s="46"/>
      <c r="Q58" s="46"/>
      <c r="R58" s="46"/>
      <c r="S58" s="46"/>
      <c r="T58" s="46"/>
      <c r="U58" s="47"/>
      <c r="V58" s="88"/>
      <c r="W58" s="88"/>
      <c r="X58" s="25" t="str">
        <f aca="false">IF(Tasks[[#This Row],[Task Name]]="","",IF(N(Tasks[[#This Row],[Baseline Start]])&gt;0,Tasks[[#This Row],[Baseline Start]],Tasks[[#This Row],[_CalcStart]]))</f>
        <v/>
      </c>
      <c r="Y58" s="25" t="str">
        <f aca="false">IF(Tasks[[#This Row],[Task Name]]="","",IF(N(Tasks[[#This Row],[Baseline Finish]])&gt;0,Tasks[[#This Row],[Baseline Finish]],Tasks[[#This Row],[_CalcFinish]]))</f>
        <v/>
      </c>
      <c r="Z58" s="88"/>
      <c r="AA58" s="88"/>
      <c r="AB58" s="25" t="str">
        <f aca="false">IF(Tasks[[#This Row],[Task Name]]="","",IF(Tasks[[#This Row],[_IsSummary]],MIN(INDEX(Tasks[_ShownFcstStart],Tasks[[#This Row],[_Row]]+1):INDEX(Tasks[_ShownFcstStart],Tasks[[#This Row],[_Row]]+Tasks[[#This Row],[_Descendants]])),Tasks[[#This Row],[_ShownFcstStart]]))</f>
        <v/>
      </c>
      <c r="AC58" s="25" t="str">
        <f aca="false">IF(Tasks[[#This Row],[Task Name]]="","",IF(Tasks[[#This Row],[_IsSummary]],MAX(INDEX(Tasks[_ShownFcstFinish],Tasks[[#This Row],[_Row]]+1):INDEX(Tasks[_ShownFcstFinish],Tasks[[#This Row],[_Row]]+Tasks[[#This Row],[_Descendants]])),Tasks[[#This Row],[_ShownFcstFinish]]))</f>
        <v/>
      </c>
      <c r="AD5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8" s="25" t="str">
        <f aca="false">IF(Tasks[[#This Row],[Task Name]]="","",IF(Tasks[[#This Row],[_IsSummary]],MIN(INDEX(Tasks[_LeafLateStart],Tasks[[#This Row],[_Row]]+1):INDEX(Tasks[_LeafLateStart],Tasks[[#This Row],[_Row]]+Tasks[[#This Row],[_Descendants]])),Tasks[[#This Row],[_LeafLateStart]]))</f>
        <v/>
      </c>
      <c r="AG58" s="25" t="str">
        <f aca="false">IF(Tasks[[#This Row],[Task Name]]="","",IF(Tasks[[#This Row],[_IsSummary]],MAX(INDEX(Tasks[_LeafLateFinish],Tasks[[#This Row],[_Row]]+1):INDEX(Tasks[_LeafLateFinish],Tasks[[#This Row],[_Row]]+Tasks[[#This Row],[_Descendants]])),Tasks[[#This Row],[_LeafLateFinish]]))</f>
        <v/>
      </c>
      <c r="AH58" s="56" t="str">
        <f aca="false">IF(Tasks[[#This Row],[Task Name]]="","",IF(Tasks[[#This Row],[_IsSummary]],MIN(INDEX(Tasks[_LeafTotalSlack],Tasks[[#This Row],[_Row]]+1):INDEX(Tasks[_LeafTotalSlack],Tasks[[#This Row],[_Row]]+Tasks[[#This Row],[_Descendants]])),Tasks[[#This Row],[_LeafTotalSlack]]))</f>
        <v/>
      </c>
      <c r="AI5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8" s="45" t="str">
        <f aca="false">IF(Tasks[[#This Row],[Task Name]]="","",IF(IF(Tasks[[#This Row],[_IsSummary]],COUNTIF(INDEX(Tasks[_LeafCritical],Tasks[[#This Row],[_Row]]+1):INDEX(Tasks[_LeafCritical],Tasks[[#This Row],[_Row]]+Tasks[[#This Row],[_Descendants]]),TRUE())&gt;0,Tasks[[#This Row],[_LeafCritical]]),"Yes",""))</f>
        <v/>
      </c>
      <c r="AK5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8" s="102"/>
      <c r="AN5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8" s="45" t="str">
        <f aca="false">IF(Tasks[[#This Row],[Task Name]]="","",IF(Tasks[[#This Row],[Progress]]&gt;=1,"Complete",IF(OR(N(Tasks[[#This Row],[Actual Start]])&gt;0,Tasks[[#This Row],[Progress]]&gt;0),IF(Tasks[[#This Row],[Finish Var]]&gt;0,"Behind","In Progress"),IF(Tasks[[#This Row],[Planned Start]]&lt;StatusDate,"Late Start","Not Started"))))</f>
        <v/>
      </c>
      <c r="AP58" s="47"/>
      <c r="AQ58" s="102"/>
      <c r="AR5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8" s="110" t="str">
        <f aca="false">IF(Tasks[[#This Row],[Task Name]]="","",IF(Tasks[[#This Row],[_IsSummary]],SUM(INDEX(Tasks[_LeafTotalWork],Tasks[[#This Row],[_Row]]+1):INDEX(Tasks[_LeafTotalWork],Tasks[[#This Row],[_Row]]+Tasks[[#This Row],[_Descendants]])),Tasks[[#This Row],[_LeafTotalWork]]))</f>
        <v/>
      </c>
      <c r="AU58" s="111" t="str">
        <f aca="false">IF(Tasks[[#This Row],[Task Name]]="","",IF(Tasks[[#This Row],[_IsSummary]],SUM(INDEX(Tasks[_LeafTotalCost],Tasks[[#This Row],[_Row]]+1):INDEX(Tasks[_LeafTotalCost],Tasks[[#This Row],[_Row]]+Tasks[[#This Row],[_Descendants]])),Tasks[[#This Row],[_LeafTotalCost]]))</f>
        <v/>
      </c>
      <c r="AV58" s="112"/>
      <c r="AW58" s="46"/>
      <c r="AX5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8" s="96"/>
      <c r="AZ5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8" s="47"/>
      <c r="BB58" s="25" t="str">
        <f aca="false">IF(Tasks[[#This Row],[Task Name]]="","",Tasks[[#This Row],[Forecast Start]])</f>
        <v/>
      </c>
      <c r="BC58" s="25" t="str">
        <f aca="false">IF(Tasks[[#This Row],[Task Name]]="","",Tasks[[#This Row],[Forecast Finish]])</f>
        <v/>
      </c>
      <c r="BD58" s="45" t="str">
        <f aca="false">IF(Tasks[[#This Row],[Task Name]]="","",IF(Tasks[[#This Row],[_IsSummary]],NETWORKDAYS.INTL(Tasks[[#This Row],[Forecast Start]],Tasks[[#This Row],[Forecast Finish]],WorkWeek,Holidays),N(Tasks[[#This Row],[Duration]])))</f>
        <v/>
      </c>
      <c r="BE58" s="110" t="str">
        <f aca="false">IF(Tasks[[#This Row],[Task Name]]="","",Tasks[[#This Row],[Work]])</f>
        <v/>
      </c>
      <c r="BF58" s="111" t="str">
        <f aca="false">IF(Tasks[[#This Row],[Task Name]]="","",Tasks[[#This Row],[Cost]])</f>
        <v/>
      </c>
      <c r="BG58" s="88"/>
      <c r="BH58" s="88"/>
      <c r="BI58" s="46"/>
      <c r="BJ58" s="113"/>
      <c r="BK58" s="112"/>
      <c r="BL58" s="45" t="str">
        <f aca="false">IF(OR(Tasks[[#This Row],[Task Name]]="",Tasks[[#This Row],[Baseline Duration]]=""),"",Tasks[[#This Row],[BL Source Duration]]-N(Tasks[[#This Row],[Baseline Duration]]))</f>
        <v/>
      </c>
      <c r="BM58" s="110" t="str">
        <f aca="false">IF(OR(Tasks[[#This Row],[Task Name]]="",Tasks[[#This Row],[Baseline Work]]=""),"",Tasks[[#This Row],[Work]]-N(Tasks[[#This Row],[Baseline Work]]))</f>
        <v/>
      </c>
      <c r="BN58" s="111" t="str">
        <f aca="false">IF(OR(Tasks[[#This Row],[Task Name]]="",Tasks[[#This Row],[Baseline Cost]]=""),"",Tasks[[#This Row],[Cost]]-N(Tasks[[#This Row],[Baseline Cost]]))</f>
        <v/>
      </c>
      <c r="BO58" s="111" t="str">
        <f aca="false">IF(Tasks[[#This Row],[Task Name]]="","",IF(Tasks[[#This Row],[_IsSummary]],SUM(INDEX(Tasks[_LeafBudget],Tasks[[#This Row],[_Row]]+1):INDEX(Tasks[_LeafBudget],Tasks[[#This Row],[_Row]]+Tasks[[#This Row],[_Descendants]])),Tasks[[#This Row],[_LeafBudget]]))</f>
        <v/>
      </c>
      <c r="BP58" s="111" t="str">
        <f aca="false">IF(Tasks[[#This Row],[Task Name]]="","",IF(Tasks[[#This Row],[_IsSummary]],SUM(INDEX(Tasks[_LeafPV],Tasks[[#This Row],[_Row]]+1):INDEX(Tasks[_LeafPV],Tasks[[#This Row],[_Row]]+Tasks[[#This Row],[_Descendants]])),Tasks[[#This Row],[_LeafPV]]))</f>
        <v/>
      </c>
      <c r="BQ58" s="111" t="str">
        <f aca="false">IF(Tasks[[#This Row],[Task Name]]="","",IF(Tasks[[#This Row],[_IsSummary]],SUM(INDEX(Tasks[_LeafEV],Tasks[[#This Row],[_Row]]+1):INDEX(Tasks[_LeafEV],Tasks[[#This Row],[_Row]]+Tasks[[#This Row],[_Descendants]])),Tasks[[#This Row],[_LeafEV]]))</f>
        <v/>
      </c>
      <c r="BR58" s="111" t="str">
        <f aca="false">IF(Tasks[[#This Row],[Task Name]]="","",IF(Tasks[[#This Row],[_IsSummary]],SUM(INDEX(Tasks[_LeafAC],Tasks[[#This Row],[_Row]]+1):INDEX(Tasks[_LeafAC],Tasks[[#This Row],[_Row]]+Tasks[[#This Row],[_Descendants]])),Tasks[[#This Row],[_LeafAC]]))</f>
        <v/>
      </c>
      <c r="BS58" s="32" t="str">
        <f aca="false">IF(Tasks[[#This Row],[Task Name]]="","",MAX(1,N(Tasks[[#This Row],[Level]])))</f>
        <v/>
      </c>
      <c r="BT58" s="32" t="n">
        <f aca="false">ROW()-ROW(Tasks[[#Headers],[ID]])</f>
        <v>53</v>
      </c>
      <c r="BU58" s="32" t="n">
        <f aca="false">IF(OR(Tasks[[#This Row],[Task Name]]="",Tasks[[#This Row],[_Level]]&lt;=1),0,IFERROR(LOOKUP(2,1/(Tasks[[#Headers],[_Level]]:Tasks[[#This Row],[_Level]]=Tasks[[#This Row],[_Level]]-1),ROW(Tasks[[#Headers],[_Level]]:Tasks[[#This Row],[_Level]])),0))</f>
        <v>0</v>
      </c>
      <c r="BV58" s="32" t="n">
        <f aca="false">IFERROR(N(INDEX(Tasks[_Level],Tasks[[#This Row],[_Row]]+1)),0)</f>
        <v>0</v>
      </c>
      <c r="BW58" s="114" t="b">
        <f aca="false">AND(Tasks[[#This Row],[Task Name]]&lt;&gt;"",Tasks[[#This Row],[_NextLevel]]&gt;Tasks[[#This Row],[_Level]])</f>
        <v>0</v>
      </c>
      <c r="BX58" s="32" t="n">
        <f aca="false">IF(Tasks[[#This Row],[_IsSummary]],COUNTIF(Tasks[WBS],Tasks[[#This Row],[WBS]]&amp;".*"),0)</f>
        <v>0</v>
      </c>
      <c r="BY58" s="32" t="n">
        <f aca="false">IF(AND(Tasks[[#This Row],[Task Name]]&lt;&gt;"",NOT(Tasks[[#This Row],[_IsSummary]])),1,0)</f>
        <v>0</v>
      </c>
      <c r="BZ58" s="32" t="n">
        <f aca="false">IF(N(Tasks[[#This Row],[Pred1 UID]])=0,0,IFERROR(MATCH(Tasks[[#This Row],[Pred1 UID]],Tasks[UID],0),-1))</f>
        <v>0</v>
      </c>
      <c r="CA58" s="32" t="n">
        <f aca="false">IF(N(Tasks[[#This Row],[Pred2 UID]])=0,0,IFERROR(MATCH(Tasks[[#This Row],[Pred2 UID]],Tasks[UID],0),-1))</f>
        <v>0</v>
      </c>
      <c r="CB58" s="32" t="n">
        <f aca="false">IF(N(Tasks[[#This Row],[Pred3 UID]])=0,0,IFERROR(MATCH(Tasks[[#This Row],[Pred3 UID]],Tasks[UID],0),-1))</f>
        <v>0</v>
      </c>
      <c r="CC58" s="32" t="n">
        <f aca="false">IF(N(Tasks[[#This Row],[Pred4 UID]])=0,0,IFERROR(MATCH(Tasks[[#This Row],[Pred4 UID]],Tasks[UID],0),-1))</f>
        <v>0</v>
      </c>
      <c r="CD5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8" s="115" t="n">
        <f aca="false">IF(OR(Tasks[[#This Row],[_ConstraintCode]]=2,Tasks[[#This Row],[_ConstraintCode]]=3,Tasks[[#This Row],[_ConstraintCode]]=4,Tasks[[#This Row],[_ConstraintCode]]=6),Tasks[[#This Row],[_ConstraintStart]],0)</f>
        <v>0</v>
      </c>
      <c r="CG58" s="115" t="n">
        <f aca="false">IF(OR(Tasks[[#This Row],[_ConstraintCode]]=2,Tasks[[#This Row],[_ConstraintCode]]=3,Tasks[[#This Row],[_ConstraintCode]]=5,Tasks[[#This Row],[_ConstraintCode]]=7),Tasks[[#This Row],[_ConstraintStart]],2958465)</f>
        <v>2958465</v>
      </c>
      <c r="CH5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8" s="115" t="str">
        <f aca="false">IF(NOT(Tasks[[#This Row],[_IsLeaf]]=1),"",IF(N(Tasks[[#This Row],[Duration]])&lt;=0,Tasks[[#This Row],[_LeafCalcStart]],WORKDAY.INTL(Tasks[[#This Row],[_LeafCalcStart]],Tasks[[#This Row],[Duration]]-1,WorkWeek,Holidays)))</f>
        <v/>
      </c>
      <c r="CJ5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8" s="32" t="n">
        <f aca="false">IF(NOT(Tasks[[#This Row],[_IsLeaf]]=1),0,IF(N(Tasks[[#This Row],[Actual Finish]])&gt;0,1,MIN(1,N(Tasks[[#This Row],[% Complete]]))))</f>
        <v>0</v>
      </c>
      <c r="CM58" s="32" t="n">
        <f aca="false">IF(OR(NOT(Tasks[[#This Row],[_IsLeaf]]=1),Tasks[[#This Row],[Resource]]=""),0,N(Tasks[[#This Row],[Duration]])*HoursPerDay*IF(Tasks[[#This Row],[Units]]="",DefaultUnits,Tasks[[#This Row],[Units]]))</f>
        <v>0</v>
      </c>
      <c r="CN58" s="32" t="n">
        <f aca="false">IF(Tasks[[#This Row],[_LeafWork]]=0,0,Tasks[[#This Row],[_LeafWork]]*IFERROR(INDEX(res_Rate,MATCH(Tasks[[#This Row],[Resource]],res_Name,0)),0))</f>
        <v>0</v>
      </c>
      <c r="CO58" s="32" t="n">
        <f aca="false">Tasks[[#This Row],[_LeafWork]]+IF(Tasks[[#This Row],[_IsLeaf]]=1,SUMIFS(asg_Work,asg_TaskUID,Tasks[[#This Row],[UID]],asg_Valid,1),0)</f>
        <v>0</v>
      </c>
      <c r="CP58" s="32" t="n">
        <f aca="false">Tasks[[#This Row],[_LeafCost]]+IF(Tasks[[#This Row],[_IsLeaf]]=1,SUMIFS(asg_Cost,asg_TaskUID,Tasks[[#This Row],[UID]],asg_Valid,1),0)</f>
        <v>0</v>
      </c>
      <c r="CQ58" s="32" t="n">
        <f aca="false">IF(Tasks[[#This Row],[_LeafTotalCost]]=0,Tasks[[#This Row],[_LeafAC]],Tasks[[#This Row],[_LeafAC]]*Tasks[[#This Row],[_LeafCost]]/Tasks[[#This Row],[_LeafTotalCost]])</f>
        <v>0</v>
      </c>
      <c r="CR5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8" s="32" t="n">
        <f aca="false">IF(NOT(Tasks[[#This Row],[_IsLeaf]]=1),0,MAX(_xlfn.MAXIFS(Tasks[_Row],Tasks[Pred1 UID],Tasks[[#This Row],[UID]]),_xlfn.MAXIFS(Tasks[_Row],Tasks[Pred2 UID],Tasks[[#This Row],[UID]]),_xlfn.MAXIFS(Tasks[_Row],Tasks[Pred3 UID],Tasks[[#This Row],[UID]]),_xlfn.MAXIFS(Tasks[_Row],Tasks[Pred4 UID],Tasks[[#This Row],[UID]])))</f>
        <v>0</v>
      </c>
      <c r="DA5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8" s="115" t="str">
        <f aca="false">IF(NOT(Tasks[[#This Row],[_IsLeaf]]=1),"",IF(N(Tasks[[#This Row],[Duration]])&lt;=0,Tasks[[#This Row],[_LeafLateFinish]],WORKDAY.INTL(Tasks[[#This Row],[_LeafLateFinish]],-(Tasks[[#This Row],[Duration]]-1),WorkWeek,Holidays)))</f>
        <v/>
      </c>
      <c r="DD5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8" s="114" t="b">
        <f aca="false">AND(Tasks[[#This Row],[_IsLeaf]]=1,Tasks[[#This Row],[_LeafProgress]]&lt;1,N(Tasks[[#This Row],[_LeafTotalSlack]])&lt;=CriticalSlackDays)</f>
        <v>0</v>
      </c>
      <c r="DF58" s="32" t="n">
        <f aca="false">IF(AND(Tasks[[#This Row],[_IsLeaf]]=1,Tasks[[#This Row],[_ConstraintCode]]=1,Tasks[[#This Row],[Mode]]&lt;&gt;"Manual",N(Tasks[[#This Row],[Actual Start]])=0),MAX(0,N(Tasks[[#This Row],[Free Slack]])),0)</f>
        <v>0</v>
      </c>
      <c r="DG58" s="115" t="str">
        <f aca="false">IF(NOT(Tasks[[#This Row],[_IsLeaf]]=1),"",IF(Tasks[[#This Row],[_AlapShift]]=0,Tasks[[#This Row],[_LeafCalcStart]],WORKDAY.INTL(Tasks[[#This Row],[_LeafCalcStart]],Tasks[[#This Row],[_AlapShift]],WorkWeek,Holidays)))</f>
        <v/>
      </c>
      <c r="DH58" s="115" t="str">
        <f aca="false">IF(NOT(Tasks[[#This Row],[_IsLeaf]]=1),"",IF(Tasks[[#This Row],[_AlapShift]]=0,Tasks[[#This Row],[_LeafCalcFinish]],WORKDAY.INTL(Tasks[[#This Row],[_LeafCalcFinish]],Tasks[[#This Row],[_AlapShift]],WorkWeek,Holidays)))</f>
        <v/>
      </c>
      <c r="DI58" s="115" t="str">
        <f aca="false">IF(NOT(Tasks[[#This Row],[_IsLeaf]]=1),"",IF(Tasks[[#This Row],[_AlapShift]]=0,Tasks[[#This Row],[_LeafFcstStart]],WORKDAY.INTL(Tasks[[#This Row],[_LeafFcstStart]],Tasks[[#This Row],[_AlapShift]],WorkWeek,Holidays)))</f>
        <v/>
      </c>
      <c r="DJ58" s="115" t="str">
        <f aca="false">IF(NOT(Tasks[[#This Row],[_IsLeaf]]=1),"",IF(Tasks[[#This Row],[_AlapShift]]=0,Tasks[[#This Row],[_LeafFcstFinish]],WORKDAY.INTL(Tasks[[#This Row],[_LeafFcstFinish]],Tasks[[#This Row],[_AlapShift]],WorkWeek,Holidays)))</f>
        <v/>
      </c>
      <c r="DK58" s="115" t="str">
        <f aca="false">IF(Tasks[[#This Row],[Task Name]]="","",IF(Tasks[[#This Row],[_IsSummary]],MIN(INDEX(Tasks[_ShownCalcStart],Tasks[[#This Row],[_Row]]+1):INDEX(Tasks[_ShownCalcStart],Tasks[[#This Row],[_Row]]+Tasks[[#This Row],[_Descendants]])),Tasks[[#This Row],[_ShownCalcStart]]))</f>
        <v/>
      </c>
      <c r="DL58" s="115" t="str">
        <f aca="false">IF(Tasks[[#This Row],[Task Name]]="","",IF(Tasks[[#This Row],[_IsSummary]],MAX(INDEX(Tasks[_ShownCalcFinish],Tasks[[#This Row],[_Row]]+1):INDEX(Tasks[_ShownCalcFinish],Tasks[[#This Row],[_Row]]+Tasks[[#This Row],[_Descendants]])),Tasks[[#This Row],[_ShownCalcFinish]]))</f>
        <v/>
      </c>
      <c r="DM5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8" s="32" t="n">
        <f aca="false">IF(AND(Tasks[[#This Row],[_IsLeaf]]=1,Tasks[[#This Row],[_LeafTotalWork]]&gt;0),NETWORKDAYS.INTL(ProjectStart,Tasks[[#This Row],[_ShownFcstStart]],WorkWeek,Holidays),0)</f>
        <v>0</v>
      </c>
      <c r="DZ58" s="32" t="n">
        <f aca="false">IF(AND(Tasks[[#This Row],[_IsLeaf]]=1,Tasks[[#This Row],[_LeafTotalWork]]&gt;0),MAX(Tasks[[#This Row],[_StartWorkday]],NETWORKDAYS.INTL(ProjectStart,Tasks[[#This Row],[_ShownFcstFinish]],WorkWeek,Holidays)),0)</f>
        <v>0</v>
      </c>
      <c r="EA58" s="32" t="n">
        <f aca="false">IF(AND(Tasks[[#This Row],[_IsLeaf]]=1,Tasks[[#This Row],[_LeafTotalWork]]&gt;0),Tasks[[#This Row],[_LeafWork]]/(Tasks[[#This Row],[_FinishWorkday]]-Tasks[[#This Row],[_StartWorkday]]+1),0)</f>
        <v>0</v>
      </c>
      <c r="EB58" s="32" t="n">
        <f aca="false">Tasks[[#This Row],[_WorkPerWorkday]]*(Tasks[[#This Row],[_StartWorkday]]-1)</f>
        <v>-0</v>
      </c>
      <c r="EC58" s="32" t="n">
        <f aca="false">IF(Tasks[[#This Row],[_IsLeaf]]=1,MAX(N(Tasks[[#This Row],[Duration]]),0.1),0)</f>
        <v>0</v>
      </c>
      <c r="ED58" s="32" t="n">
        <f aca="false">Tasks[[#This Row],[_WeightDur]]*Tasks[[#This Row],[_LeafProgress]]</f>
        <v>0</v>
      </c>
      <c r="EE5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8" s="32" t="str">
        <f aca="false">IF(AND(Tasks[[#This Row],[_IsLeaf]]=1,N(Tasks[[#This Row],[Duration]])=0,Tasks[[#This Row],[_LeafProgress]]&lt;1),Tasks[[#This Row],[_ShownFcstFinish]]+Tasks[[#This Row],[_Row]]/100000,"")</f>
        <v/>
      </c>
      <c r="EG5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8" s="32" t="n">
        <f aca="false">IF(NOT(Tasks[[#This Row],[_IsLeaf]]=1),0,IF(Tasks[[#This Row],[Baseline Cost]]="",Tasks[[#This Row],[_LeafTotalCost]],N(Tasks[[#This Row],[Baseline Cost]])))</f>
        <v>0</v>
      </c>
      <c r="EI58" s="32" t="n">
        <f aca="false">Tasks[[#This Row],[_LeafBudget]]*Tasks[[#This Row],[_PlannedPct]]</f>
        <v>0</v>
      </c>
      <c r="EJ58" s="32" t="n">
        <f aca="false">Tasks[[#This Row],[_LeafBudget]]*Tasks[[#This Row],[_LeafProgress]]</f>
        <v>0</v>
      </c>
      <c r="EK58" s="32" t="n">
        <f aca="false">IF(NOT(Tasks[[#This Row],[_IsLeaf]]=1),0,IF(Tasks[[#This Row],[Actual Cost]]="",Tasks[[#This Row],[_LeafTotalCost]]*Tasks[[#This Row],[_LeafProgress]],N(Tasks[[#This Row],[Actual Cost]])))</f>
        <v>0</v>
      </c>
      <c r="EL58" s="32" t="str">
        <f aca="false">IF(Tasks[[#This Row],[Task Name]]="","",LEFT(Tasks[[#This Row],[WBS]],FIND(".",Tasks[[#This Row],[WBS]]&amp;".")-1))</f>
        <v/>
      </c>
      <c r="EM58" s="32" t="str">
        <f aca="false">IF(AND(Tasks[[#This Row],[Task Name]]&lt;&gt;"",Tasks[[#This Row],[_Level]]=1),Tasks[[#This Row],[_Row]],"")</f>
        <v/>
      </c>
      <c r="EN58" s="32" t="str">
        <f aca="false">IF(AND(Tasks[[#This Row],[_IsLeaf]]=1,N(Tasks[[#This Row],[Duration]])=0),Tasks[[#This Row],[Planned Finish]]+Tasks[[#This Row],[_Row]]/100000,"")</f>
        <v/>
      </c>
      <c r="EO58" s="32" t="str">
        <f aca="false">IF(AND(Tasks[[#This Row],[_IsLeaf]]=1,Tasks[[#This Row],[_LeafProgress]]&lt;1,OR(N(Tasks[[#This Row],[Finish Var]])&gt;0,Tasks[[#This Row],[Status]]="Late Start")),MAX(0,Tasks[[#This Row],[Finish Var]])+1-Tasks[[#This Row],[_Row]]/1000000,"")</f>
        <v/>
      </c>
      <c r="EP58" s="32" t="str">
        <f aca="false">IF(AND(Tasks[[#This Row],[_IsLeaf]]=1,N(Tasks[[#This Row],[Actual Start]])=0,Tasks[[#This Row],[_ShownFcstStart]]&gt;=StatusDate,Tasks[[#This Row],[_ShownFcstStart]]&lt;=LookaheadEnd),Tasks[[#This Row],[_ShownFcstStart]]+Tasks[[#This Row],[_Row]]/100000,"")</f>
        <v/>
      </c>
      <c r="EQ58" s="32" t="str">
        <f aca="false">IF(AND(Tasks[[#This Row],[_IsLeaf]]=1,Tasks[[#This Row],[_LeafProgress]]&lt;1,Tasks[[#This Row],[_ShownFcstFinish]]&gt;=StatusDate,Tasks[[#This Row],[_ShownFcstFinish]]&lt;=LookaheadEnd),Tasks[[#This Row],[_ShownFcstFinish]]+Tasks[[#This Row],[_Row]]/100000,"")</f>
        <v/>
      </c>
      <c r="ER58" s="32" t="str">
        <f aca="false">IF(Tasks[[#This Row],[_LeafCritical]],Tasks[[#This Row],[_ShownFcstStart]]+Tasks[[#This Row],[_Row]]/100000,"")</f>
        <v/>
      </c>
      <c r="ES58" s="32" t="n">
        <f aca="false">Tasks[[#This Row],[_LeafWork]]*Tasks[[#This Row],[_LeafProgress]]</f>
        <v>0</v>
      </c>
      <c r="ET58" s="115" t="str">
        <f aca="false">IF(AND(Tasks[[#This Row],[_IsLeaf]]=1,Tasks[[#This Row],[_LeafProgress]]&gt;=1),IF(N(Tasks[[#This Row],[Actual Finish]])&gt;0,Tasks[[#This Row],[Actual Finish]],Tasks[[#This Row],[_ShownFcstFinish]]),"")</f>
        <v/>
      </c>
      <c r="EU58" s="32" t="n">
        <f aca="false">IF(Tasks[[#This Row],[_IsLeaf]]=1,N(Tasks[[#This Row],[Story Points]]),0)</f>
        <v>0</v>
      </c>
      <c r="EV58" s="32" t="str">
        <f aca="false">IF(AND(Tasks[[#This Row],[_IsLeaf]]=1,CurrentSprint&lt;&gt;"",Tasks[[#This Row],[Sprint]]=CurrentSprint),Tasks[[#This Row],[_Row]],"")</f>
        <v/>
      </c>
    </row>
    <row r="59" customFormat="false" ht="15" hidden="false" customHeight="false" outlineLevel="0" collapsed="false">
      <c r="A59" s="45" t="str">
        <f aca="false">IF(Tasks[[#This Row],[Task Name]]="","",COUNTA(Tasks[[#Headers],[Task Name]]:Tasks[[#This Row],[Task Name]])-1)</f>
        <v/>
      </c>
      <c r="B59" s="46" t="n">
        <v>54</v>
      </c>
      <c r="C5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59" s="46"/>
      <c r="E59" s="45" t="str">
        <f aca="false">IF(Tasks[[#This Row],[Task Name]]="","",IF(Tasks[[#This Row],[_Level]]&lt;=OutlineShowLevel,"Yes","No"))</f>
        <v/>
      </c>
      <c r="F59" s="47"/>
      <c r="G59" s="46"/>
      <c r="H59" s="46"/>
      <c r="I59" s="46"/>
      <c r="J59" s="46"/>
      <c r="K59" s="46"/>
      <c r="L59" s="46"/>
      <c r="M59" s="46"/>
      <c r="N59" s="46"/>
      <c r="O59" s="46"/>
      <c r="P59" s="46"/>
      <c r="Q59" s="46"/>
      <c r="R59" s="46"/>
      <c r="S59" s="46"/>
      <c r="T59" s="46"/>
      <c r="U59" s="47"/>
      <c r="V59" s="88"/>
      <c r="W59" s="88"/>
      <c r="X59" s="25" t="str">
        <f aca="false">IF(Tasks[[#This Row],[Task Name]]="","",IF(N(Tasks[[#This Row],[Baseline Start]])&gt;0,Tasks[[#This Row],[Baseline Start]],Tasks[[#This Row],[_CalcStart]]))</f>
        <v/>
      </c>
      <c r="Y59" s="25" t="str">
        <f aca="false">IF(Tasks[[#This Row],[Task Name]]="","",IF(N(Tasks[[#This Row],[Baseline Finish]])&gt;0,Tasks[[#This Row],[Baseline Finish]],Tasks[[#This Row],[_CalcFinish]]))</f>
        <v/>
      </c>
      <c r="Z59" s="88"/>
      <c r="AA59" s="88"/>
      <c r="AB59" s="25" t="str">
        <f aca="false">IF(Tasks[[#This Row],[Task Name]]="","",IF(Tasks[[#This Row],[_IsSummary]],MIN(INDEX(Tasks[_ShownFcstStart],Tasks[[#This Row],[_Row]]+1):INDEX(Tasks[_ShownFcstStart],Tasks[[#This Row],[_Row]]+Tasks[[#This Row],[_Descendants]])),Tasks[[#This Row],[_ShownFcstStart]]))</f>
        <v/>
      </c>
      <c r="AC59" s="25" t="str">
        <f aca="false">IF(Tasks[[#This Row],[Task Name]]="","",IF(Tasks[[#This Row],[_IsSummary]],MAX(INDEX(Tasks[_ShownFcstFinish],Tasks[[#This Row],[_Row]]+1):INDEX(Tasks[_ShownFcstFinish],Tasks[[#This Row],[_Row]]+Tasks[[#This Row],[_Descendants]])),Tasks[[#This Row],[_ShownFcstFinish]]))</f>
        <v/>
      </c>
      <c r="AD5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5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59" s="25" t="str">
        <f aca="false">IF(Tasks[[#This Row],[Task Name]]="","",IF(Tasks[[#This Row],[_IsSummary]],MIN(INDEX(Tasks[_LeafLateStart],Tasks[[#This Row],[_Row]]+1):INDEX(Tasks[_LeafLateStart],Tasks[[#This Row],[_Row]]+Tasks[[#This Row],[_Descendants]])),Tasks[[#This Row],[_LeafLateStart]]))</f>
        <v/>
      </c>
      <c r="AG59" s="25" t="str">
        <f aca="false">IF(Tasks[[#This Row],[Task Name]]="","",IF(Tasks[[#This Row],[_IsSummary]],MAX(INDEX(Tasks[_LeafLateFinish],Tasks[[#This Row],[_Row]]+1):INDEX(Tasks[_LeafLateFinish],Tasks[[#This Row],[_Row]]+Tasks[[#This Row],[_Descendants]])),Tasks[[#This Row],[_LeafLateFinish]]))</f>
        <v/>
      </c>
      <c r="AH59" s="56" t="str">
        <f aca="false">IF(Tasks[[#This Row],[Task Name]]="","",IF(Tasks[[#This Row],[_IsSummary]],MIN(INDEX(Tasks[_LeafTotalSlack],Tasks[[#This Row],[_Row]]+1):INDEX(Tasks[_LeafTotalSlack],Tasks[[#This Row],[_Row]]+Tasks[[#This Row],[_Descendants]])),Tasks[[#This Row],[_LeafTotalSlack]]))</f>
        <v/>
      </c>
      <c r="AI5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59" s="45" t="str">
        <f aca="false">IF(Tasks[[#This Row],[Task Name]]="","",IF(IF(Tasks[[#This Row],[_IsSummary]],COUNTIF(INDEX(Tasks[_LeafCritical],Tasks[[#This Row],[_Row]]+1):INDEX(Tasks[_LeafCritical],Tasks[[#This Row],[_Row]]+Tasks[[#This Row],[_Descendants]]),TRUE())&gt;0,Tasks[[#This Row],[_LeafCritical]]),"Yes",""))</f>
        <v/>
      </c>
      <c r="AK5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5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59" s="102"/>
      <c r="AN5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59" s="45" t="str">
        <f aca="false">IF(Tasks[[#This Row],[Task Name]]="","",IF(Tasks[[#This Row],[Progress]]&gt;=1,"Complete",IF(OR(N(Tasks[[#This Row],[Actual Start]])&gt;0,Tasks[[#This Row],[Progress]]&gt;0),IF(Tasks[[#This Row],[Finish Var]]&gt;0,"Behind","In Progress"),IF(Tasks[[#This Row],[Planned Start]]&lt;StatusDate,"Late Start","Not Started"))))</f>
        <v/>
      </c>
      <c r="AP59" s="47"/>
      <c r="AQ59" s="102"/>
      <c r="AR5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5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59" s="110" t="str">
        <f aca="false">IF(Tasks[[#This Row],[Task Name]]="","",IF(Tasks[[#This Row],[_IsSummary]],SUM(INDEX(Tasks[_LeafTotalWork],Tasks[[#This Row],[_Row]]+1):INDEX(Tasks[_LeafTotalWork],Tasks[[#This Row],[_Row]]+Tasks[[#This Row],[_Descendants]])),Tasks[[#This Row],[_LeafTotalWork]]))</f>
        <v/>
      </c>
      <c r="AU59" s="111" t="str">
        <f aca="false">IF(Tasks[[#This Row],[Task Name]]="","",IF(Tasks[[#This Row],[_IsSummary]],SUM(INDEX(Tasks[_LeafTotalCost],Tasks[[#This Row],[_Row]]+1):INDEX(Tasks[_LeafTotalCost],Tasks[[#This Row],[_Row]]+Tasks[[#This Row],[_Descendants]])),Tasks[[#This Row],[_LeafTotalCost]]))</f>
        <v/>
      </c>
      <c r="AV59" s="112"/>
      <c r="AW59" s="46"/>
      <c r="AX5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59" s="96"/>
      <c r="AZ5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59" s="47"/>
      <c r="BB59" s="25" t="str">
        <f aca="false">IF(Tasks[[#This Row],[Task Name]]="","",Tasks[[#This Row],[Forecast Start]])</f>
        <v/>
      </c>
      <c r="BC59" s="25" t="str">
        <f aca="false">IF(Tasks[[#This Row],[Task Name]]="","",Tasks[[#This Row],[Forecast Finish]])</f>
        <v/>
      </c>
      <c r="BD59" s="45" t="str">
        <f aca="false">IF(Tasks[[#This Row],[Task Name]]="","",IF(Tasks[[#This Row],[_IsSummary]],NETWORKDAYS.INTL(Tasks[[#This Row],[Forecast Start]],Tasks[[#This Row],[Forecast Finish]],WorkWeek,Holidays),N(Tasks[[#This Row],[Duration]])))</f>
        <v/>
      </c>
      <c r="BE59" s="110" t="str">
        <f aca="false">IF(Tasks[[#This Row],[Task Name]]="","",Tasks[[#This Row],[Work]])</f>
        <v/>
      </c>
      <c r="BF59" s="111" t="str">
        <f aca="false">IF(Tasks[[#This Row],[Task Name]]="","",Tasks[[#This Row],[Cost]])</f>
        <v/>
      </c>
      <c r="BG59" s="88"/>
      <c r="BH59" s="88"/>
      <c r="BI59" s="46"/>
      <c r="BJ59" s="113"/>
      <c r="BK59" s="112"/>
      <c r="BL59" s="45" t="str">
        <f aca="false">IF(OR(Tasks[[#This Row],[Task Name]]="",Tasks[[#This Row],[Baseline Duration]]=""),"",Tasks[[#This Row],[BL Source Duration]]-N(Tasks[[#This Row],[Baseline Duration]]))</f>
        <v/>
      </c>
      <c r="BM59" s="110" t="str">
        <f aca="false">IF(OR(Tasks[[#This Row],[Task Name]]="",Tasks[[#This Row],[Baseline Work]]=""),"",Tasks[[#This Row],[Work]]-N(Tasks[[#This Row],[Baseline Work]]))</f>
        <v/>
      </c>
      <c r="BN59" s="111" t="str">
        <f aca="false">IF(OR(Tasks[[#This Row],[Task Name]]="",Tasks[[#This Row],[Baseline Cost]]=""),"",Tasks[[#This Row],[Cost]]-N(Tasks[[#This Row],[Baseline Cost]]))</f>
        <v/>
      </c>
      <c r="BO59" s="111" t="str">
        <f aca="false">IF(Tasks[[#This Row],[Task Name]]="","",IF(Tasks[[#This Row],[_IsSummary]],SUM(INDEX(Tasks[_LeafBudget],Tasks[[#This Row],[_Row]]+1):INDEX(Tasks[_LeafBudget],Tasks[[#This Row],[_Row]]+Tasks[[#This Row],[_Descendants]])),Tasks[[#This Row],[_LeafBudget]]))</f>
        <v/>
      </c>
      <c r="BP59" s="111" t="str">
        <f aca="false">IF(Tasks[[#This Row],[Task Name]]="","",IF(Tasks[[#This Row],[_IsSummary]],SUM(INDEX(Tasks[_LeafPV],Tasks[[#This Row],[_Row]]+1):INDEX(Tasks[_LeafPV],Tasks[[#This Row],[_Row]]+Tasks[[#This Row],[_Descendants]])),Tasks[[#This Row],[_LeafPV]]))</f>
        <v/>
      </c>
      <c r="BQ59" s="111" t="str">
        <f aca="false">IF(Tasks[[#This Row],[Task Name]]="","",IF(Tasks[[#This Row],[_IsSummary]],SUM(INDEX(Tasks[_LeafEV],Tasks[[#This Row],[_Row]]+1):INDEX(Tasks[_LeafEV],Tasks[[#This Row],[_Row]]+Tasks[[#This Row],[_Descendants]])),Tasks[[#This Row],[_LeafEV]]))</f>
        <v/>
      </c>
      <c r="BR59" s="111" t="str">
        <f aca="false">IF(Tasks[[#This Row],[Task Name]]="","",IF(Tasks[[#This Row],[_IsSummary]],SUM(INDEX(Tasks[_LeafAC],Tasks[[#This Row],[_Row]]+1):INDEX(Tasks[_LeafAC],Tasks[[#This Row],[_Row]]+Tasks[[#This Row],[_Descendants]])),Tasks[[#This Row],[_LeafAC]]))</f>
        <v/>
      </c>
      <c r="BS59" s="32" t="str">
        <f aca="false">IF(Tasks[[#This Row],[Task Name]]="","",MAX(1,N(Tasks[[#This Row],[Level]])))</f>
        <v/>
      </c>
      <c r="BT59" s="32" t="n">
        <f aca="false">ROW()-ROW(Tasks[[#Headers],[ID]])</f>
        <v>54</v>
      </c>
      <c r="BU59" s="32" t="n">
        <f aca="false">IF(OR(Tasks[[#This Row],[Task Name]]="",Tasks[[#This Row],[_Level]]&lt;=1),0,IFERROR(LOOKUP(2,1/(Tasks[[#Headers],[_Level]]:Tasks[[#This Row],[_Level]]=Tasks[[#This Row],[_Level]]-1),ROW(Tasks[[#Headers],[_Level]]:Tasks[[#This Row],[_Level]])),0))</f>
        <v>0</v>
      </c>
      <c r="BV59" s="32" t="n">
        <f aca="false">IFERROR(N(INDEX(Tasks[_Level],Tasks[[#This Row],[_Row]]+1)),0)</f>
        <v>0</v>
      </c>
      <c r="BW59" s="114" t="b">
        <f aca="false">AND(Tasks[[#This Row],[Task Name]]&lt;&gt;"",Tasks[[#This Row],[_NextLevel]]&gt;Tasks[[#This Row],[_Level]])</f>
        <v>0</v>
      </c>
      <c r="BX59" s="32" t="n">
        <f aca="false">IF(Tasks[[#This Row],[_IsSummary]],COUNTIF(Tasks[WBS],Tasks[[#This Row],[WBS]]&amp;".*"),0)</f>
        <v>0</v>
      </c>
      <c r="BY59" s="32" t="n">
        <f aca="false">IF(AND(Tasks[[#This Row],[Task Name]]&lt;&gt;"",NOT(Tasks[[#This Row],[_IsSummary]])),1,0)</f>
        <v>0</v>
      </c>
      <c r="BZ59" s="32" t="n">
        <f aca="false">IF(N(Tasks[[#This Row],[Pred1 UID]])=0,0,IFERROR(MATCH(Tasks[[#This Row],[Pred1 UID]],Tasks[UID],0),-1))</f>
        <v>0</v>
      </c>
      <c r="CA59" s="32" t="n">
        <f aca="false">IF(N(Tasks[[#This Row],[Pred2 UID]])=0,0,IFERROR(MATCH(Tasks[[#This Row],[Pred2 UID]],Tasks[UID],0),-1))</f>
        <v>0</v>
      </c>
      <c r="CB59" s="32" t="n">
        <f aca="false">IF(N(Tasks[[#This Row],[Pred3 UID]])=0,0,IFERROR(MATCH(Tasks[[#This Row],[Pred3 UID]],Tasks[UID],0),-1))</f>
        <v>0</v>
      </c>
      <c r="CC59" s="32" t="n">
        <f aca="false">IF(N(Tasks[[#This Row],[Pred4 UID]])=0,0,IFERROR(MATCH(Tasks[[#This Row],[Pred4 UID]],Tasks[UID],0),-1))</f>
        <v>0</v>
      </c>
      <c r="CD5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5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59" s="115" t="n">
        <f aca="false">IF(OR(Tasks[[#This Row],[_ConstraintCode]]=2,Tasks[[#This Row],[_ConstraintCode]]=3,Tasks[[#This Row],[_ConstraintCode]]=4,Tasks[[#This Row],[_ConstraintCode]]=6),Tasks[[#This Row],[_ConstraintStart]],0)</f>
        <v>0</v>
      </c>
      <c r="CG59" s="115" t="n">
        <f aca="false">IF(OR(Tasks[[#This Row],[_ConstraintCode]]=2,Tasks[[#This Row],[_ConstraintCode]]=3,Tasks[[#This Row],[_ConstraintCode]]=5,Tasks[[#This Row],[_ConstraintCode]]=7),Tasks[[#This Row],[_ConstraintStart]],2958465)</f>
        <v>2958465</v>
      </c>
      <c r="CH5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59" s="115" t="str">
        <f aca="false">IF(NOT(Tasks[[#This Row],[_IsLeaf]]=1),"",IF(N(Tasks[[#This Row],[Duration]])&lt;=0,Tasks[[#This Row],[_LeafCalcStart]],WORKDAY.INTL(Tasks[[#This Row],[_LeafCalcStart]],Tasks[[#This Row],[Duration]]-1,WorkWeek,Holidays)))</f>
        <v/>
      </c>
      <c r="CJ5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5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59" s="32" t="n">
        <f aca="false">IF(NOT(Tasks[[#This Row],[_IsLeaf]]=1),0,IF(N(Tasks[[#This Row],[Actual Finish]])&gt;0,1,MIN(1,N(Tasks[[#This Row],[% Complete]]))))</f>
        <v>0</v>
      </c>
      <c r="CM59" s="32" t="n">
        <f aca="false">IF(OR(NOT(Tasks[[#This Row],[_IsLeaf]]=1),Tasks[[#This Row],[Resource]]=""),0,N(Tasks[[#This Row],[Duration]])*HoursPerDay*IF(Tasks[[#This Row],[Units]]="",DefaultUnits,Tasks[[#This Row],[Units]]))</f>
        <v>0</v>
      </c>
      <c r="CN59" s="32" t="n">
        <f aca="false">IF(Tasks[[#This Row],[_LeafWork]]=0,0,Tasks[[#This Row],[_LeafWork]]*IFERROR(INDEX(res_Rate,MATCH(Tasks[[#This Row],[Resource]],res_Name,0)),0))</f>
        <v>0</v>
      </c>
      <c r="CO59" s="32" t="n">
        <f aca="false">Tasks[[#This Row],[_LeafWork]]+IF(Tasks[[#This Row],[_IsLeaf]]=1,SUMIFS(asg_Work,asg_TaskUID,Tasks[[#This Row],[UID]],asg_Valid,1),0)</f>
        <v>0</v>
      </c>
      <c r="CP59" s="32" t="n">
        <f aca="false">Tasks[[#This Row],[_LeafCost]]+IF(Tasks[[#This Row],[_IsLeaf]]=1,SUMIFS(asg_Cost,asg_TaskUID,Tasks[[#This Row],[UID]],asg_Valid,1),0)</f>
        <v>0</v>
      </c>
      <c r="CQ59" s="32" t="n">
        <f aca="false">IF(Tasks[[#This Row],[_LeafTotalCost]]=0,Tasks[[#This Row],[_LeafAC]],Tasks[[#This Row],[_LeafAC]]*Tasks[[#This Row],[_LeafCost]]/Tasks[[#This Row],[_LeafTotalCost]])</f>
        <v>0</v>
      </c>
      <c r="CR5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5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5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5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5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5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5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5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59" s="32" t="n">
        <f aca="false">IF(NOT(Tasks[[#This Row],[_IsLeaf]]=1),0,MAX(_xlfn.MAXIFS(Tasks[_Row],Tasks[Pred1 UID],Tasks[[#This Row],[UID]]),_xlfn.MAXIFS(Tasks[_Row],Tasks[Pred2 UID],Tasks[[#This Row],[UID]]),_xlfn.MAXIFS(Tasks[_Row],Tasks[Pred3 UID],Tasks[[#This Row],[UID]]),_xlfn.MAXIFS(Tasks[_Row],Tasks[Pred4 UID],Tasks[[#This Row],[UID]])))</f>
        <v>0</v>
      </c>
      <c r="DA5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5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59" s="115" t="str">
        <f aca="false">IF(NOT(Tasks[[#This Row],[_IsLeaf]]=1),"",IF(N(Tasks[[#This Row],[Duration]])&lt;=0,Tasks[[#This Row],[_LeafLateFinish]],WORKDAY.INTL(Tasks[[#This Row],[_LeafLateFinish]],-(Tasks[[#This Row],[Duration]]-1),WorkWeek,Holidays)))</f>
        <v/>
      </c>
      <c r="DD5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59" s="114" t="b">
        <f aca="false">AND(Tasks[[#This Row],[_IsLeaf]]=1,Tasks[[#This Row],[_LeafProgress]]&lt;1,N(Tasks[[#This Row],[_LeafTotalSlack]])&lt;=CriticalSlackDays)</f>
        <v>0</v>
      </c>
      <c r="DF59" s="32" t="n">
        <f aca="false">IF(AND(Tasks[[#This Row],[_IsLeaf]]=1,Tasks[[#This Row],[_ConstraintCode]]=1,Tasks[[#This Row],[Mode]]&lt;&gt;"Manual",N(Tasks[[#This Row],[Actual Start]])=0),MAX(0,N(Tasks[[#This Row],[Free Slack]])),0)</f>
        <v>0</v>
      </c>
      <c r="DG59" s="115" t="str">
        <f aca="false">IF(NOT(Tasks[[#This Row],[_IsLeaf]]=1),"",IF(Tasks[[#This Row],[_AlapShift]]=0,Tasks[[#This Row],[_LeafCalcStart]],WORKDAY.INTL(Tasks[[#This Row],[_LeafCalcStart]],Tasks[[#This Row],[_AlapShift]],WorkWeek,Holidays)))</f>
        <v/>
      </c>
      <c r="DH59" s="115" t="str">
        <f aca="false">IF(NOT(Tasks[[#This Row],[_IsLeaf]]=1),"",IF(Tasks[[#This Row],[_AlapShift]]=0,Tasks[[#This Row],[_LeafCalcFinish]],WORKDAY.INTL(Tasks[[#This Row],[_LeafCalcFinish]],Tasks[[#This Row],[_AlapShift]],WorkWeek,Holidays)))</f>
        <v/>
      </c>
      <c r="DI59" s="115" t="str">
        <f aca="false">IF(NOT(Tasks[[#This Row],[_IsLeaf]]=1),"",IF(Tasks[[#This Row],[_AlapShift]]=0,Tasks[[#This Row],[_LeafFcstStart]],WORKDAY.INTL(Tasks[[#This Row],[_LeafFcstStart]],Tasks[[#This Row],[_AlapShift]],WorkWeek,Holidays)))</f>
        <v/>
      </c>
      <c r="DJ59" s="115" t="str">
        <f aca="false">IF(NOT(Tasks[[#This Row],[_IsLeaf]]=1),"",IF(Tasks[[#This Row],[_AlapShift]]=0,Tasks[[#This Row],[_LeafFcstFinish]],WORKDAY.INTL(Tasks[[#This Row],[_LeafFcstFinish]],Tasks[[#This Row],[_AlapShift]],WorkWeek,Holidays)))</f>
        <v/>
      </c>
      <c r="DK59" s="115" t="str">
        <f aca="false">IF(Tasks[[#This Row],[Task Name]]="","",IF(Tasks[[#This Row],[_IsSummary]],MIN(INDEX(Tasks[_ShownCalcStart],Tasks[[#This Row],[_Row]]+1):INDEX(Tasks[_ShownCalcStart],Tasks[[#This Row],[_Row]]+Tasks[[#This Row],[_Descendants]])),Tasks[[#This Row],[_ShownCalcStart]]))</f>
        <v/>
      </c>
      <c r="DL59" s="115" t="str">
        <f aca="false">IF(Tasks[[#This Row],[Task Name]]="","",IF(Tasks[[#This Row],[_IsSummary]],MAX(INDEX(Tasks[_ShownCalcFinish],Tasks[[#This Row],[_Row]]+1):INDEX(Tasks[_ShownCalcFinish],Tasks[[#This Row],[_Row]]+Tasks[[#This Row],[_Descendants]])),Tasks[[#This Row],[_ShownCalcFinish]]))</f>
        <v/>
      </c>
      <c r="DM5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5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5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5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5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5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5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5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5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5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5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5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59" s="32" t="n">
        <f aca="false">IF(AND(Tasks[[#This Row],[_IsLeaf]]=1,Tasks[[#This Row],[_LeafTotalWork]]&gt;0),NETWORKDAYS.INTL(ProjectStart,Tasks[[#This Row],[_ShownFcstStart]],WorkWeek,Holidays),0)</f>
        <v>0</v>
      </c>
      <c r="DZ59" s="32" t="n">
        <f aca="false">IF(AND(Tasks[[#This Row],[_IsLeaf]]=1,Tasks[[#This Row],[_LeafTotalWork]]&gt;0),MAX(Tasks[[#This Row],[_StartWorkday]],NETWORKDAYS.INTL(ProjectStart,Tasks[[#This Row],[_ShownFcstFinish]],WorkWeek,Holidays)),0)</f>
        <v>0</v>
      </c>
      <c r="EA59" s="32" t="n">
        <f aca="false">IF(AND(Tasks[[#This Row],[_IsLeaf]]=1,Tasks[[#This Row],[_LeafTotalWork]]&gt;0),Tasks[[#This Row],[_LeafWork]]/(Tasks[[#This Row],[_FinishWorkday]]-Tasks[[#This Row],[_StartWorkday]]+1),0)</f>
        <v>0</v>
      </c>
      <c r="EB59" s="32" t="n">
        <f aca="false">Tasks[[#This Row],[_WorkPerWorkday]]*(Tasks[[#This Row],[_StartWorkday]]-1)</f>
        <v>-0</v>
      </c>
      <c r="EC59" s="32" t="n">
        <f aca="false">IF(Tasks[[#This Row],[_IsLeaf]]=1,MAX(N(Tasks[[#This Row],[Duration]]),0.1),0)</f>
        <v>0</v>
      </c>
      <c r="ED59" s="32" t="n">
        <f aca="false">Tasks[[#This Row],[_WeightDur]]*Tasks[[#This Row],[_LeafProgress]]</f>
        <v>0</v>
      </c>
      <c r="EE5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59" s="32" t="str">
        <f aca="false">IF(AND(Tasks[[#This Row],[_IsLeaf]]=1,N(Tasks[[#This Row],[Duration]])=0,Tasks[[#This Row],[_LeafProgress]]&lt;1),Tasks[[#This Row],[_ShownFcstFinish]]+Tasks[[#This Row],[_Row]]/100000,"")</f>
        <v/>
      </c>
      <c r="EG5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59" s="32" t="n">
        <f aca="false">IF(NOT(Tasks[[#This Row],[_IsLeaf]]=1),0,IF(Tasks[[#This Row],[Baseline Cost]]="",Tasks[[#This Row],[_LeafTotalCost]],N(Tasks[[#This Row],[Baseline Cost]])))</f>
        <v>0</v>
      </c>
      <c r="EI59" s="32" t="n">
        <f aca="false">Tasks[[#This Row],[_LeafBudget]]*Tasks[[#This Row],[_PlannedPct]]</f>
        <v>0</v>
      </c>
      <c r="EJ59" s="32" t="n">
        <f aca="false">Tasks[[#This Row],[_LeafBudget]]*Tasks[[#This Row],[_LeafProgress]]</f>
        <v>0</v>
      </c>
      <c r="EK59" s="32" t="n">
        <f aca="false">IF(NOT(Tasks[[#This Row],[_IsLeaf]]=1),0,IF(Tasks[[#This Row],[Actual Cost]]="",Tasks[[#This Row],[_LeafTotalCost]]*Tasks[[#This Row],[_LeafProgress]],N(Tasks[[#This Row],[Actual Cost]])))</f>
        <v>0</v>
      </c>
      <c r="EL59" s="32" t="str">
        <f aca="false">IF(Tasks[[#This Row],[Task Name]]="","",LEFT(Tasks[[#This Row],[WBS]],FIND(".",Tasks[[#This Row],[WBS]]&amp;".")-1))</f>
        <v/>
      </c>
      <c r="EM59" s="32" t="str">
        <f aca="false">IF(AND(Tasks[[#This Row],[Task Name]]&lt;&gt;"",Tasks[[#This Row],[_Level]]=1),Tasks[[#This Row],[_Row]],"")</f>
        <v/>
      </c>
      <c r="EN59" s="32" t="str">
        <f aca="false">IF(AND(Tasks[[#This Row],[_IsLeaf]]=1,N(Tasks[[#This Row],[Duration]])=0),Tasks[[#This Row],[Planned Finish]]+Tasks[[#This Row],[_Row]]/100000,"")</f>
        <v/>
      </c>
      <c r="EO59" s="32" t="str">
        <f aca="false">IF(AND(Tasks[[#This Row],[_IsLeaf]]=1,Tasks[[#This Row],[_LeafProgress]]&lt;1,OR(N(Tasks[[#This Row],[Finish Var]])&gt;0,Tasks[[#This Row],[Status]]="Late Start")),MAX(0,Tasks[[#This Row],[Finish Var]])+1-Tasks[[#This Row],[_Row]]/1000000,"")</f>
        <v/>
      </c>
      <c r="EP59" s="32" t="str">
        <f aca="false">IF(AND(Tasks[[#This Row],[_IsLeaf]]=1,N(Tasks[[#This Row],[Actual Start]])=0,Tasks[[#This Row],[_ShownFcstStart]]&gt;=StatusDate,Tasks[[#This Row],[_ShownFcstStart]]&lt;=LookaheadEnd),Tasks[[#This Row],[_ShownFcstStart]]+Tasks[[#This Row],[_Row]]/100000,"")</f>
        <v/>
      </c>
      <c r="EQ59" s="32" t="str">
        <f aca="false">IF(AND(Tasks[[#This Row],[_IsLeaf]]=1,Tasks[[#This Row],[_LeafProgress]]&lt;1,Tasks[[#This Row],[_ShownFcstFinish]]&gt;=StatusDate,Tasks[[#This Row],[_ShownFcstFinish]]&lt;=LookaheadEnd),Tasks[[#This Row],[_ShownFcstFinish]]+Tasks[[#This Row],[_Row]]/100000,"")</f>
        <v/>
      </c>
      <c r="ER59" s="32" t="str">
        <f aca="false">IF(Tasks[[#This Row],[_LeafCritical]],Tasks[[#This Row],[_ShownFcstStart]]+Tasks[[#This Row],[_Row]]/100000,"")</f>
        <v/>
      </c>
      <c r="ES59" s="32" t="n">
        <f aca="false">Tasks[[#This Row],[_LeafWork]]*Tasks[[#This Row],[_LeafProgress]]</f>
        <v>0</v>
      </c>
      <c r="ET59" s="115" t="str">
        <f aca="false">IF(AND(Tasks[[#This Row],[_IsLeaf]]=1,Tasks[[#This Row],[_LeafProgress]]&gt;=1),IF(N(Tasks[[#This Row],[Actual Finish]])&gt;0,Tasks[[#This Row],[Actual Finish]],Tasks[[#This Row],[_ShownFcstFinish]]),"")</f>
        <v/>
      </c>
      <c r="EU59" s="32" t="n">
        <f aca="false">IF(Tasks[[#This Row],[_IsLeaf]]=1,N(Tasks[[#This Row],[Story Points]]),0)</f>
        <v>0</v>
      </c>
      <c r="EV59" s="32" t="str">
        <f aca="false">IF(AND(Tasks[[#This Row],[_IsLeaf]]=1,CurrentSprint&lt;&gt;"",Tasks[[#This Row],[Sprint]]=CurrentSprint),Tasks[[#This Row],[_Row]],"")</f>
        <v/>
      </c>
    </row>
    <row r="60" customFormat="false" ht="15" hidden="false" customHeight="false" outlineLevel="0" collapsed="false">
      <c r="A60" s="45" t="str">
        <f aca="false">IF(Tasks[[#This Row],[Task Name]]="","",COUNTA(Tasks[[#Headers],[Task Name]]:Tasks[[#This Row],[Task Name]])-1)</f>
        <v/>
      </c>
      <c r="B60" s="46" t="n">
        <v>55</v>
      </c>
      <c r="C6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0" s="46"/>
      <c r="E60" s="45" t="str">
        <f aca="false">IF(Tasks[[#This Row],[Task Name]]="","",IF(Tasks[[#This Row],[_Level]]&lt;=OutlineShowLevel,"Yes","No"))</f>
        <v/>
      </c>
      <c r="F60" s="47"/>
      <c r="G60" s="46"/>
      <c r="H60" s="46"/>
      <c r="I60" s="46"/>
      <c r="J60" s="46"/>
      <c r="K60" s="46"/>
      <c r="L60" s="46"/>
      <c r="M60" s="46"/>
      <c r="N60" s="46"/>
      <c r="O60" s="46"/>
      <c r="P60" s="46"/>
      <c r="Q60" s="46"/>
      <c r="R60" s="46"/>
      <c r="S60" s="46"/>
      <c r="T60" s="46"/>
      <c r="U60" s="47"/>
      <c r="V60" s="88"/>
      <c r="W60" s="88"/>
      <c r="X60" s="25" t="str">
        <f aca="false">IF(Tasks[[#This Row],[Task Name]]="","",IF(N(Tasks[[#This Row],[Baseline Start]])&gt;0,Tasks[[#This Row],[Baseline Start]],Tasks[[#This Row],[_CalcStart]]))</f>
        <v/>
      </c>
      <c r="Y60" s="25" t="str">
        <f aca="false">IF(Tasks[[#This Row],[Task Name]]="","",IF(N(Tasks[[#This Row],[Baseline Finish]])&gt;0,Tasks[[#This Row],[Baseline Finish]],Tasks[[#This Row],[_CalcFinish]]))</f>
        <v/>
      </c>
      <c r="Z60" s="88"/>
      <c r="AA60" s="88"/>
      <c r="AB60" s="25" t="str">
        <f aca="false">IF(Tasks[[#This Row],[Task Name]]="","",IF(Tasks[[#This Row],[_IsSummary]],MIN(INDEX(Tasks[_ShownFcstStart],Tasks[[#This Row],[_Row]]+1):INDEX(Tasks[_ShownFcstStart],Tasks[[#This Row],[_Row]]+Tasks[[#This Row],[_Descendants]])),Tasks[[#This Row],[_ShownFcstStart]]))</f>
        <v/>
      </c>
      <c r="AC60" s="25" t="str">
        <f aca="false">IF(Tasks[[#This Row],[Task Name]]="","",IF(Tasks[[#This Row],[_IsSummary]],MAX(INDEX(Tasks[_ShownFcstFinish],Tasks[[#This Row],[_Row]]+1):INDEX(Tasks[_ShownFcstFinish],Tasks[[#This Row],[_Row]]+Tasks[[#This Row],[_Descendants]])),Tasks[[#This Row],[_ShownFcstFinish]]))</f>
        <v/>
      </c>
      <c r="AD6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0" s="25" t="str">
        <f aca="false">IF(Tasks[[#This Row],[Task Name]]="","",IF(Tasks[[#This Row],[_IsSummary]],MIN(INDEX(Tasks[_LeafLateStart],Tasks[[#This Row],[_Row]]+1):INDEX(Tasks[_LeafLateStart],Tasks[[#This Row],[_Row]]+Tasks[[#This Row],[_Descendants]])),Tasks[[#This Row],[_LeafLateStart]]))</f>
        <v/>
      </c>
      <c r="AG60" s="25" t="str">
        <f aca="false">IF(Tasks[[#This Row],[Task Name]]="","",IF(Tasks[[#This Row],[_IsSummary]],MAX(INDEX(Tasks[_LeafLateFinish],Tasks[[#This Row],[_Row]]+1):INDEX(Tasks[_LeafLateFinish],Tasks[[#This Row],[_Row]]+Tasks[[#This Row],[_Descendants]])),Tasks[[#This Row],[_LeafLateFinish]]))</f>
        <v/>
      </c>
      <c r="AH60" s="56" t="str">
        <f aca="false">IF(Tasks[[#This Row],[Task Name]]="","",IF(Tasks[[#This Row],[_IsSummary]],MIN(INDEX(Tasks[_LeafTotalSlack],Tasks[[#This Row],[_Row]]+1):INDEX(Tasks[_LeafTotalSlack],Tasks[[#This Row],[_Row]]+Tasks[[#This Row],[_Descendants]])),Tasks[[#This Row],[_LeafTotalSlack]]))</f>
        <v/>
      </c>
      <c r="AI6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0" s="45" t="str">
        <f aca="false">IF(Tasks[[#This Row],[Task Name]]="","",IF(IF(Tasks[[#This Row],[_IsSummary]],COUNTIF(INDEX(Tasks[_LeafCritical],Tasks[[#This Row],[_Row]]+1):INDEX(Tasks[_LeafCritical],Tasks[[#This Row],[_Row]]+Tasks[[#This Row],[_Descendants]]),TRUE())&gt;0,Tasks[[#This Row],[_LeafCritical]]),"Yes",""))</f>
        <v/>
      </c>
      <c r="AK6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0" s="102"/>
      <c r="AN6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0" s="45" t="str">
        <f aca="false">IF(Tasks[[#This Row],[Task Name]]="","",IF(Tasks[[#This Row],[Progress]]&gt;=1,"Complete",IF(OR(N(Tasks[[#This Row],[Actual Start]])&gt;0,Tasks[[#This Row],[Progress]]&gt;0),IF(Tasks[[#This Row],[Finish Var]]&gt;0,"Behind","In Progress"),IF(Tasks[[#This Row],[Planned Start]]&lt;StatusDate,"Late Start","Not Started"))))</f>
        <v/>
      </c>
      <c r="AP60" s="47"/>
      <c r="AQ60" s="102"/>
      <c r="AR6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0" s="110" t="str">
        <f aca="false">IF(Tasks[[#This Row],[Task Name]]="","",IF(Tasks[[#This Row],[_IsSummary]],SUM(INDEX(Tasks[_LeafTotalWork],Tasks[[#This Row],[_Row]]+1):INDEX(Tasks[_LeafTotalWork],Tasks[[#This Row],[_Row]]+Tasks[[#This Row],[_Descendants]])),Tasks[[#This Row],[_LeafTotalWork]]))</f>
        <v/>
      </c>
      <c r="AU60" s="111" t="str">
        <f aca="false">IF(Tasks[[#This Row],[Task Name]]="","",IF(Tasks[[#This Row],[_IsSummary]],SUM(INDEX(Tasks[_LeafTotalCost],Tasks[[#This Row],[_Row]]+1):INDEX(Tasks[_LeafTotalCost],Tasks[[#This Row],[_Row]]+Tasks[[#This Row],[_Descendants]])),Tasks[[#This Row],[_LeafTotalCost]]))</f>
        <v/>
      </c>
      <c r="AV60" s="112"/>
      <c r="AW60" s="46"/>
      <c r="AX6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0" s="96"/>
      <c r="AZ6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0" s="47"/>
      <c r="BB60" s="25" t="str">
        <f aca="false">IF(Tasks[[#This Row],[Task Name]]="","",Tasks[[#This Row],[Forecast Start]])</f>
        <v/>
      </c>
      <c r="BC60" s="25" t="str">
        <f aca="false">IF(Tasks[[#This Row],[Task Name]]="","",Tasks[[#This Row],[Forecast Finish]])</f>
        <v/>
      </c>
      <c r="BD60" s="45" t="str">
        <f aca="false">IF(Tasks[[#This Row],[Task Name]]="","",IF(Tasks[[#This Row],[_IsSummary]],NETWORKDAYS.INTL(Tasks[[#This Row],[Forecast Start]],Tasks[[#This Row],[Forecast Finish]],WorkWeek,Holidays),N(Tasks[[#This Row],[Duration]])))</f>
        <v/>
      </c>
      <c r="BE60" s="110" t="str">
        <f aca="false">IF(Tasks[[#This Row],[Task Name]]="","",Tasks[[#This Row],[Work]])</f>
        <v/>
      </c>
      <c r="BF60" s="111" t="str">
        <f aca="false">IF(Tasks[[#This Row],[Task Name]]="","",Tasks[[#This Row],[Cost]])</f>
        <v/>
      </c>
      <c r="BG60" s="88"/>
      <c r="BH60" s="88"/>
      <c r="BI60" s="46"/>
      <c r="BJ60" s="113"/>
      <c r="BK60" s="112"/>
      <c r="BL60" s="45" t="str">
        <f aca="false">IF(OR(Tasks[[#This Row],[Task Name]]="",Tasks[[#This Row],[Baseline Duration]]=""),"",Tasks[[#This Row],[BL Source Duration]]-N(Tasks[[#This Row],[Baseline Duration]]))</f>
        <v/>
      </c>
      <c r="BM60" s="110" t="str">
        <f aca="false">IF(OR(Tasks[[#This Row],[Task Name]]="",Tasks[[#This Row],[Baseline Work]]=""),"",Tasks[[#This Row],[Work]]-N(Tasks[[#This Row],[Baseline Work]]))</f>
        <v/>
      </c>
      <c r="BN60" s="111" t="str">
        <f aca="false">IF(OR(Tasks[[#This Row],[Task Name]]="",Tasks[[#This Row],[Baseline Cost]]=""),"",Tasks[[#This Row],[Cost]]-N(Tasks[[#This Row],[Baseline Cost]]))</f>
        <v/>
      </c>
      <c r="BO60" s="111" t="str">
        <f aca="false">IF(Tasks[[#This Row],[Task Name]]="","",IF(Tasks[[#This Row],[_IsSummary]],SUM(INDEX(Tasks[_LeafBudget],Tasks[[#This Row],[_Row]]+1):INDEX(Tasks[_LeafBudget],Tasks[[#This Row],[_Row]]+Tasks[[#This Row],[_Descendants]])),Tasks[[#This Row],[_LeafBudget]]))</f>
        <v/>
      </c>
      <c r="BP60" s="111" t="str">
        <f aca="false">IF(Tasks[[#This Row],[Task Name]]="","",IF(Tasks[[#This Row],[_IsSummary]],SUM(INDEX(Tasks[_LeafPV],Tasks[[#This Row],[_Row]]+1):INDEX(Tasks[_LeafPV],Tasks[[#This Row],[_Row]]+Tasks[[#This Row],[_Descendants]])),Tasks[[#This Row],[_LeafPV]]))</f>
        <v/>
      </c>
      <c r="BQ60" s="111" t="str">
        <f aca="false">IF(Tasks[[#This Row],[Task Name]]="","",IF(Tasks[[#This Row],[_IsSummary]],SUM(INDEX(Tasks[_LeafEV],Tasks[[#This Row],[_Row]]+1):INDEX(Tasks[_LeafEV],Tasks[[#This Row],[_Row]]+Tasks[[#This Row],[_Descendants]])),Tasks[[#This Row],[_LeafEV]]))</f>
        <v/>
      </c>
      <c r="BR60" s="111" t="str">
        <f aca="false">IF(Tasks[[#This Row],[Task Name]]="","",IF(Tasks[[#This Row],[_IsSummary]],SUM(INDEX(Tasks[_LeafAC],Tasks[[#This Row],[_Row]]+1):INDEX(Tasks[_LeafAC],Tasks[[#This Row],[_Row]]+Tasks[[#This Row],[_Descendants]])),Tasks[[#This Row],[_LeafAC]]))</f>
        <v/>
      </c>
      <c r="BS60" s="32" t="str">
        <f aca="false">IF(Tasks[[#This Row],[Task Name]]="","",MAX(1,N(Tasks[[#This Row],[Level]])))</f>
        <v/>
      </c>
      <c r="BT60" s="32" t="n">
        <f aca="false">ROW()-ROW(Tasks[[#Headers],[ID]])</f>
        <v>55</v>
      </c>
      <c r="BU60" s="32" t="n">
        <f aca="false">IF(OR(Tasks[[#This Row],[Task Name]]="",Tasks[[#This Row],[_Level]]&lt;=1),0,IFERROR(LOOKUP(2,1/(Tasks[[#Headers],[_Level]]:Tasks[[#This Row],[_Level]]=Tasks[[#This Row],[_Level]]-1),ROW(Tasks[[#Headers],[_Level]]:Tasks[[#This Row],[_Level]])),0))</f>
        <v>0</v>
      </c>
      <c r="BV60" s="32" t="n">
        <f aca="false">IFERROR(N(INDEX(Tasks[_Level],Tasks[[#This Row],[_Row]]+1)),0)</f>
        <v>0</v>
      </c>
      <c r="BW60" s="114" t="b">
        <f aca="false">AND(Tasks[[#This Row],[Task Name]]&lt;&gt;"",Tasks[[#This Row],[_NextLevel]]&gt;Tasks[[#This Row],[_Level]])</f>
        <v>0</v>
      </c>
      <c r="BX60" s="32" t="n">
        <f aca="false">IF(Tasks[[#This Row],[_IsSummary]],COUNTIF(Tasks[WBS],Tasks[[#This Row],[WBS]]&amp;".*"),0)</f>
        <v>0</v>
      </c>
      <c r="BY60" s="32" t="n">
        <f aca="false">IF(AND(Tasks[[#This Row],[Task Name]]&lt;&gt;"",NOT(Tasks[[#This Row],[_IsSummary]])),1,0)</f>
        <v>0</v>
      </c>
      <c r="BZ60" s="32" t="n">
        <f aca="false">IF(N(Tasks[[#This Row],[Pred1 UID]])=0,0,IFERROR(MATCH(Tasks[[#This Row],[Pred1 UID]],Tasks[UID],0),-1))</f>
        <v>0</v>
      </c>
      <c r="CA60" s="32" t="n">
        <f aca="false">IF(N(Tasks[[#This Row],[Pred2 UID]])=0,0,IFERROR(MATCH(Tasks[[#This Row],[Pred2 UID]],Tasks[UID],0),-1))</f>
        <v>0</v>
      </c>
      <c r="CB60" s="32" t="n">
        <f aca="false">IF(N(Tasks[[#This Row],[Pred3 UID]])=0,0,IFERROR(MATCH(Tasks[[#This Row],[Pred3 UID]],Tasks[UID],0),-1))</f>
        <v>0</v>
      </c>
      <c r="CC60" s="32" t="n">
        <f aca="false">IF(N(Tasks[[#This Row],[Pred4 UID]])=0,0,IFERROR(MATCH(Tasks[[#This Row],[Pred4 UID]],Tasks[UID],0),-1))</f>
        <v>0</v>
      </c>
      <c r="CD6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0" s="115" t="n">
        <f aca="false">IF(OR(Tasks[[#This Row],[_ConstraintCode]]=2,Tasks[[#This Row],[_ConstraintCode]]=3,Tasks[[#This Row],[_ConstraintCode]]=4,Tasks[[#This Row],[_ConstraintCode]]=6),Tasks[[#This Row],[_ConstraintStart]],0)</f>
        <v>0</v>
      </c>
      <c r="CG60" s="115" t="n">
        <f aca="false">IF(OR(Tasks[[#This Row],[_ConstraintCode]]=2,Tasks[[#This Row],[_ConstraintCode]]=3,Tasks[[#This Row],[_ConstraintCode]]=5,Tasks[[#This Row],[_ConstraintCode]]=7),Tasks[[#This Row],[_ConstraintStart]],2958465)</f>
        <v>2958465</v>
      </c>
      <c r="CH6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0" s="115" t="str">
        <f aca="false">IF(NOT(Tasks[[#This Row],[_IsLeaf]]=1),"",IF(N(Tasks[[#This Row],[Duration]])&lt;=0,Tasks[[#This Row],[_LeafCalcStart]],WORKDAY.INTL(Tasks[[#This Row],[_LeafCalcStart]],Tasks[[#This Row],[Duration]]-1,WorkWeek,Holidays)))</f>
        <v/>
      </c>
      <c r="CJ6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0" s="32" t="n">
        <f aca="false">IF(NOT(Tasks[[#This Row],[_IsLeaf]]=1),0,IF(N(Tasks[[#This Row],[Actual Finish]])&gt;0,1,MIN(1,N(Tasks[[#This Row],[% Complete]]))))</f>
        <v>0</v>
      </c>
      <c r="CM60" s="32" t="n">
        <f aca="false">IF(OR(NOT(Tasks[[#This Row],[_IsLeaf]]=1),Tasks[[#This Row],[Resource]]=""),0,N(Tasks[[#This Row],[Duration]])*HoursPerDay*IF(Tasks[[#This Row],[Units]]="",DefaultUnits,Tasks[[#This Row],[Units]]))</f>
        <v>0</v>
      </c>
      <c r="CN60" s="32" t="n">
        <f aca="false">IF(Tasks[[#This Row],[_LeafWork]]=0,0,Tasks[[#This Row],[_LeafWork]]*IFERROR(INDEX(res_Rate,MATCH(Tasks[[#This Row],[Resource]],res_Name,0)),0))</f>
        <v>0</v>
      </c>
      <c r="CO60" s="32" t="n">
        <f aca="false">Tasks[[#This Row],[_LeafWork]]+IF(Tasks[[#This Row],[_IsLeaf]]=1,SUMIFS(asg_Work,asg_TaskUID,Tasks[[#This Row],[UID]],asg_Valid,1),0)</f>
        <v>0</v>
      </c>
      <c r="CP60" s="32" t="n">
        <f aca="false">Tasks[[#This Row],[_LeafCost]]+IF(Tasks[[#This Row],[_IsLeaf]]=1,SUMIFS(asg_Cost,asg_TaskUID,Tasks[[#This Row],[UID]],asg_Valid,1),0)</f>
        <v>0</v>
      </c>
      <c r="CQ60" s="32" t="n">
        <f aca="false">IF(Tasks[[#This Row],[_LeafTotalCost]]=0,Tasks[[#This Row],[_LeafAC]],Tasks[[#This Row],[_LeafAC]]*Tasks[[#This Row],[_LeafCost]]/Tasks[[#This Row],[_LeafTotalCost]])</f>
        <v>0</v>
      </c>
      <c r="CR6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0" s="32" t="n">
        <f aca="false">IF(NOT(Tasks[[#This Row],[_IsLeaf]]=1),0,MAX(_xlfn.MAXIFS(Tasks[_Row],Tasks[Pred1 UID],Tasks[[#This Row],[UID]]),_xlfn.MAXIFS(Tasks[_Row],Tasks[Pred2 UID],Tasks[[#This Row],[UID]]),_xlfn.MAXIFS(Tasks[_Row],Tasks[Pred3 UID],Tasks[[#This Row],[UID]]),_xlfn.MAXIFS(Tasks[_Row],Tasks[Pred4 UID],Tasks[[#This Row],[UID]])))</f>
        <v>0</v>
      </c>
      <c r="DA6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0" s="115" t="str">
        <f aca="false">IF(NOT(Tasks[[#This Row],[_IsLeaf]]=1),"",IF(N(Tasks[[#This Row],[Duration]])&lt;=0,Tasks[[#This Row],[_LeafLateFinish]],WORKDAY.INTL(Tasks[[#This Row],[_LeafLateFinish]],-(Tasks[[#This Row],[Duration]]-1),WorkWeek,Holidays)))</f>
        <v/>
      </c>
      <c r="DD6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0" s="114" t="b">
        <f aca="false">AND(Tasks[[#This Row],[_IsLeaf]]=1,Tasks[[#This Row],[_LeafProgress]]&lt;1,N(Tasks[[#This Row],[_LeafTotalSlack]])&lt;=CriticalSlackDays)</f>
        <v>0</v>
      </c>
      <c r="DF60" s="32" t="n">
        <f aca="false">IF(AND(Tasks[[#This Row],[_IsLeaf]]=1,Tasks[[#This Row],[_ConstraintCode]]=1,Tasks[[#This Row],[Mode]]&lt;&gt;"Manual",N(Tasks[[#This Row],[Actual Start]])=0),MAX(0,N(Tasks[[#This Row],[Free Slack]])),0)</f>
        <v>0</v>
      </c>
      <c r="DG60" s="115" t="str">
        <f aca="false">IF(NOT(Tasks[[#This Row],[_IsLeaf]]=1),"",IF(Tasks[[#This Row],[_AlapShift]]=0,Tasks[[#This Row],[_LeafCalcStart]],WORKDAY.INTL(Tasks[[#This Row],[_LeafCalcStart]],Tasks[[#This Row],[_AlapShift]],WorkWeek,Holidays)))</f>
        <v/>
      </c>
      <c r="DH60" s="115" t="str">
        <f aca="false">IF(NOT(Tasks[[#This Row],[_IsLeaf]]=1),"",IF(Tasks[[#This Row],[_AlapShift]]=0,Tasks[[#This Row],[_LeafCalcFinish]],WORKDAY.INTL(Tasks[[#This Row],[_LeafCalcFinish]],Tasks[[#This Row],[_AlapShift]],WorkWeek,Holidays)))</f>
        <v/>
      </c>
      <c r="DI60" s="115" t="str">
        <f aca="false">IF(NOT(Tasks[[#This Row],[_IsLeaf]]=1),"",IF(Tasks[[#This Row],[_AlapShift]]=0,Tasks[[#This Row],[_LeafFcstStart]],WORKDAY.INTL(Tasks[[#This Row],[_LeafFcstStart]],Tasks[[#This Row],[_AlapShift]],WorkWeek,Holidays)))</f>
        <v/>
      </c>
      <c r="DJ60" s="115" t="str">
        <f aca="false">IF(NOT(Tasks[[#This Row],[_IsLeaf]]=1),"",IF(Tasks[[#This Row],[_AlapShift]]=0,Tasks[[#This Row],[_LeafFcstFinish]],WORKDAY.INTL(Tasks[[#This Row],[_LeafFcstFinish]],Tasks[[#This Row],[_AlapShift]],WorkWeek,Holidays)))</f>
        <v/>
      </c>
      <c r="DK60" s="115" t="str">
        <f aca="false">IF(Tasks[[#This Row],[Task Name]]="","",IF(Tasks[[#This Row],[_IsSummary]],MIN(INDEX(Tasks[_ShownCalcStart],Tasks[[#This Row],[_Row]]+1):INDEX(Tasks[_ShownCalcStart],Tasks[[#This Row],[_Row]]+Tasks[[#This Row],[_Descendants]])),Tasks[[#This Row],[_ShownCalcStart]]))</f>
        <v/>
      </c>
      <c r="DL60" s="115" t="str">
        <f aca="false">IF(Tasks[[#This Row],[Task Name]]="","",IF(Tasks[[#This Row],[_IsSummary]],MAX(INDEX(Tasks[_ShownCalcFinish],Tasks[[#This Row],[_Row]]+1):INDEX(Tasks[_ShownCalcFinish],Tasks[[#This Row],[_Row]]+Tasks[[#This Row],[_Descendants]])),Tasks[[#This Row],[_ShownCalcFinish]]))</f>
        <v/>
      </c>
      <c r="DM6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0" s="32" t="n">
        <f aca="false">IF(AND(Tasks[[#This Row],[_IsLeaf]]=1,Tasks[[#This Row],[_LeafTotalWork]]&gt;0),NETWORKDAYS.INTL(ProjectStart,Tasks[[#This Row],[_ShownFcstStart]],WorkWeek,Holidays),0)</f>
        <v>0</v>
      </c>
      <c r="DZ60" s="32" t="n">
        <f aca="false">IF(AND(Tasks[[#This Row],[_IsLeaf]]=1,Tasks[[#This Row],[_LeafTotalWork]]&gt;0),MAX(Tasks[[#This Row],[_StartWorkday]],NETWORKDAYS.INTL(ProjectStart,Tasks[[#This Row],[_ShownFcstFinish]],WorkWeek,Holidays)),0)</f>
        <v>0</v>
      </c>
      <c r="EA60" s="32" t="n">
        <f aca="false">IF(AND(Tasks[[#This Row],[_IsLeaf]]=1,Tasks[[#This Row],[_LeafTotalWork]]&gt;0),Tasks[[#This Row],[_LeafWork]]/(Tasks[[#This Row],[_FinishWorkday]]-Tasks[[#This Row],[_StartWorkday]]+1),0)</f>
        <v>0</v>
      </c>
      <c r="EB60" s="32" t="n">
        <f aca="false">Tasks[[#This Row],[_WorkPerWorkday]]*(Tasks[[#This Row],[_StartWorkday]]-1)</f>
        <v>-0</v>
      </c>
      <c r="EC60" s="32" t="n">
        <f aca="false">IF(Tasks[[#This Row],[_IsLeaf]]=1,MAX(N(Tasks[[#This Row],[Duration]]),0.1),0)</f>
        <v>0</v>
      </c>
      <c r="ED60" s="32" t="n">
        <f aca="false">Tasks[[#This Row],[_WeightDur]]*Tasks[[#This Row],[_LeafProgress]]</f>
        <v>0</v>
      </c>
      <c r="EE6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0" s="32" t="str">
        <f aca="false">IF(AND(Tasks[[#This Row],[_IsLeaf]]=1,N(Tasks[[#This Row],[Duration]])=0,Tasks[[#This Row],[_LeafProgress]]&lt;1),Tasks[[#This Row],[_ShownFcstFinish]]+Tasks[[#This Row],[_Row]]/100000,"")</f>
        <v/>
      </c>
      <c r="EG6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0" s="32" t="n">
        <f aca="false">IF(NOT(Tasks[[#This Row],[_IsLeaf]]=1),0,IF(Tasks[[#This Row],[Baseline Cost]]="",Tasks[[#This Row],[_LeafTotalCost]],N(Tasks[[#This Row],[Baseline Cost]])))</f>
        <v>0</v>
      </c>
      <c r="EI60" s="32" t="n">
        <f aca="false">Tasks[[#This Row],[_LeafBudget]]*Tasks[[#This Row],[_PlannedPct]]</f>
        <v>0</v>
      </c>
      <c r="EJ60" s="32" t="n">
        <f aca="false">Tasks[[#This Row],[_LeafBudget]]*Tasks[[#This Row],[_LeafProgress]]</f>
        <v>0</v>
      </c>
      <c r="EK60" s="32" t="n">
        <f aca="false">IF(NOT(Tasks[[#This Row],[_IsLeaf]]=1),0,IF(Tasks[[#This Row],[Actual Cost]]="",Tasks[[#This Row],[_LeafTotalCost]]*Tasks[[#This Row],[_LeafProgress]],N(Tasks[[#This Row],[Actual Cost]])))</f>
        <v>0</v>
      </c>
      <c r="EL60" s="32" t="str">
        <f aca="false">IF(Tasks[[#This Row],[Task Name]]="","",LEFT(Tasks[[#This Row],[WBS]],FIND(".",Tasks[[#This Row],[WBS]]&amp;".")-1))</f>
        <v/>
      </c>
      <c r="EM60" s="32" t="str">
        <f aca="false">IF(AND(Tasks[[#This Row],[Task Name]]&lt;&gt;"",Tasks[[#This Row],[_Level]]=1),Tasks[[#This Row],[_Row]],"")</f>
        <v/>
      </c>
      <c r="EN60" s="32" t="str">
        <f aca="false">IF(AND(Tasks[[#This Row],[_IsLeaf]]=1,N(Tasks[[#This Row],[Duration]])=0),Tasks[[#This Row],[Planned Finish]]+Tasks[[#This Row],[_Row]]/100000,"")</f>
        <v/>
      </c>
      <c r="EO60" s="32" t="str">
        <f aca="false">IF(AND(Tasks[[#This Row],[_IsLeaf]]=1,Tasks[[#This Row],[_LeafProgress]]&lt;1,OR(N(Tasks[[#This Row],[Finish Var]])&gt;0,Tasks[[#This Row],[Status]]="Late Start")),MAX(0,Tasks[[#This Row],[Finish Var]])+1-Tasks[[#This Row],[_Row]]/1000000,"")</f>
        <v/>
      </c>
      <c r="EP60" s="32" t="str">
        <f aca="false">IF(AND(Tasks[[#This Row],[_IsLeaf]]=1,N(Tasks[[#This Row],[Actual Start]])=0,Tasks[[#This Row],[_ShownFcstStart]]&gt;=StatusDate,Tasks[[#This Row],[_ShownFcstStart]]&lt;=LookaheadEnd),Tasks[[#This Row],[_ShownFcstStart]]+Tasks[[#This Row],[_Row]]/100000,"")</f>
        <v/>
      </c>
      <c r="EQ60" s="32" t="str">
        <f aca="false">IF(AND(Tasks[[#This Row],[_IsLeaf]]=1,Tasks[[#This Row],[_LeafProgress]]&lt;1,Tasks[[#This Row],[_ShownFcstFinish]]&gt;=StatusDate,Tasks[[#This Row],[_ShownFcstFinish]]&lt;=LookaheadEnd),Tasks[[#This Row],[_ShownFcstFinish]]+Tasks[[#This Row],[_Row]]/100000,"")</f>
        <v/>
      </c>
      <c r="ER60" s="32" t="str">
        <f aca="false">IF(Tasks[[#This Row],[_LeafCritical]],Tasks[[#This Row],[_ShownFcstStart]]+Tasks[[#This Row],[_Row]]/100000,"")</f>
        <v/>
      </c>
      <c r="ES60" s="32" t="n">
        <f aca="false">Tasks[[#This Row],[_LeafWork]]*Tasks[[#This Row],[_LeafProgress]]</f>
        <v>0</v>
      </c>
      <c r="ET60" s="115" t="str">
        <f aca="false">IF(AND(Tasks[[#This Row],[_IsLeaf]]=1,Tasks[[#This Row],[_LeafProgress]]&gt;=1),IF(N(Tasks[[#This Row],[Actual Finish]])&gt;0,Tasks[[#This Row],[Actual Finish]],Tasks[[#This Row],[_ShownFcstFinish]]),"")</f>
        <v/>
      </c>
      <c r="EU60" s="32" t="n">
        <f aca="false">IF(Tasks[[#This Row],[_IsLeaf]]=1,N(Tasks[[#This Row],[Story Points]]),0)</f>
        <v>0</v>
      </c>
      <c r="EV60" s="32" t="str">
        <f aca="false">IF(AND(Tasks[[#This Row],[_IsLeaf]]=1,CurrentSprint&lt;&gt;"",Tasks[[#This Row],[Sprint]]=CurrentSprint),Tasks[[#This Row],[_Row]],"")</f>
        <v/>
      </c>
    </row>
    <row r="61" customFormat="false" ht="15" hidden="false" customHeight="false" outlineLevel="0" collapsed="false">
      <c r="A61" s="45" t="str">
        <f aca="false">IF(Tasks[[#This Row],[Task Name]]="","",COUNTA(Tasks[[#Headers],[Task Name]]:Tasks[[#This Row],[Task Name]])-1)</f>
        <v/>
      </c>
      <c r="B61" s="46" t="n">
        <v>56</v>
      </c>
      <c r="C6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1" s="46"/>
      <c r="E61" s="45" t="str">
        <f aca="false">IF(Tasks[[#This Row],[Task Name]]="","",IF(Tasks[[#This Row],[_Level]]&lt;=OutlineShowLevel,"Yes","No"))</f>
        <v/>
      </c>
      <c r="F61" s="47"/>
      <c r="G61" s="46"/>
      <c r="H61" s="46"/>
      <c r="I61" s="46"/>
      <c r="J61" s="46"/>
      <c r="K61" s="46"/>
      <c r="L61" s="46"/>
      <c r="M61" s="46"/>
      <c r="N61" s="46"/>
      <c r="O61" s="46"/>
      <c r="P61" s="46"/>
      <c r="Q61" s="46"/>
      <c r="R61" s="46"/>
      <c r="S61" s="46"/>
      <c r="T61" s="46"/>
      <c r="U61" s="47"/>
      <c r="V61" s="88"/>
      <c r="W61" s="88"/>
      <c r="X61" s="25" t="str">
        <f aca="false">IF(Tasks[[#This Row],[Task Name]]="","",IF(N(Tasks[[#This Row],[Baseline Start]])&gt;0,Tasks[[#This Row],[Baseline Start]],Tasks[[#This Row],[_CalcStart]]))</f>
        <v/>
      </c>
      <c r="Y61" s="25" t="str">
        <f aca="false">IF(Tasks[[#This Row],[Task Name]]="","",IF(N(Tasks[[#This Row],[Baseline Finish]])&gt;0,Tasks[[#This Row],[Baseline Finish]],Tasks[[#This Row],[_CalcFinish]]))</f>
        <v/>
      </c>
      <c r="Z61" s="88"/>
      <c r="AA61" s="88"/>
      <c r="AB61" s="25" t="str">
        <f aca="false">IF(Tasks[[#This Row],[Task Name]]="","",IF(Tasks[[#This Row],[_IsSummary]],MIN(INDEX(Tasks[_ShownFcstStart],Tasks[[#This Row],[_Row]]+1):INDEX(Tasks[_ShownFcstStart],Tasks[[#This Row],[_Row]]+Tasks[[#This Row],[_Descendants]])),Tasks[[#This Row],[_ShownFcstStart]]))</f>
        <v/>
      </c>
      <c r="AC61" s="25" t="str">
        <f aca="false">IF(Tasks[[#This Row],[Task Name]]="","",IF(Tasks[[#This Row],[_IsSummary]],MAX(INDEX(Tasks[_ShownFcstFinish],Tasks[[#This Row],[_Row]]+1):INDEX(Tasks[_ShownFcstFinish],Tasks[[#This Row],[_Row]]+Tasks[[#This Row],[_Descendants]])),Tasks[[#This Row],[_ShownFcstFinish]]))</f>
        <v/>
      </c>
      <c r="AD6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1" s="25" t="str">
        <f aca="false">IF(Tasks[[#This Row],[Task Name]]="","",IF(Tasks[[#This Row],[_IsSummary]],MIN(INDEX(Tasks[_LeafLateStart],Tasks[[#This Row],[_Row]]+1):INDEX(Tasks[_LeafLateStart],Tasks[[#This Row],[_Row]]+Tasks[[#This Row],[_Descendants]])),Tasks[[#This Row],[_LeafLateStart]]))</f>
        <v/>
      </c>
      <c r="AG61" s="25" t="str">
        <f aca="false">IF(Tasks[[#This Row],[Task Name]]="","",IF(Tasks[[#This Row],[_IsSummary]],MAX(INDEX(Tasks[_LeafLateFinish],Tasks[[#This Row],[_Row]]+1):INDEX(Tasks[_LeafLateFinish],Tasks[[#This Row],[_Row]]+Tasks[[#This Row],[_Descendants]])),Tasks[[#This Row],[_LeafLateFinish]]))</f>
        <v/>
      </c>
      <c r="AH61" s="56" t="str">
        <f aca="false">IF(Tasks[[#This Row],[Task Name]]="","",IF(Tasks[[#This Row],[_IsSummary]],MIN(INDEX(Tasks[_LeafTotalSlack],Tasks[[#This Row],[_Row]]+1):INDEX(Tasks[_LeafTotalSlack],Tasks[[#This Row],[_Row]]+Tasks[[#This Row],[_Descendants]])),Tasks[[#This Row],[_LeafTotalSlack]]))</f>
        <v/>
      </c>
      <c r="AI6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1" s="45" t="str">
        <f aca="false">IF(Tasks[[#This Row],[Task Name]]="","",IF(IF(Tasks[[#This Row],[_IsSummary]],COUNTIF(INDEX(Tasks[_LeafCritical],Tasks[[#This Row],[_Row]]+1):INDEX(Tasks[_LeafCritical],Tasks[[#This Row],[_Row]]+Tasks[[#This Row],[_Descendants]]),TRUE())&gt;0,Tasks[[#This Row],[_LeafCritical]]),"Yes",""))</f>
        <v/>
      </c>
      <c r="AK6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1" s="102"/>
      <c r="AN6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1" s="45" t="str">
        <f aca="false">IF(Tasks[[#This Row],[Task Name]]="","",IF(Tasks[[#This Row],[Progress]]&gt;=1,"Complete",IF(OR(N(Tasks[[#This Row],[Actual Start]])&gt;0,Tasks[[#This Row],[Progress]]&gt;0),IF(Tasks[[#This Row],[Finish Var]]&gt;0,"Behind","In Progress"),IF(Tasks[[#This Row],[Planned Start]]&lt;StatusDate,"Late Start","Not Started"))))</f>
        <v/>
      </c>
      <c r="AP61" s="47"/>
      <c r="AQ61" s="102"/>
      <c r="AR6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1" s="110" t="str">
        <f aca="false">IF(Tasks[[#This Row],[Task Name]]="","",IF(Tasks[[#This Row],[_IsSummary]],SUM(INDEX(Tasks[_LeafTotalWork],Tasks[[#This Row],[_Row]]+1):INDEX(Tasks[_LeafTotalWork],Tasks[[#This Row],[_Row]]+Tasks[[#This Row],[_Descendants]])),Tasks[[#This Row],[_LeafTotalWork]]))</f>
        <v/>
      </c>
      <c r="AU61" s="111" t="str">
        <f aca="false">IF(Tasks[[#This Row],[Task Name]]="","",IF(Tasks[[#This Row],[_IsSummary]],SUM(INDEX(Tasks[_LeafTotalCost],Tasks[[#This Row],[_Row]]+1):INDEX(Tasks[_LeafTotalCost],Tasks[[#This Row],[_Row]]+Tasks[[#This Row],[_Descendants]])),Tasks[[#This Row],[_LeafTotalCost]]))</f>
        <v/>
      </c>
      <c r="AV61" s="112"/>
      <c r="AW61" s="46"/>
      <c r="AX6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1" s="96"/>
      <c r="AZ6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1" s="47"/>
      <c r="BB61" s="25" t="str">
        <f aca="false">IF(Tasks[[#This Row],[Task Name]]="","",Tasks[[#This Row],[Forecast Start]])</f>
        <v/>
      </c>
      <c r="BC61" s="25" t="str">
        <f aca="false">IF(Tasks[[#This Row],[Task Name]]="","",Tasks[[#This Row],[Forecast Finish]])</f>
        <v/>
      </c>
      <c r="BD61" s="45" t="str">
        <f aca="false">IF(Tasks[[#This Row],[Task Name]]="","",IF(Tasks[[#This Row],[_IsSummary]],NETWORKDAYS.INTL(Tasks[[#This Row],[Forecast Start]],Tasks[[#This Row],[Forecast Finish]],WorkWeek,Holidays),N(Tasks[[#This Row],[Duration]])))</f>
        <v/>
      </c>
      <c r="BE61" s="110" t="str">
        <f aca="false">IF(Tasks[[#This Row],[Task Name]]="","",Tasks[[#This Row],[Work]])</f>
        <v/>
      </c>
      <c r="BF61" s="111" t="str">
        <f aca="false">IF(Tasks[[#This Row],[Task Name]]="","",Tasks[[#This Row],[Cost]])</f>
        <v/>
      </c>
      <c r="BG61" s="88"/>
      <c r="BH61" s="88"/>
      <c r="BI61" s="46"/>
      <c r="BJ61" s="113"/>
      <c r="BK61" s="112"/>
      <c r="BL61" s="45" t="str">
        <f aca="false">IF(OR(Tasks[[#This Row],[Task Name]]="",Tasks[[#This Row],[Baseline Duration]]=""),"",Tasks[[#This Row],[BL Source Duration]]-N(Tasks[[#This Row],[Baseline Duration]]))</f>
        <v/>
      </c>
      <c r="BM61" s="110" t="str">
        <f aca="false">IF(OR(Tasks[[#This Row],[Task Name]]="",Tasks[[#This Row],[Baseline Work]]=""),"",Tasks[[#This Row],[Work]]-N(Tasks[[#This Row],[Baseline Work]]))</f>
        <v/>
      </c>
      <c r="BN61" s="111" t="str">
        <f aca="false">IF(OR(Tasks[[#This Row],[Task Name]]="",Tasks[[#This Row],[Baseline Cost]]=""),"",Tasks[[#This Row],[Cost]]-N(Tasks[[#This Row],[Baseline Cost]]))</f>
        <v/>
      </c>
      <c r="BO61" s="111" t="str">
        <f aca="false">IF(Tasks[[#This Row],[Task Name]]="","",IF(Tasks[[#This Row],[_IsSummary]],SUM(INDEX(Tasks[_LeafBudget],Tasks[[#This Row],[_Row]]+1):INDEX(Tasks[_LeafBudget],Tasks[[#This Row],[_Row]]+Tasks[[#This Row],[_Descendants]])),Tasks[[#This Row],[_LeafBudget]]))</f>
        <v/>
      </c>
      <c r="BP61" s="111" t="str">
        <f aca="false">IF(Tasks[[#This Row],[Task Name]]="","",IF(Tasks[[#This Row],[_IsSummary]],SUM(INDEX(Tasks[_LeafPV],Tasks[[#This Row],[_Row]]+1):INDEX(Tasks[_LeafPV],Tasks[[#This Row],[_Row]]+Tasks[[#This Row],[_Descendants]])),Tasks[[#This Row],[_LeafPV]]))</f>
        <v/>
      </c>
      <c r="BQ61" s="111" t="str">
        <f aca="false">IF(Tasks[[#This Row],[Task Name]]="","",IF(Tasks[[#This Row],[_IsSummary]],SUM(INDEX(Tasks[_LeafEV],Tasks[[#This Row],[_Row]]+1):INDEX(Tasks[_LeafEV],Tasks[[#This Row],[_Row]]+Tasks[[#This Row],[_Descendants]])),Tasks[[#This Row],[_LeafEV]]))</f>
        <v/>
      </c>
      <c r="BR61" s="111" t="str">
        <f aca="false">IF(Tasks[[#This Row],[Task Name]]="","",IF(Tasks[[#This Row],[_IsSummary]],SUM(INDEX(Tasks[_LeafAC],Tasks[[#This Row],[_Row]]+1):INDEX(Tasks[_LeafAC],Tasks[[#This Row],[_Row]]+Tasks[[#This Row],[_Descendants]])),Tasks[[#This Row],[_LeafAC]]))</f>
        <v/>
      </c>
      <c r="BS61" s="32" t="str">
        <f aca="false">IF(Tasks[[#This Row],[Task Name]]="","",MAX(1,N(Tasks[[#This Row],[Level]])))</f>
        <v/>
      </c>
      <c r="BT61" s="32" t="n">
        <f aca="false">ROW()-ROW(Tasks[[#Headers],[ID]])</f>
        <v>56</v>
      </c>
      <c r="BU61" s="32" t="n">
        <f aca="false">IF(OR(Tasks[[#This Row],[Task Name]]="",Tasks[[#This Row],[_Level]]&lt;=1),0,IFERROR(LOOKUP(2,1/(Tasks[[#Headers],[_Level]]:Tasks[[#This Row],[_Level]]=Tasks[[#This Row],[_Level]]-1),ROW(Tasks[[#Headers],[_Level]]:Tasks[[#This Row],[_Level]])),0))</f>
        <v>0</v>
      </c>
      <c r="BV61" s="32" t="n">
        <f aca="false">IFERROR(N(INDEX(Tasks[_Level],Tasks[[#This Row],[_Row]]+1)),0)</f>
        <v>0</v>
      </c>
      <c r="BW61" s="114" t="b">
        <f aca="false">AND(Tasks[[#This Row],[Task Name]]&lt;&gt;"",Tasks[[#This Row],[_NextLevel]]&gt;Tasks[[#This Row],[_Level]])</f>
        <v>0</v>
      </c>
      <c r="BX61" s="32" t="n">
        <f aca="false">IF(Tasks[[#This Row],[_IsSummary]],COUNTIF(Tasks[WBS],Tasks[[#This Row],[WBS]]&amp;".*"),0)</f>
        <v>0</v>
      </c>
      <c r="BY61" s="32" t="n">
        <f aca="false">IF(AND(Tasks[[#This Row],[Task Name]]&lt;&gt;"",NOT(Tasks[[#This Row],[_IsSummary]])),1,0)</f>
        <v>0</v>
      </c>
      <c r="BZ61" s="32" t="n">
        <f aca="false">IF(N(Tasks[[#This Row],[Pred1 UID]])=0,0,IFERROR(MATCH(Tasks[[#This Row],[Pred1 UID]],Tasks[UID],0),-1))</f>
        <v>0</v>
      </c>
      <c r="CA61" s="32" t="n">
        <f aca="false">IF(N(Tasks[[#This Row],[Pred2 UID]])=0,0,IFERROR(MATCH(Tasks[[#This Row],[Pred2 UID]],Tasks[UID],0),-1))</f>
        <v>0</v>
      </c>
      <c r="CB61" s="32" t="n">
        <f aca="false">IF(N(Tasks[[#This Row],[Pred3 UID]])=0,0,IFERROR(MATCH(Tasks[[#This Row],[Pred3 UID]],Tasks[UID],0),-1))</f>
        <v>0</v>
      </c>
      <c r="CC61" s="32" t="n">
        <f aca="false">IF(N(Tasks[[#This Row],[Pred4 UID]])=0,0,IFERROR(MATCH(Tasks[[#This Row],[Pred4 UID]],Tasks[UID],0),-1))</f>
        <v>0</v>
      </c>
      <c r="CD6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1" s="115" t="n">
        <f aca="false">IF(OR(Tasks[[#This Row],[_ConstraintCode]]=2,Tasks[[#This Row],[_ConstraintCode]]=3,Tasks[[#This Row],[_ConstraintCode]]=4,Tasks[[#This Row],[_ConstraintCode]]=6),Tasks[[#This Row],[_ConstraintStart]],0)</f>
        <v>0</v>
      </c>
      <c r="CG61" s="115" t="n">
        <f aca="false">IF(OR(Tasks[[#This Row],[_ConstraintCode]]=2,Tasks[[#This Row],[_ConstraintCode]]=3,Tasks[[#This Row],[_ConstraintCode]]=5,Tasks[[#This Row],[_ConstraintCode]]=7),Tasks[[#This Row],[_ConstraintStart]],2958465)</f>
        <v>2958465</v>
      </c>
      <c r="CH6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1" s="115" t="str">
        <f aca="false">IF(NOT(Tasks[[#This Row],[_IsLeaf]]=1),"",IF(N(Tasks[[#This Row],[Duration]])&lt;=0,Tasks[[#This Row],[_LeafCalcStart]],WORKDAY.INTL(Tasks[[#This Row],[_LeafCalcStart]],Tasks[[#This Row],[Duration]]-1,WorkWeek,Holidays)))</f>
        <v/>
      </c>
      <c r="CJ6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1" s="32" t="n">
        <f aca="false">IF(NOT(Tasks[[#This Row],[_IsLeaf]]=1),0,IF(N(Tasks[[#This Row],[Actual Finish]])&gt;0,1,MIN(1,N(Tasks[[#This Row],[% Complete]]))))</f>
        <v>0</v>
      </c>
      <c r="CM61" s="32" t="n">
        <f aca="false">IF(OR(NOT(Tasks[[#This Row],[_IsLeaf]]=1),Tasks[[#This Row],[Resource]]=""),0,N(Tasks[[#This Row],[Duration]])*HoursPerDay*IF(Tasks[[#This Row],[Units]]="",DefaultUnits,Tasks[[#This Row],[Units]]))</f>
        <v>0</v>
      </c>
      <c r="CN61" s="32" t="n">
        <f aca="false">IF(Tasks[[#This Row],[_LeafWork]]=0,0,Tasks[[#This Row],[_LeafWork]]*IFERROR(INDEX(res_Rate,MATCH(Tasks[[#This Row],[Resource]],res_Name,0)),0))</f>
        <v>0</v>
      </c>
      <c r="CO61" s="32" t="n">
        <f aca="false">Tasks[[#This Row],[_LeafWork]]+IF(Tasks[[#This Row],[_IsLeaf]]=1,SUMIFS(asg_Work,asg_TaskUID,Tasks[[#This Row],[UID]],asg_Valid,1),0)</f>
        <v>0</v>
      </c>
      <c r="CP61" s="32" t="n">
        <f aca="false">Tasks[[#This Row],[_LeafCost]]+IF(Tasks[[#This Row],[_IsLeaf]]=1,SUMIFS(asg_Cost,asg_TaskUID,Tasks[[#This Row],[UID]],asg_Valid,1),0)</f>
        <v>0</v>
      </c>
      <c r="CQ61" s="32" t="n">
        <f aca="false">IF(Tasks[[#This Row],[_LeafTotalCost]]=0,Tasks[[#This Row],[_LeafAC]],Tasks[[#This Row],[_LeafAC]]*Tasks[[#This Row],[_LeafCost]]/Tasks[[#This Row],[_LeafTotalCost]])</f>
        <v>0</v>
      </c>
      <c r="CR6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1" s="32" t="n">
        <f aca="false">IF(NOT(Tasks[[#This Row],[_IsLeaf]]=1),0,MAX(_xlfn.MAXIFS(Tasks[_Row],Tasks[Pred1 UID],Tasks[[#This Row],[UID]]),_xlfn.MAXIFS(Tasks[_Row],Tasks[Pred2 UID],Tasks[[#This Row],[UID]]),_xlfn.MAXIFS(Tasks[_Row],Tasks[Pred3 UID],Tasks[[#This Row],[UID]]),_xlfn.MAXIFS(Tasks[_Row],Tasks[Pred4 UID],Tasks[[#This Row],[UID]])))</f>
        <v>0</v>
      </c>
      <c r="DA6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1" s="115" t="str">
        <f aca="false">IF(NOT(Tasks[[#This Row],[_IsLeaf]]=1),"",IF(N(Tasks[[#This Row],[Duration]])&lt;=0,Tasks[[#This Row],[_LeafLateFinish]],WORKDAY.INTL(Tasks[[#This Row],[_LeafLateFinish]],-(Tasks[[#This Row],[Duration]]-1),WorkWeek,Holidays)))</f>
        <v/>
      </c>
      <c r="DD6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1" s="114" t="b">
        <f aca="false">AND(Tasks[[#This Row],[_IsLeaf]]=1,Tasks[[#This Row],[_LeafProgress]]&lt;1,N(Tasks[[#This Row],[_LeafTotalSlack]])&lt;=CriticalSlackDays)</f>
        <v>0</v>
      </c>
      <c r="DF61" s="32" t="n">
        <f aca="false">IF(AND(Tasks[[#This Row],[_IsLeaf]]=1,Tasks[[#This Row],[_ConstraintCode]]=1,Tasks[[#This Row],[Mode]]&lt;&gt;"Manual",N(Tasks[[#This Row],[Actual Start]])=0),MAX(0,N(Tasks[[#This Row],[Free Slack]])),0)</f>
        <v>0</v>
      </c>
      <c r="DG61" s="115" t="str">
        <f aca="false">IF(NOT(Tasks[[#This Row],[_IsLeaf]]=1),"",IF(Tasks[[#This Row],[_AlapShift]]=0,Tasks[[#This Row],[_LeafCalcStart]],WORKDAY.INTL(Tasks[[#This Row],[_LeafCalcStart]],Tasks[[#This Row],[_AlapShift]],WorkWeek,Holidays)))</f>
        <v/>
      </c>
      <c r="DH61" s="115" t="str">
        <f aca="false">IF(NOT(Tasks[[#This Row],[_IsLeaf]]=1),"",IF(Tasks[[#This Row],[_AlapShift]]=0,Tasks[[#This Row],[_LeafCalcFinish]],WORKDAY.INTL(Tasks[[#This Row],[_LeafCalcFinish]],Tasks[[#This Row],[_AlapShift]],WorkWeek,Holidays)))</f>
        <v/>
      </c>
      <c r="DI61" s="115" t="str">
        <f aca="false">IF(NOT(Tasks[[#This Row],[_IsLeaf]]=1),"",IF(Tasks[[#This Row],[_AlapShift]]=0,Tasks[[#This Row],[_LeafFcstStart]],WORKDAY.INTL(Tasks[[#This Row],[_LeafFcstStart]],Tasks[[#This Row],[_AlapShift]],WorkWeek,Holidays)))</f>
        <v/>
      </c>
      <c r="DJ61" s="115" t="str">
        <f aca="false">IF(NOT(Tasks[[#This Row],[_IsLeaf]]=1),"",IF(Tasks[[#This Row],[_AlapShift]]=0,Tasks[[#This Row],[_LeafFcstFinish]],WORKDAY.INTL(Tasks[[#This Row],[_LeafFcstFinish]],Tasks[[#This Row],[_AlapShift]],WorkWeek,Holidays)))</f>
        <v/>
      </c>
      <c r="DK61" s="115" t="str">
        <f aca="false">IF(Tasks[[#This Row],[Task Name]]="","",IF(Tasks[[#This Row],[_IsSummary]],MIN(INDEX(Tasks[_ShownCalcStart],Tasks[[#This Row],[_Row]]+1):INDEX(Tasks[_ShownCalcStart],Tasks[[#This Row],[_Row]]+Tasks[[#This Row],[_Descendants]])),Tasks[[#This Row],[_ShownCalcStart]]))</f>
        <v/>
      </c>
      <c r="DL61" s="115" t="str">
        <f aca="false">IF(Tasks[[#This Row],[Task Name]]="","",IF(Tasks[[#This Row],[_IsSummary]],MAX(INDEX(Tasks[_ShownCalcFinish],Tasks[[#This Row],[_Row]]+1):INDEX(Tasks[_ShownCalcFinish],Tasks[[#This Row],[_Row]]+Tasks[[#This Row],[_Descendants]])),Tasks[[#This Row],[_ShownCalcFinish]]))</f>
        <v/>
      </c>
      <c r="DM6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1" s="32" t="n">
        <f aca="false">IF(AND(Tasks[[#This Row],[_IsLeaf]]=1,Tasks[[#This Row],[_LeafTotalWork]]&gt;0),NETWORKDAYS.INTL(ProjectStart,Tasks[[#This Row],[_ShownFcstStart]],WorkWeek,Holidays),0)</f>
        <v>0</v>
      </c>
      <c r="DZ61" s="32" t="n">
        <f aca="false">IF(AND(Tasks[[#This Row],[_IsLeaf]]=1,Tasks[[#This Row],[_LeafTotalWork]]&gt;0),MAX(Tasks[[#This Row],[_StartWorkday]],NETWORKDAYS.INTL(ProjectStart,Tasks[[#This Row],[_ShownFcstFinish]],WorkWeek,Holidays)),0)</f>
        <v>0</v>
      </c>
      <c r="EA61" s="32" t="n">
        <f aca="false">IF(AND(Tasks[[#This Row],[_IsLeaf]]=1,Tasks[[#This Row],[_LeafTotalWork]]&gt;0),Tasks[[#This Row],[_LeafWork]]/(Tasks[[#This Row],[_FinishWorkday]]-Tasks[[#This Row],[_StartWorkday]]+1),0)</f>
        <v>0</v>
      </c>
      <c r="EB61" s="32" t="n">
        <f aca="false">Tasks[[#This Row],[_WorkPerWorkday]]*(Tasks[[#This Row],[_StartWorkday]]-1)</f>
        <v>-0</v>
      </c>
      <c r="EC61" s="32" t="n">
        <f aca="false">IF(Tasks[[#This Row],[_IsLeaf]]=1,MAX(N(Tasks[[#This Row],[Duration]]),0.1),0)</f>
        <v>0</v>
      </c>
      <c r="ED61" s="32" t="n">
        <f aca="false">Tasks[[#This Row],[_WeightDur]]*Tasks[[#This Row],[_LeafProgress]]</f>
        <v>0</v>
      </c>
      <c r="EE6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1" s="32" t="str">
        <f aca="false">IF(AND(Tasks[[#This Row],[_IsLeaf]]=1,N(Tasks[[#This Row],[Duration]])=0,Tasks[[#This Row],[_LeafProgress]]&lt;1),Tasks[[#This Row],[_ShownFcstFinish]]+Tasks[[#This Row],[_Row]]/100000,"")</f>
        <v/>
      </c>
      <c r="EG6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1" s="32" t="n">
        <f aca="false">IF(NOT(Tasks[[#This Row],[_IsLeaf]]=1),0,IF(Tasks[[#This Row],[Baseline Cost]]="",Tasks[[#This Row],[_LeafTotalCost]],N(Tasks[[#This Row],[Baseline Cost]])))</f>
        <v>0</v>
      </c>
      <c r="EI61" s="32" t="n">
        <f aca="false">Tasks[[#This Row],[_LeafBudget]]*Tasks[[#This Row],[_PlannedPct]]</f>
        <v>0</v>
      </c>
      <c r="EJ61" s="32" t="n">
        <f aca="false">Tasks[[#This Row],[_LeafBudget]]*Tasks[[#This Row],[_LeafProgress]]</f>
        <v>0</v>
      </c>
      <c r="EK61" s="32" t="n">
        <f aca="false">IF(NOT(Tasks[[#This Row],[_IsLeaf]]=1),0,IF(Tasks[[#This Row],[Actual Cost]]="",Tasks[[#This Row],[_LeafTotalCost]]*Tasks[[#This Row],[_LeafProgress]],N(Tasks[[#This Row],[Actual Cost]])))</f>
        <v>0</v>
      </c>
      <c r="EL61" s="32" t="str">
        <f aca="false">IF(Tasks[[#This Row],[Task Name]]="","",LEFT(Tasks[[#This Row],[WBS]],FIND(".",Tasks[[#This Row],[WBS]]&amp;".")-1))</f>
        <v/>
      </c>
      <c r="EM61" s="32" t="str">
        <f aca="false">IF(AND(Tasks[[#This Row],[Task Name]]&lt;&gt;"",Tasks[[#This Row],[_Level]]=1),Tasks[[#This Row],[_Row]],"")</f>
        <v/>
      </c>
      <c r="EN61" s="32" t="str">
        <f aca="false">IF(AND(Tasks[[#This Row],[_IsLeaf]]=1,N(Tasks[[#This Row],[Duration]])=0),Tasks[[#This Row],[Planned Finish]]+Tasks[[#This Row],[_Row]]/100000,"")</f>
        <v/>
      </c>
      <c r="EO61" s="32" t="str">
        <f aca="false">IF(AND(Tasks[[#This Row],[_IsLeaf]]=1,Tasks[[#This Row],[_LeafProgress]]&lt;1,OR(N(Tasks[[#This Row],[Finish Var]])&gt;0,Tasks[[#This Row],[Status]]="Late Start")),MAX(0,Tasks[[#This Row],[Finish Var]])+1-Tasks[[#This Row],[_Row]]/1000000,"")</f>
        <v/>
      </c>
      <c r="EP61" s="32" t="str">
        <f aca="false">IF(AND(Tasks[[#This Row],[_IsLeaf]]=1,N(Tasks[[#This Row],[Actual Start]])=0,Tasks[[#This Row],[_ShownFcstStart]]&gt;=StatusDate,Tasks[[#This Row],[_ShownFcstStart]]&lt;=LookaheadEnd),Tasks[[#This Row],[_ShownFcstStart]]+Tasks[[#This Row],[_Row]]/100000,"")</f>
        <v/>
      </c>
      <c r="EQ61" s="32" t="str">
        <f aca="false">IF(AND(Tasks[[#This Row],[_IsLeaf]]=1,Tasks[[#This Row],[_LeafProgress]]&lt;1,Tasks[[#This Row],[_ShownFcstFinish]]&gt;=StatusDate,Tasks[[#This Row],[_ShownFcstFinish]]&lt;=LookaheadEnd),Tasks[[#This Row],[_ShownFcstFinish]]+Tasks[[#This Row],[_Row]]/100000,"")</f>
        <v/>
      </c>
      <c r="ER61" s="32" t="str">
        <f aca="false">IF(Tasks[[#This Row],[_LeafCritical]],Tasks[[#This Row],[_ShownFcstStart]]+Tasks[[#This Row],[_Row]]/100000,"")</f>
        <v/>
      </c>
      <c r="ES61" s="32" t="n">
        <f aca="false">Tasks[[#This Row],[_LeafWork]]*Tasks[[#This Row],[_LeafProgress]]</f>
        <v>0</v>
      </c>
      <c r="ET61" s="115" t="str">
        <f aca="false">IF(AND(Tasks[[#This Row],[_IsLeaf]]=1,Tasks[[#This Row],[_LeafProgress]]&gt;=1),IF(N(Tasks[[#This Row],[Actual Finish]])&gt;0,Tasks[[#This Row],[Actual Finish]],Tasks[[#This Row],[_ShownFcstFinish]]),"")</f>
        <v/>
      </c>
      <c r="EU61" s="32" t="n">
        <f aca="false">IF(Tasks[[#This Row],[_IsLeaf]]=1,N(Tasks[[#This Row],[Story Points]]),0)</f>
        <v>0</v>
      </c>
      <c r="EV61" s="32" t="str">
        <f aca="false">IF(AND(Tasks[[#This Row],[_IsLeaf]]=1,CurrentSprint&lt;&gt;"",Tasks[[#This Row],[Sprint]]=CurrentSprint),Tasks[[#This Row],[_Row]],"")</f>
        <v/>
      </c>
    </row>
    <row r="62" customFormat="false" ht="15" hidden="false" customHeight="false" outlineLevel="0" collapsed="false">
      <c r="A62" s="45" t="str">
        <f aca="false">IF(Tasks[[#This Row],[Task Name]]="","",COUNTA(Tasks[[#Headers],[Task Name]]:Tasks[[#This Row],[Task Name]])-1)</f>
        <v/>
      </c>
      <c r="B62" s="46" t="n">
        <v>57</v>
      </c>
      <c r="C6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2" s="46"/>
      <c r="E62" s="45" t="str">
        <f aca="false">IF(Tasks[[#This Row],[Task Name]]="","",IF(Tasks[[#This Row],[_Level]]&lt;=OutlineShowLevel,"Yes","No"))</f>
        <v/>
      </c>
      <c r="F62" s="47"/>
      <c r="G62" s="46"/>
      <c r="H62" s="46"/>
      <c r="I62" s="46"/>
      <c r="J62" s="46"/>
      <c r="K62" s="46"/>
      <c r="L62" s="46"/>
      <c r="M62" s="46"/>
      <c r="N62" s="46"/>
      <c r="O62" s="46"/>
      <c r="P62" s="46"/>
      <c r="Q62" s="46"/>
      <c r="R62" s="46"/>
      <c r="S62" s="46"/>
      <c r="T62" s="46"/>
      <c r="U62" s="47"/>
      <c r="V62" s="88"/>
      <c r="W62" s="88"/>
      <c r="X62" s="25" t="str">
        <f aca="false">IF(Tasks[[#This Row],[Task Name]]="","",IF(N(Tasks[[#This Row],[Baseline Start]])&gt;0,Tasks[[#This Row],[Baseline Start]],Tasks[[#This Row],[_CalcStart]]))</f>
        <v/>
      </c>
      <c r="Y62" s="25" t="str">
        <f aca="false">IF(Tasks[[#This Row],[Task Name]]="","",IF(N(Tasks[[#This Row],[Baseline Finish]])&gt;0,Tasks[[#This Row],[Baseline Finish]],Tasks[[#This Row],[_CalcFinish]]))</f>
        <v/>
      </c>
      <c r="Z62" s="88"/>
      <c r="AA62" s="88"/>
      <c r="AB62" s="25" t="str">
        <f aca="false">IF(Tasks[[#This Row],[Task Name]]="","",IF(Tasks[[#This Row],[_IsSummary]],MIN(INDEX(Tasks[_ShownFcstStart],Tasks[[#This Row],[_Row]]+1):INDEX(Tasks[_ShownFcstStart],Tasks[[#This Row],[_Row]]+Tasks[[#This Row],[_Descendants]])),Tasks[[#This Row],[_ShownFcstStart]]))</f>
        <v/>
      </c>
      <c r="AC62" s="25" t="str">
        <f aca="false">IF(Tasks[[#This Row],[Task Name]]="","",IF(Tasks[[#This Row],[_IsSummary]],MAX(INDEX(Tasks[_ShownFcstFinish],Tasks[[#This Row],[_Row]]+1):INDEX(Tasks[_ShownFcstFinish],Tasks[[#This Row],[_Row]]+Tasks[[#This Row],[_Descendants]])),Tasks[[#This Row],[_ShownFcstFinish]]))</f>
        <v/>
      </c>
      <c r="AD6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2" s="25" t="str">
        <f aca="false">IF(Tasks[[#This Row],[Task Name]]="","",IF(Tasks[[#This Row],[_IsSummary]],MIN(INDEX(Tasks[_LeafLateStart],Tasks[[#This Row],[_Row]]+1):INDEX(Tasks[_LeafLateStart],Tasks[[#This Row],[_Row]]+Tasks[[#This Row],[_Descendants]])),Tasks[[#This Row],[_LeafLateStart]]))</f>
        <v/>
      </c>
      <c r="AG62" s="25" t="str">
        <f aca="false">IF(Tasks[[#This Row],[Task Name]]="","",IF(Tasks[[#This Row],[_IsSummary]],MAX(INDEX(Tasks[_LeafLateFinish],Tasks[[#This Row],[_Row]]+1):INDEX(Tasks[_LeafLateFinish],Tasks[[#This Row],[_Row]]+Tasks[[#This Row],[_Descendants]])),Tasks[[#This Row],[_LeafLateFinish]]))</f>
        <v/>
      </c>
      <c r="AH62" s="56" t="str">
        <f aca="false">IF(Tasks[[#This Row],[Task Name]]="","",IF(Tasks[[#This Row],[_IsSummary]],MIN(INDEX(Tasks[_LeafTotalSlack],Tasks[[#This Row],[_Row]]+1):INDEX(Tasks[_LeafTotalSlack],Tasks[[#This Row],[_Row]]+Tasks[[#This Row],[_Descendants]])),Tasks[[#This Row],[_LeafTotalSlack]]))</f>
        <v/>
      </c>
      <c r="AI6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2" s="45" t="str">
        <f aca="false">IF(Tasks[[#This Row],[Task Name]]="","",IF(IF(Tasks[[#This Row],[_IsSummary]],COUNTIF(INDEX(Tasks[_LeafCritical],Tasks[[#This Row],[_Row]]+1):INDEX(Tasks[_LeafCritical],Tasks[[#This Row],[_Row]]+Tasks[[#This Row],[_Descendants]]),TRUE())&gt;0,Tasks[[#This Row],[_LeafCritical]]),"Yes",""))</f>
        <v/>
      </c>
      <c r="AK6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2" s="102"/>
      <c r="AN6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2" s="45" t="str">
        <f aca="false">IF(Tasks[[#This Row],[Task Name]]="","",IF(Tasks[[#This Row],[Progress]]&gt;=1,"Complete",IF(OR(N(Tasks[[#This Row],[Actual Start]])&gt;0,Tasks[[#This Row],[Progress]]&gt;0),IF(Tasks[[#This Row],[Finish Var]]&gt;0,"Behind","In Progress"),IF(Tasks[[#This Row],[Planned Start]]&lt;StatusDate,"Late Start","Not Started"))))</f>
        <v/>
      </c>
      <c r="AP62" s="47"/>
      <c r="AQ62" s="102"/>
      <c r="AR6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2" s="110" t="str">
        <f aca="false">IF(Tasks[[#This Row],[Task Name]]="","",IF(Tasks[[#This Row],[_IsSummary]],SUM(INDEX(Tasks[_LeafTotalWork],Tasks[[#This Row],[_Row]]+1):INDEX(Tasks[_LeafTotalWork],Tasks[[#This Row],[_Row]]+Tasks[[#This Row],[_Descendants]])),Tasks[[#This Row],[_LeafTotalWork]]))</f>
        <v/>
      </c>
      <c r="AU62" s="111" t="str">
        <f aca="false">IF(Tasks[[#This Row],[Task Name]]="","",IF(Tasks[[#This Row],[_IsSummary]],SUM(INDEX(Tasks[_LeafTotalCost],Tasks[[#This Row],[_Row]]+1):INDEX(Tasks[_LeafTotalCost],Tasks[[#This Row],[_Row]]+Tasks[[#This Row],[_Descendants]])),Tasks[[#This Row],[_LeafTotalCost]]))</f>
        <v/>
      </c>
      <c r="AV62" s="112"/>
      <c r="AW62" s="46"/>
      <c r="AX6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2" s="96"/>
      <c r="AZ6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2" s="47"/>
      <c r="BB62" s="25" t="str">
        <f aca="false">IF(Tasks[[#This Row],[Task Name]]="","",Tasks[[#This Row],[Forecast Start]])</f>
        <v/>
      </c>
      <c r="BC62" s="25" t="str">
        <f aca="false">IF(Tasks[[#This Row],[Task Name]]="","",Tasks[[#This Row],[Forecast Finish]])</f>
        <v/>
      </c>
      <c r="BD62" s="45" t="str">
        <f aca="false">IF(Tasks[[#This Row],[Task Name]]="","",IF(Tasks[[#This Row],[_IsSummary]],NETWORKDAYS.INTL(Tasks[[#This Row],[Forecast Start]],Tasks[[#This Row],[Forecast Finish]],WorkWeek,Holidays),N(Tasks[[#This Row],[Duration]])))</f>
        <v/>
      </c>
      <c r="BE62" s="110" t="str">
        <f aca="false">IF(Tasks[[#This Row],[Task Name]]="","",Tasks[[#This Row],[Work]])</f>
        <v/>
      </c>
      <c r="BF62" s="111" t="str">
        <f aca="false">IF(Tasks[[#This Row],[Task Name]]="","",Tasks[[#This Row],[Cost]])</f>
        <v/>
      </c>
      <c r="BG62" s="88"/>
      <c r="BH62" s="88"/>
      <c r="BI62" s="46"/>
      <c r="BJ62" s="113"/>
      <c r="BK62" s="112"/>
      <c r="BL62" s="45" t="str">
        <f aca="false">IF(OR(Tasks[[#This Row],[Task Name]]="",Tasks[[#This Row],[Baseline Duration]]=""),"",Tasks[[#This Row],[BL Source Duration]]-N(Tasks[[#This Row],[Baseline Duration]]))</f>
        <v/>
      </c>
      <c r="BM62" s="110" t="str">
        <f aca="false">IF(OR(Tasks[[#This Row],[Task Name]]="",Tasks[[#This Row],[Baseline Work]]=""),"",Tasks[[#This Row],[Work]]-N(Tasks[[#This Row],[Baseline Work]]))</f>
        <v/>
      </c>
      <c r="BN62" s="111" t="str">
        <f aca="false">IF(OR(Tasks[[#This Row],[Task Name]]="",Tasks[[#This Row],[Baseline Cost]]=""),"",Tasks[[#This Row],[Cost]]-N(Tasks[[#This Row],[Baseline Cost]]))</f>
        <v/>
      </c>
      <c r="BO62" s="111" t="str">
        <f aca="false">IF(Tasks[[#This Row],[Task Name]]="","",IF(Tasks[[#This Row],[_IsSummary]],SUM(INDEX(Tasks[_LeafBudget],Tasks[[#This Row],[_Row]]+1):INDEX(Tasks[_LeafBudget],Tasks[[#This Row],[_Row]]+Tasks[[#This Row],[_Descendants]])),Tasks[[#This Row],[_LeafBudget]]))</f>
        <v/>
      </c>
      <c r="BP62" s="111" t="str">
        <f aca="false">IF(Tasks[[#This Row],[Task Name]]="","",IF(Tasks[[#This Row],[_IsSummary]],SUM(INDEX(Tasks[_LeafPV],Tasks[[#This Row],[_Row]]+1):INDEX(Tasks[_LeafPV],Tasks[[#This Row],[_Row]]+Tasks[[#This Row],[_Descendants]])),Tasks[[#This Row],[_LeafPV]]))</f>
        <v/>
      </c>
      <c r="BQ62" s="111" t="str">
        <f aca="false">IF(Tasks[[#This Row],[Task Name]]="","",IF(Tasks[[#This Row],[_IsSummary]],SUM(INDEX(Tasks[_LeafEV],Tasks[[#This Row],[_Row]]+1):INDEX(Tasks[_LeafEV],Tasks[[#This Row],[_Row]]+Tasks[[#This Row],[_Descendants]])),Tasks[[#This Row],[_LeafEV]]))</f>
        <v/>
      </c>
      <c r="BR62" s="111" t="str">
        <f aca="false">IF(Tasks[[#This Row],[Task Name]]="","",IF(Tasks[[#This Row],[_IsSummary]],SUM(INDEX(Tasks[_LeafAC],Tasks[[#This Row],[_Row]]+1):INDEX(Tasks[_LeafAC],Tasks[[#This Row],[_Row]]+Tasks[[#This Row],[_Descendants]])),Tasks[[#This Row],[_LeafAC]]))</f>
        <v/>
      </c>
      <c r="BS62" s="32" t="str">
        <f aca="false">IF(Tasks[[#This Row],[Task Name]]="","",MAX(1,N(Tasks[[#This Row],[Level]])))</f>
        <v/>
      </c>
      <c r="BT62" s="32" t="n">
        <f aca="false">ROW()-ROW(Tasks[[#Headers],[ID]])</f>
        <v>57</v>
      </c>
      <c r="BU62" s="32" t="n">
        <f aca="false">IF(OR(Tasks[[#This Row],[Task Name]]="",Tasks[[#This Row],[_Level]]&lt;=1),0,IFERROR(LOOKUP(2,1/(Tasks[[#Headers],[_Level]]:Tasks[[#This Row],[_Level]]=Tasks[[#This Row],[_Level]]-1),ROW(Tasks[[#Headers],[_Level]]:Tasks[[#This Row],[_Level]])),0))</f>
        <v>0</v>
      </c>
      <c r="BV62" s="32" t="n">
        <f aca="false">IFERROR(N(INDEX(Tasks[_Level],Tasks[[#This Row],[_Row]]+1)),0)</f>
        <v>0</v>
      </c>
      <c r="BW62" s="114" t="b">
        <f aca="false">AND(Tasks[[#This Row],[Task Name]]&lt;&gt;"",Tasks[[#This Row],[_NextLevel]]&gt;Tasks[[#This Row],[_Level]])</f>
        <v>0</v>
      </c>
      <c r="BX62" s="32" t="n">
        <f aca="false">IF(Tasks[[#This Row],[_IsSummary]],COUNTIF(Tasks[WBS],Tasks[[#This Row],[WBS]]&amp;".*"),0)</f>
        <v>0</v>
      </c>
      <c r="BY62" s="32" t="n">
        <f aca="false">IF(AND(Tasks[[#This Row],[Task Name]]&lt;&gt;"",NOT(Tasks[[#This Row],[_IsSummary]])),1,0)</f>
        <v>0</v>
      </c>
      <c r="BZ62" s="32" t="n">
        <f aca="false">IF(N(Tasks[[#This Row],[Pred1 UID]])=0,0,IFERROR(MATCH(Tasks[[#This Row],[Pred1 UID]],Tasks[UID],0),-1))</f>
        <v>0</v>
      </c>
      <c r="CA62" s="32" t="n">
        <f aca="false">IF(N(Tasks[[#This Row],[Pred2 UID]])=0,0,IFERROR(MATCH(Tasks[[#This Row],[Pred2 UID]],Tasks[UID],0),-1))</f>
        <v>0</v>
      </c>
      <c r="CB62" s="32" t="n">
        <f aca="false">IF(N(Tasks[[#This Row],[Pred3 UID]])=0,0,IFERROR(MATCH(Tasks[[#This Row],[Pred3 UID]],Tasks[UID],0),-1))</f>
        <v>0</v>
      </c>
      <c r="CC62" s="32" t="n">
        <f aca="false">IF(N(Tasks[[#This Row],[Pred4 UID]])=0,0,IFERROR(MATCH(Tasks[[#This Row],[Pred4 UID]],Tasks[UID],0),-1))</f>
        <v>0</v>
      </c>
      <c r="CD6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2" s="115" t="n">
        <f aca="false">IF(OR(Tasks[[#This Row],[_ConstraintCode]]=2,Tasks[[#This Row],[_ConstraintCode]]=3,Tasks[[#This Row],[_ConstraintCode]]=4,Tasks[[#This Row],[_ConstraintCode]]=6),Tasks[[#This Row],[_ConstraintStart]],0)</f>
        <v>0</v>
      </c>
      <c r="CG62" s="115" t="n">
        <f aca="false">IF(OR(Tasks[[#This Row],[_ConstraintCode]]=2,Tasks[[#This Row],[_ConstraintCode]]=3,Tasks[[#This Row],[_ConstraintCode]]=5,Tasks[[#This Row],[_ConstraintCode]]=7),Tasks[[#This Row],[_ConstraintStart]],2958465)</f>
        <v>2958465</v>
      </c>
      <c r="CH6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2" s="115" t="str">
        <f aca="false">IF(NOT(Tasks[[#This Row],[_IsLeaf]]=1),"",IF(N(Tasks[[#This Row],[Duration]])&lt;=0,Tasks[[#This Row],[_LeafCalcStart]],WORKDAY.INTL(Tasks[[#This Row],[_LeafCalcStart]],Tasks[[#This Row],[Duration]]-1,WorkWeek,Holidays)))</f>
        <v/>
      </c>
      <c r="CJ6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2" s="32" t="n">
        <f aca="false">IF(NOT(Tasks[[#This Row],[_IsLeaf]]=1),0,IF(N(Tasks[[#This Row],[Actual Finish]])&gt;0,1,MIN(1,N(Tasks[[#This Row],[% Complete]]))))</f>
        <v>0</v>
      </c>
      <c r="CM62" s="32" t="n">
        <f aca="false">IF(OR(NOT(Tasks[[#This Row],[_IsLeaf]]=1),Tasks[[#This Row],[Resource]]=""),0,N(Tasks[[#This Row],[Duration]])*HoursPerDay*IF(Tasks[[#This Row],[Units]]="",DefaultUnits,Tasks[[#This Row],[Units]]))</f>
        <v>0</v>
      </c>
      <c r="CN62" s="32" t="n">
        <f aca="false">IF(Tasks[[#This Row],[_LeafWork]]=0,0,Tasks[[#This Row],[_LeafWork]]*IFERROR(INDEX(res_Rate,MATCH(Tasks[[#This Row],[Resource]],res_Name,0)),0))</f>
        <v>0</v>
      </c>
      <c r="CO62" s="32" t="n">
        <f aca="false">Tasks[[#This Row],[_LeafWork]]+IF(Tasks[[#This Row],[_IsLeaf]]=1,SUMIFS(asg_Work,asg_TaskUID,Tasks[[#This Row],[UID]],asg_Valid,1),0)</f>
        <v>0</v>
      </c>
      <c r="CP62" s="32" t="n">
        <f aca="false">Tasks[[#This Row],[_LeafCost]]+IF(Tasks[[#This Row],[_IsLeaf]]=1,SUMIFS(asg_Cost,asg_TaskUID,Tasks[[#This Row],[UID]],asg_Valid,1),0)</f>
        <v>0</v>
      </c>
      <c r="CQ62" s="32" t="n">
        <f aca="false">IF(Tasks[[#This Row],[_LeafTotalCost]]=0,Tasks[[#This Row],[_LeafAC]],Tasks[[#This Row],[_LeafAC]]*Tasks[[#This Row],[_LeafCost]]/Tasks[[#This Row],[_LeafTotalCost]])</f>
        <v>0</v>
      </c>
      <c r="CR6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2" s="32" t="n">
        <f aca="false">IF(NOT(Tasks[[#This Row],[_IsLeaf]]=1),0,MAX(_xlfn.MAXIFS(Tasks[_Row],Tasks[Pred1 UID],Tasks[[#This Row],[UID]]),_xlfn.MAXIFS(Tasks[_Row],Tasks[Pred2 UID],Tasks[[#This Row],[UID]]),_xlfn.MAXIFS(Tasks[_Row],Tasks[Pred3 UID],Tasks[[#This Row],[UID]]),_xlfn.MAXIFS(Tasks[_Row],Tasks[Pred4 UID],Tasks[[#This Row],[UID]])))</f>
        <v>0</v>
      </c>
      <c r="DA6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2" s="115" t="str">
        <f aca="false">IF(NOT(Tasks[[#This Row],[_IsLeaf]]=1),"",IF(N(Tasks[[#This Row],[Duration]])&lt;=0,Tasks[[#This Row],[_LeafLateFinish]],WORKDAY.INTL(Tasks[[#This Row],[_LeafLateFinish]],-(Tasks[[#This Row],[Duration]]-1),WorkWeek,Holidays)))</f>
        <v/>
      </c>
      <c r="DD6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2" s="114" t="b">
        <f aca="false">AND(Tasks[[#This Row],[_IsLeaf]]=1,Tasks[[#This Row],[_LeafProgress]]&lt;1,N(Tasks[[#This Row],[_LeafTotalSlack]])&lt;=CriticalSlackDays)</f>
        <v>0</v>
      </c>
      <c r="DF62" s="32" t="n">
        <f aca="false">IF(AND(Tasks[[#This Row],[_IsLeaf]]=1,Tasks[[#This Row],[_ConstraintCode]]=1,Tasks[[#This Row],[Mode]]&lt;&gt;"Manual",N(Tasks[[#This Row],[Actual Start]])=0),MAX(0,N(Tasks[[#This Row],[Free Slack]])),0)</f>
        <v>0</v>
      </c>
      <c r="DG62" s="115" t="str">
        <f aca="false">IF(NOT(Tasks[[#This Row],[_IsLeaf]]=1),"",IF(Tasks[[#This Row],[_AlapShift]]=0,Tasks[[#This Row],[_LeafCalcStart]],WORKDAY.INTL(Tasks[[#This Row],[_LeafCalcStart]],Tasks[[#This Row],[_AlapShift]],WorkWeek,Holidays)))</f>
        <v/>
      </c>
      <c r="DH62" s="115" t="str">
        <f aca="false">IF(NOT(Tasks[[#This Row],[_IsLeaf]]=1),"",IF(Tasks[[#This Row],[_AlapShift]]=0,Tasks[[#This Row],[_LeafCalcFinish]],WORKDAY.INTL(Tasks[[#This Row],[_LeafCalcFinish]],Tasks[[#This Row],[_AlapShift]],WorkWeek,Holidays)))</f>
        <v/>
      </c>
      <c r="DI62" s="115" t="str">
        <f aca="false">IF(NOT(Tasks[[#This Row],[_IsLeaf]]=1),"",IF(Tasks[[#This Row],[_AlapShift]]=0,Tasks[[#This Row],[_LeafFcstStart]],WORKDAY.INTL(Tasks[[#This Row],[_LeafFcstStart]],Tasks[[#This Row],[_AlapShift]],WorkWeek,Holidays)))</f>
        <v/>
      </c>
      <c r="DJ62" s="115" t="str">
        <f aca="false">IF(NOT(Tasks[[#This Row],[_IsLeaf]]=1),"",IF(Tasks[[#This Row],[_AlapShift]]=0,Tasks[[#This Row],[_LeafFcstFinish]],WORKDAY.INTL(Tasks[[#This Row],[_LeafFcstFinish]],Tasks[[#This Row],[_AlapShift]],WorkWeek,Holidays)))</f>
        <v/>
      </c>
      <c r="DK62" s="115" t="str">
        <f aca="false">IF(Tasks[[#This Row],[Task Name]]="","",IF(Tasks[[#This Row],[_IsSummary]],MIN(INDEX(Tasks[_ShownCalcStart],Tasks[[#This Row],[_Row]]+1):INDEX(Tasks[_ShownCalcStart],Tasks[[#This Row],[_Row]]+Tasks[[#This Row],[_Descendants]])),Tasks[[#This Row],[_ShownCalcStart]]))</f>
        <v/>
      </c>
      <c r="DL62" s="115" t="str">
        <f aca="false">IF(Tasks[[#This Row],[Task Name]]="","",IF(Tasks[[#This Row],[_IsSummary]],MAX(INDEX(Tasks[_ShownCalcFinish],Tasks[[#This Row],[_Row]]+1):INDEX(Tasks[_ShownCalcFinish],Tasks[[#This Row],[_Row]]+Tasks[[#This Row],[_Descendants]])),Tasks[[#This Row],[_ShownCalcFinish]]))</f>
        <v/>
      </c>
      <c r="DM6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2" s="32" t="n">
        <f aca="false">IF(AND(Tasks[[#This Row],[_IsLeaf]]=1,Tasks[[#This Row],[_LeafTotalWork]]&gt;0),NETWORKDAYS.INTL(ProjectStart,Tasks[[#This Row],[_ShownFcstStart]],WorkWeek,Holidays),0)</f>
        <v>0</v>
      </c>
      <c r="DZ62" s="32" t="n">
        <f aca="false">IF(AND(Tasks[[#This Row],[_IsLeaf]]=1,Tasks[[#This Row],[_LeafTotalWork]]&gt;0),MAX(Tasks[[#This Row],[_StartWorkday]],NETWORKDAYS.INTL(ProjectStart,Tasks[[#This Row],[_ShownFcstFinish]],WorkWeek,Holidays)),0)</f>
        <v>0</v>
      </c>
      <c r="EA62" s="32" t="n">
        <f aca="false">IF(AND(Tasks[[#This Row],[_IsLeaf]]=1,Tasks[[#This Row],[_LeafTotalWork]]&gt;0),Tasks[[#This Row],[_LeafWork]]/(Tasks[[#This Row],[_FinishWorkday]]-Tasks[[#This Row],[_StartWorkday]]+1),0)</f>
        <v>0</v>
      </c>
      <c r="EB62" s="32" t="n">
        <f aca="false">Tasks[[#This Row],[_WorkPerWorkday]]*(Tasks[[#This Row],[_StartWorkday]]-1)</f>
        <v>-0</v>
      </c>
      <c r="EC62" s="32" t="n">
        <f aca="false">IF(Tasks[[#This Row],[_IsLeaf]]=1,MAX(N(Tasks[[#This Row],[Duration]]),0.1),0)</f>
        <v>0</v>
      </c>
      <c r="ED62" s="32" t="n">
        <f aca="false">Tasks[[#This Row],[_WeightDur]]*Tasks[[#This Row],[_LeafProgress]]</f>
        <v>0</v>
      </c>
      <c r="EE6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2" s="32" t="str">
        <f aca="false">IF(AND(Tasks[[#This Row],[_IsLeaf]]=1,N(Tasks[[#This Row],[Duration]])=0,Tasks[[#This Row],[_LeafProgress]]&lt;1),Tasks[[#This Row],[_ShownFcstFinish]]+Tasks[[#This Row],[_Row]]/100000,"")</f>
        <v/>
      </c>
      <c r="EG6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2" s="32" t="n">
        <f aca="false">IF(NOT(Tasks[[#This Row],[_IsLeaf]]=1),0,IF(Tasks[[#This Row],[Baseline Cost]]="",Tasks[[#This Row],[_LeafTotalCost]],N(Tasks[[#This Row],[Baseline Cost]])))</f>
        <v>0</v>
      </c>
      <c r="EI62" s="32" t="n">
        <f aca="false">Tasks[[#This Row],[_LeafBudget]]*Tasks[[#This Row],[_PlannedPct]]</f>
        <v>0</v>
      </c>
      <c r="EJ62" s="32" t="n">
        <f aca="false">Tasks[[#This Row],[_LeafBudget]]*Tasks[[#This Row],[_LeafProgress]]</f>
        <v>0</v>
      </c>
      <c r="EK62" s="32" t="n">
        <f aca="false">IF(NOT(Tasks[[#This Row],[_IsLeaf]]=1),0,IF(Tasks[[#This Row],[Actual Cost]]="",Tasks[[#This Row],[_LeafTotalCost]]*Tasks[[#This Row],[_LeafProgress]],N(Tasks[[#This Row],[Actual Cost]])))</f>
        <v>0</v>
      </c>
      <c r="EL62" s="32" t="str">
        <f aca="false">IF(Tasks[[#This Row],[Task Name]]="","",LEFT(Tasks[[#This Row],[WBS]],FIND(".",Tasks[[#This Row],[WBS]]&amp;".")-1))</f>
        <v/>
      </c>
      <c r="EM62" s="32" t="str">
        <f aca="false">IF(AND(Tasks[[#This Row],[Task Name]]&lt;&gt;"",Tasks[[#This Row],[_Level]]=1),Tasks[[#This Row],[_Row]],"")</f>
        <v/>
      </c>
      <c r="EN62" s="32" t="str">
        <f aca="false">IF(AND(Tasks[[#This Row],[_IsLeaf]]=1,N(Tasks[[#This Row],[Duration]])=0),Tasks[[#This Row],[Planned Finish]]+Tasks[[#This Row],[_Row]]/100000,"")</f>
        <v/>
      </c>
      <c r="EO62" s="32" t="str">
        <f aca="false">IF(AND(Tasks[[#This Row],[_IsLeaf]]=1,Tasks[[#This Row],[_LeafProgress]]&lt;1,OR(N(Tasks[[#This Row],[Finish Var]])&gt;0,Tasks[[#This Row],[Status]]="Late Start")),MAX(0,Tasks[[#This Row],[Finish Var]])+1-Tasks[[#This Row],[_Row]]/1000000,"")</f>
        <v/>
      </c>
      <c r="EP62" s="32" t="str">
        <f aca="false">IF(AND(Tasks[[#This Row],[_IsLeaf]]=1,N(Tasks[[#This Row],[Actual Start]])=0,Tasks[[#This Row],[_ShownFcstStart]]&gt;=StatusDate,Tasks[[#This Row],[_ShownFcstStart]]&lt;=LookaheadEnd),Tasks[[#This Row],[_ShownFcstStart]]+Tasks[[#This Row],[_Row]]/100000,"")</f>
        <v/>
      </c>
      <c r="EQ62" s="32" t="str">
        <f aca="false">IF(AND(Tasks[[#This Row],[_IsLeaf]]=1,Tasks[[#This Row],[_LeafProgress]]&lt;1,Tasks[[#This Row],[_ShownFcstFinish]]&gt;=StatusDate,Tasks[[#This Row],[_ShownFcstFinish]]&lt;=LookaheadEnd),Tasks[[#This Row],[_ShownFcstFinish]]+Tasks[[#This Row],[_Row]]/100000,"")</f>
        <v/>
      </c>
      <c r="ER62" s="32" t="str">
        <f aca="false">IF(Tasks[[#This Row],[_LeafCritical]],Tasks[[#This Row],[_ShownFcstStart]]+Tasks[[#This Row],[_Row]]/100000,"")</f>
        <v/>
      </c>
      <c r="ES62" s="32" t="n">
        <f aca="false">Tasks[[#This Row],[_LeafWork]]*Tasks[[#This Row],[_LeafProgress]]</f>
        <v>0</v>
      </c>
      <c r="ET62" s="115" t="str">
        <f aca="false">IF(AND(Tasks[[#This Row],[_IsLeaf]]=1,Tasks[[#This Row],[_LeafProgress]]&gt;=1),IF(N(Tasks[[#This Row],[Actual Finish]])&gt;0,Tasks[[#This Row],[Actual Finish]],Tasks[[#This Row],[_ShownFcstFinish]]),"")</f>
        <v/>
      </c>
      <c r="EU62" s="32" t="n">
        <f aca="false">IF(Tasks[[#This Row],[_IsLeaf]]=1,N(Tasks[[#This Row],[Story Points]]),0)</f>
        <v>0</v>
      </c>
      <c r="EV62" s="32" t="str">
        <f aca="false">IF(AND(Tasks[[#This Row],[_IsLeaf]]=1,CurrentSprint&lt;&gt;"",Tasks[[#This Row],[Sprint]]=CurrentSprint),Tasks[[#This Row],[_Row]],"")</f>
        <v/>
      </c>
    </row>
    <row r="63" customFormat="false" ht="15" hidden="false" customHeight="false" outlineLevel="0" collapsed="false">
      <c r="A63" s="45" t="str">
        <f aca="false">IF(Tasks[[#This Row],[Task Name]]="","",COUNTA(Tasks[[#Headers],[Task Name]]:Tasks[[#This Row],[Task Name]])-1)</f>
        <v/>
      </c>
      <c r="B63" s="46" t="n">
        <v>58</v>
      </c>
      <c r="C6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3" s="46"/>
      <c r="E63" s="45" t="str">
        <f aca="false">IF(Tasks[[#This Row],[Task Name]]="","",IF(Tasks[[#This Row],[_Level]]&lt;=OutlineShowLevel,"Yes","No"))</f>
        <v/>
      </c>
      <c r="F63" s="47"/>
      <c r="G63" s="46"/>
      <c r="H63" s="46"/>
      <c r="I63" s="46"/>
      <c r="J63" s="46"/>
      <c r="K63" s="46"/>
      <c r="L63" s="46"/>
      <c r="M63" s="46"/>
      <c r="N63" s="46"/>
      <c r="O63" s="46"/>
      <c r="P63" s="46"/>
      <c r="Q63" s="46"/>
      <c r="R63" s="46"/>
      <c r="S63" s="46"/>
      <c r="T63" s="46"/>
      <c r="U63" s="47"/>
      <c r="V63" s="88"/>
      <c r="W63" s="88"/>
      <c r="X63" s="25" t="str">
        <f aca="false">IF(Tasks[[#This Row],[Task Name]]="","",IF(N(Tasks[[#This Row],[Baseline Start]])&gt;0,Tasks[[#This Row],[Baseline Start]],Tasks[[#This Row],[_CalcStart]]))</f>
        <v/>
      </c>
      <c r="Y63" s="25" t="str">
        <f aca="false">IF(Tasks[[#This Row],[Task Name]]="","",IF(N(Tasks[[#This Row],[Baseline Finish]])&gt;0,Tasks[[#This Row],[Baseline Finish]],Tasks[[#This Row],[_CalcFinish]]))</f>
        <v/>
      </c>
      <c r="Z63" s="88"/>
      <c r="AA63" s="88"/>
      <c r="AB63" s="25" t="str">
        <f aca="false">IF(Tasks[[#This Row],[Task Name]]="","",IF(Tasks[[#This Row],[_IsSummary]],MIN(INDEX(Tasks[_ShownFcstStart],Tasks[[#This Row],[_Row]]+1):INDEX(Tasks[_ShownFcstStart],Tasks[[#This Row],[_Row]]+Tasks[[#This Row],[_Descendants]])),Tasks[[#This Row],[_ShownFcstStart]]))</f>
        <v/>
      </c>
      <c r="AC63" s="25" t="str">
        <f aca="false">IF(Tasks[[#This Row],[Task Name]]="","",IF(Tasks[[#This Row],[_IsSummary]],MAX(INDEX(Tasks[_ShownFcstFinish],Tasks[[#This Row],[_Row]]+1):INDEX(Tasks[_ShownFcstFinish],Tasks[[#This Row],[_Row]]+Tasks[[#This Row],[_Descendants]])),Tasks[[#This Row],[_ShownFcstFinish]]))</f>
        <v/>
      </c>
      <c r="AD6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3" s="25" t="str">
        <f aca="false">IF(Tasks[[#This Row],[Task Name]]="","",IF(Tasks[[#This Row],[_IsSummary]],MIN(INDEX(Tasks[_LeafLateStart],Tasks[[#This Row],[_Row]]+1):INDEX(Tasks[_LeafLateStart],Tasks[[#This Row],[_Row]]+Tasks[[#This Row],[_Descendants]])),Tasks[[#This Row],[_LeafLateStart]]))</f>
        <v/>
      </c>
      <c r="AG63" s="25" t="str">
        <f aca="false">IF(Tasks[[#This Row],[Task Name]]="","",IF(Tasks[[#This Row],[_IsSummary]],MAX(INDEX(Tasks[_LeafLateFinish],Tasks[[#This Row],[_Row]]+1):INDEX(Tasks[_LeafLateFinish],Tasks[[#This Row],[_Row]]+Tasks[[#This Row],[_Descendants]])),Tasks[[#This Row],[_LeafLateFinish]]))</f>
        <v/>
      </c>
      <c r="AH63" s="56" t="str">
        <f aca="false">IF(Tasks[[#This Row],[Task Name]]="","",IF(Tasks[[#This Row],[_IsSummary]],MIN(INDEX(Tasks[_LeafTotalSlack],Tasks[[#This Row],[_Row]]+1):INDEX(Tasks[_LeafTotalSlack],Tasks[[#This Row],[_Row]]+Tasks[[#This Row],[_Descendants]])),Tasks[[#This Row],[_LeafTotalSlack]]))</f>
        <v/>
      </c>
      <c r="AI6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3" s="45" t="str">
        <f aca="false">IF(Tasks[[#This Row],[Task Name]]="","",IF(IF(Tasks[[#This Row],[_IsSummary]],COUNTIF(INDEX(Tasks[_LeafCritical],Tasks[[#This Row],[_Row]]+1):INDEX(Tasks[_LeafCritical],Tasks[[#This Row],[_Row]]+Tasks[[#This Row],[_Descendants]]),TRUE())&gt;0,Tasks[[#This Row],[_LeafCritical]]),"Yes",""))</f>
        <v/>
      </c>
      <c r="AK6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3" s="102"/>
      <c r="AN6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3" s="45" t="str">
        <f aca="false">IF(Tasks[[#This Row],[Task Name]]="","",IF(Tasks[[#This Row],[Progress]]&gt;=1,"Complete",IF(OR(N(Tasks[[#This Row],[Actual Start]])&gt;0,Tasks[[#This Row],[Progress]]&gt;0),IF(Tasks[[#This Row],[Finish Var]]&gt;0,"Behind","In Progress"),IF(Tasks[[#This Row],[Planned Start]]&lt;StatusDate,"Late Start","Not Started"))))</f>
        <v/>
      </c>
      <c r="AP63" s="47"/>
      <c r="AQ63" s="102"/>
      <c r="AR6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3" s="110" t="str">
        <f aca="false">IF(Tasks[[#This Row],[Task Name]]="","",IF(Tasks[[#This Row],[_IsSummary]],SUM(INDEX(Tasks[_LeafTotalWork],Tasks[[#This Row],[_Row]]+1):INDEX(Tasks[_LeafTotalWork],Tasks[[#This Row],[_Row]]+Tasks[[#This Row],[_Descendants]])),Tasks[[#This Row],[_LeafTotalWork]]))</f>
        <v/>
      </c>
      <c r="AU63" s="111" t="str">
        <f aca="false">IF(Tasks[[#This Row],[Task Name]]="","",IF(Tasks[[#This Row],[_IsSummary]],SUM(INDEX(Tasks[_LeafTotalCost],Tasks[[#This Row],[_Row]]+1):INDEX(Tasks[_LeafTotalCost],Tasks[[#This Row],[_Row]]+Tasks[[#This Row],[_Descendants]])),Tasks[[#This Row],[_LeafTotalCost]]))</f>
        <v/>
      </c>
      <c r="AV63" s="112"/>
      <c r="AW63" s="46"/>
      <c r="AX6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3" s="96"/>
      <c r="AZ6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3" s="47"/>
      <c r="BB63" s="25" t="str">
        <f aca="false">IF(Tasks[[#This Row],[Task Name]]="","",Tasks[[#This Row],[Forecast Start]])</f>
        <v/>
      </c>
      <c r="BC63" s="25" t="str">
        <f aca="false">IF(Tasks[[#This Row],[Task Name]]="","",Tasks[[#This Row],[Forecast Finish]])</f>
        <v/>
      </c>
      <c r="BD63" s="45" t="str">
        <f aca="false">IF(Tasks[[#This Row],[Task Name]]="","",IF(Tasks[[#This Row],[_IsSummary]],NETWORKDAYS.INTL(Tasks[[#This Row],[Forecast Start]],Tasks[[#This Row],[Forecast Finish]],WorkWeek,Holidays),N(Tasks[[#This Row],[Duration]])))</f>
        <v/>
      </c>
      <c r="BE63" s="110" t="str">
        <f aca="false">IF(Tasks[[#This Row],[Task Name]]="","",Tasks[[#This Row],[Work]])</f>
        <v/>
      </c>
      <c r="BF63" s="111" t="str">
        <f aca="false">IF(Tasks[[#This Row],[Task Name]]="","",Tasks[[#This Row],[Cost]])</f>
        <v/>
      </c>
      <c r="BG63" s="88"/>
      <c r="BH63" s="88"/>
      <c r="BI63" s="46"/>
      <c r="BJ63" s="113"/>
      <c r="BK63" s="112"/>
      <c r="BL63" s="45" t="str">
        <f aca="false">IF(OR(Tasks[[#This Row],[Task Name]]="",Tasks[[#This Row],[Baseline Duration]]=""),"",Tasks[[#This Row],[BL Source Duration]]-N(Tasks[[#This Row],[Baseline Duration]]))</f>
        <v/>
      </c>
      <c r="BM63" s="110" t="str">
        <f aca="false">IF(OR(Tasks[[#This Row],[Task Name]]="",Tasks[[#This Row],[Baseline Work]]=""),"",Tasks[[#This Row],[Work]]-N(Tasks[[#This Row],[Baseline Work]]))</f>
        <v/>
      </c>
      <c r="BN63" s="111" t="str">
        <f aca="false">IF(OR(Tasks[[#This Row],[Task Name]]="",Tasks[[#This Row],[Baseline Cost]]=""),"",Tasks[[#This Row],[Cost]]-N(Tasks[[#This Row],[Baseline Cost]]))</f>
        <v/>
      </c>
      <c r="BO63" s="111" t="str">
        <f aca="false">IF(Tasks[[#This Row],[Task Name]]="","",IF(Tasks[[#This Row],[_IsSummary]],SUM(INDEX(Tasks[_LeafBudget],Tasks[[#This Row],[_Row]]+1):INDEX(Tasks[_LeafBudget],Tasks[[#This Row],[_Row]]+Tasks[[#This Row],[_Descendants]])),Tasks[[#This Row],[_LeafBudget]]))</f>
        <v/>
      </c>
      <c r="BP63" s="111" t="str">
        <f aca="false">IF(Tasks[[#This Row],[Task Name]]="","",IF(Tasks[[#This Row],[_IsSummary]],SUM(INDEX(Tasks[_LeafPV],Tasks[[#This Row],[_Row]]+1):INDEX(Tasks[_LeafPV],Tasks[[#This Row],[_Row]]+Tasks[[#This Row],[_Descendants]])),Tasks[[#This Row],[_LeafPV]]))</f>
        <v/>
      </c>
      <c r="BQ63" s="111" t="str">
        <f aca="false">IF(Tasks[[#This Row],[Task Name]]="","",IF(Tasks[[#This Row],[_IsSummary]],SUM(INDEX(Tasks[_LeafEV],Tasks[[#This Row],[_Row]]+1):INDEX(Tasks[_LeafEV],Tasks[[#This Row],[_Row]]+Tasks[[#This Row],[_Descendants]])),Tasks[[#This Row],[_LeafEV]]))</f>
        <v/>
      </c>
      <c r="BR63" s="111" t="str">
        <f aca="false">IF(Tasks[[#This Row],[Task Name]]="","",IF(Tasks[[#This Row],[_IsSummary]],SUM(INDEX(Tasks[_LeafAC],Tasks[[#This Row],[_Row]]+1):INDEX(Tasks[_LeafAC],Tasks[[#This Row],[_Row]]+Tasks[[#This Row],[_Descendants]])),Tasks[[#This Row],[_LeafAC]]))</f>
        <v/>
      </c>
      <c r="BS63" s="32" t="str">
        <f aca="false">IF(Tasks[[#This Row],[Task Name]]="","",MAX(1,N(Tasks[[#This Row],[Level]])))</f>
        <v/>
      </c>
      <c r="BT63" s="32" t="n">
        <f aca="false">ROW()-ROW(Tasks[[#Headers],[ID]])</f>
        <v>58</v>
      </c>
      <c r="BU63" s="32" t="n">
        <f aca="false">IF(OR(Tasks[[#This Row],[Task Name]]="",Tasks[[#This Row],[_Level]]&lt;=1),0,IFERROR(LOOKUP(2,1/(Tasks[[#Headers],[_Level]]:Tasks[[#This Row],[_Level]]=Tasks[[#This Row],[_Level]]-1),ROW(Tasks[[#Headers],[_Level]]:Tasks[[#This Row],[_Level]])),0))</f>
        <v>0</v>
      </c>
      <c r="BV63" s="32" t="n">
        <f aca="false">IFERROR(N(INDEX(Tasks[_Level],Tasks[[#This Row],[_Row]]+1)),0)</f>
        <v>0</v>
      </c>
      <c r="BW63" s="114" t="b">
        <f aca="false">AND(Tasks[[#This Row],[Task Name]]&lt;&gt;"",Tasks[[#This Row],[_NextLevel]]&gt;Tasks[[#This Row],[_Level]])</f>
        <v>0</v>
      </c>
      <c r="BX63" s="32" t="n">
        <f aca="false">IF(Tasks[[#This Row],[_IsSummary]],COUNTIF(Tasks[WBS],Tasks[[#This Row],[WBS]]&amp;".*"),0)</f>
        <v>0</v>
      </c>
      <c r="BY63" s="32" t="n">
        <f aca="false">IF(AND(Tasks[[#This Row],[Task Name]]&lt;&gt;"",NOT(Tasks[[#This Row],[_IsSummary]])),1,0)</f>
        <v>0</v>
      </c>
      <c r="BZ63" s="32" t="n">
        <f aca="false">IF(N(Tasks[[#This Row],[Pred1 UID]])=0,0,IFERROR(MATCH(Tasks[[#This Row],[Pred1 UID]],Tasks[UID],0),-1))</f>
        <v>0</v>
      </c>
      <c r="CA63" s="32" t="n">
        <f aca="false">IF(N(Tasks[[#This Row],[Pred2 UID]])=0,0,IFERROR(MATCH(Tasks[[#This Row],[Pred2 UID]],Tasks[UID],0),-1))</f>
        <v>0</v>
      </c>
      <c r="CB63" s="32" t="n">
        <f aca="false">IF(N(Tasks[[#This Row],[Pred3 UID]])=0,0,IFERROR(MATCH(Tasks[[#This Row],[Pred3 UID]],Tasks[UID],0),-1))</f>
        <v>0</v>
      </c>
      <c r="CC63" s="32" t="n">
        <f aca="false">IF(N(Tasks[[#This Row],[Pred4 UID]])=0,0,IFERROR(MATCH(Tasks[[#This Row],[Pred4 UID]],Tasks[UID],0),-1))</f>
        <v>0</v>
      </c>
      <c r="CD6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3" s="115" t="n">
        <f aca="false">IF(OR(Tasks[[#This Row],[_ConstraintCode]]=2,Tasks[[#This Row],[_ConstraintCode]]=3,Tasks[[#This Row],[_ConstraintCode]]=4,Tasks[[#This Row],[_ConstraintCode]]=6),Tasks[[#This Row],[_ConstraintStart]],0)</f>
        <v>0</v>
      </c>
      <c r="CG63" s="115" t="n">
        <f aca="false">IF(OR(Tasks[[#This Row],[_ConstraintCode]]=2,Tasks[[#This Row],[_ConstraintCode]]=3,Tasks[[#This Row],[_ConstraintCode]]=5,Tasks[[#This Row],[_ConstraintCode]]=7),Tasks[[#This Row],[_ConstraintStart]],2958465)</f>
        <v>2958465</v>
      </c>
      <c r="CH6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3" s="115" t="str">
        <f aca="false">IF(NOT(Tasks[[#This Row],[_IsLeaf]]=1),"",IF(N(Tasks[[#This Row],[Duration]])&lt;=0,Tasks[[#This Row],[_LeafCalcStart]],WORKDAY.INTL(Tasks[[#This Row],[_LeafCalcStart]],Tasks[[#This Row],[Duration]]-1,WorkWeek,Holidays)))</f>
        <v/>
      </c>
      <c r="CJ6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3" s="32" t="n">
        <f aca="false">IF(NOT(Tasks[[#This Row],[_IsLeaf]]=1),0,IF(N(Tasks[[#This Row],[Actual Finish]])&gt;0,1,MIN(1,N(Tasks[[#This Row],[% Complete]]))))</f>
        <v>0</v>
      </c>
      <c r="CM63" s="32" t="n">
        <f aca="false">IF(OR(NOT(Tasks[[#This Row],[_IsLeaf]]=1),Tasks[[#This Row],[Resource]]=""),0,N(Tasks[[#This Row],[Duration]])*HoursPerDay*IF(Tasks[[#This Row],[Units]]="",DefaultUnits,Tasks[[#This Row],[Units]]))</f>
        <v>0</v>
      </c>
      <c r="CN63" s="32" t="n">
        <f aca="false">IF(Tasks[[#This Row],[_LeafWork]]=0,0,Tasks[[#This Row],[_LeafWork]]*IFERROR(INDEX(res_Rate,MATCH(Tasks[[#This Row],[Resource]],res_Name,0)),0))</f>
        <v>0</v>
      </c>
      <c r="CO63" s="32" t="n">
        <f aca="false">Tasks[[#This Row],[_LeafWork]]+IF(Tasks[[#This Row],[_IsLeaf]]=1,SUMIFS(asg_Work,asg_TaskUID,Tasks[[#This Row],[UID]],asg_Valid,1),0)</f>
        <v>0</v>
      </c>
      <c r="CP63" s="32" t="n">
        <f aca="false">Tasks[[#This Row],[_LeafCost]]+IF(Tasks[[#This Row],[_IsLeaf]]=1,SUMIFS(asg_Cost,asg_TaskUID,Tasks[[#This Row],[UID]],asg_Valid,1),0)</f>
        <v>0</v>
      </c>
      <c r="CQ63" s="32" t="n">
        <f aca="false">IF(Tasks[[#This Row],[_LeafTotalCost]]=0,Tasks[[#This Row],[_LeafAC]],Tasks[[#This Row],[_LeafAC]]*Tasks[[#This Row],[_LeafCost]]/Tasks[[#This Row],[_LeafTotalCost]])</f>
        <v>0</v>
      </c>
      <c r="CR6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3" s="32" t="n">
        <f aca="false">IF(NOT(Tasks[[#This Row],[_IsLeaf]]=1),0,MAX(_xlfn.MAXIFS(Tasks[_Row],Tasks[Pred1 UID],Tasks[[#This Row],[UID]]),_xlfn.MAXIFS(Tasks[_Row],Tasks[Pred2 UID],Tasks[[#This Row],[UID]]),_xlfn.MAXIFS(Tasks[_Row],Tasks[Pred3 UID],Tasks[[#This Row],[UID]]),_xlfn.MAXIFS(Tasks[_Row],Tasks[Pred4 UID],Tasks[[#This Row],[UID]])))</f>
        <v>0</v>
      </c>
      <c r="DA6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3" s="115" t="str">
        <f aca="false">IF(NOT(Tasks[[#This Row],[_IsLeaf]]=1),"",IF(N(Tasks[[#This Row],[Duration]])&lt;=0,Tasks[[#This Row],[_LeafLateFinish]],WORKDAY.INTL(Tasks[[#This Row],[_LeafLateFinish]],-(Tasks[[#This Row],[Duration]]-1),WorkWeek,Holidays)))</f>
        <v/>
      </c>
      <c r="DD6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3" s="114" t="b">
        <f aca="false">AND(Tasks[[#This Row],[_IsLeaf]]=1,Tasks[[#This Row],[_LeafProgress]]&lt;1,N(Tasks[[#This Row],[_LeafTotalSlack]])&lt;=CriticalSlackDays)</f>
        <v>0</v>
      </c>
      <c r="DF63" s="32" t="n">
        <f aca="false">IF(AND(Tasks[[#This Row],[_IsLeaf]]=1,Tasks[[#This Row],[_ConstraintCode]]=1,Tasks[[#This Row],[Mode]]&lt;&gt;"Manual",N(Tasks[[#This Row],[Actual Start]])=0),MAX(0,N(Tasks[[#This Row],[Free Slack]])),0)</f>
        <v>0</v>
      </c>
      <c r="DG63" s="115" t="str">
        <f aca="false">IF(NOT(Tasks[[#This Row],[_IsLeaf]]=1),"",IF(Tasks[[#This Row],[_AlapShift]]=0,Tasks[[#This Row],[_LeafCalcStart]],WORKDAY.INTL(Tasks[[#This Row],[_LeafCalcStart]],Tasks[[#This Row],[_AlapShift]],WorkWeek,Holidays)))</f>
        <v/>
      </c>
      <c r="DH63" s="115" t="str">
        <f aca="false">IF(NOT(Tasks[[#This Row],[_IsLeaf]]=1),"",IF(Tasks[[#This Row],[_AlapShift]]=0,Tasks[[#This Row],[_LeafCalcFinish]],WORKDAY.INTL(Tasks[[#This Row],[_LeafCalcFinish]],Tasks[[#This Row],[_AlapShift]],WorkWeek,Holidays)))</f>
        <v/>
      </c>
      <c r="DI63" s="115" t="str">
        <f aca="false">IF(NOT(Tasks[[#This Row],[_IsLeaf]]=1),"",IF(Tasks[[#This Row],[_AlapShift]]=0,Tasks[[#This Row],[_LeafFcstStart]],WORKDAY.INTL(Tasks[[#This Row],[_LeafFcstStart]],Tasks[[#This Row],[_AlapShift]],WorkWeek,Holidays)))</f>
        <v/>
      </c>
      <c r="DJ63" s="115" t="str">
        <f aca="false">IF(NOT(Tasks[[#This Row],[_IsLeaf]]=1),"",IF(Tasks[[#This Row],[_AlapShift]]=0,Tasks[[#This Row],[_LeafFcstFinish]],WORKDAY.INTL(Tasks[[#This Row],[_LeafFcstFinish]],Tasks[[#This Row],[_AlapShift]],WorkWeek,Holidays)))</f>
        <v/>
      </c>
      <c r="DK63" s="115" t="str">
        <f aca="false">IF(Tasks[[#This Row],[Task Name]]="","",IF(Tasks[[#This Row],[_IsSummary]],MIN(INDEX(Tasks[_ShownCalcStart],Tasks[[#This Row],[_Row]]+1):INDEX(Tasks[_ShownCalcStart],Tasks[[#This Row],[_Row]]+Tasks[[#This Row],[_Descendants]])),Tasks[[#This Row],[_ShownCalcStart]]))</f>
        <v/>
      </c>
      <c r="DL63" s="115" t="str">
        <f aca="false">IF(Tasks[[#This Row],[Task Name]]="","",IF(Tasks[[#This Row],[_IsSummary]],MAX(INDEX(Tasks[_ShownCalcFinish],Tasks[[#This Row],[_Row]]+1):INDEX(Tasks[_ShownCalcFinish],Tasks[[#This Row],[_Row]]+Tasks[[#This Row],[_Descendants]])),Tasks[[#This Row],[_ShownCalcFinish]]))</f>
        <v/>
      </c>
      <c r="DM6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3" s="32" t="n">
        <f aca="false">IF(AND(Tasks[[#This Row],[_IsLeaf]]=1,Tasks[[#This Row],[_LeafTotalWork]]&gt;0),NETWORKDAYS.INTL(ProjectStart,Tasks[[#This Row],[_ShownFcstStart]],WorkWeek,Holidays),0)</f>
        <v>0</v>
      </c>
      <c r="DZ63" s="32" t="n">
        <f aca="false">IF(AND(Tasks[[#This Row],[_IsLeaf]]=1,Tasks[[#This Row],[_LeafTotalWork]]&gt;0),MAX(Tasks[[#This Row],[_StartWorkday]],NETWORKDAYS.INTL(ProjectStart,Tasks[[#This Row],[_ShownFcstFinish]],WorkWeek,Holidays)),0)</f>
        <v>0</v>
      </c>
      <c r="EA63" s="32" t="n">
        <f aca="false">IF(AND(Tasks[[#This Row],[_IsLeaf]]=1,Tasks[[#This Row],[_LeafTotalWork]]&gt;0),Tasks[[#This Row],[_LeafWork]]/(Tasks[[#This Row],[_FinishWorkday]]-Tasks[[#This Row],[_StartWorkday]]+1),0)</f>
        <v>0</v>
      </c>
      <c r="EB63" s="32" t="n">
        <f aca="false">Tasks[[#This Row],[_WorkPerWorkday]]*(Tasks[[#This Row],[_StartWorkday]]-1)</f>
        <v>-0</v>
      </c>
      <c r="EC63" s="32" t="n">
        <f aca="false">IF(Tasks[[#This Row],[_IsLeaf]]=1,MAX(N(Tasks[[#This Row],[Duration]]),0.1),0)</f>
        <v>0</v>
      </c>
      <c r="ED63" s="32" t="n">
        <f aca="false">Tasks[[#This Row],[_WeightDur]]*Tasks[[#This Row],[_LeafProgress]]</f>
        <v>0</v>
      </c>
      <c r="EE6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3" s="32" t="str">
        <f aca="false">IF(AND(Tasks[[#This Row],[_IsLeaf]]=1,N(Tasks[[#This Row],[Duration]])=0,Tasks[[#This Row],[_LeafProgress]]&lt;1),Tasks[[#This Row],[_ShownFcstFinish]]+Tasks[[#This Row],[_Row]]/100000,"")</f>
        <v/>
      </c>
      <c r="EG6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3" s="32" t="n">
        <f aca="false">IF(NOT(Tasks[[#This Row],[_IsLeaf]]=1),0,IF(Tasks[[#This Row],[Baseline Cost]]="",Tasks[[#This Row],[_LeafTotalCost]],N(Tasks[[#This Row],[Baseline Cost]])))</f>
        <v>0</v>
      </c>
      <c r="EI63" s="32" t="n">
        <f aca="false">Tasks[[#This Row],[_LeafBudget]]*Tasks[[#This Row],[_PlannedPct]]</f>
        <v>0</v>
      </c>
      <c r="EJ63" s="32" t="n">
        <f aca="false">Tasks[[#This Row],[_LeafBudget]]*Tasks[[#This Row],[_LeafProgress]]</f>
        <v>0</v>
      </c>
      <c r="EK63" s="32" t="n">
        <f aca="false">IF(NOT(Tasks[[#This Row],[_IsLeaf]]=1),0,IF(Tasks[[#This Row],[Actual Cost]]="",Tasks[[#This Row],[_LeafTotalCost]]*Tasks[[#This Row],[_LeafProgress]],N(Tasks[[#This Row],[Actual Cost]])))</f>
        <v>0</v>
      </c>
      <c r="EL63" s="32" t="str">
        <f aca="false">IF(Tasks[[#This Row],[Task Name]]="","",LEFT(Tasks[[#This Row],[WBS]],FIND(".",Tasks[[#This Row],[WBS]]&amp;".")-1))</f>
        <v/>
      </c>
      <c r="EM63" s="32" t="str">
        <f aca="false">IF(AND(Tasks[[#This Row],[Task Name]]&lt;&gt;"",Tasks[[#This Row],[_Level]]=1),Tasks[[#This Row],[_Row]],"")</f>
        <v/>
      </c>
      <c r="EN63" s="32" t="str">
        <f aca="false">IF(AND(Tasks[[#This Row],[_IsLeaf]]=1,N(Tasks[[#This Row],[Duration]])=0),Tasks[[#This Row],[Planned Finish]]+Tasks[[#This Row],[_Row]]/100000,"")</f>
        <v/>
      </c>
      <c r="EO63" s="32" t="str">
        <f aca="false">IF(AND(Tasks[[#This Row],[_IsLeaf]]=1,Tasks[[#This Row],[_LeafProgress]]&lt;1,OR(N(Tasks[[#This Row],[Finish Var]])&gt;0,Tasks[[#This Row],[Status]]="Late Start")),MAX(0,Tasks[[#This Row],[Finish Var]])+1-Tasks[[#This Row],[_Row]]/1000000,"")</f>
        <v/>
      </c>
      <c r="EP63" s="32" t="str">
        <f aca="false">IF(AND(Tasks[[#This Row],[_IsLeaf]]=1,N(Tasks[[#This Row],[Actual Start]])=0,Tasks[[#This Row],[_ShownFcstStart]]&gt;=StatusDate,Tasks[[#This Row],[_ShownFcstStart]]&lt;=LookaheadEnd),Tasks[[#This Row],[_ShownFcstStart]]+Tasks[[#This Row],[_Row]]/100000,"")</f>
        <v/>
      </c>
      <c r="EQ63" s="32" t="str">
        <f aca="false">IF(AND(Tasks[[#This Row],[_IsLeaf]]=1,Tasks[[#This Row],[_LeafProgress]]&lt;1,Tasks[[#This Row],[_ShownFcstFinish]]&gt;=StatusDate,Tasks[[#This Row],[_ShownFcstFinish]]&lt;=LookaheadEnd),Tasks[[#This Row],[_ShownFcstFinish]]+Tasks[[#This Row],[_Row]]/100000,"")</f>
        <v/>
      </c>
      <c r="ER63" s="32" t="str">
        <f aca="false">IF(Tasks[[#This Row],[_LeafCritical]],Tasks[[#This Row],[_ShownFcstStart]]+Tasks[[#This Row],[_Row]]/100000,"")</f>
        <v/>
      </c>
      <c r="ES63" s="32" t="n">
        <f aca="false">Tasks[[#This Row],[_LeafWork]]*Tasks[[#This Row],[_LeafProgress]]</f>
        <v>0</v>
      </c>
      <c r="ET63" s="115" t="str">
        <f aca="false">IF(AND(Tasks[[#This Row],[_IsLeaf]]=1,Tasks[[#This Row],[_LeafProgress]]&gt;=1),IF(N(Tasks[[#This Row],[Actual Finish]])&gt;0,Tasks[[#This Row],[Actual Finish]],Tasks[[#This Row],[_ShownFcstFinish]]),"")</f>
        <v/>
      </c>
      <c r="EU63" s="32" t="n">
        <f aca="false">IF(Tasks[[#This Row],[_IsLeaf]]=1,N(Tasks[[#This Row],[Story Points]]),0)</f>
        <v>0</v>
      </c>
      <c r="EV63" s="32" t="str">
        <f aca="false">IF(AND(Tasks[[#This Row],[_IsLeaf]]=1,CurrentSprint&lt;&gt;"",Tasks[[#This Row],[Sprint]]=CurrentSprint),Tasks[[#This Row],[_Row]],"")</f>
        <v/>
      </c>
    </row>
    <row r="64" customFormat="false" ht="15" hidden="false" customHeight="false" outlineLevel="0" collapsed="false">
      <c r="A64" s="45" t="str">
        <f aca="false">IF(Tasks[[#This Row],[Task Name]]="","",COUNTA(Tasks[[#Headers],[Task Name]]:Tasks[[#This Row],[Task Name]])-1)</f>
        <v/>
      </c>
      <c r="B64" s="46" t="n">
        <v>59</v>
      </c>
      <c r="C6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4" s="46"/>
      <c r="E64" s="45" t="str">
        <f aca="false">IF(Tasks[[#This Row],[Task Name]]="","",IF(Tasks[[#This Row],[_Level]]&lt;=OutlineShowLevel,"Yes","No"))</f>
        <v/>
      </c>
      <c r="F64" s="47"/>
      <c r="G64" s="46"/>
      <c r="H64" s="46"/>
      <c r="I64" s="46"/>
      <c r="J64" s="46"/>
      <c r="K64" s="46"/>
      <c r="L64" s="46"/>
      <c r="M64" s="46"/>
      <c r="N64" s="46"/>
      <c r="O64" s="46"/>
      <c r="P64" s="46"/>
      <c r="Q64" s="46"/>
      <c r="R64" s="46"/>
      <c r="S64" s="46"/>
      <c r="T64" s="46"/>
      <c r="U64" s="47"/>
      <c r="V64" s="88"/>
      <c r="W64" s="88"/>
      <c r="X64" s="25" t="str">
        <f aca="false">IF(Tasks[[#This Row],[Task Name]]="","",IF(N(Tasks[[#This Row],[Baseline Start]])&gt;0,Tasks[[#This Row],[Baseline Start]],Tasks[[#This Row],[_CalcStart]]))</f>
        <v/>
      </c>
      <c r="Y64" s="25" t="str">
        <f aca="false">IF(Tasks[[#This Row],[Task Name]]="","",IF(N(Tasks[[#This Row],[Baseline Finish]])&gt;0,Tasks[[#This Row],[Baseline Finish]],Tasks[[#This Row],[_CalcFinish]]))</f>
        <v/>
      </c>
      <c r="Z64" s="88"/>
      <c r="AA64" s="88"/>
      <c r="AB64" s="25" t="str">
        <f aca="false">IF(Tasks[[#This Row],[Task Name]]="","",IF(Tasks[[#This Row],[_IsSummary]],MIN(INDEX(Tasks[_ShownFcstStart],Tasks[[#This Row],[_Row]]+1):INDEX(Tasks[_ShownFcstStart],Tasks[[#This Row],[_Row]]+Tasks[[#This Row],[_Descendants]])),Tasks[[#This Row],[_ShownFcstStart]]))</f>
        <v/>
      </c>
      <c r="AC64" s="25" t="str">
        <f aca="false">IF(Tasks[[#This Row],[Task Name]]="","",IF(Tasks[[#This Row],[_IsSummary]],MAX(INDEX(Tasks[_ShownFcstFinish],Tasks[[#This Row],[_Row]]+1):INDEX(Tasks[_ShownFcstFinish],Tasks[[#This Row],[_Row]]+Tasks[[#This Row],[_Descendants]])),Tasks[[#This Row],[_ShownFcstFinish]]))</f>
        <v/>
      </c>
      <c r="AD6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4" s="25" t="str">
        <f aca="false">IF(Tasks[[#This Row],[Task Name]]="","",IF(Tasks[[#This Row],[_IsSummary]],MIN(INDEX(Tasks[_LeafLateStart],Tasks[[#This Row],[_Row]]+1):INDEX(Tasks[_LeafLateStart],Tasks[[#This Row],[_Row]]+Tasks[[#This Row],[_Descendants]])),Tasks[[#This Row],[_LeafLateStart]]))</f>
        <v/>
      </c>
      <c r="AG64" s="25" t="str">
        <f aca="false">IF(Tasks[[#This Row],[Task Name]]="","",IF(Tasks[[#This Row],[_IsSummary]],MAX(INDEX(Tasks[_LeafLateFinish],Tasks[[#This Row],[_Row]]+1):INDEX(Tasks[_LeafLateFinish],Tasks[[#This Row],[_Row]]+Tasks[[#This Row],[_Descendants]])),Tasks[[#This Row],[_LeafLateFinish]]))</f>
        <v/>
      </c>
      <c r="AH64" s="56" t="str">
        <f aca="false">IF(Tasks[[#This Row],[Task Name]]="","",IF(Tasks[[#This Row],[_IsSummary]],MIN(INDEX(Tasks[_LeafTotalSlack],Tasks[[#This Row],[_Row]]+1):INDEX(Tasks[_LeafTotalSlack],Tasks[[#This Row],[_Row]]+Tasks[[#This Row],[_Descendants]])),Tasks[[#This Row],[_LeafTotalSlack]]))</f>
        <v/>
      </c>
      <c r="AI6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4" s="45" t="str">
        <f aca="false">IF(Tasks[[#This Row],[Task Name]]="","",IF(IF(Tasks[[#This Row],[_IsSummary]],COUNTIF(INDEX(Tasks[_LeafCritical],Tasks[[#This Row],[_Row]]+1):INDEX(Tasks[_LeafCritical],Tasks[[#This Row],[_Row]]+Tasks[[#This Row],[_Descendants]]),TRUE())&gt;0,Tasks[[#This Row],[_LeafCritical]]),"Yes",""))</f>
        <v/>
      </c>
      <c r="AK6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4" s="102"/>
      <c r="AN6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4" s="45" t="str">
        <f aca="false">IF(Tasks[[#This Row],[Task Name]]="","",IF(Tasks[[#This Row],[Progress]]&gt;=1,"Complete",IF(OR(N(Tasks[[#This Row],[Actual Start]])&gt;0,Tasks[[#This Row],[Progress]]&gt;0),IF(Tasks[[#This Row],[Finish Var]]&gt;0,"Behind","In Progress"),IF(Tasks[[#This Row],[Planned Start]]&lt;StatusDate,"Late Start","Not Started"))))</f>
        <v/>
      </c>
      <c r="AP64" s="47"/>
      <c r="AQ64" s="102"/>
      <c r="AR6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4" s="110" t="str">
        <f aca="false">IF(Tasks[[#This Row],[Task Name]]="","",IF(Tasks[[#This Row],[_IsSummary]],SUM(INDEX(Tasks[_LeafTotalWork],Tasks[[#This Row],[_Row]]+1):INDEX(Tasks[_LeafTotalWork],Tasks[[#This Row],[_Row]]+Tasks[[#This Row],[_Descendants]])),Tasks[[#This Row],[_LeafTotalWork]]))</f>
        <v/>
      </c>
      <c r="AU64" s="111" t="str">
        <f aca="false">IF(Tasks[[#This Row],[Task Name]]="","",IF(Tasks[[#This Row],[_IsSummary]],SUM(INDEX(Tasks[_LeafTotalCost],Tasks[[#This Row],[_Row]]+1):INDEX(Tasks[_LeafTotalCost],Tasks[[#This Row],[_Row]]+Tasks[[#This Row],[_Descendants]])),Tasks[[#This Row],[_LeafTotalCost]]))</f>
        <v/>
      </c>
      <c r="AV64" s="112"/>
      <c r="AW64" s="46"/>
      <c r="AX6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4" s="96"/>
      <c r="AZ6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4" s="47"/>
      <c r="BB64" s="25" t="str">
        <f aca="false">IF(Tasks[[#This Row],[Task Name]]="","",Tasks[[#This Row],[Forecast Start]])</f>
        <v/>
      </c>
      <c r="BC64" s="25" t="str">
        <f aca="false">IF(Tasks[[#This Row],[Task Name]]="","",Tasks[[#This Row],[Forecast Finish]])</f>
        <v/>
      </c>
      <c r="BD64" s="45" t="str">
        <f aca="false">IF(Tasks[[#This Row],[Task Name]]="","",IF(Tasks[[#This Row],[_IsSummary]],NETWORKDAYS.INTL(Tasks[[#This Row],[Forecast Start]],Tasks[[#This Row],[Forecast Finish]],WorkWeek,Holidays),N(Tasks[[#This Row],[Duration]])))</f>
        <v/>
      </c>
      <c r="BE64" s="110" t="str">
        <f aca="false">IF(Tasks[[#This Row],[Task Name]]="","",Tasks[[#This Row],[Work]])</f>
        <v/>
      </c>
      <c r="BF64" s="111" t="str">
        <f aca="false">IF(Tasks[[#This Row],[Task Name]]="","",Tasks[[#This Row],[Cost]])</f>
        <v/>
      </c>
      <c r="BG64" s="88"/>
      <c r="BH64" s="88"/>
      <c r="BI64" s="46"/>
      <c r="BJ64" s="113"/>
      <c r="BK64" s="112"/>
      <c r="BL64" s="45" t="str">
        <f aca="false">IF(OR(Tasks[[#This Row],[Task Name]]="",Tasks[[#This Row],[Baseline Duration]]=""),"",Tasks[[#This Row],[BL Source Duration]]-N(Tasks[[#This Row],[Baseline Duration]]))</f>
        <v/>
      </c>
      <c r="BM64" s="110" t="str">
        <f aca="false">IF(OR(Tasks[[#This Row],[Task Name]]="",Tasks[[#This Row],[Baseline Work]]=""),"",Tasks[[#This Row],[Work]]-N(Tasks[[#This Row],[Baseline Work]]))</f>
        <v/>
      </c>
      <c r="BN64" s="111" t="str">
        <f aca="false">IF(OR(Tasks[[#This Row],[Task Name]]="",Tasks[[#This Row],[Baseline Cost]]=""),"",Tasks[[#This Row],[Cost]]-N(Tasks[[#This Row],[Baseline Cost]]))</f>
        <v/>
      </c>
      <c r="BO64" s="111" t="str">
        <f aca="false">IF(Tasks[[#This Row],[Task Name]]="","",IF(Tasks[[#This Row],[_IsSummary]],SUM(INDEX(Tasks[_LeafBudget],Tasks[[#This Row],[_Row]]+1):INDEX(Tasks[_LeafBudget],Tasks[[#This Row],[_Row]]+Tasks[[#This Row],[_Descendants]])),Tasks[[#This Row],[_LeafBudget]]))</f>
        <v/>
      </c>
      <c r="BP64" s="111" t="str">
        <f aca="false">IF(Tasks[[#This Row],[Task Name]]="","",IF(Tasks[[#This Row],[_IsSummary]],SUM(INDEX(Tasks[_LeafPV],Tasks[[#This Row],[_Row]]+1):INDEX(Tasks[_LeafPV],Tasks[[#This Row],[_Row]]+Tasks[[#This Row],[_Descendants]])),Tasks[[#This Row],[_LeafPV]]))</f>
        <v/>
      </c>
      <c r="BQ64" s="111" t="str">
        <f aca="false">IF(Tasks[[#This Row],[Task Name]]="","",IF(Tasks[[#This Row],[_IsSummary]],SUM(INDEX(Tasks[_LeafEV],Tasks[[#This Row],[_Row]]+1):INDEX(Tasks[_LeafEV],Tasks[[#This Row],[_Row]]+Tasks[[#This Row],[_Descendants]])),Tasks[[#This Row],[_LeafEV]]))</f>
        <v/>
      </c>
      <c r="BR64" s="111" t="str">
        <f aca="false">IF(Tasks[[#This Row],[Task Name]]="","",IF(Tasks[[#This Row],[_IsSummary]],SUM(INDEX(Tasks[_LeafAC],Tasks[[#This Row],[_Row]]+1):INDEX(Tasks[_LeafAC],Tasks[[#This Row],[_Row]]+Tasks[[#This Row],[_Descendants]])),Tasks[[#This Row],[_LeafAC]]))</f>
        <v/>
      </c>
      <c r="BS64" s="32" t="str">
        <f aca="false">IF(Tasks[[#This Row],[Task Name]]="","",MAX(1,N(Tasks[[#This Row],[Level]])))</f>
        <v/>
      </c>
      <c r="BT64" s="32" t="n">
        <f aca="false">ROW()-ROW(Tasks[[#Headers],[ID]])</f>
        <v>59</v>
      </c>
      <c r="BU64" s="32" t="n">
        <f aca="false">IF(OR(Tasks[[#This Row],[Task Name]]="",Tasks[[#This Row],[_Level]]&lt;=1),0,IFERROR(LOOKUP(2,1/(Tasks[[#Headers],[_Level]]:Tasks[[#This Row],[_Level]]=Tasks[[#This Row],[_Level]]-1),ROW(Tasks[[#Headers],[_Level]]:Tasks[[#This Row],[_Level]])),0))</f>
        <v>0</v>
      </c>
      <c r="BV64" s="32" t="n">
        <f aca="false">IFERROR(N(INDEX(Tasks[_Level],Tasks[[#This Row],[_Row]]+1)),0)</f>
        <v>0</v>
      </c>
      <c r="BW64" s="114" t="b">
        <f aca="false">AND(Tasks[[#This Row],[Task Name]]&lt;&gt;"",Tasks[[#This Row],[_NextLevel]]&gt;Tasks[[#This Row],[_Level]])</f>
        <v>0</v>
      </c>
      <c r="BX64" s="32" t="n">
        <f aca="false">IF(Tasks[[#This Row],[_IsSummary]],COUNTIF(Tasks[WBS],Tasks[[#This Row],[WBS]]&amp;".*"),0)</f>
        <v>0</v>
      </c>
      <c r="BY64" s="32" t="n">
        <f aca="false">IF(AND(Tasks[[#This Row],[Task Name]]&lt;&gt;"",NOT(Tasks[[#This Row],[_IsSummary]])),1,0)</f>
        <v>0</v>
      </c>
      <c r="BZ64" s="32" t="n">
        <f aca="false">IF(N(Tasks[[#This Row],[Pred1 UID]])=0,0,IFERROR(MATCH(Tasks[[#This Row],[Pred1 UID]],Tasks[UID],0),-1))</f>
        <v>0</v>
      </c>
      <c r="CA64" s="32" t="n">
        <f aca="false">IF(N(Tasks[[#This Row],[Pred2 UID]])=0,0,IFERROR(MATCH(Tasks[[#This Row],[Pred2 UID]],Tasks[UID],0),-1))</f>
        <v>0</v>
      </c>
      <c r="CB64" s="32" t="n">
        <f aca="false">IF(N(Tasks[[#This Row],[Pred3 UID]])=0,0,IFERROR(MATCH(Tasks[[#This Row],[Pred3 UID]],Tasks[UID],0),-1))</f>
        <v>0</v>
      </c>
      <c r="CC64" s="32" t="n">
        <f aca="false">IF(N(Tasks[[#This Row],[Pred4 UID]])=0,0,IFERROR(MATCH(Tasks[[#This Row],[Pred4 UID]],Tasks[UID],0),-1))</f>
        <v>0</v>
      </c>
      <c r="CD6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4" s="115" t="n">
        <f aca="false">IF(OR(Tasks[[#This Row],[_ConstraintCode]]=2,Tasks[[#This Row],[_ConstraintCode]]=3,Tasks[[#This Row],[_ConstraintCode]]=4,Tasks[[#This Row],[_ConstraintCode]]=6),Tasks[[#This Row],[_ConstraintStart]],0)</f>
        <v>0</v>
      </c>
      <c r="CG64" s="115" t="n">
        <f aca="false">IF(OR(Tasks[[#This Row],[_ConstraintCode]]=2,Tasks[[#This Row],[_ConstraintCode]]=3,Tasks[[#This Row],[_ConstraintCode]]=5,Tasks[[#This Row],[_ConstraintCode]]=7),Tasks[[#This Row],[_ConstraintStart]],2958465)</f>
        <v>2958465</v>
      </c>
      <c r="CH6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4" s="115" t="str">
        <f aca="false">IF(NOT(Tasks[[#This Row],[_IsLeaf]]=1),"",IF(N(Tasks[[#This Row],[Duration]])&lt;=0,Tasks[[#This Row],[_LeafCalcStart]],WORKDAY.INTL(Tasks[[#This Row],[_LeafCalcStart]],Tasks[[#This Row],[Duration]]-1,WorkWeek,Holidays)))</f>
        <v/>
      </c>
      <c r="CJ6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4" s="32" t="n">
        <f aca="false">IF(NOT(Tasks[[#This Row],[_IsLeaf]]=1),0,IF(N(Tasks[[#This Row],[Actual Finish]])&gt;0,1,MIN(1,N(Tasks[[#This Row],[% Complete]]))))</f>
        <v>0</v>
      </c>
      <c r="CM64" s="32" t="n">
        <f aca="false">IF(OR(NOT(Tasks[[#This Row],[_IsLeaf]]=1),Tasks[[#This Row],[Resource]]=""),0,N(Tasks[[#This Row],[Duration]])*HoursPerDay*IF(Tasks[[#This Row],[Units]]="",DefaultUnits,Tasks[[#This Row],[Units]]))</f>
        <v>0</v>
      </c>
      <c r="CN64" s="32" t="n">
        <f aca="false">IF(Tasks[[#This Row],[_LeafWork]]=0,0,Tasks[[#This Row],[_LeafWork]]*IFERROR(INDEX(res_Rate,MATCH(Tasks[[#This Row],[Resource]],res_Name,0)),0))</f>
        <v>0</v>
      </c>
      <c r="CO64" s="32" t="n">
        <f aca="false">Tasks[[#This Row],[_LeafWork]]+IF(Tasks[[#This Row],[_IsLeaf]]=1,SUMIFS(asg_Work,asg_TaskUID,Tasks[[#This Row],[UID]],asg_Valid,1),0)</f>
        <v>0</v>
      </c>
      <c r="CP64" s="32" t="n">
        <f aca="false">Tasks[[#This Row],[_LeafCost]]+IF(Tasks[[#This Row],[_IsLeaf]]=1,SUMIFS(asg_Cost,asg_TaskUID,Tasks[[#This Row],[UID]],asg_Valid,1),0)</f>
        <v>0</v>
      </c>
      <c r="CQ64" s="32" t="n">
        <f aca="false">IF(Tasks[[#This Row],[_LeafTotalCost]]=0,Tasks[[#This Row],[_LeafAC]],Tasks[[#This Row],[_LeafAC]]*Tasks[[#This Row],[_LeafCost]]/Tasks[[#This Row],[_LeafTotalCost]])</f>
        <v>0</v>
      </c>
      <c r="CR6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4" s="32" t="n">
        <f aca="false">IF(NOT(Tasks[[#This Row],[_IsLeaf]]=1),0,MAX(_xlfn.MAXIFS(Tasks[_Row],Tasks[Pred1 UID],Tasks[[#This Row],[UID]]),_xlfn.MAXIFS(Tasks[_Row],Tasks[Pred2 UID],Tasks[[#This Row],[UID]]),_xlfn.MAXIFS(Tasks[_Row],Tasks[Pred3 UID],Tasks[[#This Row],[UID]]),_xlfn.MAXIFS(Tasks[_Row],Tasks[Pred4 UID],Tasks[[#This Row],[UID]])))</f>
        <v>0</v>
      </c>
      <c r="DA6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4" s="115" t="str">
        <f aca="false">IF(NOT(Tasks[[#This Row],[_IsLeaf]]=1),"",IF(N(Tasks[[#This Row],[Duration]])&lt;=0,Tasks[[#This Row],[_LeafLateFinish]],WORKDAY.INTL(Tasks[[#This Row],[_LeafLateFinish]],-(Tasks[[#This Row],[Duration]]-1),WorkWeek,Holidays)))</f>
        <v/>
      </c>
      <c r="DD6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4" s="114" t="b">
        <f aca="false">AND(Tasks[[#This Row],[_IsLeaf]]=1,Tasks[[#This Row],[_LeafProgress]]&lt;1,N(Tasks[[#This Row],[_LeafTotalSlack]])&lt;=CriticalSlackDays)</f>
        <v>0</v>
      </c>
      <c r="DF64" s="32" t="n">
        <f aca="false">IF(AND(Tasks[[#This Row],[_IsLeaf]]=1,Tasks[[#This Row],[_ConstraintCode]]=1,Tasks[[#This Row],[Mode]]&lt;&gt;"Manual",N(Tasks[[#This Row],[Actual Start]])=0),MAX(0,N(Tasks[[#This Row],[Free Slack]])),0)</f>
        <v>0</v>
      </c>
      <c r="DG64" s="115" t="str">
        <f aca="false">IF(NOT(Tasks[[#This Row],[_IsLeaf]]=1),"",IF(Tasks[[#This Row],[_AlapShift]]=0,Tasks[[#This Row],[_LeafCalcStart]],WORKDAY.INTL(Tasks[[#This Row],[_LeafCalcStart]],Tasks[[#This Row],[_AlapShift]],WorkWeek,Holidays)))</f>
        <v/>
      </c>
      <c r="DH64" s="115" t="str">
        <f aca="false">IF(NOT(Tasks[[#This Row],[_IsLeaf]]=1),"",IF(Tasks[[#This Row],[_AlapShift]]=0,Tasks[[#This Row],[_LeafCalcFinish]],WORKDAY.INTL(Tasks[[#This Row],[_LeafCalcFinish]],Tasks[[#This Row],[_AlapShift]],WorkWeek,Holidays)))</f>
        <v/>
      </c>
      <c r="DI64" s="115" t="str">
        <f aca="false">IF(NOT(Tasks[[#This Row],[_IsLeaf]]=1),"",IF(Tasks[[#This Row],[_AlapShift]]=0,Tasks[[#This Row],[_LeafFcstStart]],WORKDAY.INTL(Tasks[[#This Row],[_LeafFcstStart]],Tasks[[#This Row],[_AlapShift]],WorkWeek,Holidays)))</f>
        <v/>
      </c>
      <c r="DJ64" s="115" t="str">
        <f aca="false">IF(NOT(Tasks[[#This Row],[_IsLeaf]]=1),"",IF(Tasks[[#This Row],[_AlapShift]]=0,Tasks[[#This Row],[_LeafFcstFinish]],WORKDAY.INTL(Tasks[[#This Row],[_LeafFcstFinish]],Tasks[[#This Row],[_AlapShift]],WorkWeek,Holidays)))</f>
        <v/>
      </c>
      <c r="DK64" s="115" t="str">
        <f aca="false">IF(Tasks[[#This Row],[Task Name]]="","",IF(Tasks[[#This Row],[_IsSummary]],MIN(INDEX(Tasks[_ShownCalcStart],Tasks[[#This Row],[_Row]]+1):INDEX(Tasks[_ShownCalcStart],Tasks[[#This Row],[_Row]]+Tasks[[#This Row],[_Descendants]])),Tasks[[#This Row],[_ShownCalcStart]]))</f>
        <v/>
      </c>
      <c r="DL64" s="115" t="str">
        <f aca="false">IF(Tasks[[#This Row],[Task Name]]="","",IF(Tasks[[#This Row],[_IsSummary]],MAX(INDEX(Tasks[_ShownCalcFinish],Tasks[[#This Row],[_Row]]+1):INDEX(Tasks[_ShownCalcFinish],Tasks[[#This Row],[_Row]]+Tasks[[#This Row],[_Descendants]])),Tasks[[#This Row],[_ShownCalcFinish]]))</f>
        <v/>
      </c>
      <c r="DM6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4" s="32" t="n">
        <f aca="false">IF(AND(Tasks[[#This Row],[_IsLeaf]]=1,Tasks[[#This Row],[_LeafTotalWork]]&gt;0),NETWORKDAYS.INTL(ProjectStart,Tasks[[#This Row],[_ShownFcstStart]],WorkWeek,Holidays),0)</f>
        <v>0</v>
      </c>
      <c r="DZ64" s="32" t="n">
        <f aca="false">IF(AND(Tasks[[#This Row],[_IsLeaf]]=1,Tasks[[#This Row],[_LeafTotalWork]]&gt;0),MAX(Tasks[[#This Row],[_StartWorkday]],NETWORKDAYS.INTL(ProjectStart,Tasks[[#This Row],[_ShownFcstFinish]],WorkWeek,Holidays)),0)</f>
        <v>0</v>
      </c>
      <c r="EA64" s="32" t="n">
        <f aca="false">IF(AND(Tasks[[#This Row],[_IsLeaf]]=1,Tasks[[#This Row],[_LeafTotalWork]]&gt;0),Tasks[[#This Row],[_LeafWork]]/(Tasks[[#This Row],[_FinishWorkday]]-Tasks[[#This Row],[_StartWorkday]]+1),0)</f>
        <v>0</v>
      </c>
      <c r="EB64" s="32" t="n">
        <f aca="false">Tasks[[#This Row],[_WorkPerWorkday]]*(Tasks[[#This Row],[_StartWorkday]]-1)</f>
        <v>-0</v>
      </c>
      <c r="EC64" s="32" t="n">
        <f aca="false">IF(Tasks[[#This Row],[_IsLeaf]]=1,MAX(N(Tasks[[#This Row],[Duration]]),0.1),0)</f>
        <v>0</v>
      </c>
      <c r="ED64" s="32" t="n">
        <f aca="false">Tasks[[#This Row],[_WeightDur]]*Tasks[[#This Row],[_LeafProgress]]</f>
        <v>0</v>
      </c>
      <c r="EE6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4" s="32" t="str">
        <f aca="false">IF(AND(Tasks[[#This Row],[_IsLeaf]]=1,N(Tasks[[#This Row],[Duration]])=0,Tasks[[#This Row],[_LeafProgress]]&lt;1),Tasks[[#This Row],[_ShownFcstFinish]]+Tasks[[#This Row],[_Row]]/100000,"")</f>
        <v/>
      </c>
      <c r="EG6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4" s="32" t="n">
        <f aca="false">IF(NOT(Tasks[[#This Row],[_IsLeaf]]=1),0,IF(Tasks[[#This Row],[Baseline Cost]]="",Tasks[[#This Row],[_LeafTotalCost]],N(Tasks[[#This Row],[Baseline Cost]])))</f>
        <v>0</v>
      </c>
      <c r="EI64" s="32" t="n">
        <f aca="false">Tasks[[#This Row],[_LeafBudget]]*Tasks[[#This Row],[_PlannedPct]]</f>
        <v>0</v>
      </c>
      <c r="EJ64" s="32" t="n">
        <f aca="false">Tasks[[#This Row],[_LeafBudget]]*Tasks[[#This Row],[_LeafProgress]]</f>
        <v>0</v>
      </c>
      <c r="EK64" s="32" t="n">
        <f aca="false">IF(NOT(Tasks[[#This Row],[_IsLeaf]]=1),0,IF(Tasks[[#This Row],[Actual Cost]]="",Tasks[[#This Row],[_LeafTotalCost]]*Tasks[[#This Row],[_LeafProgress]],N(Tasks[[#This Row],[Actual Cost]])))</f>
        <v>0</v>
      </c>
      <c r="EL64" s="32" t="str">
        <f aca="false">IF(Tasks[[#This Row],[Task Name]]="","",LEFT(Tasks[[#This Row],[WBS]],FIND(".",Tasks[[#This Row],[WBS]]&amp;".")-1))</f>
        <v/>
      </c>
      <c r="EM64" s="32" t="str">
        <f aca="false">IF(AND(Tasks[[#This Row],[Task Name]]&lt;&gt;"",Tasks[[#This Row],[_Level]]=1),Tasks[[#This Row],[_Row]],"")</f>
        <v/>
      </c>
      <c r="EN64" s="32" t="str">
        <f aca="false">IF(AND(Tasks[[#This Row],[_IsLeaf]]=1,N(Tasks[[#This Row],[Duration]])=0),Tasks[[#This Row],[Planned Finish]]+Tasks[[#This Row],[_Row]]/100000,"")</f>
        <v/>
      </c>
      <c r="EO64" s="32" t="str">
        <f aca="false">IF(AND(Tasks[[#This Row],[_IsLeaf]]=1,Tasks[[#This Row],[_LeafProgress]]&lt;1,OR(N(Tasks[[#This Row],[Finish Var]])&gt;0,Tasks[[#This Row],[Status]]="Late Start")),MAX(0,Tasks[[#This Row],[Finish Var]])+1-Tasks[[#This Row],[_Row]]/1000000,"")</f>
        <v/>
      </c>
      <c r="EP64" s="32" t="str">
        <f aca="false">IF(AND(Tasks[[#This Row],[_IsLeaf]]=1,N(Tasks[[#This Row],[Actual Start]])=0,Tasks[[#This Row],[_ShownFcstStart]]&gt;=StatusDate,Tasks[[#This Row],[_ShownFcstStart]]&lt;=LookaheadEnd),Tasks[[#This Row],[_ShownFcstStart]]+Tasks[[#This Row],[_Row]]/100000,"")</f>
        <v/>
      </c>
      <c r="EQ64" s="32" t="str">
        <f aca="false">IF(AND(Tasks[[#This Row],[_IsLeaf]]=1,Tasks[[#This Row],[_LeafProgress]]&lt;1,Tasks[[#This Row],[_ShownFcstFinish]]&gt;=StatusDate,Tasks[[#This Row],[_ShownFcstFinish]]&lt;=LookaheadEnd),Tasks[[#This Row],[_ShownFcstFinish]]+Tasks[[#This Row],[_Row]]/100000,"")</f>
        <v/>
      </c>
      <c r="ER64" s="32" t="str">
        <f aca="false">IF(Tasks[[#This Row],[_LeafCritical]],Tasks[[#This Row],[_ShownFcstStart]]+Tasks[[#This Row],[_Row]]/100000,"")</f>
        <v/>
      </c>
      <c r="ES64" s="32" t="n">
        <f aca="false">Tasks[[#This Row],[_LeafWork]]*Tasks[[#This Row],[_LeafProgress]]</f>
        <v>0</v>
      </c>
      <c r="ET64" s="115" t="str">
        <f aca="false">IF(AND(Tasks[[#This Row],[_IsLeaf]]=1,Tasks[[#This Row],[_LeafProgress]]&gt;=1),IF(N(Tasks[[#This Row],[Actual Finish]])&gt;0,Tasks[[#This Row],[Actual Finish]],Tasks[[#This Row],[_ShownFcstFinish]]),"")</f>
        <v/>
      </c>
      <c r="EU64" s="32" t="n">
        <f aca="false">IF(Tasks[[#This Row],[_IsLeaf]]=1,N(Tasks[[#This Row],[Story Points]]),0)</f>
        <v>0</v>
      </c>
      <c r="EV64" s="32" t="str">
        <f aca="false">IF(AND(Tasks[[#This Row],[_IsLeaf]]=1,CurrentSprint&lt;&gt;"",Tasks[[#This Row],[Sprint]]=CurrentSprint),Tasks[[#This Row],[_Row]],"")</f>
        <v/>
      </c>
    </row>
    <row r="65" customFormat="false" ht="15" hidden="false" customHeight="false" outlineLevel="0" collapsed="false">
      <c r="A65" s="45" t="str">
        <f aca="false">IF(Tasks[[#This Row],[Task Name]]="","",COUNTA(Tasks[[#Headers],[Task Name]]:Tasks[[#This Row],[Task Name]])-1)</f>
        <v/>
      </c>
      <c r="B65" s="46" t="n">
        <v>60</v>
      </c>
      <c r="C6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5" s="46"/>
      <c r="E65" s="45" t="str">
        <f aca="false">IF(Tasks[[#This Row],[Task Name]]="","",IF(Tasks[[#This Row],[_Level]]&lt;=OutlineShowLevel,"Yes","No"))</f>
        <v/>
      </c>
      <c r="F65" s="47"/>
      <c r="G65" s="46"/>
      <c r="H65" s="46"/>
      <c r="I65" s="46"/>
      <c r="J65" s="46"/>
      <c r="K65" s="46"/>
      <c r="L65" s="46"/>
      <c r="M65" s="46"/>
      <c r="N65" s="46"/>
      <c r="O65" s="46"/>
      <c r="P65" s="46"/>
      <c r="Q65" s="46"/>
      <c r="R65" s="46"/>
      <c r="S65" s="46"/>
      <c r="T65" s="46"/>
      <c r="U65" s="47"/>
      <c r="V65" s="88"/>
      <c r="W65" s="88"/>
      <c r="X65" s="25" t="str">
        <f aca="false">IF(Tasks[[#This Row],[Task Name]]="","",IF(N(Tasks[[#This Row],[Baseline Start]])&gt;0,Tasks[[#This Row],[Baseline Start]],Tasks[[#This Row],[_CalcStart]]))</f>
        <v/>
      </c>
      <c r="Y65" s="25" t="str">
        <f aca="false">IF(Tasks[[#This Row],[Task Name]]="","",IF(N(Tasks[[#This Row],[Baseline Finish]])&gt;0,Tasks[[#This Row],[Baseline Finish]],Tasks[[#This Row],[_CalcFinish]]))</f>
        <v/>
      </c>
      <c r="Z65" s="88"/>
      <c r="AA65" s="88"/>
      <c r="AB65" s="25" t="str">
        <f aca="false">IF(Tasks[[#This Row],[Task Name]]="","",IF(Tasks[[#This Row],[_IsSummary]],MIN(INDEX(Tasks[_ShownFcstStart],Tasks[[#This Row],[_Row]]+1):INDEX(Tasks[_ShownFcstStart],Tasks[[#This Row],[_Row]]+Tasks[[#This Row],[_Descendants]])),Tasks[[#This Row],[_ShownFcstStart]]))</f>
        <v/>
      </c>
      <c r="AC65" s="25" t="str">
        <f aca="false">IF(Tasks[[#This Row],[Task Name]]="","",IF(Tasks[[#This Row],[_IsSummary]],MAX(INDEX(Tasks[_ShownFcstFinish],Tasks[[#This Row],[_Row]]+1):INDEX(Tasks[_ShownFcstFinish],Tasks[[#This Row],[_Row]]+Tasks[[#This Row],[_Descendants]])),Tasks[[#This Row],[_ShownFcstFinish]]))</f>
        <v/>
      </c>
      <c r="AD6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5" s="25" t="str">
        <f aca="false">IF(Tasks[[#This Row],[Task Name]]="","",IF(Tasks[[#This Row],[_IsSummary]],MIN(INDEX(Tasks[_LeafLateStart],Tasks[[#This Row],[_Row]]+1):INDEX(Tasks[_LeafLateStart],Tasks[[#This Row],[_Row]]+Tasks[[#This Row],[_Descendants]])),Tasks[[#This Row],[_LeafLateStart]]))</f>
        <v/>
      </c>
      <c r="AG65" s="25" t="str">
        <f aca="false">IF(Tasks[[#This Row],[Task Name]]="","",IF(Tasks[[#This Row],[_IsSummary]],MAX(INDEX(Tasks[_LeafLateFinish],Tasks[[#This Row],[_Row]]+1):INDEX(Tasks[_LeafLateFinish],Tasks[[#This Row],[_Row]]+Tasks[[#This Row],[_Descendants]])),Tasks[[#This Row],[_LeafLateFinish]]))</f>
        <v/>
      </c>
      <c r="AH65" s="56" t="str">
        <f aca="false">IF(Tasks[[#This Row],[Task Name]]="","",IF(Tasks[[#This Row],[_IsSummary]],MIN(INDEX(Tasks[_LeafTotalSlack],Tasks[[#This Row],[_Row]]+1):INDEX(Tasks[_LeafTotalSlack],Tasks[[#This Row],[_Row]]+Tasks[[#This Row],[_Descendants]])),Tasks[[#This Row],[_LeafTotalSlack]]))</f>
        <v/>
      </c>
      <c r="AI6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5" s="45" t="str">
        <f aca="false">IF(Tasks[[#This Row],[Task Name]]="","",IF(IF(Tasks[[#This Row],[_IsSummary]],COUNTIF(INDEX(Tasks[_LeafCritical],Tasks[[#This Row],[_Row]]+1):INDEX(Tasks[_LeafCritical],Tasks[[#This Row],[_Row]]+Tasks[[#This Row],[_Descendants]]),TRUE())&gt;0,Tasks[[#This Row],[_LeafCritical]]),"Yes",""))</f>
        <v/>
      </c>
      <c r="AK6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5" s="102"/>
      <c r="AN6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5" s="45" t="str">
        <f aca="false">IF(Tasks[[#This Row],[Task Name]]="","",IF(Tasks[[#This Row],[Progress]]&gt;=1,"Complete",IF(OR(N(Tasks[[#This Row],[Actual Start]])&gt;0,Tasks[[#This Row],[Progress]]&gt;0),IF(Tasks[[#This Row],[Finish Var]]&gt;0,"Behind","In Progress"),IF(Tasks[[#This Row],[Planned Start]]&lt;StatusDate,"Late Start","Not Started"))))</f>
        <v/>
      </c>
      <c r="AP65" s="47"/>
      <c r="AQ65" s="102"/>
      <c r="AR6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5" s="110" t="str">
        <f aca="false">IF(Tasks[[#This Row],[Task Name]]="","",IF(Tasks[[#This Row],[_IsSummary]],SUM(INDEX(Tasks[_LeafTotalWork],Tasks[[#This Row],[_Row]]+1):INDEX(Tasks[_LeafTotalWork],Tasks[[#This Row],[_Row]]+Tasks[[#This Row],[_Descendants]])),Tasks[[#This Row],[_LeafTotalWork]]))</f>
        <v/>
      </c>
      <c r="AU65" s="111" t="str">
        <f aca="false">IF(Tasks[[#This Row],[Task Name]]="","",IF(Tasks[[#This Row],[_IsSummary]],SUM(INDEX(Tasks[_LeafTotalCost],Tasks[[#This Row],[_Row]]+1):INDEX(Tasks[_LeafTotalCost],Tasks[[#This Row],[_Row]]+Tasks[[#This Row],[_Descendants]])),Tasks[[#This Row],[_LeafTotalCost]]))</f>
        <v/>
      </c>
      <c r="AV65" s="112"/>
      <c r="AW65" s="46"/>
      <c r="AX6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5" s="96"/>
      <c r="AZ6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5" s="47"/>
      <c r="BB65" s="25" t="str">
        <f aca="false">IF(Tasks[[#This Row],[Task Name]]="","",Tasks[[#This Row],[Forecast Start]])</f>
        <v/>
      </c>
      <c r="BC65" s="25" t="str">
        <f aca="false">IF(Tasks[[#This Row],[Task Name]]="","",Tasks[[#This Row],[Forecast Finish]])</f>
        <v/>
      </c>
      <c r="BD65" s="45" t="str">
        <f aca="false">IF(Tasks[[#This Row],[Task Name]]="","",IF(Tasks[[#This Row],[_IsSummary]],NETWORKDAYS.INTL(Tasks[[#This Row],[Forecast Start]],Tasks[[#This Row],[Forecast Finish]],WorkWeek,Holidays),N(Tasks[[#This Row],[Duration]])))</f>
        <v/>
      </c>
      <c r="BE65" s="110" t="str">
        <f aca="false">IF(Tasks[[#This Row],[Task Name]]="","",Tasks[[#This Row],[Work]])</f>
        <v/>
      </c>
      <c r="BF65" s="111" t="str">
        <f aca="false">IF(Tasks[[#This Row],[Task Name]]="","",Tasks[[#This Row],[Cost]])</f>
        <v/>
      </c>
      <c r="BG65" s="88"/>
      <c r="BH65" s="88"/>
      <c r="BI65" s="46"/>
      <c r="BJ65" s="113"/>
      <c r="BK65" s="112"/>
      <c r="BL65" s="45" t="str">
        <f aca="false">IF(OR(Tasks[[#This Row],[Task Name]]="",Tasks[[#This Row],[Baseline Duration]]=""),"",Tasks[[#This Row],[BL Source Duration]]-N(Tasks[[#This Row],[Baseline Duration]]))</f>
        <v/>
      </c>
      <c r="BM65" s="110" t="str">
        <f aca="false">IF(OR(Tasks[[#This Row],[Task Name]]="",Tasks[[#This Row],[Baseline Work]]=""),"",Tasks[[#This Row],[Work]]-N(Tasks[[#This Row],[Baseline Work]]))</f>
        <v/>
      </c>
      <c r="BN65" s="111" t="str">
        <f aca="false">IF(OR(Tasks[[#This Row],[Task Name]]="",Tasks[[#This Row],[Baseline Cost]]=""),"",Tasks[[#This Row],[Cost]]-N(Tasks[[#This Row],[Baseline Cost]]))</f>
        <v/>
      </c>
      <c r="BO65" s="111" t="str">
        <f aca="false">IF(Tasks[[#This Row],[Task Name]]="","",IF(Tasks[[#This Row],[_IsSummary]],SUM(INDEX(Tasks[_LeafBudget],Tasks[[#This Row],[_Row]]+1):INDEX(Tasks[_LeafBudget],Tasks[[#This Row],[_Row]]+Tasks[[#This Row],[_Descendants]])),Tasks[[#This Row],[_LeafBudget]]))</f>
        <v/>
      </c>
      <c r="BP65" s="111" t="str">
        <f aca="false">IF(Tasks[[#This Row],[Task Name]]="","",IF(Tasks[[#This Row],[_IsSummary]],SUM(INDEX(Tasks[_LeafPV],Tasks[[#This Row],[_Row]]+1):INDEX(Tasks[_LeafPV],Tasks[[#This Row],[_Row]]+Tasks[[#This Row],[_Descendants]])),Tasks[[#This Row],[_LeafPV]]))</f>
        <v/>
      </c>
      <c r="BQ65" s="111" t="str">
        <f aca="false">IF(Tasks[[#This Row],[Task Name]]="","",IF(Tasks[[#This Row],[_IsSummary]],SUM(INDEX(Tasks[_LeafEV],Tasks[[#This Row],[_Row]]+1):INDEX(Tasks[_LeafEV],Tasks[[#This Row],[_Row]]+Tasks[[#This Row],[_Descendants]])),Tasks[[#This Row],[_LeafEV]]))</f>
        <v/>
      </c>
      <c r="BR65" s="111" t="str">
        <f aca="false">IF(Tasks[[#This Row],[Task Name]]="","",IF(Tasks[[#This Row],[_IsSummary]],SUM(INDEX(Tasks[_LeafAC],Tasks[[#This Row],[_Row]]+1):INDEX(Tasks[_LeafAC],Tasks[[#This Row],[_Row]]+Tasks[[#This Row],[_Descendants]])),Tasks[[#This Row],[_LeafAC]]))</f>
        <v/>
      </c>
      <c r="BS65" s="32" t="str">
        <f aca="false">IF(Tasks[[#This Row],[Task Name]]="","",MAX(1,N(Tasks[[#This Row],[Level]])))</f>
        <v/>
      </c>
      <c r="BT65" s="32" t="n">
        <f aca="false">ROW()-ROW(Tasks[[#Headers],[ID]])</f>
        <v>60</v>
      </c>
      <c r="BU65" s="32" t="n">
        <f aca="false">IF(OR(Tasks[[#This Row],[Task Name]]="",Tasks[[#This Row],[_Level]]&lt;=1),0,IFERROR(LOOKUP(2,1/(Tasks[[#Headers],[_Level]]:Tasks[[#This Row],[_Level]]=Tasks[[#This Row],[_Level]]-1),ROW(Tasks[[#Headers],[_Level]]:Tasks[[#This Row],[_Level]])),0))</f>
        <v>0</v>
      </c>
      <c r="BV65" s="32" t="n">
        <f aca="false">IFERROR(N(INDEX(Tasks[_Level],Tasks[[#This Row],[_Row]]+1)),0)</f>
        <v>0</v>
      </c>
      <c r="BW65" s="114" t="b">
        <f aca="false">AND(Tasks[[#This Row],[Task Name]]&lt;&gt;"",Tasks[[#This Row],[_NextLevel]]&gt;Tasks[[#This Row],[_Level]])</f>
        <v>0</v>
      </c>
      <c r="BX65" s="32" t="n">
        <f aca="false">IF(Tasks[[#This Row],[_IsSummary]],COUNTIF(Tasks[WBS],Tasks[[#This Row],[WBS]]&amp;".*"),0)</f>
        <v>0</v>
      </c>
      <c r="BY65" s="32" t="n">
        <f aca="false">IF(AND(Tasks[[#This Row],[Task Name]]&lt;&gt;"",NOT(Tasks[[#This Row],[_IsSummary]])),1,0)</f>
        <v>0</v>
      </c>
      <c r="BZ65" s="32" t="n">
        <f aca="false">IF(N(Tasks[[#This Row],[Pred1 UID]])=0,0,IFERROR(MATCH(Tasks[[#This Row],[Pred1 UID]],Tasks[UID],0),-1))</f>
        <v>0</v>
      </c>
      <c r="CA65" s="32" t="n">
        <f aca="false">IF(N(Tasks[[#This Row],[Pred2 UID]])=0,0,IFERROR(MATCH(Tasks[[#This Row],[Pred2 UID]],Tasks[UID],0),-1))</f>
        <v>0</v>
      </c>
      <c r="CB65" s="32" t="n">
        <f aca="false">IF(N(Tasks[[#This Row],[Pred3 UID]])=0,0,IFERROR(MATCH(Tasks[[#This Row],[Pred3 UID]],Tasks[UID],0),-1))</f>
        <v>0</v>
      </c>
      <c r="CC65" s="32" t="n">
        <f aca="false">IF(N(Tasks[[#This Row],[Pred4 UID]])=0,0,IFERROR(MATCH(Tasks[[#This Row],[Pred4 UID]],Tasks[UID],0),-1))</f>
        <v>0</v>
      </c>
      <c r="CD6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5" s="115" t="n">
        <f aca="false">IF(OR(Tasks[[#This Row],[_ConstraintCode]]=2,Tasks[[#This Row],[_ConstraintCode]]=3,Tasks[[#This Row],[_ConstraintCode]]=4,Tasks[[#This Row],[_ConstraintCode]]=6),Tasks[[#This Row],[_ConstraintStart]],0)</f>
        <v>0</v>
      </c>
      <c r="CG65" s="115" t="n">
        <f aca="false">IF(OR(Tasks[[#This Row],[_ConstraintCode]]=2,Tasks[[#This Row],[_ConstraintCode]]=3,Tasks[[#This Row],[_ConstraintCode]]=5,Tasks[[#This Row],[_ConstraintCode]]=7),Tasks[[#This Row],[_ConstraintStart]],2958465)</f>
        <v>2958465</v>
      </c>
      <c r="CH6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5" s="115" t="str">
        <f aca="false">IF(NOT(Tasks[[#This Row],[_IsLeaf]]=1),"",IF(N(Tasks[[#This Row],[Duration]])&lt;=0,Tasks[[#This Row],[_LeafCalcStart]],WORKDAY.INTL(Tasks[[#This Row],[_LeafCalcStart]],Tasks[[#This Row],[Duration]]-1,WorkWeek,Holidays)))</f>
        <v/>
      </c>
      <c r="CJ6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5" s="32" t="n">
        <f aca="false">IF(NOT(Tasks[[#This Row],[_IsLeaf]]=1),0,IF(N(Tasks[[#This Row],[Actual Finish]])&gt;0,1,MIN(1,N(Tasks[[#This Row],[% Complete]]))))</f>
        <v>0</v>
      </c>
      <c r="CM65" s="32" t="n">
        <f aca="false">IF(OR(NOT(Tasks[[#This Row],[_IsLeaf]]=1),Tasks[[#This Row],[Resource]]=""),0,N(Tasks[[#This Row],[Duration]])*HoursPerDay*IF(Tasks[[#This Row],[Units]]="",DefaultUnits,Tasks[[#This Row],[Units]]))</f>
        <v>0</v>
      </c>
      <c r="CN65" s="32" t="n">
        <f aca="false">IF(Tasks[[#This Row],[_LeafWork]]=0,0,Tasks[[#This Row],[_LeafWork]]*IFERROR(INDEX(res_Rate,MATCH(Tasks[[#This Row],[Resource]],res_Name,0)),0))</f>
        <v>0</v>
      </c>
      <c r="CO65" s="32" t="n">
        <f aca="false">Tasks[[#This Row],[_LeafWork]]+IF(Tasks[[#This Row],[_IsLeaf]]=1,SUMIFS(asg_Work,asg_TaskUID,Tasks[[#This Row],[UID]],asg_Valid,1),0)</f>
        <v>0</v>
      </c>
      <c r="CP65" s="32" t="n">
        <f aca="false">Tasks[[#This Row],[_LeafCost]]+IF(Tasks[[#This Row],[_IsLeaf]]=1,SUMIFS(asg_Cost,asg_TaskUID,Tasks[[#This Row],[UID]],asg_Valid,1),0)</f>
        <v>0</v>
      </c>
      <c r="CQ65" s="32" t="n">
        <f aca="false">IF(Tasks[[#This Row],[_LeafTotalCost]]=0,Tasks[[#This Row],[_LeafAC]],Tasks[[#This Row],[_LeafAC]]*Tasks[[#This Row],[_LeafCost]]/Tasks[[#This Row],[_LeafTotalCost]])</f>
        <v>0</v>
      </c>
      <c r="CR6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5" s="32" t="n">
        <f aca="false">IF(NOT(Tasks[[#This Row],[_IsLeaf]]=1),0,MAX(_xlfn.MAXIFS(Tasks[_Row],Tasks[Pred1 UID],Tasks[[#This Row],[UID]]),_xlfn.MAXIFS(Tasks[_Row],Tasks[Pred2 UID],Tasks[[#This Row],[UID]]),_xlfn.MAXIFS(Tasks[_Row],Tasks[Pred3 UID],Tasks[[#This Row],[UID]]),_xlfn.MAXIFS(Tasks[_Row],Tasks[Pred4 UID],Tasks[[#This Row],[UID]])))</f>
        <v>0</v>
      </c>
      <c r="DA6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5" s="115" t="str">
        <f aca="false">IF(NOT(Tasks[[#This Row],[_IsLeaf]]=1),"",IF(N(Tasks[[#This Row],[Duration]])&lt;=0,Tasks[[#This Row],[_LeafLateFinish]],WORKDAY.INTL(Tasks[[#This Row],[_LeafLateFinish]],-(Tasks[[#This Row],[Duration]]-1),WorkWeek,Holidays)))</f>
        <v/>
      </c>
      <c r="DD6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5" s="114" t="b">
        <f aca="false">AND(Tasks[[#This Row],[_IsLeaf]]=1,Tasks[[#This Row],[_LeafProgress]]&lt;1,N(Tasks[[#This Row],[_LeafTotalSlack]])&lt;=CriticalSlackDays)</f>
        <v>0</v>
      </c>
      <c r="DF65" s="32" t="n">
        <f aca="false">IF(AND(Tasks[[#This Row],[_IsLeaf]]=1,Tasks[[#This Row],[_ConstraintCode]]=1,Tasks[[#This Row],[Mode]]&lt;&gt;"Manual",N(Tasks[[#This Row],[Actual Start]])=0),MAX(0,N(Tasks[[#This Row],[Free Slack]])),0)</f>
        <v>0</v>
      </c>
      <c r="DG65" s="115" t="str">
        <f aca="false">IF(NOT(Tasks[[#This Row],[_IsLeaf]]=1),"",IF(Tasks[[#This Row],[_AlapShift]]=0,Tasks[[#This Row],[_LeafCalcStart]],WORKDAY.INTL(Tasks[[#This Row],[_LeafCalcStart]],Tasks[[#This Row],[_AlapShift]],WorkWeek,Holidays)))</f>
        <v/>
      </c>
      <c r="DH65" s="115" t="str">
        <f aca="false">IF(NOT(Tasks[[#This Row],[_IsLeaf]]=1),"",IF(Tasks[[#This Row],[_AlapShift]]=0,Tasks[[#This Row],[_LeafCalcFinish]],WORKDAY.INTL(Tasks[[#This Row],[_LeafCalcFinish]],Tasks[[#This Row],[_AlapShift]],WorkWeek,Holidays)))</f>
        <v/>
      </c>
      <c r="DI65" s="115" t="str">
        <f aca="false">IF(NOT(Tasks[[#This Row],[_IsLeaf]]=1),"",IF(Tasks[[#This Row],[_AlapShift]]=0,Tasks[[#This Row],[_LeafFcstStart]],WORKDAY.INTL(Tasks[[#This Row],[_LeafFcstStart]],Tasks[[#This Row],[_AlapShift]],WorkWeek,Holidays)))</f>
        <v/>
      </c>
      <c r="DJ65" s="115" t="str">
        <f aca="false">IF(NOT(Tasks[[#This Row],[_IsLeaf]]=1),"",IF(Tasks[[#This Row],[_AlapShift]]=0,Tasks[[#This Row],[_LeafFcstFinish]],WORKDAY.INTL(Tasks[[#This Row],[_LeafFcstFinish]],Tasks[[#This Row],[_AlapShift]],WorkWeek,Holidays)))</f>
        <v/>
      </c>
      <c r="DK65" s="115" t="str">
        <f aca="false">IF(Tasks[[#This Row],[Task Name]]="","",IF(Tasks[[#This Row],[_IsSummary]],MIN(INDEX(Tasks[_ShownCalcStart],Tasks[[#This Row],[_Row]]+1):INDEX(Tasks[_ShownCalcStart],Tasks[[#This Row],[_Row]]+Tasks[[#This Row],[_Descendants]])),Tasks[[#This Row],[_ShownCalcStart]]))</f>
        <v/>
      </c>
      <c r="DL65" s="115" t="str">
        <f aca="false">IF(Tasks[[#This Row],[Task Name]]="","",IF(Tasks[[#This Row],[_IsSummary]],MAX(INDEX(Tasks[_ShownCalcFinish],Tasks[[#This Row],[_Row]]+1):INDEX(Tasks[_ShownCalcFinish],Tasks[[#This Row],[_Row]]+Tasks[[#This Row],[_Descendants]])),Tasks[[#This Row],[_ShownCalcFinish]]))</f>
        <v/>
      </c>
      <c r="DM6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5" s="32" t="n">
        <f aca="false">IF(AND(Tasks[[#This Row],[_IsLeaf]]=1,Tasks[[#This Row],[_LeafTotalWork]]&gt;0),NETWORKDAYS.INTL(ProjectStart,Tasks[[#This Row],[_ShownFcstStart]],WorkWeek,Holidays),0)</f>
        <v>0</v>
      </c>
      <c r="DZ65" s="32" t="n">
        <f aca="false">IF(AND(Tasks[[#This Row],[_IsLeaf]]=1,Tasks[[#This Row],[_LeafTotalWork]]&gt;0),MAX(Tasks[[#This Row],[_StartWorkday]],NETWORKDAYS.INTL(ProjectStart,Tasks[[#This Row],[_ShownFcstFinish]],WorkWeek,Holidays)),0)</f>
        <v>0</v>
      </c>
      <c r="EA65" s="32" t="n">
        <f aca="false">IF(AND(Tasks[[#This Row],[_IsLeaf]]=1,Tasks[[#This Row],[_LeafTotalWork]]&gt;0),Tasks[[#This Row],[_LeafWork]]/(Tasks[[#This Row],[_FinishWorkday]]-Tasks[[#This Row],[_StartWorkday]]+1),0)</f>
        <v>0</v>
      </c>
      <c r="EB65" s="32" t="n">
        <f aca="false">Tasks[[#This Row],[_WorkPerWorkday]]*(Tasks[[#This Row],[_StartWorkday]]-1)</f>
        <v>-0</v>
      </c>
      <c r="EC65" s="32" t="n">
        <f aca="false">IF(Tasks[[#This Row],[_IsLeaf]]=1,MAX(N(Tasks[[#This Row],[Duration]]),0.1),0)</f>
        <v>0</v>
      </c>
      <c r="ED65" s="32" t="n">
        <f aca="false">Tasks[[#This Row],[_WeightDur]]*Tasks[[#This Row],[_LeafProgress]]</f>
        <v>0</v>
      </c>
      <c r="EE6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5" s="32" t="str">
        <f aca="false">IF(AND(Tasks[[#This Row],[_IsLeaf]]=1,N(Tasks[[#This Row],[Duration]])=0,Tasks[[#This Row],[_LeafProgress]]&lt;1),Tasks[[#This Row],[_ShownFcstFinish]]+Tasks[[#This Row],[_Row]]/100000,"")</f>
        <v/>
      </c>
      <c r="EG6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5" s="32" t="n">
        <f aca="false">IF(NOT(Tasks[[#This Row],[_IsLeaf]]=1),0,IF(Tasks[[#This Row],[Baseline Cost]]="",Tasks[[#This Row],[_LeafTotalCost]],N(Tasks[[#This Row],[Baseline Cost]])))</f>
        <v>0</v>
      </c>
      <c r="EI65" s="32" t="n">
        <f aca="false">Tasks[[#This Row],[_LeafBudget]]*Tasks[[#This Row],[_PlannedPct]]</f>
        <v>0</v>
      </c>
      <c r="EJ65" s="32" t="n">
        <f aca="false">Tasks[[#This Row],[_LeafBudget]]*Tasks[[#This Row],[_LeafProgress]]</f>
        <v>0</v>
      </c>
      <c r="EK65" s="32" t="n">
        <f aca="false">IF(NOT(Tasks[[#This Row],[_IsLeaf]]=1),0,IF(Tasks[[#This Row],[Actual Cost]]="",Tasks[[#This Row],[_LeafTotalCost]]*Tasks[[#This Row],[_LeafProgress]],N(Tasks[[#This Row],[Actual Cost]])))</f>
        <v>0</v>
      </c>
      <c r="EL65" s="32" t="str">
        <f aca="false">IF(Tasks[[#This Row],[Task Name]]="","",LEFT(Tasks[[#This Row],[WBS]],FIND(".",Tasks[[#This Row],[WBS]]&amp;".")-1))</f>
        <v/>
      </c>
      <c r="EM65" s="32" t="str">
        <f aca="false">IF(AND(Tasks[[#This Row],[Task Name]]&lt;&gt;"",Tasks[[#This Row],[_Level]]=1),Tasks[[#This Row],[_Row]],"")</f>
        <v/>
      </c>
      <c r="EN65" s="32" t="str">
        <f aca="false">IF(AND(Tasks[[#This Row],[_IsLeaf]]=1,N(Tasks[[#This Row],[Duration]])=0),Tasks[[#This Row],[Planned Finish]]+Tasks[[#This Row],[_Row]]/100000,"")</f>
        <v/>
      </c>
      <c r="EO65" s="32" t="str">
        <f aca="false">IF(AND(Tasks[[#This Row],[_IsLeaf]]=1,Tasks[[#This Row],[_LeafProgress]]&lt;1,OR(N(Tasks[[#This Row],[Finish Var]])&gt;0,Tasks[[#This Row],[Status]]="Late Start")),MAX(0,Tasks[[#This Row],[Finish Var]])+1-Tasks[[#This Row],[_Row]]/1000000,"")</f>
        <v/>
      </c>
      <c r="EP65" s="32" t="str">
        <f aca="false">IF(AND(Tasks[[#This Row],[_IsLeaf]]=1,N(Tasks[[#This Row],[Actual Start]])=0,Tasks[[#This Row],[_ShownFcstStart]]&gt;=StatusDate,Tasks[[#This Row],[_ShownFcstStart]]&lt;=LookaheadEnd),Tasks[[#This Row],[_ShownFcstStart]]+Tasks[[#This Row],[_Row]]/100000,"")</f>
        <v/>
      </c>
      <c r="EQ65" s="32" t="str">
        <f aca="false">IF(AND(Tasks[[#This Row],[_IsLeaf]]=1,Tasks[[#This Row],[_LeafProgress]]&lt;1,Tasks[[#This Row],[_ShownFcstFinish]]&gt;=StatusDate,Tasks[[#This Row],[_ShownFcstFinish]]&lt;=LookaheadEnd),Tasks[[#This Row],[_ShownFcstFinish]]+Tasks[[#This Row],[_Row]]/100000,"")</f>
        <v/>
      </c>
      <c r="ER65" s="32" t="str">
        <f aca="false">IF(Tasks[[#This Row],[_LeafCritical]],Tasks[[#This Row],[_ShownFcstStart]]+Tasks[[#This Row],[_Row]]/100000,"")</f>
        <v/>
      </c>
      <c r="ES65" s="32" t="n">
        <f aca="false">Tasks[[#This Row],[_LeafWork]]*Tasks[[#This Row],[_LeafProgress]]</f>
        <v>0</v>
      </c>
      <c r="ET65" s="115" t="str">
        <f aca="false">IF(AND(Tasks[[#This Row],[_IsLeaf]]=1,Tasks[[#This Row],[_LeafProgress]]&gt;=1),IF(N(Tasks[[#This Row],[Actual Finish]])&gt;0,Tasks[[#This Row],[Actual Finish]],Tasks[[#This Row],[_ShownFcstFinish]]),"")</f>
        <v/>
      </c>
      <c r="EU65" s="32" t="n">
        <f aca="false">IF(Tasks[[#This Row],[_IsLeaf]]=1,N(Tasks[[#This Row],[Story Points]]),0)</f>
        <v>0</v>
      </c>
      <c r="EV65" s="32" t="str">
        <f aca="false">IF(AND(Tasks[[#This Row],[_IsLeaf]]=1,CurrentSprint&lt;&gt;"",Tasks[[#This Row],[Sprint]]=CurrentSprint),Tasks[[#This Row],[_Row]],"")</f>
        <v/>
      </c>
    </row>
    <row r="66" customFormat="false" ht="15" hidden="false" customHeight="false" outlineLevel="0" collapsed="false">
      <c r="A66" s="45" t="str">
        <f aca="false">IF(Tasks[[#This Row],[Task Name]]="","",COUNTA(Tasks[[#Headers],[Task Name]]:Tasks[[#This Row],[Task Name]])-1)</f>
        <v/>
      </c>
      <c r="B66" s="46" t="n">
        <v>61</v>
      </c>
      <c r="C6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6" s="46"/>
      <c r="E66" s="45" t="str">
        <f aca="false">IF(Tasks[[#This Row],[Task Name]]="","",IF(Tasks[[#This Row],[_Level]]&lt;=OutlineShowLevel,"Yes","No"))</f>
        <v/>
      </c>
      <c r="F66" s="47"/>
      <c r="G66" s="46"/>
      <c r="H66" s="46"/>
      <c r="I66" s="46"/>
      <c r="J66" s="46"/>
      <c r="K66" s="46"/>
      <c r="L66" s="46"/>
      <c r="M66" s="46"/>
      <c r="N66" s="46"/>
      <c r="O66" s="46"/>
      <c r="P66" s="46"/>
      <c r="Q66" s="46"/>
      <c r="R66" s="46"/>
      <c r="S66" s="46"/>
      <c r="T66" s="46"/>
      <c r="U66" s="47"/>
      <c r="V66" s="88"/>
      <c r="W66" s="88"/>
      <c r="X66" s="25" t="str">
        <f aca="false">IF(Tasks[[#This Row],[Task Name]]="","",IF(N(Tasks[[#This Row],[Baseline Start]])&gt;0,Tasks[[#This Row],[Baseline Start]],Tasks[[#This Row],[_CalcStart]]))</f>
        <v/>
      </c>
      <c r="Y66" s="25" t="str">
        <f aca="false">IF(Tasks[[#This Row],[Task Name]]="","",IF(N(Tasks[[#This Row],[Baseline Finish]])&gt;0,Tasks[[#This Row],[Baseline Finish]],Tasks[[#This Row],[_CalcFinish]]))</f>
        <v/>
      </c>
      <c r="Z66" s="88"/>
      <c r="AA66" s="88"/>
      <c r="AB66" s="25" t="str">
        <f aca="false">IF(Tasks[[#This Row],[Task Name]]="","",IF(Tasks[[#This Row],[_IsSummary]],MIN(INDEX(Tasks[_ShownFcstStart],Tasks[[#This Row],[_Row]]+1):INDEX(Tasks[_ShownFcstStart],Tasks[[#This Row],[_Row]]+Tasks[[#This Row],[_Descendants]])),Tasks[[#This Row],[_ShownFcstStart]]))</f>
        <v/>
      </c>
      <c r="AC66" s="25" t="str">
        <f aca="false">IF(Tasks[[#This Row],[Task Name]]="","",IF(Tasks[[#This Row],[_IsSummary]],MAX(INDEX(Tasks[_ShownFcstFinish],Tasks[[#This Row],[_Row]]+1):INDEX(Tasks[_ShownFcstFinish],Tasks[[#This Row],[_Row]]+Tasks[[#This Row],[_Descendants]])),Tasks[[#This Row],[_ShownFcstFinish]]))</f>
        <v/>
      </c>
      <c r="AD6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6" s="25" t="str">
        <f aca="false">IF(Tasks[[#This Row],[Task Name]]="","",IF(Tasks[[#This Row],[_IsSummary]],MIN(INDEX(Tasks[_LeafLateStart],Tasks[[#This Row],[_Row]]+1):INDEX(Tasks[_LeafLateStart],Tasks[[#This Row],[_Row]]+Tasks[[#This Row],[_Descendants]])),Tasks[[#This Row],[_LeafLateStart]]))</f>
        <v/>
      </c>
      <c r="AG66" s="25" t="str">
        <f aca="false">IF(Tasks[[#This Row],[Task Name]]="","",IF(Tasks[[#This Row],[_IsSummary]],MAX(INDEX(Tasks[_LeafLateFinish],Tasks[[#This Row],[_Row]]+1):INDEX(Tasks[_LeafLateFinish],Tasks[[#This Row],[_Row]]+Tasks[[#This Row],[_Descendants]])),Tasks[[#This Row],[_LeafLateFinish]]))</f>
        <v/>
      </c>
      <c r="AH66" s="56" t="str">
        <f aca="false">IF(Tasks[[#This Row],[Task Name]]="","",IF(Tasks[[#This Row],[_IsSummary]],MIN(INDEX(Tasks[_LeafTotalSlack],Tasks[[#This Row],[_Row]]+1):INDEX(Tasks[_LeafTotalSlack],Tasks[[#This Row],[_Row]]+Tasks[[#This Row],[_Descendants]])),Tasks[[#This Row],[_LeafTotalSlack]]))</f>
        <v/>
      </c>
      <c r="AI6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6" s="45" t="str">
        <f aca="false">IF(Tasks[[#This Row],[Task Name]]="","",IF(IF(Tasks[[#This Row],[_IsSummary]],COUNTIF(INDEX(Tasks[_LeafCritical],Tasks[[#This Row],[_Row]]+1):INDEX(Tasks[_LeafCritical],Tasks[[#This Row],[_Row]]+Tasks[[#This Row],[_Descendants]]),TRUE())&gt;0,Tasks[[#This Row],[_LeafCritical]]),"Yes",""))</f>
        <v/>
      </c>
      <c r="AK6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6" s="102"/>
      <c r="AN6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6" s="45" t="str">
        <f aca="false">IF(Tasks[[#This Row],[Task Name]]="","",IF(Tasks[[#This Row],[Progress]]&gt;=1,"Complete",IF(OR(N(Tasks[[#This Row],[Actual Start]])&gt;0,Tasks[[#This Row],[Progress]]&gt;0),IF(Tasks[[#This Row],[Finish Var]]&gt;0,"Behind","In Progress"),IF(Tasks[[#This Row],[Planned Start]]&lt;StatusDate,"Late Start","Not Started"))))</f>
        <v/>
      </c>
      <c r="AP66" s="47"/>
      <c r="AQ66" s="102"/>
      <c r="AR6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6" s="110" t="str">
        <f aca="false">IF(Tasks[[#This Row],[Task Name]]="","",IF(Tasks[[#This Row],[_IsSummary]],SUM(INDEX(Tasks[_LeafTotalWork],Tasks[[#This Row],[_Row]]+1):INDEX(Tasks[_LeafTotalWork],Tasks[[#This Row],[_Row]]+Tasks[[#This Row],[_Descendants]])),Tasks[[#This Row],[_LeafTotalWork]]))</f>
        <v/>
      </c>
      <c r="AU66" s="111" t="str">
        <f aca="false">IF(Tasks[[#This Row],[Task Name]]="","",IF(Tasks[[#This Row],[_IsSummary]],SUM(INDEX(Tasks[_LeafTotalCost],Tasks[[#This Row],[_Row]]+1):INDEX(Tasks[_LeafTotalCost],Tasks[[#This Row],[_Row]]+Tasks[[#This Row],[_Descendants]])),Tasks[[#This Row],[_LeafTotalCost]]))</f>
        <v/>
      </c>
      <c r="AV66" s="112"/>
      <c r="AW66" s="46"/>
      <c r="AX6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6" s="96"/>
      <c r="AZ6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6" s="47"/>
      <c r="BB66" s="25" t="str">
        <f aca="false">IF(Tasks[[#This Row],[Task Name]]="","",Tasks[[#This Row],[Forecast Start]])</f>
        <v/>
      </c>
      <c r="BC66" s="25" t="str">
        <f aca="false">IF(Tasks[[#This Row],[Task Name]]="","",Tasks[[#This Row],[Forecast Finish]])</f>
        <v/>
      </c>
      <c r="BD66" s="45" t="str">
        <f aca="false">IF(Tasks[[#This Row],[Task Name]]="","",IF(Tasks[[#This Row],[_IsSummary]],NETWORKDAYS.INTL(Tasks[[#This Row],[Forecast Start]],Tasks[[#This Row],[Forecast Finish]],WorkWeek,Holidays),N(Tasks[[#This Row],[Duration]])))</f>
        <v/>
      </c>
      <c r="BE66" s="110" t="str">
        <f aca="false">IF(Tasks[[#This Row],[Task Name]]="","",Tasks[[#This Row],[Work]])</f>
        <v/>
      </c>
      <c r="BF66" s="111" t="str">
        <f aca="false">IF(Tasks[[#This Row],[Task Name]]="","",Tasks[[#This Row],[Cost]])</f>
        <v/>
      </c>
      <c r="BG66" s="88"/>
      <c r="BH66" s="88"/>
      <c r="BI66" s="46"/>
      <c r="BJ66" s="113"/>
      <c r="BK66" s="112"/>
      <c r="BL66" s="45" t="str">
        <f aca="false">IF(OR(Tasks[[#This Row],[Task Name]]="",Tasks[[#This Row],[Baseline Duration]]=""),"",Tasks[[#This Row],[BL Source Duration]]-N(Tasks[[#This Row],[Baseline Duration]]))</f>
        <v/>
      </c>
      <c r="BM66" s="110" t="str">
        <f aca="false">IF(OR(Tasks[[#This Row],[Task Name]]="",Tasks[[#This Row],[Baseline Work]]=""),"",Tasks[[#This Row],[Work]]-N(Tasks[[#This Row],[Baseline Work]]))</f>
        <v/>
      </c>
      <c r="BN66" s="111" t="str">
        <f aca="false">IF(OR(Tasks[[#This Row],[Task Name]]="",Tasks[[#This Row],[Baseline Cost]]=""),"",Tasks[[#This Row],[Cost]]-N(Tasks[[#This Row],[Baseline Cost]]))</f>
        <v/>
      </c>
      <c r="BO66" s="111" t="str">
        <f aca="false">IF(Tasks[[#This Row],[Task Name]]="","",IF(Tasks[[#This Row],[_IsSummary]],SUM(INDEX(Tasks[_LeafBudget],Tasks[[#This Row],[_Row]]+1):INDEX(Tasks[_LeafBudget],Tasks[[#This Row],[_Row]]+Tasks[[#This Row],[_Descendants]])),Tasks[[#This Row],[_LeafBudget]]))</f>
        <v/>
      </c>
      <c r="BP66" s="111" t="str">
        <f aca="false">IF(Tasks[[#This Row],[Task Name]]="","",IF(Tasks[[#This Row],[_IsSummary]],SUM(INDEX(Tasks[_LeafPV],Tasks[[#This Row],[_Row]]+1):INDEX(Tasks[_LeafPV],Tasks[[#This Row],[_Row]]+Tasks[[#This Row],[_Descendants]])),Tasks[[#This Row],[_LeafPV]]))</f>
        <v/>
      </c>
      <c r="BQ66" s="111" t="str">
        <f aca="false">IF(Tasks[[#This Row],[Task Name]]="","",IF(Tasks[[#This Row],[_IsSummary]],SUM(INDEX(Tasks[_LeafEV],Tasks[[#This Row],[_Row]]+1):INDEX(Tasks[_LeafEV],Tasks[[#This Row],[_Row]]+Tasks[[#This Row],[_Descendants]])),Tasks[[#This Row],[_LeafEV]]))</f>
        <v/>
      </c>
      <c r="BR66" s="111" t="str">
        <f aca="false">IF(Tasks[[#This Row],[Task Name]]="","",IF(Tasks[[#This Row],[_IsSummary]],SUM(INDEX(Tasks[_LeafAC],Tasks[[#This Row],[_Row]]+1):INDEX(Tasks[_LeafAC],Tasks[[#This Row],[_Row]]+Tasks[[#This Row],[_Descendants]])),Tasks[[#This Row],[_LeafAC]]))</f>
        <v/>
      </c>
      <c r="BS66" s="32" t="str">
        <f aca="false">IF(Tasks[[#This Row],[Task Name]]="","",MAX(1,N(Tasks[[#This Row],[Level]])))</f>
        <v/>
      </c>
      <c r="BT66" s="32" t="n">
        <f aca="false">ROW()-ROW(Tasks[[#Headers],[ID]])</f>
        <v>61</v>
      </c>
      <c r="BU66" s="32" t="n">
        <f aca="false">IF(OR(Tasks[[#This Row],[Task Name]]="",Tasks[[#This Row],[_Level]]&lt;=1),0,IFERROR(LOOKUP(2,1/(Tasks[[#Headers],[_Level]]:Tasks[[#This Row],[_Level]]=Tasks[[#This Row],[_Level]]-1),ROW(Tasks[[#Headers],[_Level]]:Tasks[[#This Row],[_Level]])),0))</f>
        <v>0</v>
      </c>
      <c r="BV66" s="32" t="n">
        <f aca="false">IFERROR(N(INDEX(Tasks[_Level],Tasks[[#This Row],[_Row]]+1)),0)</f>
        <v>0</v>
      </c>
      <c r="BW66" s="114" t="b">
        <f aca="false">AND(Tasks[[#This Row],[Task Name]]&lt;&gt;"",Tasks[[#This Row],[_NextLevel]]&gt;Tasks[[#This Row],[_Level]])</f>
        <v>0</v>
      </c>
      <c r="BX66" s="32" t="n">
        <f aca="false">IF(Tasks[[#This Row],[_IsSummary]],COUNTIF(Tasks[WBS],Tasks[[#This Row],[WBS]]&amp;".*"),0)</f>
        <v>0</v>
      </c>
      <c r="BY66" s="32" t="n">
        <f aca="false">IF(AND(Tasks[[#This Row],[Task Name]]&lt;&gt;"",NOT(Tasks[[#This Row],[_IsSummary]])),1,0)</f>
        <v>0</v>
      </c>
      <c r="BZ66" s="32" t="n">
        <f aca="false">IF(N(Tasks[[#This Row],[Pred1 UID]])=0,0,IFERROR(MATCH(Tasks[[#This Row],[Pred1 UID]],Tasks[UID],0),-1))</f>
        <v>0</v>
      </c>
      <c r="CA66" s="32" t="n">
        <f aca="false">IF(N(Tasks[[#This Row],[Pred2 UID]])=0,0,IFERROR(MATCH(Tasks[[#This Row],[Pred2 UID]],Tasks[UID],0),-1))</f>
        <v>0</v>
      </c>
      <c r="CB66" s="32" t="n">
        <f aca="false">IF(N(Tasks[[#This Row],[Pred3 UID]])=0,0,IFERROR(MATCH(Tasks[[#This Row],[Pred3 UID]],Tasks[UID],0),-1))</f>
        <v>0</v>
      </c>
      <c r="CC66" s="32" t="n">
        <f aca="false">IF(N(Tasks[[#This Row],[Pred4 UID]])=0,0,IFERROR(MATCH(Tasks[[#This Row],[Pred4 UID]],Tasks[UID],0),-1))</f>
        <v>0</v>
      </c>
      <c r="CD6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6" s="115" t="n">
        <f aca="false">IF(OR(Tasks[[#This Row],[_ConstraintCode]]=2,Tasks[[#This Row],[_ConstraintCode]]=3,Tasks[[#This Row],[_ConstraintCode]]=4,Tasks[[#This Row],[_ConstraintCode]]=6),Tasks[[#This Row],[_ConstraintStart]],0)</f>
        <v>0</v>
      </c>
      <c r="CG66" s="115" t="n">
        <f aca="false">IF(OR(Tasks[[#This Row],[_ConstraintCode]]=2,Tasks[[#This Row],[_ConstraintCode]]=3,Tasks[[#This Row],[_ConstraintCode]]=5,Tasks[[#This Row],[_ConstraintCode]]=7),Tasks[[#This Row],[_ConstraintStart]],2958465)</f>
        <v>2958465</v>
      </c>
      <c r="CH6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6" s="115" t="str">
        <f aca="false">IF(NOT(Tasks[[#This Row],[_IsLeaf]]=1),"",IF(N(Tasks[[#This Row],[Duration]])&lt;=0,Tasks[[#This Row],[_LeafCalcStart]],WORKDAY.INTL(Tasks[[#This Row],[_LeafCalcStart]],Tasks[[#This Row],[Duration]]-1,WorkWeek,Holidays)))</f>
        <v/>
      </c>
      <c r="CJ6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6" s="32" t="n">
        <f aca="false">IF(NOT(Tasks[[#This Row],[_IsLeaf]]=1),0,IF(N(Tasks[[#This Row],[Actual Finish]])&gt;0,1,MIN(1,N(Tasks[[#This Row],[% Complete]]))))</f>
        <v>0</v>
      </c>
      <c r="CM66" s="32" t="n">
        <f aca="false">IF(OR(NOT(Tasks[[#This Row],[_IsLeaf]]=1),Tasks[[#This Row],[Resource]]=""),0,N(Tasks[[#This Row],[Duration]])*HoursPerDay*IF(Tasks[[#This Row],[Units]]="",DefaultUnits,Tasks[[#This Row],[Units]]))</f>
        <v>0</v>
      </c>
      <c r="CN66" s="32" t="n">
        <f aca="false">IF(Tasks[[#This Row],[_LeafWork]]=0,0,Tasks[[#This Row],[_LeafWork]]*IFERROR(INDEX(res_Rate,MATCH(Tasks[[#This Row],[Resource]],res_Name,0)),0))</f>
        <v>0</v>
      </c>
      <c r="CO66" s="32" t="n">
        <f aca="false">Tasks[[#This Row],[_LeafWork]]+IF(Tasks[[#This Row],[_IsLeaf]]=1,SUMIFS(asg_Work,asg_TaskUID,Tasks[[#This Row],[UID]],asg_Valid,1),0)</f>
        <v>0</v>
      </c>
      <c r="CP66" s="32" t="n">
        <f aca="false">Tasks[[#This Row],[_LeafCost]]+IF(Tasks[[#This Row],[_IsLeaf]]=1,SUMIFS(asg_Cost,asg_TaskUID,Tasks[[#This Row],[UID]],asg_Valid,1),0)</f>
        <v>0</v>
      </c>
      <c r="CQ66" s="32" t="n">
        <f aca="false">IF(Tasks[[#This Row],[_LeafTotalCost]]=0,Tasks[[#This Row],[_LeafAC]],Tasks[[#This Row],[_LeafAC]]*Tasks[[#This Row],[_LeafCost]]/Tasks[[#This Row],[_LeafTotalCost]])</f>
        <v>0</v>
      </c>
      <c r="CR6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6" s="32" t="n">
        <f aca="false">IF(NOT(Tasks[[#This Row],[_IsLeaf]]=1),0,MAX(_xlfn.MAXIFS(Tasks[_Row],Tasks[Pred1 UID],Tasks[[#This Row],[UID]]),_xlfn.MAXIFS(Tasks[_Row],Tasks[Pred2 UID],Tasks[[#This Row],[UID]]),_xlfn.MAXIFS(Tasks[_Row],Tasks[Pred3 UID],Tasks[[#This Row],[UID]]),_xlfn.MAXIFS(Tasks[_Row],Tasks[Pred4 UID],Tasks[[#This Row],[UID]])))</f>
        <v>0</v>
      </c>
      <c r="DA6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6" s="115" t="str">
        <f aca="false">IF(NOT(Tasks[[#This Row],[_IsLeaf]]=1),"",IF(N(Tasks[[#This Row],[Duration]])&lt;=0,Tasks[[#This Row],[_LeafLateFinish]],WORKDAY.INTL(Tasks[[#This Row],[_LeafLateFinish]],-(Tasks[[#This Row],[Duration]]-1),WorkWeek,Holidays)))</f>
        <v/>
      </c>
      <c r="DD6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6" s="114" t="b">
        <f aca="false">AND(Tasks[[#This Row],[_IsLeaf]]=1,Tasks[[#This Row],[_LeafProgress]]&lt;1,N(Tasks[[#This Row],[_LeafTotalSlack]])&lt;=CriticalSlackDays)</f>
        <v>0</v>
      </c>
      <c r="DF66" s="32" t="n">
        <f aca="false">IF(AND(Tasks[[#This Row],[_IsLeaf]]=1,Tasks[[#This Row],[_ConstraintCode]]=1,Tasks[[#This Row],[Mode]]&lt;&gt;"Manual",N(Tasks[[#This Row],[Actual Start]])=0),MAX(0,N(Tasks[[#This Row],[Free Slack]])),0)</f>
        <v>0</v>
      </c>
      <c r="DG66" s="115" t="str">
        <f aca="false">IF(NOT(Tasks[[#This Row],[_IsLeaf]]=1),"",IF(Tasks[[#This Row],[_AlapShift]]=0,Tasks[[#This Row],[_LeafCalcStart]],WORKDAY.INTL(Tasks[[#This Row],[_LeafCalcStart]],Tasks[[#This Row],[_AlapShift]],WorkWeek,Holidays)))</f>
        <v/>
      </c>
      <c r="DH66" s="115" t="str">
        <f aca="false">IF(NOT(Tasks[[#This Row],[_IsLeaf]]=1),"",IF(Tasks[[#This Row],[_AlapShift]]=0,Tasks[[#This Row],[_LeafCalcFinish]],WORKDAY.INTL(Tasks[[#This Row],[_LeafCalcFinish]],Tasks[[#This Row],[_AlapShift]],WorkWeek,Holidays)))</f>
        <v/>
      </c>
      <c r="DI66" s="115" t="str">
        <f aca="false">IF(NOT(Tasks[[#This Row],[_IsLeaf]]=1),"",IF(Tasks[[#This Row],[_AlapShift]]=0,Tasks[[#This Row],[_LeafFcstStart]],WORKDAY.INTL(Tasks[[#This Row],[_LeafFcstStart]],Tasks[[#This Row],[_AlapShift]],WorkWeek,Holidays)))</f>
        <v/>
      </c>
      <c r="DJ66" s="115" t="str">
        <f aca="false">IF(NOT(Tasks[[#This Row],[_IsLeaf]]=1),"",IF(Tasks[[#This Row],[_AlapShift]]=0,Tasks[[#This Row],[_LeafFcstFinish]],WORKDAY.INTL(Tasks[[#This Row],[_LeafFcstFinish]],Tasks[[#This Row],[_AlapShift]],WorkWeek,Holidays)))</f>
        <v/>
      </c>
      <c r="DK66" s="115" t="str">
        <f aca="false">IF(Tasks[[#This Row],[Task Name]]="","",IF(Tasks[[#This Row],[_IsSummary]],MIN(INDEX(Tasks[_ShownCalcStart],Tasks[[#This Row],[_Row]]+1):INDEX(Tasks[_ShownCalcStart],Tasks[[#This Row],[_Row]]+Tasks[[#This Row],[_Descendants]])),Tasks[[#This Row],[_ShownCalcStart]]))</f>
        <v/>
      </c>
      <c r="DL66" s="115" t="str">
        <f aca="false">IF(Tasks[[#This Row],[Task Name]]="","",IF(Tasks[[#This Row],[_IsSummary]],MAX(INDEX(Tasks[_ShownCalcFinish],Tasks[[#This Row],[_Row]]+1):INDEX(Tasks[_ShownCalcFinish],Tasks[[#This Row],[_Row]]+Tasks[[#This Row],[_Descendants]])),Tasks[[#This Row],[_ShownCalcFinish]]))</f>
        <v/>
      </c>
      <c r="DM6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6" s="32" t="n">
        <f aca="false">IF(AND(Tasks[[#This Row],[_IsLeaf]]=1,Tasks[[#This Row],[_LeafTotalWork]]&gt;0),NETWORKDAYS.INTL(ProjectStart,Tasks[[#This Row],[_ShownFcstStart]],WorkWeek,Holidays),0)</f>
        <v>0</v>
      </c>
      <c r="DZ66" s="32" t="n">
        <f aca="false">IF(AND(Tasks[[#This Row],[_IsLeaf]]=1,Tasks[[#This Row],[_LeafTotalWork]]&gt;0),MAX(Tasks[[#This Row],[_StartWorkday]],NETWORKDAYS.INTL(ProjectStart,Tasks[[#This Row],[_ShownFcstFinish]],WorkWeek,Holidays)),0)</f>
        <v>0</v>
      </c>
      <c r="EA66" s="32" t="n">
        <f aca="false">IF(AND(Tasks[[#This Row],[_IsLeaf]]=1,Tasks[[#This Row],[_LeafTotalWork]]&gt;0),Tasks[[#This Row],[_LeafWork]]/(Tasks[[#This Row],[_FinishWorkday]]-Tasks[[#This Row],[_StartWorkday]]+1),0)</f>
        <v>0</v>
      </c>
      <c r="EB66" s="32" t="n">
        <f aca="false">Tasks[[#This Row],[_WorkPerWorkday]]*(Tasks[[#This Row],[_StartWorkday]]-1)</f>
        <v>-0</v>
      </c>
      <c r="EC66" s="32" t="n">
        <f aca="false">IF(Tasks[[#This Row],[_IsLeaf]]=1,MAX(N(Tasks[[#This Row],[Duration]]),0.1),0)</f>
        <v>0</v>
      </c>
      <c r="ED66" s="32" t="n">
        <f aca="false">Tasks[[#This Row],[_WeightDur]]*Tasks[[#This Row],[_LeafProgress]]</f>
        <v>0</v>
      </c>
      <c r="EE6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6" s="32" t="str">
        <f aca="false">IF(AND(Tasks[[#This Row],[_IsLeaf]]=1,N(Tasks[[#This Row],[Duration]])=0,Tasks[[#This Row],[_LeafProgress]]&lt;1),Tasks[[#This Row],[_ShownFcstFinish]]+Tasks[[#This Row],[_Row]]/100000,"")</f>
        <v/>
      </c>
      <c r="EG6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6" s="32" t="n">
        <f aca="false">IF(NOT(Tasks[[#This Row],[_IsLeaf]]=1),0,IF(Tasks[[#This Row],[Baseline Cost]]="",Tasks[[#This Row],[_LeafTotalCost]],N(Tasks[[#This Row],[Baseline Cost]])))</f>
        <v>0</v>
      </c>
      <c r="EI66" s="32" t="n">
        <f aca="false">Tasks[[#This Row],[_LeafBudget]]*Tasks[[#This Row],[_PlannedPct]]</f>
        <v>0</v>
      </c>
      <c r="EJ66" s="32" t="n">
        <f aca="false">Tasks[[#This Row],[_LeafBudget]]*Tasks[[#This Row],[_LeafProgress]]</f>
        <v>0</v>
      </c>
      <c r="EK66" s="32" t="n">
        <f aca="false">IF(NOT(Tasks[[#This Row],[_IsLeaf]]=1),0,IF(Tasks[[#This Row],[Actual Cost]]="",Tasks[[#This Row],[_LeafTotalCost]]*Tasks[[#This Row],[_LeafProgress]],N(Tasks[[#This Row],[Actual Cost]])))</f>
        <v>0</v>
      </c>
      <c r="EL66" s="32" t="str">
        <f aca="false">IF(Tasks[[#This Row],[Task Name]]="","",LEFT(Tasks[[#This Row],[WBS]],FIND(".",Tasks[[#This Row],[WBS]]&amp;".")-1))</f>
        <v/>
      </c>
      <c r="EM66" s="32" t="str">
        <f aca="false">IF(AND(Tasks[[#This Row],[Task Name]]&lt;&gt;"",Tasks[[#This Row],[_Level]]=1),Tasks[[#This Row],[_Row]],"")</f>
        <v/>
      </c>
      <c r="EN66" s="32" t="str">
        <f aca="false">IF(AND(Tasks[[#This Row],[_IsLeaf]]=1,N(Tasks[[#This Row],[Duration]])=0),Tasks[[#This Row],[Planned Finish]]+Tasks[[#This Row],[_Row]]/100000,"")</f>
        <v/>
      </c>
      <c r="EO66" s="32" t="str">
        <f aca="false">IF(AND(Tasks[[#This Row],[_IsLeaf]]=1,Tasks[[#This Row],[_LeafProgress]]&lt;1,OR(N(Tasks[[#This Row],[Finish Var]])&gt;0,Tasks[[#This Row],[Status]]="Late Start")),MAX(0,Tasks[[#This Row],[Finish Var]])+1-Tasks[[#This Row],[_Row]]/1000000,"")</f>
        <v/>
      </c>
      <c r="EP66" s="32" t="str">
        <f aca="false">IF(AND(Tasks[[#This Row],[_IsLeaf]]=1,N(Tasks[[#This Row],[Actual Start]])=0,Tasks[[#This Row],[_ShownFcstStart]]&gt;=StatusDate,Tasks[[#This Row],[_ShownFcstStart]]&lt;=LookaheadEnd),Tasks[[#This Row],[_ShownFcstStart]]+Tasks[[#This Row],[_Row]]/100000,"")</f>
        <v/>
      </c>
      <c r="EQ66" s="32" t="str">
        <f aca="false">IF(AND(Tasks[[#This Row],[_IsLeaf]]=1,Tasks[[#This Row],[_LeafProgress]]&lt;1,Tasks[[#This Row],[_ShownFcstFinish]]&gt;=StatusDate,Tasks[[#This Row],[_ShownFcstFinish]]&lt;=LookaheadEnd),Tasks[[#This Row],[_ShownFcstFinish]]+Tasks[[#This Row],[_Row]]/100000,"")</f>
        <v/>
      </c>
      <c r="ER66" s="32" t="str">
        <f aca="false">IF(Tasks[[#This Row],[_LeafCritical]],Tasks[[#This Row],[_ShownFcstStart]]+Tasks[[#This Row],[_Row]]/100000,"")</f>
        <v/>
      </c>
      <c r="ES66" s="32" t="n">
        <f aca="false">Tasks[[#This Row],[_LeafWork]]*Tasks[[#This Row],[_LeafProgress]]</f>
        <v>0</v>
      </c>
      <c r="ET66" s="115" t="str">
        <f aca="false">IF(AND(Tasks[[#This Row],[_IsLeaf]]=1,Tasks[[#This Row],[_LeafProgress]]&gt;=1),IF(N(Tasks[[#This Row],[Actual Finish]])&gt;0,Tasks[[#This Row],[Actual Finish]],Tasks[[#This Row],[_ShownFcstFinish]]),"")</f>
        <v/>
      </c>
      <c r="EU66" s="32" t="n">
        <f aca="false">IF(Tasks[[#This Row],[_IsLeaf]]=1,N(Tasks[[#This Row],[Story Points]]),0)</f>
        <v>0</v>
      </c>
      <c r="EV66" s="32" t="str">
        <f aca="false">IF(AND(Tasks[[#This Row],[_IsLeaf]]=1,CurrentSprint&lt;&gt;"",Tasks[[#This Row],[Sprint]]=CurrentSprint),Tasks[[#This Row],[_Row]],"")</f>
        <v/>
      </c>
    </row>
    <row r="67" customFormat="false" ht="15" hidden="false" customHeight="false" outlineLevel="0" collapsed="false">
      <c r="A67" s="45" t="str">
        <f aca="false">IF(Tasks[[#This Row],[Task Name]]="","",COUNTA(Tasks[[#Headers],[Task Name]]:Tasks[[#This Row],[Task Name]])-1)</f>
        <v/>
      </c>
      <c r="B67" s="46" t="n">
        <v>62</v>
      </c>
      <c r="C6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7" s="46"/>
      <c r="E67" s="45" t="str">
        <f aca="false">IF(Tasks[[#This Row],[Task Name]]="","",IF(Tasks[[#This Row],[_Level]]&lt;=OutlineShowLevel,"Yes","No"))</f>
        <v/>
      </c>
      <c r="F67" s="47"/>
      <c r="G67" s="46"/>
      <c r="H67" s="46"/>
      <c r="I67" s="46"/>
      <c r="J67" s="46"/>
      <c r="K67" s="46"/>
      <c r="L67" s="46"/>
      <c r="M67" s="46"/>
      <c r="N67" s="46"/>
      <c r="O67" s="46"/>
      <c r="P67" s="46"/>
      <c r="Q67" s="46"/>
      <c r="R67" s="46"/>
      <c r="S67" s="46"/>
      <c r="T67" s="46"/>
      <c r="U67" s="47"/>
      <c r="V67" s="88"/>
      <c r="W67" s="88"/>
      <c r="X67" s="25" t="str">
        <f aca="false">IF(Tasks[[#This Row],[Task Name]]="","",IF(N(Tasks[[#This Row],[Baseline Start]])&gt;0,Tasks[[#This Row],[Baseline Start]],Tasks[[#This Row],[_CalcStart]]))</f>
        <v/>
      </c>
      <c r="Y67" s="25" t="str">
        <f aca="false">IF(Tasks[[#This Row],[Task Name]]="","",IF(N(Tasks[[#This Row],[Baseline Finish]])&gt;0,Tasks[[#This Row],[Baseline Finish]],Tasks[[#This Row],[_CalcFinish]]))</f>
        <v/>
      </c>
      <c r="Z67" s="88"/>
      <c r="AA67" s="88"/>
      <c r="AB67" s="25" t="str">
        <f aca="false">IF(Tasks[[#This Row],[Task Name]]="","",IF(Tasks[[#This Row],[_IsSummary]],MIN(INDEX(Tasks[_ShownFcstStart],Tasks[[#This Row],[_Row]]+1):INDEX(Tasks[_ShownFcstStart],Tasks[[#This Row],[_Row]]+Tasks[[#This Row],[_Descendants]])),Tasks[[#This Row],[_ShownFcstStart]]))</f>
        <v/>
      </c>
      <c r="AC67" s="25" t="str">
        <f aca="false">IF(Tasks[[#This Row],[Task Name]]="","",IF(Tasks[[#This Row],[_IsSummary]],MAX(INDEX(Tasks[_ShownFcstFinish],Tasks[[#This Row],[_Row]]+1):INDEX(Tasks[_ShownFcstFinish],Tasks[[#This Row],[_Row]]+Tasks[[#This Row],[_Descendants]])),Tasks[[#This Row],[_ShownFcstFinish]]))</f>
        <v/>
      </c>
      <c r="AD6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7" s="25" t="str">
        <f aca="false">IF(Tasks[[#This Row],[Task Name]]="","",IF(Tasks[[#This Row],[_IsSummary]],MIN(INDEX(Tasks[_LeafLateStart],Tasks[[#This Row],[_Row]]+1):INDEX(Tasks[_LeafLateStart],Tasks[[#This Row],[_Row]]+Tasks[[#This Row],[_Descendants]])),Tasks[[#This Row],[_LeafLateStart]]))</f>
        <v/>
      </c>
      <c r="AG67" s="25" t="str">
        <f aca="false">IF(Tasks[[#This Row],[Task Name]]="","",IF(Tasks[[#This Row],[_IsSummary]],MAX(INDEX(Tasks[_LeafLateFinish],Tasks[[#This Row],[_Row]]+1):INDEX(Tasks[_LeafLateFinish],Tasks[[#This Row],[_Row]]+Tasks[[#This Row],[_Descendants]])),Tasks[[#This Row],[_LeafLateFinish]]))</f>
        <v/>
      </c>
      <c r="AH67" s="56" t="str">
        <f aca="false">IF(Tasks[[#This Row],[Task Name]]="","",IF(Tasks[[#This Row],[_IsSummary]],MIN(INDEX(Tasks[_LeafTotalSlack],Tasks[[#This Row],[_Row]]+1):INDEX(Tasks[_LeafTotalSlack],Tasks[[#This Row],[_Row]]+Tasks[[#This Row],[_Descendants]])),Tasks[[#This Row],[_LeafTotalSlack]]))</f>
        <v/>
      </c>
      <c r="AI6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7" s="45" t="str">
        <f aca="false">IF(Tasks[[#This Row],[Task Name]]="","",IF(IF(Tasks[[#This Row],[_IsSummary]],COUNTIF(INDEX(Tasks[_LeafCritical],Tasks[[#This Row],[_Row]]+1):INDEX(Tasks[_LeafCritical],Tasks[[#This Row],[_Row]]+Tasks[[#This Row],[_Descendants]]),TRUE())&gt;0,Tasks[[#This Row],[_LeafCritical]]),"Yes",""))</f>
        <v/>
      </c>
      <c r="AK6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7" s="102"/>
      <c r="AN6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7" s="45" t="str">
        <f aca="false">IF(Tasks[[#This Row],[Task Name]]="","",IF(Tasks[[#This Row],[Progress]]&gt;=1,"Complete",IF(OR(N(Tasks[[#This Row],[Actual Start]])&gt;0,Tasks[[#This Row],[Progress]]&gt;0),IF(Tasks[[#This Row],[Finish Var]]&gt;0,"Behind","In Progress"),IF(Tasks[[#This Row],[Planned Start]]&lt;StatusDate,"Late Start","Not Started"))))</f>
        <v/>
      </c>
      <c r="AP67" s="47"/>
      <c r="AQ67" s="102"/>
      <c r="AR6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7" s="110" t="str">
        <f aca="false">IF(Tasks[[#This Row],[Task Name]]="","",IF(Tasks[[#This Row],[_IsSummary]],SUM(INDEX(Tasks[_LeafTotalWork],Tasks[[#This Row],[_Row]]+1):INDEX(Tasks[_LeafTotalWork],Tasks[[#This Row],[_Row]]+Tasks[[#This Row],[_Descendants]])),Tasks[[#This Row],[_LeafTotalWork]]))</f>
        <v/>
      </c>
      <c r="AU67" s="111" t="str">
        <f aca="false">IF(Tasks[[#This Row],[Task Name]]="","",IF(Tasks[[#This Row],[_IsSummary]],SUM(INDEX(Tasks[_LeafTotalCost],Tasks[[#This Row],[_Row]]+1):INDEX(Tasks[_LeafTotalCost],Tasks[[#This Row],[_Row]]+Tasks[[#This Row],[_Descendants]])),Tasks[[#This Row],[_LeafTotalCost]]))</f>
        <v/>
      </c>
      <c r="AV67" s="112"/>
      <c r="AW67" s="46"/>
      <c r="AX6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7" s="96"/>
      <c r="AZ6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7" s="47"/>
      <c r="BB67" s="25" t="str">
        <f aca="false">IF(Tasks[[#This Row],[Task Name]]="","",Tasks[[#This Row],[Forecast Start]])</f>
        <v/>
      </c>
      <c r="BC67" s="25" t="str">
        <f aca="false">IF(Tasks[[#This Row],[Task Name]]="","",Tasks[[#This Row],[Forecast Finish]])</f>
        <v/>
      </c>
      <c r="BD67" s="45" t="str">
        <f aca="false">IF(Tasks[[#This Row],[Task Name]]="","",IF(Tasks[[#This Row],[_IsSummary]],NETWORKDAYS.INTL(Tasks[[#This Row],[Forecast Start]],Tasks[[#This Row],[Forecast Finish]],WorkWeek,Holidays),N(Tasks[[#This Row],[Duration]])))</f>
        <v/>
      </c>
      <c r="BE67" s="110" t="str">
        <f aca="false">IF(Tasks[[#This Row],[Task Name]]="","",Tasks[[#This Row],[Work]])</f>
        <v/>
      </c>
      <c r="BF67" s="111" t="str">
        <f aca="false">IF(Tasks[[#This Row],[Task Name]]="","",Tasks[[#This Row],[Cost]])</f>
        <v/>
      </c>
      <c r="BG67" s="88"/>
      <c r="BH67" s="88"/>
      <c r="BI67" s="46"/>
      <c r="BJ67" s="113"/>
      <c r="BK67" s="112"/>
      <c r="BL67" s="45" t="str">
        <f aca="false">IF(OR(Tasks[[#This Row],[Task Name]]="",Tasks[[#This Row],[Baseline Duration]]=""),"",Tasks[[#This Row],[BL Source Duration]]-N(Tasks[[#This Row],[Baseline Duration]]))</f>
        <v/>
      </c>
      <c r="BM67" s="110" t="str">
        <f aca="false">IF(OR(Tasks[[#This Row],[Task Name]]="",Tasks[[#This Row],[Baseline Work]]=""),"",Tasks[[#This Row],[Work]]-N(Tasks[[#This Row],[Baseline Work]]))</f>
        <v/>
      </c>
      <c r="BN67" s="111" t="str">
        <f aca="false">IF(OR(Tasks[[#This Row],[Task Name]]="",Tasks[[#This Row],[Baseline Cost]]=""),"",Tasks[[#This Row],[Cost]]-N(Tasks[[#This Row],[Baseline Cost]]))</f>
        <v/>
      </c>
      <c r="BO67" s="111" t="str">
        <f aca="false">IF(Tasks[[#This Row],[Task Name]]="","",IF(Tasks[[#This Row],[_IsSummary]],SUM(INDEX(Tasks[_LeafBudget],Tasks[[#This Row],[_Row]]+1):INDEX(Tasks[_LeafBudget],Tasks[[#This Row],[_Row]]+Tasks[[#This Row],[_Descendants]])),Tasks[[#This Row],[_LeafBudget]]))</f>
        <v/>
      </c>
      <c r="BP67" s="111" t="str">
        <f aca="false">IF(Tasks[[#This Row],[Task Name]]="","",IF(Tasks[[#This Row],[_IsSummary]],SUM(INDEX(Tasks[_LeafPV],Tasks[[#This Row],[_Row]]+1):INDEX(Tasks[_LeafPV],Tasks[[#This Row],[_Row]]+Tasks[[#This Row],[_Descendants]])),Tasks[[#This Row],[_LeafPV]]))</f>
        <v/>
      </c>
      <c r="BQ67" s="111" t="str">
        <f aca="false">IF(Tasks[[#This Row],[Task Name]]="","",IF(Tasks[[#This Row],[_IsSummary]],SUM(INDEX(Tasks[_LeafEV],Tasks[[#This Row],[_Row]]+1):INDEX(Tasks[_LeafEV],Tasks[[#This Row],[_Row]]+Tasks[[#This Row],[_Descendants]])),Tasks[[#This Row],[_LeafEV]]))</f>
        <v/>
      </c>
      <c r="BR67" s="111" t="str">
        <f aca="false">IF(Tasks[[#This Row],[Task Name]]="","",IF(Tasks[[#This Row],[_IsSummary]],SUM(INDEX(Tasks[_LeafAC],Tasks[[#This Row],[_Row]]+1):INDEX(Tasks[_LeafAC],Tasks[[#This Row],[_Row]]+Tasks[[#This Row],[_Descendants]])),Tasks[[#This Row],[_LeafAC]]))</f>
        <v/>
      </c>
      <c r="BS67" s="32" t="str">
        <f aca="false">IF(Tasks[[#This Row],[Task Name]]="","",MAX(1,N(Tasks[[#This Row],[Level]])))</f>
        <v/>
      </c>
      <c r="BT67" s="32" t="n">
        <f aca="false">ROW()-ROW(Tasks[[#Headers],[ID]])</f>
        <v>62</v>
      </c>
      <c r="BU67" s="32" t="n">
        <f aca="false">IF(OR(Tasks[[#This Row],[Task Name]]="",Tasks[[#This Row],[_Level]]&lt;=1),0,IFERROR(LOOKUP(2,1/(Tasks[[#Headers],[_Level]]:Tasks[[#This Row],[_Level]]=Tasks[[#This Row],[_Level]]-1),ROW(Tasks[[#Headers],[_Level]]:Tasks[[#This Row],[_Level]])),0))</f>
        <v>0</v>
      </c>
      <c r="BV67" s="32" t="n">
        <f aca="false">IFERROR(N(INDEX(Tasks[_Level],Tasks[[#This Row],[_Row]]+1)),0)</f>
        <v>0</v>
      </c>
      <c r="BW67" s="114" t="b">
        <f aca="false">AND(Tasks[[#This Row],[Task Name]]&lt;&gt;"",Tasks[[#This Row],[_NextLevel]]&gt;Tasks[[#This Row],[_Level]])</f>
        <v>0</v>
      </c>
      <c r="BX67" s="32" t="n">
        <f aca="false">IF(Tasks[[#This Row],[_IsSummary]],COUNTIF(Tasks[WBS],Tasks[[#This Row],[WBS]]&amp;".*"),0)</f>
        <v>0</v>
      </c>
      <c r="BY67" s="32" t="n">
        <f aca="false">IF(AND(Tasks[[#This Row],[Task Name]]&lt;&gt;"",NOT(Tasks[[#This Row],[_IsSummary]])),1,0)</f>
        <v>0</v>
      </c>
      <c r="BZ67" s="32" t="n">
        <f aca="false">IF(N(Tasks[[#This Row],[Pred1 UID]])=0,0,IFERROR(MATCH(Tasks[[#This Row],[Pred1 UID]],Tasks[UID],0),-1))</f>
        <v>0</v>
      </c>
      <c r="CA67" s="32" t="n">
        <f aca="false">IF(N(Tasks[[#This Row],[Pred2 UID]])=0,0,IFERROR(MATCH(Tasks[[#This Row],[Pred2 UID]],Tasks[UID],0),-1))</f>
        <v>0</v>
      </c>
      <c r="CB67" s="32" t="n">
        <f aca="false">IF(N(Tasks[[#This Row],[Pred3 UID]])=0,0,IFERROR(MATCH(Tasks[[#This Row],[Pred3 UID]],Tasks[UID],0),-1))</f>
        <v>0</v>
      </c>
      <c r="CC67" s="32" t="n">
        <f aca="false">IF(N(Tasks[[#This Row],[Pred4 UID]])=0,0,IFERROR(MATCH(Tasks[[#This Row],[Pred4 UID]],Tasks[UID],0),-1))</f>
        <v>0</v>
      </c>
      <c r="CD6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7" s="115" t="n">
        <f aca="false">IF(OR(Tasks[[#This Row],[_ConstraintCode]]=2,Tasks[[#This Row],[_ConstraintCode]]=3,Tasks[[#This Row],[_ConstraintCode]]=4,Tasks[[#This Row],[_ConstraintCode]]=6),Tasks[[#This Row],[_ConstraintStart]],0)</f>
        <v>0</v>
      </c>
      <c r="CG67" s="115" t="n">
        <f aca="false">IF(OR(Tasks[[#This Row],[_ConstraintCode]]=2,Tasks[[#This Row],[_ConstraintCode]]=3,Tasks[[#This Row],[_ConstraintCode]]=5,Tasks[[#This Row],[_ConstraintCode]]=7),Tasks[[#This Row],[_ConstraintStart]],2958465)</f>
        <v>2958465</v>
      </c>
      <c r="CH6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7" s="115" t="str">
        <f aca="false">IF(NOT(Tasks[[#This Row],[_IsLeaf]]=1),"",IF(N(Tasks[[#This Row],[Duration]])&lt;=0,Tasks[[#This Row],[_LeafCalcStart]],WORKDAY.INTL(Tasks[[#This Row],[_LeafCalcStart]],Tasks[[#This Row],[Duration]]-1,WorkWeek,Holidays)))</f>
        <v/>
      </c>
      <c r="CJ6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7" s="32" t="n">
        <f aca="false">IF(NOT(Tasks[[#This Row],[_IsLeaf]]=1),0,IF(N(Tasks[[#This Row],[Actual Finish]])&gt;0,1,MIN(1,N(Tasks[[#This Row],[% Complete]]))))</f>
        <v>0</v>
      </c>
      <c r="CM67" s="32" t="n">
        <f aca="false">IF(OR(NOT(Tasks[[#This Row],[_IsLeaf]]=1),Tasks[[#This Row],[Resource]]=""),0,N(Tasks[[#This Row],[Duration]])*HoursPerDay*IF(Tasks[[#This Row],[Units]]="",DefaultUnits,Tasks[[#This Row],[Units]]))</f>
        <v>0</v>
      </c>
      <c r="CN67" s="32" t="n">
        <f aca="false">IF(Tasks[[#This Row],[_LeafWork]]=0,0,Tasks[[#This Row],[_LeafWork]]*IFERROR(INDEX(res_Rate,MATCH(Tasks[[#This Row],[Resource]],res_Name,0)),0))</f>
        <v>0</v>
      </c>
      <c r="CO67" s="32" t="n">
        <f aca="false">Tasks[[#This Row],[_LeafWork]]+IF(Tasks[[#This Row],[_IsLeaf]]=1,SUMIFS(asg_Work,asg_TaskUID,Tasks[[#This Row],[UID]],asg_Valid,1),0)</f>
        <v>0</v>
      </c>
      <c r="CP67" s="32" t="n">
        <f aca="false">Tasks[[#This Row],[_LeafCost]]+IF(Tasks[[#This Row],[_IsLeaf]]=1,SUMIFS(asg_Cost,asg_TaskUID,Tasks[[#This Row],[UID]],asg_Valid,1),0)</f>
        <v>0</v>
      </c>
      <c r="CQ67" s="32" t="n">
        <f aca="false">IF(Tasks[[#This Row],[_LeafTotalCost]]=0,Tasks[[#This Row],[_LeafAC]],Tasks[[#This Row],[_LeafAC]]*Tasks[[#This Row],[_LeafCost]]/Tasks[[#This Row],[_LeafTotalCost]])</f>
        <v>0</v>
      </c>
      <c r="CR6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7" s="32" t="n">
        <f aca="false">IF(NOT(Tasks[[#This Row],[_IsLeaf]]=1),0,MAX(_xlfn.MAXIFS(Tasks[_Row],Tasks[Pred1 UID],Tasks[[#This Row],[UID]]),_xlfn.MAXIFS(Tasks[_Row],Tasks[Pred2 UID],Tasks[[#This Row],[UID]]),_xlfn.MAXIFS(Tasks[_Row],Tasks[Pred3 UID],Tasks[[#This Row],[UID]]),_xlfn.MAXIFS(Tasks[_Row],Tasks[Pred4 UID],Tasks[[#This Row],[UID]])))</f>
        <v>0</v>
      </c>
      <c r="DA6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7" s="115" t="str">
        <f aca="false">IF(NOT(Tasks[[#This Row],[_IsLeaf]]=1),"",IF(N(Tasks[[#This Row],[Duration]])&lt;=0,Tasks[[#This Row],[_LeafLateFinish]],WORKDAY.INTL(Tasks[[#This Row],[_LeafLateFinish]],-(Tasks[[#This Row],[Duration]]-1),WorkWeek,Holidays)))</f>
        <v/>
      </c>
      <c r="DD6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7" s="114" t="b">
        <f aca="false">AND(Tasks[[#This Row],[_IsLeaf]]=1,Tasks[[#This Row],[_LeafProgress]]&lt;1,N(Tasks[[#This Row],[_LeafTotalSlack]])&lt;=CriticalSlackDays)</f>
        <v>0</v>
      </c>
      <c r="DF67" s="32" t="n">
        <f aca="false">IF(AND(Tasks[[#This Row],[_IsLeaf]]=1,Tasks[[#This Row],[_ConstraintCode]]=1,Tasks[[#This Row],[Mode]]&lt;&gt;"Manual",N(Tasks[[#This Row],[Actual Start]])=0),MAX(0,N(Tasks[[#This Row],[Free Slack]])),0)</f>
        <v>0</v>
      </c>
      <c r="DG67" s="115" t="str">
        <f aca="false">IF(NOT(Tasks[[#This Row],[_IsLeaf]]=1),"",IF(Tasks[[#This Row],[_AlapShift]]=0,Tasks[[#This Row],[_LeafCalcStart]],WORKDAY.INTL(Tasks[[#This Row],[_LeafCalcStart]],Tasks[[#This Row],[_AlapShift]],WorkWeek,Holidays)))</f>
        <v/>
      </c>
      <c r="DH67" s="115" t="str">
        <f aca="false">IF(NOT(Tasks[[#This Row],[_IsLeaf]]=1),"",IF(Tasks[[#This Row],[_AlapShift]]=0,Tasks[[#This Row],[_LeafCalcFinish]],WORKDAY.INTL(Tasks[[#This Row],[_LeafCalcFinish]],Tasks[[#This Row],[_AlapShift]],WorkWeek,Holidays)))</f>
        <v/>
      </c>
      <c r="DI67" s="115" t="str">
        <f aca="false">IF(NOT(Tasks[[#This Row],[_IsLeaf]]=1),"",IF(Tasks[[#This Row],[_AlapShift]]=0,Tasks[[#This Row],[_LeafFcstStart]],WORKDAY.INTL(Tasks[[#This Row],[_LeafFcstStart]],Tasks[[#This Row],[_AlapShift]],WorkWeek,Holidays)))</f>
        <v/>
      </c>
      <c r="DJ67" s="115" t="str">
        <f aca="false">IF(NOT(Tasks[[#This Row],[_IsLeaf]]=1),"",IF(Tasks[[#This Row],[_AlapShift]]=0,Tasks[[#This Row],[_LeafFcstFinish]],WORKDAY.INTL(Tasks[[#This Row],[_LeafFcstFinish]],Tasks[[#This Row],[_AlapShift]],WorkWeek,Holidays)))</f>
        <v/>
      </c>
      <c r="DK67" s="115" t="str">
        <f aca="false">IF(Tasks[[#This Row],[Task Name]]="","",IF(Tasks[[#This Row],[_IsSummary]],MIN(INDEX(Tasks[_ShownCalcStart],Tasks[[#This Row],[_Row]]+1):INDEX(Tasks[_ShownCalcStart],Tasks[[#This Row],[_Row]]+Tasks[[#This Row],[_Descendants]])),Tasks[[#This Row],[_ShownCalcStart]]))</f>
        <v/>
      </c>
      <c r="DL67" s="115" t="str">
        <f aca="false">IF(Tasks[[#This Row],[Task Name]]="","",IF(Tasks[[#This Row],[_IsSummary]],MAX(INDEX(Tasks[_ShownCalcFinish],Tasks[[#This Row],[_Row]]+1):INDEX(Tasks[_ShownCalcFinish],Tasks[[#This Row],[_Row]]+Tasks[[#This Row],[_Descendants]])),Tasks[[#This Row],[_ShownCalcFinish]]))</f>
        <v/>
      </c>
      <c r="DM6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7" s="32" t="n">
        <f aca="false">IF(AND(Tasks[[#This Row],[_IsLeaf]]=1,Tasks[[#This Row],[_LeafTotalWork]]&gt;0),NETWORKDAYS.INTL(ProjectStart,Tasks[[#This Row],[_ShownFcstStart]],WorkWeek,Holidays),0)</f>
        <v>0</v>
      </c>
      <c r="DZ67" s="32" t="n">
        <f aca="false">IF(AND(Tasks[[#This Row],[_IsLeaf]]=1,Tasks[[#This Row],[_LeafTotalWork]]&gt;0),MAX(Tasks[[#This Row],[_StartWorkday]],NETWORKDAYS.INTL(ProjectStart,Tasks[[#This Row],[_ShownFcstFinish]],WorkWeek,Holidays)),0)</f>
        <v>0</v>
      </c>
      <c r="EA67" s="32" t="n">
        <f aca="false">IF(AND(Tasks[[#This Row],[_IsLeaf]]=1,Tasks[[#This Row],[_LeafTotalWork]]&gt;0),Tasks[[#This Row],[_LeafWork]]/(Tasks[[#This Row],[_FinishWorkday]]-Tasks[[#This Row],[_StartWorkday]]+1),0)</f>
        <v>0</v>
      </c>
      <c r="EB67" s="32" t="n">
        <f aca="false">Tasks[[#This Row],[_WorkPerWorkday]]*(Tasks[[#This Row],[_StartWorkday]]-1)</f>
        <v>-0</v>
      </c>
      <c r="EC67" s="32" t="n">
        <f aca="false">IF(Tasks[[#This Row],[_IsLeaf]]=1,MAX(N(Tasks[[#This Row],[Duration]]),0.1),0)</f>
        <v>0</v>
      </c>
      <c r="ED67" s="32" t="n">
        <f aca="false">Tasks[[#This Row],[_WeightDur]]*Tasks[[#This Row],[_LeafProgress]]</f>
        <v>0</v>
      </c>
      <c r="EE6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7" s="32" t="str">
        <f aca="false">IF(AND(Tasks[[#This Row],[_IsLeaf]]=1,N(Tasks[[#This Row],[Duration]])=0,Tasks[[#This Row],[_LeafProgress]]&lt;1),Tasks[[#This Row],[_ShownFcstFinish]]+Tasks[[#This Row],[_Row]]/100000,"")</f>
        <v/>
      </c>
      <c r="EG6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7" s="32" t="n">
        <f aca="false">IF(NOT(Tasks[[#This Row],[_IsLeaf]]=1),0,IF(Tasks[[#This Row],[Baseline Cost]]="",Tasks[[#This Row],[_LeafTotalCost]],N(Tasks[[#This Row],[Baseline Cost]])))</f>
        <v>0</v>
      </c>
      <c r="EI67" s="32" t="n">
        <f aca="false">Tasks[[#This Row],[_LeafBudget]]*Tasks[[#This Row],[_PlannedPct]]</f>
        <v>0</v>
      </c>
      <c r="EJ67" s="32" t="n">
        <f aca="false">Tasks[[#This Row],[_LeafBudget]]*Tasks[[#This Row],[_LeafProgress]]</f>
        <v>0</v>
      </c>
      <c r="EK67" s="32" t="n">
        <f aca="false">IF(NOT(Tasks[[#This Row],[_IsLeaf]]=1),0,IF(Tasks[[#This Row],[Actual Cost]]="",Tasks[[#This Row],[_LeafTotalCost]]*Tasks[[#This Row],[_LeafProgress]],N(Tasks[[#This Row],[Actual Cost]])))</f>
        <v>0</v>
      </c>
      <c r="EL67" s="32" t="str">
        <f aca="false">IF(Tasks[[#This Row],[Task Name]]="","",LEFT(Tasks[[#This Row],[WBS]],FIND(".",Tasks[[#This Row],[WBS]]&amp;".")-1))</f>
        <v/>
      </c>
      <c r="EM67" s="32" t="str">
        <f aca="false">IF(AND(Tasks[[#This Row],[Task Name]]&lt;&gt;"",Tasks[[#This Row],[_Level]]=1),Tasks[[#This Row],[_Row]],"")</f>
        <v/>
      </c>
      <c r="EN67" s="32" t="str">
        <f aca="false">IF(AND(Tasks[[#This Row],[_IsLeaf]]=1,N(Tasks[[#This Row],[Duration]])=0),Tasks[[#This Row],[Planned Finish]]+Tasks[[#This Row],[_Row]]/100000,"")</f>
        <v/>
      </c>
      <c r="EO67" s="32" t="str">
        <f aca="false">IF(AND(Tasks[[#This Row],[_IsLeaf]]=1,Tasks[[#This Row],[_LeafProgress]]&lt;1,OR(N(Tasks[[#This Row],[Finish Var]])&gt;0,Tasks[[#This Row],[Status]]="Late Start")),MAX(0,Tasks[[#This Row],[Finish Var]])+1-Tasks[[#This Row],[_Row]]/1000000,"")</f>
        <v/>
      </c>
      <c r="EP67" s="32" t="str">
        <f aca="false">IF(AND(Tasks[[#This Row],[_IsLeaf]]=1,N(Tasks[[#This Row],[Actual Start]])=0,Tasks[[#This Row],[_ShownFcstStart]]&gt;=StatusDate,Tasks[[#This Row],[_ShownFcstStart]]&lt;=LookaheadEnd),Tasks[[#This Row],[_ShownFcstStart]]+Tasks[[#This Row],[_Row]]/100000,"")</f>
        <v/>
      </c>
      <c r="EQ67" s="32" t="str">
        <f aca="false">IF(AND(Tasks[[#This Row],[_IsLeaf]]=1,Tasks[[#This Row],[_LeafProgress]]&lt;1,Tasks[[#This Row],[_ShownFcstFinish]]&gt;=StatusDate,Tasks[[#This Row],[_ShownFcstFinish]]&lt;=LookaheadEnd),Tasks[[#This Row],[_ShownFcstFinish]]+Tasks[[#This Row],[_Row]]/100000,"")</f>
        <v/>
      </c>
      <c r="ER67" s="32" t="str">
        <f aca="false">IF(Tasks[[#This Row],[_LeafCritical]],Tasks[[#This Row],[_ShownFcstStart]]+Tasks[[#This Row],[_Row]]/100000,"")</f>
        <v/>
      </c>
      <c r="ES67" s="32" t="n">
        <f aca="false">Tasks[[#This Row],[_LeafWork]]*Tasks[[#This Row],[_LeafProgress]]</f>
        <v>0</v>
      </c>
      <c r="ET67" s="115" t="str">
        <f aca="false">IF(AND(Tasks[[#This Row],[_IsLeaf]]=1,Tasks[[#This Row],[_LeafProgress]]&gt;=1),IF(N(Tasks[[#This Row],[Actual Finish]])&gt;0,Tasks[[#This Row],[Actual Finish]],Tasks[[#This Row],[_ShownFcstFinish]]),"")</f>
        <v/>
      </c>
      <c r="EU67" s="32" t="n">
        <f aca="false">IF(Tasks[[#This Row],[_IsLeaf]]=1,N(Tasks[[#This Row],[Story Points]]),0)</f>
        <v>0</v>
      </c>
      <c r="EV67" s="32" t="str">
        <f aca="false">IF(AND(Tasks[[#This Row],[_IsLeaf]]=1,CurrentSprint&lt;&gt;"",Tasks[[#This Row],[Sprint]]=CurrentSprint),Tasks[[#This Row],[_Row]],"")</f>
        <v/>
      </c>
    </row>
    <row r="68" customFormat="false" ht="15" hidden="false" customHeight="false" outlineLevel="0" collapsed="false">
      <c r="A68" s="45" t="str">
        <f aca="false">IF(Tasks[[#This Row],[Task Name]]="","",COUNTA(Tasks[[#Headers],[Task Name]]:Tasks[[#This Row],[Task Name]])-1)</f>
        <v/>
      </c>
      <c r="B68" s="46" t="n">
        <v>63</v>
      </c>
      <c r="C6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8" s="46"/>
      <c r="E68" s="45" t="str">
        <f aca="false">IF(Tasks[[#This Row],[Task Name]]="","",IF(Tasks[[#This Row],[_Level]]&lt;=OutlineShowLevel,"Yes","No"))</f>
        <v/>
      </c>
      <c r="F68" s="47"/>
      <c r="G68" s="46"/>
      <c r="H68" s="46"/>
      <c r="I68" s="46"/>
      <c r="J68" s="46"/>
      <c r="K68" s="46"/>
      <c r="L68" s="46"/>
      <c r="M68" s="46"/>
      <c r="N68" s="46"/>
      <c r="O68" s="46"/>
      <c r="P68" s="46"/>
      <c r="Q68" s="46"/>
      <c r="R68" s="46"/>
      <c r="S68" s="46"/>
      <c r="T68" s="46"/>
      <c r="U68" s="47"/>
      <c r="V68" s="88"/>
      <c r="W68" s="88"/>
      <c r="X68" s="25" t="str">
        <f aca="false">IF(Tasks[[#This Row],[Task Name]]="","",IF(N(Tasks[[#This Row],[Baseline Start]])&gt;0,Tasks[[#This Row],[Baseline Start]],Tasks[[#This Row],[_CalcStart]]))</f>
        <v/>
      </c>
      <c r="Y68" s="25" t="str">
        <f aca="false">IF(Tasks[[#This Row],[Task Name]]="","",IF(N(Tasks[[#This Row],[Baseline Finish]])&gt;0,Tasks[[#This Row],[Baseline Finish]],Tasks[[#This Row],[_CalcFinish]]))</f>
        <v/>
      </c>
      <c r="Z68" s="88"/>
      <c r="AA68" s="88"/>
      <c r="AB68" s="25" t="str">
        <f aca="false">IF(Tasks[[#This Row],[Task Name]]="","",IF(Tasks[[#This Row],[_IsSummary]],MIN(INDEX(Tasks[_ShownFcstStart],Tasks[[#This Row],[_Row]]+1):INDEX(Tasks[_ShownFcstStart],Tasks[[#This Row],[_Row]]+Tasks[[#This Row],[_Descendants]])),Tasks[[#This Row],[_ShownFcstStart]]))</f>
        <v/>
      </c>
      <c r="AC68" s="25" t="str">
        <f aca="false">IF(Tasks[[#This Row],[Task Name]]="","",IF(Tasks[[#This Row],[_IsSummary]],MAX(INDEX(Tasks[_ShownFcstFinish],Tasks[[#This Row],[_Row]]+1):INDEX(Tasks[_ShownFcstFinish],Tasks[[#This Row],[_Row]]+Tasks[[#This Row],[_Descendants]])),Tasks[[#This Row],[_ShownFcstFinish]]))</f>
        <v/>
      </c>
      <c r="AD6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8" s="25" t="str">
        <f aca="false">IF(Tasks[[#This Row],[Task Name]]="","",IF(Tasks[[#This Row],[_IsSummary]],MIN(INDEX(Tasks[_LeafLateStart],Tasks[[#This Row],[_Row]]+1):INDEX(Tasks[_LeafLateStart],Tasks[[#This Row],[_Row]]+Tasks[[#This Row],[_Descendants]])),Tasks[[#This Row],[_LeafLateStart]]))</f>
        <v/>
      </c>
      <c r="AG68" s="25" t="str">
        <f aca="false">IF(Tasks[[#This Row],[Task Name]]="","",IF(Tasks[[#This Row],[_IsSummary]],MAX(INDEX(Tasks[_LeafLateFinish],Tasks[[#This Row],[_Row]]+1):INDEX(Tasks[_LeafLateFinish],Tasks[[#This Row],[_Row]]+Tasks[[#This Row],[_Descendants]])),Tasks[[#This Row],[_LeafLateFinish]]))</f>
        <v/>
      </c>
      <c r="AH68" s="56" t="str">
        <f aca="false">IF(Tasks[[#This Row],[Task Name]]="","",IF(Tasks[[#This Row],[_IsSummary]],MIN(INDEX(Tasks[_LeafTotalSlack],Tasks[[#This Row],[_Row]]+1):INDEX(Tasks[_LeafTotalSlack],Tasks[[#This Row],[_Row]]+Tasks[[#This Row],[_Descendants]])),Tasks[[#This Row],[_LeafTotalSlack]]))</f>
        <v/>
      </c>
      <c r="AI6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8" s="45" t="str">
        <f aca="false">IF(Tasks[[#This Row],[Task Name]]="","",IF(IF(Tasks[[#This Row],[_IsSummary]],COUNTIF(INDEX(Tasks[_LeafCritical],Tasks[[#This Row],[_Row]]+1):INDEX(Tasks[_LeafCritical],Tasks[[#This Row],[_Row]]+Tasks[[#This Row],[_Descendants]]),TRUE())&gt;0,Tasks[[#This Row],[_LeafCritical]]),"Yes",""))</f>
        <v/>
      </c>
      <c r="AK6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8" s="102"/>
      <c r="AN6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8" s="45" t="str">
        <f aca="false">IF(Tasks[[#This Row],[Task Name]]="","",IF(Tasks[[#This Row],[Progress]]&gt;=1,"Complete",IF(OR(N(Tasks[[#This Row],[Actual Start]])&gt;0,Tasks[[#This Row],[Progress]]&gt;0),IF(Tasks[[#This Row],[Finish Var]]&gt;0,"Behind","In Progress"),IF(Tasks[[#This Row],[Planned Start]]&lt;StatusDate,"Late Start","Not Started"))))</f>
        <v/>
      </c>
      <c r="AP68" s="47"/>
      <c r="AQ68" s="102"/>
      <c r="AR6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8" s="110" t="str">
        <f aca="false">IF(Tasks[[#This Row],[Task Name]]="","",IF(Tasks[[#This Row],[_IsSummary]],SUM(INDEX(Tasks[_LeafTotalWork],Tasks[[#This Row],[_Row]]+1):INDEX(Tasks[_LeafTotalWork],Tasks[[#This Row],[_Row]]+Tasks[[#This Row],[_Descendants]])),Tasks[[#This Row],[_LeafTotalWork]]))</f>
        <v/>
      </c>
      <c r="AU68" s="111" t="str">
        <f aca="false">IF(Tasks[[#This Row],[Task Name]]="","",IF(Tasks[[#This Row],[_IsSummary]],SUM(INDEX(Tasks[_LeafTotalCost],Tasks[[#This Row],[_Row]]+1):INDEX(Tasks[_LeafTotalCost],Tasks[[#This Row],[_Row]]+Tasks[[#This Row],[_Descendants]])),Tasks[[#This Row],[_LeafTotalCost]]))</f>
        <v/>
      </c>
      <c r="AV68" s="112"/>
      <c r="AW68" s="46"/>
      <c r="AX6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8" s="96"/>
      <c r="AZ6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8" s="47"/>
      <c r="BB68" s="25" t="str">
        <f aca="false">IF(Tasks[[#This Row],[Task Name]]="","",Tasks[[#This Row],[Forecast Start]])</f>
        <v/>
      </c>
      <c r="BC68" s="25" t="str">
        <f aca="false">IF(Tasks[[#This Row],[Task Name]]="","",Tasks[[#This Row],[Forecast Finish]])</f>
        <v/>
      </c>
      <c r="BD68" s="45" t="str">
        <f aca="false">IF(Tasks[[#This Row],[Task Name]]="","",IF(Tasks[[#This Row],[_IsSummary]],NETWORKDAYS.INTL(Tasks[[#This Row],[Forecast Start]],Tasks[[#This Row],[Forecast Finish]],WorkWeek,Holidays),N(Tasks[[#This Row],[Duration]])))</f>
        <v/>
      </c>
      <c r="BE68" s="110" t="str">
        <f aca="false">IF(Tasks[[#This Row],[Task Name]]="","",Tasks[[#This Row],[Work]])</f>
        <v/>
      </c>
      <c r="BF68" s="111" t="str">
        <f aca="false">IF(Tasks[[#This Row],[Task Name]]="","",Tasks[[#This Row],[Cost]])</f>
        <v/>
      </c>
      <c r="BG68" s="88"/>
      <c r="BH68" s="88"/>
      <c r="BI68" s="46"/>
      <c r="BJ68" s="113"/>
      <c r="BK68" s="112"/>
      <c r="BL68" s="45" t="str">
        <f aca="false">IF(OR(Tasks[[#This Row],[Task Name]]="",Tasks[[#This Row],[Baseline Duration]]=""),"",Tasks[[#This Row],[BL Source Duration]]-N(Tasks[[#This Row],[Baseline Duration]]))</f>
        <v/>
      </c>
      <c r="BM68" s="110" t="str">
        <f aca="false">IF(OR(Tasks[[#This Row],[Task Name]]="",Tasks[[#This Row],[Baseline Work]]=""),"",Tasks[[#This Row],[Work]]-N(Tasks[[#This Row],[Baseline Work]]))</f>
        <v/>
      </c>
      <c r="BN68" s="111" t="str">
        <f aca="false">IF(OR(Tasks[[#This Row],[Task Name]]="",Tasks[[#This Row],[Baseline Cost]]=""),"",Tasks[[#This Row],[Cost]]-N(Tasks[[#This Row],[Baseline Cost]]))</f>
        <v/>
      </c>
      <c r="BO68" s="111" t="str">
        <f aca="false">IF(Tasks[[#This Row],[Task Name]]="","",IF(Tasks[[#This Row],[_IsSummary]],SUM(INDEX(Tasks[_LeafBudget],Tasks[[#This Row],[_Row]]+1):INDEX(Tasks[_LeafBudget],Tasks[[#This Row],[_Row]]+Tasks[[#This Row],[_Descendants]])),Tasks[[#This Row],[_LeafBudget]]))</f>
        <v/>
      </c>
      <c r="BP68" s="111" t="str">
        <f aca="false">IF(Tasks[[#This Row],[Task Name]]="","",IF(Tasks[[#This Row],[_IsSummary]],SUM(INDEX(Tasks[_LeafPV],Tasks[[#This Row],[_Row]]+1):INDEX(Tasks[_LeafPV],Tasks[[#This Row],[_Row]]+Tasks[[#This Row],[_Descendants]])),Tasks[[#This Row],[_LeafPV]]))</f>
        <v/>
      </c>
      <c r="BQ68" s="111" t="str">
        <f aca="false">IF(Tasks[[#This Row],[Task Name]]="","",IF(Tasks[[#This Row],[_IsSummary]],SUM(INDEX(Tasks[_LeafEV],Tasks[[#This Row],[_Row]]+1):INDEX(Tasks[_LeafEV],Tasks[[#This Row],[_Row]]+Tasks[[#This Row],[_Descendants]])),Tasks[[#This Row],[_LeafEV]]))</f>
        <v/>
      </c>
      <c r="BR68" s="111" t="str">
        <f aca="false">IF(Tasks[[#This Row],[Task Name]]="","",IF(Tasks[[#This Row],[_IsSummary]],SUM(INDEX(Tasks[_LeafAC],Tasks[[#This Row],[_Row]]+1):INDEX(Tasks[_LeafAC],Tasks[[#This Row],[_Row]]+Tasks[[#This Row],[_Descendants]])),Tasks[[#This Row],[_LeafAC]]))</f>
        <v/>
      </c>
      <c r="BS68" s="32" t="str">
        <f aca="false">IF(Tasks[[#This Row],[Task Name]]="","",MAX(1,N(Tasks[[#This Row],[Level]])))</f>
        <v/>
      </c>
      <c r="BT68" s="32" t="n">
        <f aca="false">ROW()-ROW(Tasks[[#Headers],[ID]])</f>
        <v>63</v>
      </c>
      <c r="BU68" s="32" t="n">
        <f aca="false">IF(OR(Tasks[[#This Row],[Task Name]]="",Tasks[[#This Row],[_Level]]&lt;=1),0,IFERROR(LOOKUP(2,1/(Tasks[[#Headers],[_Level]]:Tasks[[#This Row],[_Level]]=Tasks[[#This Row],[_Level]]-1),ROW(Tasks[[#Headers],[_Level]]:Tasks[[#This Row],[_Level]])),0))</f>
        <v>0</v>
      </c>
      <c r="BV68" s="32" t="n">
        <f aca="false">IFERROR(N(INDEX(Tasks[_Level],Tasks[[#This Row],[_Row]]+1)),0)</f>
        <v>0</v>
      </c>
      <c r="BW68" s="114" t="b">
        <f aca="false">AND(Tasks[[#This Row],[Task Name]]&lt;&gt;"",Tasks[[#This Row],[_NextLevel]]&gt;Tasks[[#This Row],[_Level]])</f>
        <v>0</v>
      </c>
      <c r="BX68" s="32" t="n">
        <f aca="false">IF(Tasks[[#This Row],[_IsSummary]],COUNTIF(Tasks[WBS],Tasks[[#This Row],[WBS]]&amp;".*"),0)</f>
        <v>0</v>
      </c>
      <c r="BY68" s="32" t="n">
        <f aca="false">IF(AND(Tasks[[#This Row],[Task Name]]&lt;&gt;"",NOT(Tasks[[#This Row],[_IsSummary]])),1,0)</f>
        <v>0</v>
      </c>
      <c r="BZ68" s="32" t="n">
        <f aca="false">IF(N(Tasks[[#This Row],[Pred1 UID]])=0,0,IFERROR(MATCH(Tasks[[#This Row],[Pred1 UID]],Tasks[UID],0),-1))</f>
        <v>0</v>
      </c>
      <c r="CA68" s="32" t="n">
        <f aca="false">IF(N(Tasks[[#This Row],[Pred2 UID]])=0,0,IFERROR(MATCH(Tasks[[#This Row],[Pred2 UID]],Tasks[UID],0),-1))</f>
        <v>0</v>
      </c>
      <c r="CB68" s="32" t="n">
        <f aca="false">IF(N(Tasks[[#This Row],[Pred3 UID]])=0,0,IFERROR(MATCH(Tasks[[#This Row],[Pred3 UID]],Tasks[UID],0),-1))</f>
        <v>0</v>
      </c>
      <c r="CC68" s="32" t="n">
        <f aca="false">IF(N(Tasks[[#This Row],[Pred4 UID]])=0,0,IFERROR(MATCH(Tasks[[#This Row],[Pred4 UID]],Tasks[UID],0),-1))</f>
        <v>0</v>
      </c>
      <c r="CD6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8" s="115" t="n">
        <f aca="false">IF(OR(Tasks[[#This Row],[_ConstraintCode]]=2,Tasks[[#This Row],[_ConstraintCode]]=3,Tasks[[#This Row],[_ConstraintCode]]=4,Tasks[[#This Row],[_ConstraintCode]]=6),Tasks[[#This Row],[_ConstraintStart]],0)</f>
        <v>0</v>
      </c>
      <c r="CG68" s="115" t="n">
        <f aca="false">IF(OR(Tasks[[#This Row],[_ConstraintCode]]=2,Tasks[[#This Row],[_ConstraintCode]]=3,Tasks[[#This Row],[_ConstraintCode]]=5,Tasks[[#This Row],[_ConstraintCode]]=7),Tasks[[#This Row],[_ConstraintStart]],2958465)</f>
        <v>2958465</v>
      </c>
      <c r="CH6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8" s="115" t="str">
        <f aca="false">IF(NOT(Tasks[[#This Row],[_IsLeaf]]=1),"",IF(N(Tasks[[#This Row],[Duration]])&lt;=0,Tasks[[#This Row],[_LeafCalcStart]],WORKDAY.INTL(Tasks[[#This Row],[_LeafCalcStart]],Tasks[[#This Row],[Duration]]-1,WorkWeek,Holidays)))</f>
        <v/>
      </c>
      <c r="CJ6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8" s="32" t="n">
        <f aca="false">IF(NOT(Tasks[[#This Row],[_IsLeaf]]=1),0,IF(N(Tasks[[#This Row],[Actual Finish]])&gt;0,1,MIN(1,N(Tasks[[#This Row],[% Complete]]))))</f>
        <v>0</v>
      </c>
      <c r="CM68" s="32" t="n">
        <f aca="false">IF(OR(NOT(Tasks[[#This Row],[_IsLeaf]]=1),Tasks[[#This Row],[Resource]]=""),0,N(Tasks[[#This Row],[Duration]])*HoursPerDay*IF(Tasks[[#This Row],[Units]]="",DefaultUnits,Tasks[[#This Row],[Units]]))</f>
        <v>0</v>
      </c>
      <c r="CN68" s="32" t="n">
        <f aca="false">IF(Tasks[[#This Row],[_LeafWork]]=0,0,Tasks[[#This Row],[_LeafWork]]*IFERROR(INDEX(res_Rate,MATCH(Tasks[[#This Row],[Resource]],res_Name,0)),0))</f>
        <v>0</v>
      </c>
      <c r="CO68" s="32" t="n">
        <f aca="false">Tasks[[#This Row],[_LeafWork]]+IF(Tasks[[#This Row],[_IsLeaf]]=1,SUMIFS(asg_Work,asg_TaskUID,Tasks[[#This Row],[UID]],asg_Valid,1),0)</f>
        <v>0</v>
      </c>
      <c r="CP68" s="32" t="n">
        <f aca="false">Tasks[[#This Row],[_LeafCost]]+IF(Tasks[[#This Row],[_IsLeaf]]=1,SUMIFS(asg_Cost,asg_TaskUID,Tasks[[#This Row],[UID]],asg_Valid,1),0)</f>
        <v>0</v>
      </c>
      <c r="CQ68" s="32" t="n">
        <f aca="false">IF(Tasks[[#This Row],[_LeafTotalCost]]=0,Tasks[[#This Row],[_LeafAC]],Tasks[[#This Row],[_LeafAC]]*Tasks[[#This Row],[_LeafCost]]/Tasks[[#This Row],[_LeafTotalCost]])</f>
        <v>0</v>
      </c>
      <c r="CR6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8" s="32" t="n">
        <f aca="false">IF(NOT(Tasks[[#This Row],[_IsLeaf]]=1),0,MAX(_xlfn.MAXIFS(Tasks[_Row],Tasks[Pred1 UID],Tasks[[#This Row],[UID]]),_xlfn.MAXIFS(Tasks[_Row],Tasks[Pred2 UID],Tasks[[#This Row],[UID]]),_xlfn.MAXIFS(Tasks[_Row],Tasks[Pred3 UID],Tasks[[#This Row],[UID]]),_xlfn.MAXIFS(Tasks[_Row],Tasks[Pred4 UID],Tasks[[#This Row],[UID]])))</f>
        <v>0</v>
      </c>
      <c r="DA6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8" s="115" t="str">
        <f aca="false">IF(NOT(Tasks[[#This Row],[_IsLeaf]]=1),"",IF(N(Tasks[[#This Row],[Duration]])&lt;=0,Tasks[[#This Row],[_LeafLateFinish]],WORKDAY.INTL(Tasks[[#This Row],[_LeafLateFinish]],-(Tasks[[#This Row],[Duration]]-1),WorkWeek,Holidays)))</f>
        <v/>
      </c>
      <c r="DD6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8" s="114" t="b">
        <f aca="false">AND(Tasks[[#This Row],[_IsLeaf]]=1,Tasks[[#This Row],[_LeafProgress]]&lt;1,N(Tasks[[#This Row],[_LeafTotalSlack]])&lt;=CriticalSlackDays)</f>
        <v>0</v>
      </c>
      <c r="DF68" s="32" t="n">
        <f aca="false">IF(AND(Tasks[[#This Row],[_IsLeaf]]=1,Tasks[[#This Row],[_ConstraintCode]]=1,Tasks[[#This Row],[Mode]]&lt;&gt;"Manual",N(Tasks[[#This Row],[Actual Start]])=0),MAX(0,N(Tasks[[#This Row],[Free Slack]])),0)</f>
        <v>0</v>
      </c>
      <c r="DG68" s="115" t="str">
        <f aca="false">IF(NOT(Tasks[[#This Row],[_IsLeaf]]=1),"",IF(Tasks[[#This Row],[_AlapShift]]=0,Tasks[[#This Row],[_LeafCalcStart]],WORKDAY.INTL(Tasks[[#This Row],[_LeafCalcStart]],Tasks[[#This Row],[_AlapShift]],WorkWeek,Holidays)))</f>
        <v/>
      </c>
      <c r="DH68" s="115" t="str">
        <f aca="false">IF(NOT(Tasks[[#This Row],[_IsLeaf]]=1),"",IF(Tasks[[#This Row],[_AlapShift]]=0,Tasks[[#This Row],[_LeafCalcFinish]],WORKDAY.INTL(Tasks[[#This Row],[_LeafCalcFinish]],Tasks[[#This Row],[_AlapShift]],WorkWeek,Holidays)))</f>
        <v/>
      </c>
      <c r="DI68" s="115" t="str">
        <f aca="false">IF(NOT(Tasks[[#This Row],[_IsLeaf]]=1),"",IF(Tasks[[#This Row],[_AlapShift]]=0,Tasks[[#This Row],[_LeafFcstStart]],WORKDAY.INTL(Tasks[[#This Row],[_LeafFcstStart]],Tasks[[#This Row],[_AlapShift]],WorkWeek,Holidays)))</f>
        <v/>
      </c>
      <c r="DJ68" s="115" t="str">
        <f aca="false">IF(NOT(Tasks[[#This Row],[_IsLeaf]]=1),"",IF(Tasks[[#This Row],[_AlapShift]]=0,Tasks[[#This Row],[_LeafFcstFinish]],WORKDAY.INTL(Tasks[[#This Row],[_LeafFcstFinish]],Tasks[[#This Row],[_AlapShift]],WorkWeek,Holidays)))</f>
        <v/>
      </c>
      <c r="DK68" s="115" t="str">
        <f aca="false">IF(Tasks[[#This Row],[Task Name]]="","",IF(Tasks[[#This Row],[_IsSummary]],MIN(INDEX(Tasks[_ShownCalcStart],Tasks[[#This Row],[_Row]]+1):INDEX(Tasks[_ShownCalcStart],Tasks[[#This Row],[_Row]]+Tasks[[#This Row],[_Descendants]])),Tasks[[#This Row],[_ShownCalcStart]]))</f>
        <v/>
      </c>
      <c r="DL68" s="115" t="str">
        <f aca="false">IF(Tasks[[#This Row],[Task Name]]="","",IF(Tasks[[#This Row],[_IsSummary]],MAX(INDEX(Tasks[_ShownCalcFinish],Tasks[[#This Row],[_Row]]+1):INDEX(Tasks[_ShownCalcFinish],Tasks[[#This Row],[_Row]]+Tasks[[#This Row],[_Descendants]])),Tasks[[#This Row],[_ShownCalcFinish]]))</f>
        <v/>
      </c>
      <c r="DM6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8" s="32" t="n">
        <f aca="false">IF(AND(Tasks[[#This Row],[_IsLeaf]]=1,Tasks[[#This Row],[_LeafTotalWork]]&gt;0),NETWORKDAYS.INTL(ProjectStart,Tasks[[#This Row],[_ShownFcstStart]],WorkWeek,Holidays),0)</f>
        <v>0</v>
      </c>
      <c r="DZ68" s="32" t="n">
        <f aca="false">IF(AND(Tasks[[#This Row],[_IsLeaf]]=1,Tasks[[#This Row],[_LeafTotalWork]]&gt;0),MAX(Tasks[[#This Row],[_StartWorkday]],NETWORKDAYS.INTL(ProjectStart,Tasks[[#This Row],[_ShownFcstFinish]],WorkWeek,Holidays)),0)</f>
        <v>0</v>
      </c>
      <c r="EA68" s="32" t="n">
        <f aca="false">IF(AND(Tasks[[#This Row],[_IsLeaf]]=1,Tasks[[#This Row],[_LeafTotalWork]]&gt;0),Tasks[[#This Row],[_LeafWork]]/(Tasks[[#This Row],[_FinishWorkday]]-Tasks[[#This Row],[_StartWorkday]]+1),0)</f>
        <v>0</v>
      </c>
      <c r="EB68" s="32" t="n">
        <f aca="false">Tasks[[#This Row],[_WorkPerWorkday]]*(Tasks[[#This Row],[_StartWorkday]]-1)</f>
        <v>-0</v>
      </c>
      <c r="EC68" s="32" t="n">
        <f aca="false">IF(Tasks[[#This Row],[_IsLeaf]]=1,MAX(N(Tasks[[#This Row],[Duration]]),0.1),0)</f>
        <v>0</v>
      </c>
      <c r="ED68" s="32" t="n">
        <f aca="false">Tasks[[#This Row],[_WeightDur]]*Tasks[[#This Row],[_LeafProgress]]</f>
        <v>0</v>
      </c>
      <c r="EE6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8" s="32" t="str">
        <f aca="false">IF(AND(Tasks[[#This Row],[_IsLeaf]]=1,N(Tasks[[#This Row],[Duration]])=0,Tasks[[#This Row],[_LeafProgress]]&lt;1),Tasks[[#This Row],[_ShownFcstFinish]]+Tasks[[#This Row],[_Row]]/100000,"")</f>
        <v/>
      </c>
      <c r="EG6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8" s="32" t="n">
        <f aca="false">IF(NOT(Tasks[[#This Row],[_IsLeaf]]=1),0,IF(Tasks[[#This Row],[Baseline Cost]]="",Tasks[[#This Row],[_LeafTotalCost]],N(Tasks[[#This Row],[Baseline Cost]])))</f>
        <v>0</v>
      </c>
      <c r="EI68" s="32" t="n">
        <f aca="false">Tasks[[#This Row],[_LeafBudget]]*Tasks[[#This Row],[_PlannedPct]]</f>
        <v>0</v>
      </c>
      <c r="EJ68" s="32" t="n">
        <f aca="false">Tasks[[#This Row],[_LeafBudget]]*Tasks[[#This Row],[_LeafProgress]]</f>
        <v>0</v>
      </c>
      <c r="EK68" s="32" t="n">
        <f aca="false">IF(NOT(Tasks[[#This Row],[_IsLeaf]]=1),0,IF(Tasks[[#This Row],[Actual Cost]]="",Tasks[[#This Row],[_LeafTotalCost]]*Tasks[[#This Row],[_LeafProgress]],N(Tasks[[#This Row],[Actual Cost]])))</f>
        <v>0</v>
      </c>
      <c r="EL68" s="32" t="str">
        <f aca="false">IF(Tasks[[#This Row],[Task Name]]="","",LEFT(Tasks[[#This Row],[WBS]],FIND(".",Tasks[[#This Row],[WBS]]&amp;".")-1))</f>
        <v/>
      </c>
      <c r="EM68" s="32" t="str">
        <f aca="false">IF(AND(Tasks[[#This Row],[Task Name]]&lt;&gt;"",Tasks[[#This Row],[_Level]]=1),Tasks[[#This Row],[_Row]],"")</f>
        <v/>
      </c>
      <c r="EN68" s="32" t="str">
        <f aca="false">IF(AND(Tasks[[#This Row],[_IsLeaf]]=1,N(Tasks[[#This Row],[Duration]])=0),Tasks[[#This Row],[Planned Finish]]+Tasks[[#This Row],[_Row]]/100000,"")</f>
        <v/>
      </c>
      <c r="EO68" s="32" t="str">
        <f aca="false">IF(AND(Tasks[[#This Row],[_IsLeaf]]=1,Tasks[[#This Row],[_LeafProgress]]&lt;1,OR(N(Tasks[[#This Row],[Finish Var]])&gt;0,Tasks[[#This Row],[Status]]="Late Start")),MAX(0,Tasks[[#This Row],[Finish Var]])+1-Tasks[[#This Row],[_Row]]/1000000,"")</f>
        <v/>
      </c>
      <c r="EP68" s="32" t="str">
        <f aca="false">IF(AND(Tasks[[#This Row],[_IsLeaf]]=1,N(Tasks[[#This Row],[Actual Start]])=0,Tasks[[#This Row],[_ShownFcstStart]]&gt;=StatusDate,Tasks[[#This Row],[_ShownFcstStart]]&lt;=LookaheadEnd),Tasks[[#This Row],[_ShownFcstStart]]+Tasks[[#This Row],[_Row]]/100000,"")</f>
        <v/>
      </c>
      <c r="EQ68" s="32" t="str">
        <f aca="false">IF(AND(Tasks[[#This Row],[_IsLeaf]]=1,Tasks[[#This Row],[_LeafProgress]]&lt;1,Tasks[[#This Row],[_ShownFcstFinish]]&gt;=StatusDate,Tasks[[#This Row],[_ShownFcstFinish]]&lt;=LookaheadEnd),Tasks[[#This Row],[_ShownFcstFinish]]+Tasks[[#This Row],[_Row]]/100000,"")</f>
        <v/>
      </c>
      <c r="ER68" s="32" t="str">
        <f aca="false">IF(Tasks[[#This Row],[_LeafCritical]],Tasks[[#This Row],[_ShownFcstStart]]+Tasks[[#This Row],[_Row]]/100000,"")</f>
        <v/>
      </c>
      <c r="ES68" s="32" t="n">
        <f aca="false">Tasks[[#This Row],[_LeafWork]]*Tasks[[#This Row],[_LeafProgress]]</f>
        <v>0</v>
      </c>
      <c r="ET68" s="115" t="str">
        <f aca="false">IF(AND(Tasks[[#This Row],[_IsLeaf]]=1,Tasks[[#This Row],[_LeafProgress]]&gt;=1),IF(N(Tasks[[#This Row],[Actual Finish]])&gt;0,Tasks[[#This Row],[Actual Finish]],Tasks[[#This Row],[_ShownFcstFinish]]),"")</f>
        <v/>
      </c>
      <c r="EU68" s="32" t="n">
        <f aca="false">IF(Tasks[[#This Row],[_IsLeaf]]=1,N(Tasks[[#This Row],[Story Points]]),0)</f>
        <v>0</v>
      </c>
      <c r="EV68" s="32" t="str">
        <f aca="false">IF(AND(Tasks[[#This Row],[_IsLeaf]]=1,CurrentSprint&lt;&gt;"",Tasks[[#This Row],[Sprint]]=CurrentSprint),Tasks[[#This Row],[_Row]],"")</f>
        <v/>
      </c>
    </row>
    <row r="69" customFormat="false" ht="15" hidden="false" customHeight="false" outlineLevel="0" collapsed="false">
      <c r="A69" s="45" t="str">
        <f aca="false">IF(Tasks[[#This Row],[Task Name]]="","",COUNTA(Tasks[[#Headers],[Task Name]]:Tasks[[#This Row],[Task Name]])-1)</f>
        <v/>
      </c>
      <c r="B69" s="46" t="n">
        <v>64</v>
      </c>
      <c r="C6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69" s="46"/>
      <c r="E69" s="45" t="str">
        <f aca="false">IF(Tasks[[#This Row],[Task Name]]="","",IF(Tasks[[#This Row],[_Level]]&lt;=OutlineShowLevel,"Yes","No"))</f>
        <v/>
      </c>
      <c r="F69" s="47"/>
      <c r="G69" s="46"/>
      <c r="H69" s="46"/>
      <c r="I69" s="46"/>
      <c r="J69" s="46"/>
      <c r="K69" s="46"/>
      <c r="L69" s="46"/>
      <c r="M69" s="46"/>
      <c r="N69" s="46"/>
      <c r="O69" s="46"/>
      <c r="P69" s="46"/>
      <c r="Q69" s="46"/>
      <c r="R69" s="46"/>
      <c r="S69" s="46"/>
      <c r="T69" s="46"/>
      <c r="U69" s="47"/>
      <c r="V69" s="88"/>
      <c r="W69" s="88"/>
      <c r="X69" s="25" t="str">
        <f aca="false">IF(Tasks[[#This Row],[Task Name]]="","",IF(N(Tasks[[#This Row],[Baseline Start]])&gt;0,Tasks[[#This Row],[Baseline Start]],Tasks[[#This Row],[_CalcStart]]))</f>
        <v/>
      </c>
      <c r="Y69" s="25" t="str">
        <f aca="false">IF(Tasks[[#This Row],[Task Name]]="","",IF(N(Tasks[[#This Row],[Baseline Finish]])&gt;0,Tasks[[#This Row],[Baseline Finish]],Tasks[[#This Row],[_CalcFinish]]))</f>
        <v/>
      </c>
      <c r="Z69" s="88"/>
      <c r="AA69" s="88"/>
      <c r="AB69" s="25" t="str">
        <f aca="false">IF(Tasks[[#This Row],[Task Name]]="","",IF(Tasks[[#This Row],[_IsSummary]],MIN(INDEX(Tasks[_ShownFcstStart],Tasks[[#This Row],[_Row]]+1):INDEX(Tasks[_ShownFcstStart],Tasks[[#This Row],[_Row]]+Tasks[[#This Row],[_Descendants]])),Tasks[[#This Row],[_ShownFcstStart]]))</f>
        <v/>
      </c>
      <c r="AC69" s="25" t="str">
        <f aca="false">IF(Tasks[[#This Row],[Task Name]]="","",IF(Tasks[[#This Row],[_IsSummary]],MAX(INDEX(Tasks[_ShownFcstFinish],Tasks[[#This Row],[_Row]]+1):INDEX(Tasks[_ShownFcstFinish],Tasks[[#This Row],[_Row]]+Tasks[[#This Row],[_Descendants]])),Tasks[[#This Row],[_ShownFcstFinish]]))</f>
        <v/>
      </c>
      <c r="AD6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6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69" s="25" t="str">
        <f aca="false">IF(Tasks[[#This Row],[Task Name]]="","",IF(Tasks[[#This Row],[_IsSummary]],MIN(INDEX(Tasks[_LeafLateStart],Tasks[[#This Row],[_Row]]+1):INDEX(Tasks[_LeafLateStart],Tasks[[#This Row],[_Row]]+Tasks[[#This Row],[_Descendants]])),Tasks[[#This Row],[_LeafLateStart]]))</f>
        <v/>
      </c>
      <c r="AG69" s="25" t="str">
        <f aca="false">IF(Tasks[[#This Row],[Task Name]]="","",IF(Tasks[[#This Row],[_IsSummary]],MAX(INDEX(Tasks[_LeafLateFinish],Tasks[[#This Row],[_Row]]+1):INDEX(Tasks[_LeafLateFinish],Tasks[[#This Row],[_Row]]+Tasks[[#This Row],[_Descendants]])),Tasks[[#This Row],[_LeafLateFinish]]))</f>
        <v/>
      </c>
      <c r="AH69" s="56" t="str">
        <f aca="false">IF(Tasks[[#This Row],[Task Name]]="","",IF(Tasks[[#This Row],[_IsSummary]],MIN(INDEX(Tasks[_LeafTotalSlack],Tasks[[#This Row],[_Row]]+1):INDEX(Tasks[_LeafTotalSlack],Tasks[[#This Row],[_Row]]+Tasks[[#This Row],[_Descendants]])),Tasks[[#This Row],[_LeafTotalSlack]]))</f>
        <v/>
      </c>
      <c r="AI6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69" s="45" t="str">
        <f aca="false">IF(Tasks[[#This Row],[Task Name]]="","",IF(IF(Tasks[[#This Row],[_IsSummary]],COUNTIF(INDEX(Tasks[_LeafCritical],Tasks[[#This Row],[_Row]]+1):INDEX(Tasks[_LeafCritical],Tasks[[#This Row],[_Row]]+Tasks[[#This Row],[_Descendants]]),TRUE())&gt;0,Tasks[[#This Row],[_LeafCritical]]),"Yes",""))</f>
        <v/>
      </c>
      <c r="AK6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6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69" s="102"/>
      <c r="AN6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69" s="45" t="str">
        <f aca="false">IF(Tasks[[#This Row],[Task Name]]="","",IF(Tasks[[#This Row],[Progress]]&gt;=1,"Complete",IF(OR(N(Tasks[[#This Row],[Actual Start]])&gt;0,Tasks[[#This Row],[Progress]]&gt;0),IF(Tasks[[#This Row],[Finish Var]]&gt;0,"Behind","In Progress"),IF(Tasks[[#This Row],[Planned Start]]&lt;StatusDate,"Late Start","Not Started"))))</f>
        <v/>
      </c>
      <c r="AP69" s="47"/>
      <c r="AQ69" s="102"/>
      <c r="AR6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6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69" s="110" t="str">
        <f aca="false">IF(Tasks[[#This Row],[Task Name]]="","",IF(Tasks[[#This Row],[_IsSummary]],SUM(INDEX(Tasks[_LeafTotalWork],Tasks[[#This Row],[_Row]]+1):INDEX(Tasks[_LeafTotalWork],Tasks[[#This Row],[_Row]]+Tasks[[#This Row],[_Descendants]])),Tasks[[#This Row],[_LeafTotalWork]]))</f>
        <v/>
      </c>
      <c r="AU69" s="111" t="str">
        <f aca="false">IF(Tasks[[#This Row],[Task Name]]="","",IF(Tasks[[#This Row],[_IsSummary]],SUM(INDEX(Tasks[_LeafTotalCost],Tasks[[#This Row],[_Row]]+1):INDEX(Tasks[_LeafTotalCost],Tasks[[#This Row],[_Row]]+Tasks[[#This Row],[_Descendants]])),Tasks[[#This Row],[_LeafTotalCost]]))</f>
        <v/>
      </c>
      <c r="AV69" s="112"/>
      <c r="AW69" s="46"/>
      <c r="AX6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69" s="96"/>
      <c r="AZ6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69" s="47"/>
      <c r="BB69" s="25" t="str">
        <f aca="false">IF(Tasks[[#This Row],[Task Name]]="","",Tasks[[#This Row],[Forecast Start]])</f>
        <v/>
      </c>
      <c r="BC69" s="25" t="str">
        <f aca="false">IF(Tasks[[#This Row],[Task Name]]="","",Tasks[[#This Row],[Forecast Finish]])</f>
        <v/>
      </c>
      <c r="BD69" s="45" t="str">
        <f aca="false">IF(Tasks[[#This Row],[Task Name]]="","",IF(Tasks[[#This Row],[_IsSummary]],NETWORKDAYS.INTL(Tasks[[#This Row],[Forecast Start]],Tasks[[#This Row],[Forecast Finish]],WorkWeek,Holidays),N(Tasks[[#This Row],[Duration]])))</f>
        <v/>
      </c>
      <c r="BE69" s="110" t="str">
        <f aca="false">IF(Tasks[[#This Row],[Task Name]]="","",Tasks[[#This Row],[Work]])</f>
        <v/>
      </c>
      <c r="BF69" s="111" t="str">
        <f aca="false">IF(Tasks[[#This Row],[Task Name]]="","",Tasks[[#This Row],[Cost]])</f>
        <v/>
      </c>
      <c r="BG69" s="88"/>
      <c r="BH69" s="88"/>
      <c r="BI69" s="46"/>
      <c r="BJ69" s="113"/>
      <c r="BK69" s="112"/>
      <c r="BL69" s="45" t="str">
        <f aca="false">IF(OR(Tasks[[#This Row],[Task Name]]="",Tasks[[#This Row],[Baseline Duration]]=""),"",Tasks[[#This Row],[BL Source Duration]]-N(Tasks[[#This Row],[Baseline Duration]]))</f>
        <v/>
      </c>
      <c r="BM69" s="110" t="str">
        <f aca="false">IF(OR(Tasks[[#This Row],[Task Name]]="",Tasks[[#This Row],[Baseline Work]]=""),"",Tasks[[#This Row],[Work]]-N(Tasks[[#This Row],[Baseline Work]]))</f>
        <v/>
      </c>
      <c r="BN69" s="111" t="str">
        <f aca="false">IF(OR(Tasks[[#This Row],[Task Name]]="",Tasks[[#This Row],[Baseline Cost]]=""),"",Tasks[[#This Row],[Cost]]-N(Tasks[[#This Row],[Baseline Cost]]))</f>
        <v/>
      </c>
      <c r="BO69" s="111" t="str">
        <f aca="false">IF(Tasks[[#This Row],[Task Name]]="","",IF(Tasks[[#This Row],[_IsSummary]],SUM(INDEX(Tasks[_LeafBudget],Tasks[[#This Row],[_Row]]+1):INDEX(Tasks[_LeafBudget],Tasks[[#This Row],[_Row]]+Tasks[[#This Row],[_Descendants]])),Tasks[[#This Row],[_LeafBudget]]))</f>
        <v/>
      </c>
      <c r="BP69" s="111" t="str">
        <f aca="false">IF(Tasks[[#This Row],[Task Name]]="","",IF(Tasks[[#This Row],[_IsSummary]],SUM(INDEX(Tasks[_LeafPV],Tasks[[#This Row],[_Row]]+1):INDEX(Tasks[_LeafPV],Tasks[[#This Row],[_Row]]+Tasks[[#This Row],[_Descendants]])),Tasks[[#This Row],[_LeafPV]]))</f>
        <v/>
      </c>
      <c r="BQ69" s="111" t="str">
        <f aca="false">IF(Tasks[[#This Row],[Task Name]]="","",IF(Tasks[[#This Row],[_IsSummary]],SUM(INDEX(Tasks[_LeafEV],Tasks[[#This Row],[_Row]]+1):INDEX(Tasks[_LeafEV],Tasks[[#This Row],[_Row]]+Tasks[[#This Row],[_Descendants]])),Tasks[[#This Row],[_LeafEV]]))</f>
        <v/>
      </c>
      <c r="BR69" s="111" t="str">
        <f aca="false">IF(Tasks[[#This Row],[Task Name]]="","",IF(Tasks[[#This Row],[_IsSummary]],SUM(INDEX(Tasks[_LeafAC],Tasks[[#This Row],[_Row]]+1):INDEX(Tasks[_LeafAC],Tasks[[#This Row],[_Row]]+Tasks[[#This Row],[_Descendants]])),Tasks[[#This Row],[_LeafAC]]))</f>
        <v/>
      </c>
      <c r="BS69" s="32" t="str">
        <f aca="false">IF(Tasks[[#This Row],[Task Name]]="","",MAX(1,N(Tasks[[#This Row],[Level]])))</f>
        <v/>
      </c>
      <c r="BT69" s="32" t="n">
        <f aca="false">ROW()-ROW(Tasks[[#Headers],[ID]])</f>
        <v>64</v>
      </c>
      <c r="BU69" s="32" t="n">
        <f aca="false">IF(OR(Tasks[[#This Row],[Task Name]]="",Tasks[[#This Row],[_Level]]&lt;=1),0,IFERROR(LOOKUP(2,1/(Tasks[[#Headers],[_Level]]:Tasks[[#This Row],[_Level]]=Tasks[[#This Row],[_Level]]-1),ROW(Tasks[[#Headers],[_Level]]:Tasks[[#This Row],[_Level]])),0))</f>
        <v>0</v>
      </c>
      <c r="BV69" s="32" t="n">
        <f aca="false">IFERROR(N(INDEX(Tasks[_Level],Tasks[[#This Row],[_Row]]+1)),0)</f>
        <v>0</v>
      </c>
      <c r="BW69" s="114" t="b">
        <f aca="false">AND(Tasks[[#This Row],[Task Name]]&lt;&gt;"",Tasks[[#This Row],[_NextLevel]]&gt;Tasks[[#This Row],[_Level]])</f>
        <v>0</v>
      </c>
      <c r="BX69" s="32" t="n">
        <f aca="false">IF(Tasks[[#This Row],[_IsSummary]],COUNTIF(Tasks[WBS],Tasks[[#This Row],[WBS]]&amp;".*"),0)</f>
        <v>0</v>
      </c>
      <c r="BY69" s="32" t="n">
        <f aca="false">IF(AND(Tasks[[#This Row],[Task Name]]&lt;&gt;"",NOT(Tasks[[#This Row],[_IsSummary]])),1,0)</f>
        <v>0</v>
      </c>
      <c r="BZ69" s="32" t="n">
        <f aca="false">IF(N(Tasks[[#This Row],[Pred1 UID]])=0,0,IFERROR(MATCH(Tasks[[#This Row],[Pred1 UID]],Tasks[UID],0),-1))</f>
        <v>0</v>
      </c>
      <c r="CA69" s="32" t="n">
        <f aca="false">IF(N(Tasks[[#This Row],[Pred2 UID]])=0,0,IFERROR(MATCH(Tasks[[#This Row],[Pred2 UID]],Tasks[UID],0),-1))</f>
        <v>0</v>
      </c>
      <c r="CB69" s="32" t="n">
        <f aca="false">IF(N(Tasks[[#This Row],[Pred3 UID]])=0,0,IFERROR(MATCH(Tasks[[#This Row],[Pred3 UID]],Tasks[UID],0),-1))</f>
        <v>0</v>
      </c>
      <c r="CC69" s="32" t="n">
        <f aca="false">IF(N(Tasks[[#This Row],[Pred4 UID]])=0,0,IFERROR(MATCH(Tasks[[#This Row],[Pred4 UID]],Tasks[UID],0),-1))</f>
        <v>0</v>
      </c>
      <c r="CD6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6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69" s="115" t="n">
        <f aca="false">IF(OR(Tasks[[#This Row],[_ConstraintCode]]=2,Tasks[[#This Row],[_ConstraintCode]]=3,Tasks[[#This Row],[_ConstraintCode]]=4,Tasks[[#This Row],[_ConstraintCode]]=6),Tasks[[#This Row],[_ConstraintStart]],0)</f>
        <v>0</v>
      </c>
      <c r="CG69" s="115" t="n">
        <f aca="false">IF(OR(Tasks[[#This Row],[_ConstraintCode]]=2,Tasks[[#This Row],[_ConstraintCode]]=3,Tasks[[#This Row],[_ConstraintCode]]=5,Tasks[[#This Row],[_ConstraintCode]]=7),Tasks[[#This Row],[_ConstraintStart]],2958465)</f>
        <v>2958465</v>
      </c>
      <c r="CH6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69" s="115" t="str">
        <f aca="false">IF(NOT(Tasks[[#This Row],[_IsLeaf]]=1),"",IF(N(Tasks[[#This Row],[Duration]])&lt;=0,Tasks[[#This Row],[_LeafCalcStart]],WORKDAY.INTL(Tasks[[#This Row],[_LeafCalcStart]],Tasks[[#This Row],[Duration]]-1,WorkWeek,Holidays)))</f>
        <v/>
      </c>
      <c r="CJ6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6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69" s="32" t="n">
        <f aca="false">IF(NOT(Tasks[[#This Row],[_IsLeaf]]=1),0,IF(N(Tasks[[#This Row],[Actual Finish]])&gt;0,1,MIN(1,N(Tasks[[#This Row],[% Complete]]))))</f>
        <v>0</v>
      </c>
      <c r="CM69" s="32" t="n">
        <f aca="false">IF(OR(NOT(Tasks[[#This Row],[_IsLeaf]]=1),Tasks[[#This Row],[Resource]]=""),0,N(Tasks[[#This Row],[Duration]])*HoursPerDay*IF(Tasks[[#This Row],[Units]]="",DefaultUnits,Tasks[[#This Row],[Units]]))</f>
        <v>0</v>
      </c>
      <c r="CN69" s="32" t="n">
        <f aca="false">IF(Tasks[[#This Row],[_LeafWork]]=0,0,Tasks[[#This Row],[_LeafWork]]*IFERROR(INDEX(res_Rate,MATCH(Tasks[[#This Row],[Resource]],res_Name,0)),0))</f>
        <v>0</v>
      </c>
      <c r="CO69" s="32" t="n">
        <f aca="false">Tasks[[#This Row],[_LeafWork]]+IF(Tasks[[#This Row],[_IsLeaf]]=1,SUMIFS(asg_Work,asg_TaskUID,Tasks[[#This Row],[UID]],asg_Valid,1),0)</f>
        <v>0</v>
      </c>
      <c r="CP69" s="32" t="n">
        <f aca="false">Tasks[[#This Row],[_LeafCost]]+IF(Tasks[[#This Row],[_IsLeaf]]=1,SUMIFS(asg_Cost,asg_TaskUID,Tasks[[#This Row],[UID]],asg_Valid,1),0)</f>
        <v>0</v>
      </c>
      <c r="CQ69" s="32" t="n">
        <f aca="false">IF(Tasks[[#This Row],[_LeafTotalCost]]=0,Tasks[[#This Row],[_LeafAC]],Tasks[[#This Row],[_LeafAC]]*Tasks[[#This Row],[_LeafCost]]/Tasks[[#This Row],[_LeafTotalCost]])</f>
        <v>0</v>
      </c>
      <c r="CR6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6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6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6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6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6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6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6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69" s="32" t="n">
        <f aca="false">IF(NOT(Tasks[[#This Row],[_IsLeaf]]=1),0,MAX(_xlfn.MAXIFS(Tasks[_Row],Tasks[Pred1 UID],Tasks[[#This Row],[UID]]),_xlfn.MAXIFS(Tasks[_Row],Tasks[Pred2 UID],Tasks[[#This Row],[UID]]),_xlfn.MAXIFS(Tasks[_Row],Tasks[Pred3 UID],Tasks[[#This Row],[UID]]),_xlfn.MAXIFS(Tasks[_Row],Tasks[Pred4 UID],Tasks[[#This Row],[UID]])))</f>
        <v>0</v>
      </c>
      <c r="DA6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6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69" s="115" t="str">
        <f aca="false">IF(NOT(Tasks[[#This Row],[_IsLeaf]]=1),"",IF(N(Tasks[[#This Row],[Duration]])&lt;=0,Tasks[[#This Row],[_LeafLateFinish]],WORKDAY.INTL(Tasks[[#This Row],[_LeafLateFinish]],-(Tasks[[#This Row],[Duration]]-1),WorkWeek,Holidays)))</f>
        <v/>
      </c>
      <c r="DD6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69" s="114" t="b">
        <f aca="false">AND(Tasks[[#This Row],[_IsLeaf]]=1,Tasks[[#This Row],[_LeafProgress]]&lt;1,N(Tasks[[#This Row],[_LeafTotalSlack]])&lt;=CriticalSlackDays)</f>
        <v>0</v>
      </c>
      <c r="DF69" s="32" t="n">
        <f aca="false">IF(AND(Tasks[[#This Row],[_IsLeaf]]=1,Tasks[[#This Row],[_ConstraintCode]]=1,Tasks[[#This Row],[Mode]]&lt;&gt;"Manual",N(Tasks[[#This Row],[Actual Start]])=0),MAX(0,N(Tasks[[#This Row],[Free Slack]])),0)</f>
        <v>0</v>
      </c>
      <c r="DG69" s="115" t="str">
        <f aca="false">IF(NOT(Tasks[[#This Row],[_IsLeaf]]=1),"",IF(Tasks[[#This Row],[_AlapShift]]=0,Tasks[[#This Row],[_LeafCalcStart]],WORKDAY.INTL(Tasks[[#This Row],[_LeafCalcStart]],Tasks[[#This Row],[_AlapShift]],WorkWeek,Holidays)))</f>
        <v/>
      </c>
      <c r="DH69" s="115" t="str">
        <f aca="false">IF(NOT(Tasks[[#This Row],[_IsLeaf]]=1),"",IF(Tasks[[#This Row],[_AlapShift]]=0,Tasks[[#This Row],[_LeafCalcFinish]],WORKDAY.INTL(Tasks[[#This Row],[_LeafCalcFinish]],Tasks[[#This Row],[_AlapShift]],WorkWeek,Holidays)))</f>
        <v/>
      </c>
      <c r="DI69" s="115" t="str">
        <f aca="false">IF(NOT(Tasks[[#This Row],[_IsLeaf]]=1),"",IF(Tasks[[#This Row],[_AlapShift]]=0,Tasks[[#This Row],[_LeafFcstStart]],WORKDAY.INTL(Tasks[[#This Row],[_LeafFcstStart]],Tasks[[#This Row],[_AlapShift]],WorkWeek,Holidays)))</f>
        <v/>
      </c>
      <c r="DJ69" s="115" t="str">
        <f aca="false">IF(NOT(Tasks[[#This Row],[_IsLeaf]]=1),"",IF(Tasks[[#This Row],[_AlapShift]]=0,Tasks[[#This Row],[_LeafFcstFinish]],WORKDAY.INTL(Tasks[[#This Row],[_LeafFcstFinish]],Tasks[[#This Row],[_AlapShift]],WorkWeek,Holidays)))</f>
        <v/>
      </c>
      <c r="DK69" s="115" t="str">
        <f aca="false">IF(Tasks[[#This Row],[Task Name]]="","",IF(Tasks[[#This Row],[_IsSummary]],MIN(INDEX(Tasks[_ShownCalcStart],Tasks[[#This Row],[_Row]]+1):INDEX(Tasks[_ShownCalcStart],Tasks[[#This Row],[_Row]]+Tasks[[#This Row],[_Descendants]])),Tasks[[#This Row],[_ShownCalcStart]]))</f>
        <v/>
      </c>
      <c r="DL69" s="115" t="str">
        <f aca="false">IF(Tasks[[#This Row],[Task Name]]="","",IF(Tasks[[#This Row],[_IsSummary]],MAX(INDEX(Tasks[_ShownCalcFinish],Tasks[[#This Row],[_Row]]+1):INDEX(Tasks[_ShownCalcFinish],Tasks[[#This Row],[_Row]]+Tasks[[#This Row],[_Descendants]])),Tasks[[#This Row],[_ShownCalcFinish]]))</f>
        <v/>
      </c>
      <c r="DM6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6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6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6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6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6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6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6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6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6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6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6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69" s="32" t="n">
        <f aca="false">IF(AND(Tasks[[#This Row],[_IsLeaf]]=1,Tasks[[#This Row],[_LeafTotalWork]]&gt;0),NETWORKDAYS.INTL(ProjectStart,Tasks[[#This Row],[_ShownFcstStart]],WorkWeek,Holidays),0)</f>
        <v>0</v>
      </c>
      <c r="DZ69" s="32" t="n">
        <f aca="false">IF(AND(Tasks[[#This Row],[_IsLeaf]]=1,Tasks[[#This Row],[_LeafTotalWork]]&gt;0),MAX(Tasks[[#This Row],[_StartWorkday]],NETWORKDAYS.INTL(ProjectStart,Tasks[[#This Row],[_ShownFcstFinish]],WorkWeek,Holidays)),0)</f>
        <v>0</v>
      </c>
      <c r="EA69" s="32" t="n">
        <f aca="false">IF(AND(Tasks[[#This Row],[_IsLeaf]]=1,Tasks[[#This Row],[_LeafTotalWork]]&gt;0),Tasks[[#This Row],[_LeafWork]]/(Tasks[[#This Row],[_FinishWorkday]]-Tasks[[#This Row],[_StartWorkday]]+1),0)</f>
        <v>0</v>
      </c>
      <c r="EB69" s="32" t="n">
        <f aca="false">Tasks[[#This Row],[_WorkPerWorkday]]*(Tasks[[#This Row],[_StartWorkday]]-1)</f>
        <v>-0</v>
      </c>
      <c r="EC69" s="32" t="n">
        <f aca="false">IF(Tasks[[#This Row],[_IsLeaf]]=1,MAX(N(Tasks[[#This Row],[Duration]]),0.1),0)</f>
        <v>0</v>
      </c>
      <c r="ED69" s="32" t="n">
        <f aca="false">Tasks[[#This Row],[_WeightDur]]*Tasks[[#This Row],[_LeafProgress]]</f>
        <v>0</v>
      </c>
      <c r="EE6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69" s="32" t="str">
        <f aca="false">IF(AND(Tasks[[#This Row],[_IsLeaf]]=1,N(Tasks[[#This Row],[Duration]])=0,Tasks[[#This Row],[_LeafProgress]]&lt;1),Tasks[[#This Row],[_ShownFcstFinish]]+Tasks[[#This Row],[_Row]]/100000,"")</f>
        <v/>
      </c>
      <c r="EG6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69" s="32" t="n">
        <f aca="false">IF(NOT(Tasks[[#This Row],[_IsLeaf]]=1),0,IF(Tasks[[#This Row],[Baseline Cost]]="",Tasks[[#This Row],[_LeafTotalCost]],N(Tasks[[#This Row],[Baseline Cost]])))</f>
        <v>0</v>
      </c>
      <c r="EI69" s="32" t="n">
        <f aca="false">Tasks[[#This Row],[_LeafBudget]]*Tasks[[#This Row],[_PlannedPct]]</f>
        <v>0</v>
      </c>
      <c r="EJ69" s="32" t="n">
        <f aca="false">Tasks[[#This Row],[_LeafBudget]]*Tasks[[#This Row],[_LeafProgress]]</f>
        <v>0</v>
      </c>
      <c r="EK69" s="32" t="n">
        <f aca="false">IF(NOT(Tasks[[#This Row],[_IsLeaf]]=1),0,IF(Tasks[[#This Row],[Actual Cost]]="",Tasks[[#This Row],[_LeafTotalCost]]*Tasks[[#This Row],[_LeafProgress]],N(Tasks[[#This Row],[Actual Cost]])))</f>
        <v>0</v>
      </c>
      <c r="EL69" s="32" t="str">
        <f aca="false">IF(Tasks[[#This Row],[Task Name]]="","",LEFT(Tasks[[#This Row],[WBS]],FIND(".",Tasks[[#This Row],[WBS]]&amp;".")-1))</f>
        <v/>
      </c>
      <c r="EM69" s="32" t="str">
        <f aca="false">IF(AND(Tasks[[#This Row],[Task Name]]&lt;&gt;"",Tasks[[#This Row],[_Level]]=1),Tasks[[#This Row],[_Row]],"")</f>
        <v/>
      </c>
      <c r="EN69" s="32" t="str">
        <f aca="false">IF(AND(Tasks[[#This Row],[_IsLeaf]]=1,N(Tasks[[#This Row],[Duration]])=0),Tasks[[#This Row],[Planned Finish]]+Tasks[[#This Row],[_Row]]/100000,"")</f>
        <v/>
      </c>
      <c r="EO69" s="32" t="str">
        <f aca="false">IF(AND(Tasks[[#This Row],[_IsLeaf]]=1,Tasks[[#This Row],[_LeafProgress]]&lt;1,OR(N(Tasks[[#This Row],[Finish Var]])&gt;0,Tasks[[#This Row],[Status]]="Late Start")),MAX(0,Tasks[[#This Row],[Finish Var]])+1-Tasks[[#This Row],[_Row]]/1000000,"")</f>
        <v/>
      </c>
      <c r="EP69" s="32" t="str">
        <f aca="false">IF(AND(Tasks[[#This Row],[_IsLeaf]]=1,N(Tasks[[#This Row],[Actual Start]])=0,Tasks[[#This Row],[_ShownFcstStart]]&gt;=StatusDate,Tasks[[#This Row],[_ShownFcstStart]]&lt;=LookaheadEnd),Tasks[[#This Row],[_ShownFcstStart]]+Tasks[[#This Row],[_Row]]/100000,"")</f>
        <v/>
      </c>
      <c r="EQ69" s="32" t="str">
        <f aca="false">IF(AND(Tasks[[#This Row],[_IsLeaf]]=1,Tasks[[#This Row],[_LeafProgress]]&lt;1,Tasks[[#This Row],[_ShownFcstFinish]]&gt;=StatusDate,Tasks[[#This Row],[_ShownFcstFinish]]&lt;=LookaheadEnd),Tasks[[#This Row],[_ShownFcstFinish]]+Tasks[[#This Row],[_Row]]/100000,"")</f>
        <v/>
      </c>
      <c r="ER69" s="32" t="str">
        <f aca="false">IF(Tasks[[#This Row],[_LeafCritical]],Tasks[[#This Row],[_ShownFcstStart]]+Tasks[[#This Row],[_Row]]/100000,"")</f>
        <v/>
      </c>
      <c r="ES69" s="32" t="n">
        <f aca="false">Tasks[[#This Row],[_LeafWork]]*Tasks[[#This Row],[_LeafProgress]]</f>
        <v>0</v>
      </c>
      <c r="ET69" s="115" t="str">
        <f aca="false">IF(AND(Tasks[[#This Row],[_IsLeaf]]=1,Tasks[[#This Row],[_LeafProgress]]&gt;=1),IF(N(Tasks[[#This Row],[Actual Finish]])&gt;0,Tasks[[#This Row],[Actual Finish]],Tasks[[#This Row],[_ShownFcstFinish]]),"")</f>
        <v/>
      </c>
      <c r="EU69" s="32" t="n">
        <f aca="false">IF(Tasks[[#This Row],[_IsLeaf]]=1,N(Tasks[[#This Row],[Story Points]]),0)</f>
        <v>0</v>
      </c>
      <c r="EV69" s="32" t="str">
        <f aca="false">IF(AND(Tasks[[#This Row],[_IsLeaf]]=1,CurrentSprint&lt;&gt;"",Tasks[[#This Row],[Sprint]]=CurrentSprint),Tasks[[#This Row],[_Row]],"")</f>
        <v/>
      </c>
    </row>
    <row r="70" customFormat="false" ht="15" hidden="false" customHeight="false" outlineLevel="0" collapsed="false">
      <c r="A70" s="45" t="str">
        <f aca="false">IF(Tasks[[#This Row],[Task Name]]="","",COUNTA(Tasks[[#Headers],[Task Name]]:Tasks[[#This Row],[Task Name]])-1)</f>
        <v/>
      </c>
      <c r="B70" s="46" t="n">
        <v>65</v>
      </c>
      <c r="C7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0" s="46"/>
      <c r="E70" s="45" t="str">
        <f aca="false">IF(Tasks[[#This Row],[Task Name]]="","",IF(Tasks[[#This Row],[_Level]]&lt;=OutlineShowLevel,"Yes","No"))</f>
        <v/>
      </c>
      <c r="F70" s="47"/>
      <c r="G70" s="46"/>
      <c r="H70" s="46"/>
      <c r="I70" s="46"/>
      <c r="J70" s="46"/>
      <c r="K70" s="46"/>
      <c r="L70" s="46"/>
      <c r="M70" s="46"/>
      <c r="N70" s="46"/>
      <c r="O70" s="46"/>
      <c r="P70" s="46"/>
      <c r="Q70" s="46"/>
      <c r="R70" s="46"/>
      <c r="S70" s="46"/>
      <c r="T70" s="46"/>
      <c r="U70" s="47"/>
      <c r="V70" s="88"/>
      <c r="W70" s="88"/>
      <c r="X70" s="25" t="str">
        <f aca="false">IF(Tasks[[#This Row],[Task Name]]="","",IF(N(Tasks[[#This Row],[Baseline Start]])&gt;0,Tasks[[#This Row],[Baseline Start]],Tasks[[#This Row],[_CalcStart]]))</f>
        <v/>
      </c>
      <c r="Y70" s="25" t="str">
        <f aca="false">IF(Tasks[[#This Row],[Task Name]]="","",IF(N(Tasks[[#This Row],[Baseline Finish]])&gt;0,Tasks[[#This Row],[Baseline Finish]],Tasks[[#This Row],[_CalcFinish]]))</f>
        <v/>
      </c>
      <c r="Z70" s="88"/>
      <c r="AA70" s="88"/>
      <c r="AB70" s="25" t="str">
        <f aca="false">IF(Tasks[[#This Row],[Task Name]]="","",IF(Tasks[[#This Row],[_IsSummary]],MIN(INDEX(Tasks[_ShownFcstStart],Tasks[[#This Row],[_Row]]+1):INDEX(Tasks[_ShownFcstStart],Tasks[[#This Row],[_Row]]+Tasks[[#This Row],[_Descendants]])),Tasks[[#This Row],[_ShownFcstStart]]))</f>
        <v/>
      </c>
      <c r="AC70" s="25" t="str">
        <f aca="false">IF(Tasks[[#This Row],[Task Name]]="","",IF(Tasks[[#This Row],[_IsSummary]],MAX(INDEX(Tasks[_ShownFcstFinish],Tasks[[#This Row],[_Row]]+1):INDEX(Tasks[_ShownFcstFinish],Tasks[[#This Row],[_Row]]+Tasks[[#This Row],[_Descendants]])),Tasks[[#This Row],[_ShownFcstFinish]]))</f>
        <v/>
      </c>
      <c r="AD7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0" s="25" t="str">
        <f aca="false">IF(Tasks[[#This Row],[Task Name]]="","",IF(Tasks[[#This Row],[_IsSummary]],MIN(INDEX(Tasks[_LeafLateStart],Tasks[[#This Row],[_Row]]+1):INDEX(Tasks[_LeafLateStart],Tasks[[#This Row],[_Row]]+Tasks[[#This Row],[_Descendants]])),Tasks[[#This Row],[_LeafLateStart]]))</f>
        <v/>
      </c>
      <c r="AG70" s="25" t="str">
        <f aca="false">IF(Tasks[[#This Row],[Task Name]]="","",IF(Tasks[[#This Row],[_IsSummary]],MAX(INDEX(Tasks[_LeafLateFinish],Tasks[[#This Row],[_Row]]+1):INDEX(Tasks[_LeafLateFinish],Tasks[[#This Row],[_Row]]+Tasks[[#This Row],[_Descendants]])),Tasks[[#This Row],[_LeafLateFinish]]))</f>
        <v/>
      </c>
      <c r="AH70" s="56" t="str">
        <f aca="false">IF(Tasks[[#This Row],[Task Name]]="","",IF(Tasks[[#This Row],[_IsSummary]],MIN(INDEX(Tasks[_LeafTotalSlack],Tasks[[#This Row],[_Row]]+1):INDEX(Tasks[_LeafTotalSlack],Tasks[[#This Row],[_Row]]+Tasks[[#This Row],[_Descendants]])),Tasks[[#This Row],[_LeafTotalSlack]]))</f>
        <v/>
      </c>
      <c r="AI7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0" s="45" t="str">
        <f aca="false">IF(Tasks[[#This Row],[Task Name]]="","",IF(IF(Tasks[[#This Row],[_IsSummary]],COUNTIF(INDEX(Tasks[_LeafCritical],Tasks[[#This Row],[_Row]]+1):INDEX(Tasks[_LeafCritical],Tasks[[#This Row],[_Row]]+Tasks[[#This Row],[_Descendants]]),TRUE())&gt;0,Tasks[[#This Row],[_LeafCritical]]),"Yes",""))</f>
        <v/>
      </c>
      <c r="AK7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0" s="102"/>
      <c r="AN7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0" s="45" t="str">
        <f aca="false">IF(Tasks[[#This Row],[Task Name]]="","",IF(Tasks[[#This Row],[Progress]]&gt;=1,"Complete",IF(OR(N(Tasks[[#This Row],[Actual Start]])&gt;0,Tasks[[#This Row],[Progress]]&gt;0),IF(Tasks[[#This Row],[Finish Var]]&gt;0,"Behind","In Progress"),IF(Tasks[[#This Row],[Planned Start]]&lt;StatusDate,"Late Start","Not Started"))))</f>
        <v/>
      </c>
      <c r="AP70" s="47"/>
      <c r="AQ70" s="102"/>
      <c r="AR7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0" s="110" t="str">
        <f aca="false">IF(Tasks[[#This Row],[Task Name]]="","",IF(Tasks[[#This Row],[_IsSummary]],SUM(INDEX(Tasks[_LeafTotalWork],Tasks[[#This Row],[_Row]]+1):INDEX(Tasks[_LeafTotalWork],Tasks[[#This Row],[_Row]]+Tasks[[#This Row],[_Descendants]])),Tasks[[#This Row],[_LeafTotalWork]]))</f>
        <v/>
      </c>
      <c r="AU70" s="111" t="str">
        <f aca="false">IF(Tasks[[#This Row],[Task Name]]="","",IF(Tasks[[#This Row],[_IsSummary]],SUM(INDEX(Tasks[_LeafTotalCost],Tasks[[#This Row],[_Row]]+1):INDEX(Tasks[_LeafTotalCost],Tasks[[#This Row],[_Row]]+Tasks[[#This Row],[_Descendants]])),Tasks[[#This Row],[_LeafTotalCost]]))</f>
        <v/>
      </c>
      <c r="AV70" s="112"/>
      <c r="AW70" s="46"/>
      <c r="AX7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0" s="96"/>
      <c r="AZ7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0" s="47"/>
      <c r="BB70" s="25" t="str">
        <f aca="false">IF(Tasks[[#This Row],[Task Name]]="","",Tasks[[#This Row],[Forecast Start]])</f>
        <v/>
      </c>
      <c r="BC70" s="25" t="str">
        <f aca="false">IF(Tasks[[#This Row],[Task Name]]="","",Tasks[[#This Row],[Forecast Finish]])</f>
        <v/>
      </c>
      <c r="BD70" s="45" t="str">
        <f aca="false">IF(Tasks[[#This Row],[Task Name]]="","",IF(Tasks[[#This Row],[_IsSummary]],NETWORKDAYS.INTL(Tasks[[#This Row],[Forecast Start]],Tasks[[#This Row],[Forecast Finish]],WorkWeek,Holidays),N(Tasks[[#This Row],[Duration]])))</f>
        <v/>
      </c>
      <c r="BE70" s="110" t="str">
        <f aca="false">IF(Tasks[[#This Row],[Task Name]]="","",Tasks[[#This Row],[Work]])</f>
        <v/>
      </c>
      <c r="BF70" s="111" t="str">
        <f aca="false">IF(Tasks[[#This Row],[Task Name]]="","",Tasks[[#This Row],[Cost]])</f>
        <v/>
      </c>
      <c r="BG70" s="88"/>
      <c r="BH70" s="88"/>
      <c r="BI70" s="46"/>
      <c r="BJ70" s="113"/>
      <c r="BK70" s="112"/>
      <c r="BL70" s="45" t="str">
        <f aca="false">IF(OR(Tasks[[#This Row],[Task Name]]="",Tasks[[#This Row],[Baseline Duration]]=""),"",Tasks[[#This Row],[BL Source Duration]]-N(Tasks[[#This Row],[Baseline Duration]]))</f>
        <v/>
      </c>
      <c r="BM70" s="110" t="str">
        <f aca="false">IF(OR(Tasks[[#This Row],[Task Name]]="",Tasks[[#This Row],[Baseline Work]]=""),"",Tasks[[#This Row],[Work]]-N(Tasks[[#This Row],[Baseline Work]]))</f>
        <v/>
      </c>
      <c r="BN70" s="111" t="str">
        <f aca="false">IF(OR(Tasks[[#This Row],[Task Name]]="",Tasks[[#This Row],[Baseline Cost]]=""),"",Tasks[[#This Row],[Cost]]-N(Tasks[[#This Row],[Baseline Cost]]))</f>
        <v/>
      </c>
      <c r="BO70" s="111" t="str">
        <f aca="false">IF(Tasks[[#This Row],[Task Name]]="","",IF(Tasks[[#This Row],[_IsSummary]],SUM(INDEX(Tasks[_LeafBudget],Tasks[[#This Row],[_Row]]+1):INDEX(Tasks[_LeafBudget],Tasks[[#This Row],[_Row]]+Tasks[[#This Row],[_Descendants]])),Tasks[[#This Row],[_LeafBudget]]))</f>
        <v/>
      </c>
      <c r="BP70" s="111" t="str">
        <f aca="false">IF(Tasks[[#This Row],[Task Name]]="","",IF(Tasks[[#This Row],[_IsSummary]],SUM(INDEX(Tasks[_LeafPV],Tasks[[#This Row],[_Row]]+1):INDEX(Tasks[_LeafPV],Tasks[[#This Row],[_Row]]+Tasks[[#This Row],[_Descendants]])),Tasks[[#This Row],[_LeafPV]]))</f>
        <v/>
      </c>
      <c r="BQ70" s="111" t="str">
        <f aca="false">IF(Tasks[[#This Row],[Task Name]]="","",IF(Tasks[[#This Row],[_IsSummary]],SUM(INDEX(Tasks[_LeafEV],Tasks[[#This Row],[_Row]]+1):INDEX(Tasks[_LeafEV],Tasks[[#This Row],[_Row]]+Tasks[[#This Row],[_Descendants]])),Tasks[[#This Row],[_LeafEV]]))</f>
        <v/>
      </c>
      <c r="BR70" s="111" t="str">
        <f aca="false">IF(Tasks[[#This Row],[Task Name]]="","",IF(Tasks[[#This Row],[_IsSummary]],SUM(INDEX(Tasks[_LeafAC],Tasks[[#This Row],[_Row]]+1):INDEX(Tasks[_LeafAC],Tasks[[#This Row],[_Row]]+Tasks[[#This Row],[_Descendants]])),Tasks[[#This Row],[_LeafAC]]))</f>
        <v/>
      </c>
      <c r="BS70" s="32" t="str">
        <f aca="false">IF(Tasks[[#This Row],[Task Name]]="","",MAX(1,N(Tasks[[#This Row],[Level]])))</f>
        <v/>
      </c>
      <c r="BT70" s="32" t="n">
        <f aca="false">ROW()-ROW(Tasks[[#Headers],[ID]])</f>
        <v>65</v>
      </c>
      <c r="BU70" s="32" t="n">
        <f aca="false">IF(OR(Tasks[[#This Row],[Task Name]]="",Tasks[[#This Row],[_Level]]&lt;=1),0,IFERROR(LOOKUP(2,1/(Tasks[[#Headers],[_Level]]:Tasks[[#This Row],[_Level]]=Tasks[[#This Row],[_Level]]-1),ROW(Tasks[[#Headers],[_Level]]:Tasks[[#This Row],[_Level]])),0))</f>
        <v>0</v>
      </c>
      <c r="BV70" s="32" t="n">
        <f aca="false">IFERROR(N(INDEX(Tasks[_Level],Tasks[[#This Row],[_Row]]+1)),0)</f>
        <v>0</v>
      </c>
      <c r="BW70" s="114" t="b">
        <f aca="false">AND(Tasks[[#This Row],[Task Name]]&lt;&gt;"",Tasks[[#This Row],[_NextLevel]]&gt;Tasks[[#This Row],[_Level]])</f>
        <v>0</v>
      </c>
      <c r="BX70" s="32" t="n">
        <f aca="false">IF(Tasks[[#This Row],[_IsSummary]],COUNTIF(Tasks[WBS],Tasks[[#This Row],[WBS]]&amp;".*"),0)</f>
        <v>0</v>
      </c>
      <c r="BY70" s="32" t="n">
        <f aca="false">IF(AND(Tasks[[#This Row],[Task Name]]&lt;&gt;"",NOT(Tasks[[#This Row],[_IsSummary]])),1,0)</f>
        <v>0</v>
      </c>
      <c r="BZ70" s="32" t="n">
        <f aca="false">IF(N(Tasks[[#This Row],[Pred1 UID]])=0,0,IFERROR(MATCH(Tasks[[#This Row],[Pred1 UID]],Tasks[UID],0),-1))</f>
        <v>0</v>
      </c>
      <c r="CA70" s="32" t="n">
        <f aca="false">IF(N(Tasks[[#This Row],[Pred2 UID]])=0,0,IFERROR(MATCH(Tasks[[#This Row],[Pred2 UID]],Tasks[UID],0),-1))</f>
        <v>0</v>
      </c>
      <c r="CB70" s="32" t="n">
        <f aca="false">IF(N(Tasks[[#This Row],[Pred3 UID]])=0,0,IFERROR(MATCH(Tasks[[#This Row],[Pred3 UID]],Tasks[UID],0),-1))</f>
        <v>0</v>
      </c>
      <c r="CC70" s="32" t="n">
        <f aca="false">IF(N(Tasks[[#This Row],[Pred4 UID]])=0,0,IFERROR(MATCH(Tasks[[#This Row],[Pred4 UID]],Tasks[UID],0),-1))</f>
        <v>0</v>
      </c>
      <c r="CD7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0" s="115" t="n">
        <f aca="false">IF(OR(Tasks[[#This Row],[_ConstraintCode]]=2,Tasks[[#This Row],[_ConstraintCode]]=3,Tasks[[#This Row],[_ConstraintCode]]=4,Tasks[[#This Row],[_ConstraintCode]]=6),Tasks[[#This Row],[_ConstraintStart]],0)</f>
        <v>0</v>
      </c>
      <c r="CG70" s="115" t="n">
        <f aca="false">IF(OR(Tasks[[#This Row],[_ConstraintCode]]=2,Tasks[[#This Row],[_ConstraintCode]]=3,Tasks[[#This Row],[_ConstraintCode]]=5,Tasks[[#This Row],[_ConstraintCode]]=7),Tasks[[#This Row],[_ConstraintStart]],2958465)</f>
        <v>2958465</v>
      </c>
      <c r="CH7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0" s="115" t="str">
        <f aca="false">IF(NOT(Tasks[[#This Row],[_IsLeaf]]=1),"",IF(N(Tasks[[#This Row],[Duration]])&lt;=0,Tasks[[#This Row],[_LeafCalcStart]],WORKDAY.INTL(Tasks[[#This Row],[_LeafCalcStart]],Tasks[[#This Row],[Duration]]-1,WorkWeek,Holidays)))</f>
        <v/>
      </c>
      <c r="CJ7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0" s="32" t="n">
        <f aca="false">IF(NOT(Tasks[[#This Row],[_IsLeaf]]=1),0,IF(N(Tasks[[#This Row],[Actual Finish]])&gt;0,1,MIN(1,N(Tasks[[#This Row],[% Complete]]))))</f>
        <v>0</v>
      </c>
      <c r="CM70" s="32" t="n">
        <f aca="false">IF(OR(NOT(Tasks[[#This Row],[_IsLeaf]]=1),Tasks[[#This Row],[Resource]]=""),0,N(Tasks[[#This Row],[Duration]])*HoursPerDay*IF(Tasks[[#This Row],[Units]]="",DefaultUnits,Tasks[[#This Row],[Units]]))</f>
        <v>0</v>
      </c>
      <c r="CN70" s="32" t="n">
        <f aca="false">IF(Tasks[[#This Row],[_LeafWork]]=0,0,Tasks[[#This Row],[_LeafWork]]*IFERROR(INDEX(res_Rate,MATCH(Tasks[[#This Row],[Resource]],res_Name,0)),0))</f>
        <v>0</v>
      </c>
      <c r="CO70" s="32" t="n">
        <f aca="false">Tasks[[#This Row],[_LeafWork]]+IF(Tasks[[#This Row],[_IsLeaf]]=1,SUMIFS(asg_Work,asg_TaskUID,Tasks[[#This Row],[UID]],asg_Valid,1),0)</f>
        <v>0</v>
      </c>
      <c r="CP70" s="32" t="n">
        <f aca="false">Tasks[[#This Row],[_LeafCost]]+IF(Tasks[[#This Row],[_IsLeaf]]=1,SUMIFS(asg_Cost,asg_TaskUID,Tasks[[#This Row],[UID]],asg_Valid,1),0)</f>
        <v>0</v>
      </c>
      <c r="CQ70" s="32" t="n">
        <f aca="false">IF(Tasks[[#This Row],[_LeafTotalCost]]=0,Tasks[[#This Row],[_LeafAC]],Tasks[[#This Row],[_LeafAC]]*Tasks[[#This Row],[_LeafCost]]/Tasks[[#This Row],[_LeafTotalCost]])</f>
        <v>0</v>
      </c>
      <c r="CR7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0" s="32" t="n">
        <f aca="false">IF(NOT(Tasks[[#This Row],[_IsLeaf]]=1),0,MAX(_xlfn.MAXIFS(Tasks[_Row],Tasks[Pred1 UID],Tasks[[#This Row],[UID]]),_xlfn.MAXIFS(Tasks[_Row],Tasks[Pred2 UID],Tasks[[#This Row],[UID]]),_xlfn.MAXIFS(Tasks[_Row],Tasks[Pred3 UID],Tasks[[#This Row],[UID]]),_xlfn.MAXIFS(Tasks[_Row],Tasks[Pred4 UID],Tasks[[#This Row],[UID]])))</f>
        <v>0</v>
      </c>
      <c r="DA7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0" s="115" t="str">
        <f aca="false">IF(NOT(Tasks[[#This Row],[_IsLeaf]]=1),"",IF(N(Tasks[[#This Row],[Duration]])&lt;=0,Tasks[[#This Row],[_LeafLateFinish]],WORKDAY.INTL(Tasks[[#This Row],[_LeafLateFinish]],-(Tasks[[#This Row],[Duration]]-1),WorkWeek,Holidays)))</f>
        <v/>
      </c>
      <c r="DD7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0" s="114" t="b">
        <f aca="false">AND(Tasks[[#This Row],[_IsLeaf]]=1,Tasks[[#This Row],[_LeafProgress]]&lt;1,N(Tasks[[#This Row],[_LeafTotalSlack]])&lt;=CriticalSlackDays)</f>
        <v>0</v>
      </c>
      <c r="DF70" s="32" t="n">
        <f aca="false">IF(AND(Tasks[[#This Row],[_IsLeaf]]=1,Tasks[[#This Row],[_ConstraintCode]]=1,Tasks[[#This Row],[Mode]]&lt;&gt;"Manual",N(Tasks[[#This Row],[Actual Start]])=0),MAX(0,N(Tasks[[#This Row],[Free Slack]])),0)</f>
        <v>0</v>
      </c>
      <c r="DG70" s="115" t="str">
        <f aca="false">IF(NOT(Tasks[[#This Row],[_IsLeaf]]=1),"",IF(Tasks[[#This Row],[_AlapShift]]=0,Tasks[[#This Row],[_LeafCalcStart]],WORKDAY.INTL(Tasks[[#This Row],[_LeafCalcStart]],Tasks[[#This Row],[_AlapShift]],WorkWeek,Holidays)))</f>
        <v/>
      </c>
      <c r="DH70" s="115" t="str">
        <f aca="false">IF(NOT(Tasks[[#This Row],[_IsLeaf]]=1),"",IF(Tasks[[#This Row],[_AlapShift]]=0,Tasks[[#This Row],[_LeafCalcFinish]],WORKDAY.INTL(Tasks[[#This Row],[_LeafCalcFinish]],Tasks[[#This Row],[_AlapShift]],WorkWeek,Holidays)))</f>
        <v/>
      </c>
      <c r="DI70" s="115" t="str">
        <f aca="false">IF(NOT(Tasks[[#This Row],[_IsLeaf]]=1),"",IF(Tasks[[#This Row],[_AlapShift]]=0,Tasks[[#This Row],[_LeafFcstStart]],WORKDAY.INTL(Tasks[[#This Row],[_LeafFcstStart]],Tasks[[#This Row],[_AlapShift]],WorkWeek,Holidays)))</f>
        <v/>
      </c>
      <c r="DJ70" s="115" t="str">
        <f aca="false">IF(NOT(Tasks[[#This Row],[_IsLeaf]]=1),"",IF(Tasks[[#This Row],[_AlapShift]]=0,Tasks[[#This Row],[_LeafFcstFinish]],WORKDAY.INTL(Tasks[[#This Row],[_LeafFcstFinish]],Tasks[[#This Row],[_AlapShift]],WorkWeek,Holidays)))</f>
        <v/>
      </c>
      <c r="DK70" s="115" t="str">
        <f aca="false">IF(Tasks[[#This Row],[Task Name]]="","",IF(Tasks[[#This Row],[_IsSummary]],MIN(INDEX(Tasks[_ShownCalcStart],Tasks[[#This Row],[_Row]]+1):INDEX(Tasks[_ShownCalcStart],Tasks[[#This Row],[_Row]]+Tasks[[#This Row],[_Descendants]])),Tasks[[#This Row],[_ShownCalcStart]]))</f>
        <v/>
      </c>
      <c r="DL70" s="115" t="str">
        <f aca="false">IF(Tasks[[#This Row],[Task Name]]="","",IF(Tasks[[#This Row],[_IsSummary]],MAX(INDEX(Tasks[_ShownCalcFinish],Tasks[[#This Row],[_Row]]+1):INDEX(Tasks[_ShownCalcFinish],Tasks[[#This Row],[_Row]]+Tasks[[#This Row],[_Descendants]])),Tasks[[#This Row],[_ShownCalcFinish]]))</f>
        <v/>
      </c>
      <c r="DM7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0" s="32" t="n">
        <f aca="false">IF(AND(Tasks[[#This Row],[_IsLeaf]]=1,Tasks[[#This Row],[_LeafTotalWork]]&gt;0),NETWORKDAYS.INTL(ProjectStart,Tasks[[#This Row],[_ShownFcstStart]],WorkWeek,Holidays),0)</f>
        <v>0</v>
      </c>
      <c r="DZ70" s="32" t="n">
        <f aca="false">IF(AND(Tasks[[#This Row],[_IsLeaf]]=1,Tasks[[#This Row],[_LeafTotalWork]]&gt;0),MAX(Tasks[[#This Row],[_StartWorkday]],NETWORKDAYS.INTL(ProjectStart,Tasks[[#This Row],[_ShownFcstFinish]],WorkWeek,Holidays)),0)</f>
        <v>0</v>
      </c>
      <c r="EA70" s="32" t="n">
        <f aca="false">IF(AND(Tasks[[#This Row],[_IsLeaf]]=1,Tasks[[#This Row],[_LeafTotalWork]]&gt;0),Tasks[[#This Row],[_LeafWork]]/(Tasks[[#This Row],[_FinishWorkday]]-Tasks[[#This Row],[_StartWorkday]]+1),0)</f>
        <v>0</v>
      </c>
      <c r="EB70" s="32" t="n">
        <f aca="false">Tasks[[#This Row],[_WorkPerWorkday]]*(Tasks[[#This Row],[_StartWorkday]]-1)</f>
        <v>-0</v>
      </c>
      <c r="EC70" s="32" t="n">
        <f aca="false">IF(Tasks[[#This Row],[_IsLeaf]]=1,MAX(N(Tasks[[#This Row],[Duration]]),0.1),0)</f>
        <v>0</v>
      </c>
      <c r="ED70" s="32" t="n">
        <f aca="false">Tasks[[#This Row],[_WeightDur]]*Tasks[[#This Row],[_LeafProgress]]</f>
        <v>0</v>
      </c>
      <c r="EE7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0" s="32" t="str">
        <f aca="false">IF(AND(Tasks[[#This Row],[_IsLeaf]]=1,N(Tasks[[#This Row],[Duration]])=0,Tasks[[#This Row],[_LeafProgress]]&lt;1),Tasks[[#This Row],[_ShownFcstFinish]]+Tasks[[#This Row],[_Row]]/100000,"")</f>
        <v/>
      </c>
      <c r="EG7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0" s="32" t="n">
        <f aca="false">IF(NOT(Tasks[[#This Row],[_IsLeaf]]=1),0,IF(Tasks[[#This Row],[Baseline Cost]]="",Tasks[[#This Row],[_LeafTotalCost]],N(Tasks[[#This Row],[Baseline Cost]])))</f>
        <v>0</v>
      </c>
      <c r="EI70" s="32" t="n">
        <f aca="false">Tasks[[#This Row],[_LeafBudget]]*Tasks[[#This Row],[_PlannedPct]]</f>
        <v>0</v>
      </c>
      <c r="EJ70" s="32" t="n">
        <f aca="false">Tasks[[#This Row],[_LeafBudget]]*Tasks[[#This Row],[_LeafProgress]]</f>
        <v>0</v>
      </c>
      <c r="EK70" s="32" t="n">
        <f aca="false">IF(NOT(Tasks[[#This Row],[_IsLeaf]]=1),0,IF(Tasks[[#This Row],[Actual Cost]]="",Tasks[[#This Row],[_LeafTotalCost]]*Tasks[[#This Row],[_LeafProgress]],N(Tasks[[#This Row],[Actual Cost]])))</f>
        <v>0</v>
      </c>
      <c r="EL70" s="32" t="str">
        <f aca="false">IF(Tasks[[#This Row],[Task Name]]="","",LEFT(Tasks[[#This Row],[WBS]],FIND(".",Tasks[[#This Row],[WBS]]&amp;".")-1))</f>
        <v/>
      </c>
      <c r="EM70" s="32" t="str">
        <f aca="false">IF(AND(Tasks[[#This Row],[Task Name]]&lt;&gt;"",Tasks[[#This Row],[_Level]]=1),Tasks[[#This Row],[_Row]],"")</f>
        <v/>
      </c>
      <c r="EN70" s="32" t="str">
        <f aca="false">IF(AND(Tasks[[#This Row],[_IsLeaf]]=1,N(Tasks[[#This Row],[Duration]])=0),Tasks[[#This Row],[Planned Finish]]+Tasks[[#This Row],[_Row]]/100000,"")</f>
        <v/>
      </c>
      <c r="EO70" s="32" t="str">
        <f aca="false">IF(AND(Tasks[[#This Row],[_IsLeaf]]=1,Tasks[[#This Row],[_LeafProgress]]&lt;1,OR(N(Tasks[[#This Row],[Finish Var]])&gt;0,Tasks[[#This Row],[Status]]="Late Start")),MAX(0,Tasks[[#This Row],[Finish Var]])+1-Tasks[[#This Row],[_Row]]/1000000,"")</f>
        <v/>
      </c>
      <c r="EP70" s="32" t="str">
        <f aca="false">IF(AND(Tasks[[#This Row],[_IsLeaf]]=1,N(Tasks[[#This Row],[Actual Start]])=0,Tasks[[#This Row],[_ShownFcstStart]]&gt;=StatusDate,Tasks[[#This Row],[_ShownFcstStart]]&lt;=LookaheadEnd),Tasks[[#This Row],[_ShownFcstStart]]+Tasks[[#This Row],[_Row]]/100000,"")</f>
        <v/>
      </c>
      <c r="EQ70" s="32" t="str">
        <f aca="false">IF(AND(Tasks[[#This Row],[_IsLeaf]]=1,Tasks[[#This Row],[_LeafProgress]]&lt;1,Tasks[[#This Row],[_ShownFcstFinish]]&gt;=StatusDate,Tasks[[#This Row],[_ShownFcstFinish]]&lt;=LookaheadEnd),Tasks[[#This Row],[_ShownFcstFinish]]+Tasks[[#This Row],[_Row]]/100000,"")</f>
        <v/>
      </c>
      <c r="ER70" s="32" t="str">
        <f aca="false">IF(Tasks[[#This Row],[_LeafCritical]],Tasks[[#This Row],[_ShownFcstStart]]+Tasks[[#This Row],[_Row]]/100000,"")</f>
        <v/>
      </c>
      <c r="ES70" s="32" t="n">
        <f aca="false">Tasks[[#This Row],[_LeafWork]]*Tasks[[#This Row],[_LeafProgress]]</f>
        <v>0</v>
      </c>
      <c r="ET70" s="115" t="str">
        <f aca="false">IF(AND(Tasks[[#This Row],[_IsLeaf]]=1,Tasks[[#This Row],[_LeafProgress]]&gt;=1),IF(N(Tasks[[#This Row],[Actual Finish]])&gt;0,Tasks[[#This Row],[Actual Finish]],Tasks[[#This Row],[_ShownFcstFinish]]),"")</f>
        <v/>
      </c>
      <c r="EU70" s="32" t="n">
        <f aca="false">IF(Tasks[[#This Row],[_IsLeaf]]=1,N(Tasks[[#This Row],[Story Points]]),0)</f>
        <v>0</v>
      </c>
      <c r="EV70" s="32" t="str">
        <f aca="false">IF(AND(Tasks[[#This Row],[_IsLeaf]]=1,CurrentSprint&lt;&gt;"",Tasks[[#This Row],[Sprint]]=CurrentSprint),Tasks[[#This Row],[_Row]],"")</f>
        <v/>
      </c>
    </row>
    <row r="71" customFormat="false" ht="15" hidden="false" customHeight="false" outlineLevel="0" collapsed="false">
      <c r="A71" s="45" t="str">
        <f aca="false">IF(Tasks[[#This Row],[Task Name]]="","",COUNTA(Tasks[[#Headers],[Task Name]]:Tasks[[#This Row],[Task Name]])-1)</f>
        <v/>
      </c>
      <c r="B71" s="46" t="n">
        <v>66</v>
      </c>
      <c r="C7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1" s="46"/>
      <c r="E71" s="45" t="str">
        <f aca="false">IF(Tasks[[#This Row],[Task Name]]="","",IF(Tasks[[#This Row],[_Level]]&lt;=OutlineShowLevel,"Yes","No"))</f>
        <v/>
      </c>
      <c r="F71" s="47"/>
      <c r="G71" s="46"/>
      <c r="H71" s="46"/>
      <c r="I71" s="46"/>
      <c r="J71" s="46"/>
      <c r="K71" s="46"/>
      <c r="L71" s="46"/>
      <c r="M71" s="46"/>
      <c r="N71" s="46"/>
      <c r="O71" s="46"/>
      <c r="P71" s="46"/>
      <c r="Q71" s="46"/>
      <c r="R71" s="46"/>
      <c r="S71" s="46"/>
      <c r="T71" s="46"/>
      <c r="U71" s="47"/>
      <c r="V71" s="88"/>
      <c r="W71" s="88"/>
      <c r="X71" s="25" t="str">
        <f aca="false">IF(Tasks[[#This Row],[Task Name]]="","",IF(N(Tasks[[#This Row],[Baseline Start]])&gt;0,Tasks[[#This Row],[Baseline Start]],Tasks[[#This Row],[_CalcStart]]))</f>
        <v/>
      </c>
      <c r="Y71" s="25" t="str">
        <f aca="false">IF(Tasks[[#This Row],[Task Name]]="","",IF(N(Tasks[[#This Row],[Baseline Finish]])&gt;0,Tasks[[#This Row],[Baseline Finish]],Tasks[[#This Row],[_CalcFinish]]))</f>
        <v/>
      </c>
      <c r="Z71" s="88"/>
      <c r="AA71" s="88"/>
      <c r="AB71" s="25" t="str">
        <f aca="false">IF(Tasks[[#This Row],[Task Name]]="","",IF(Tasks[[#This Row],[_IsSummary]],MIN(INDEX(Tasks[_ShownFcstStart],Tasks[[#This Row],[_Row]]+1):INDEX(Tasks[_ShownFcstStart],Tasks[[#This Row],[_Row]]+Tasks[[#This Row],[_Descendants]])),Tasks[[#This Row],[_ShownFcstStart]]))</f>
        <v/>
      </c>
      <c r="AC71" s="25" t="str">
        <f aca="false">IF(Tasks[[#This Row],[Task Name]]="","",IF(Tasks[[#This Row],[_IsSummary]],MAX(INDEX(Tasks[_ShownFcstFinish],Tasks[[#This Row],[_Row]]+1):INDEX(Tasks[_ShownFcstFinish],Tasks[[#This Row],[_Row]]+Tasks[[#This Row],[_Descendants]])),Tasks[[#This Row],[_ShownFcstFinish]]))</f>
        <v/>
      </c>
      <c r="AD7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1" s="25" t="str">
        <f aca="false">IF(Tasks[[#This Row],[Task Name]]="","",IF(Tasks[[#This Row],[_IsSummary]],MIN(INDEX(Tasks[_LeafLateStart],Tasks[[#This Row],[_Row]]+1):INDEX(Tasks[_LeafLateStart],Tasks[[#This Row],[_Row]]+Tasks[[#This Row],[_Descendants]])),Tasks[[#This Row],[_LeafLateStart]]))</f>
        <v/>
      </c>
      <c r="AG71" s="25" t="str">
        <f aca="false">IF(Tasks[[#This Row],[Task Name]]="","",IF(Tasks[[#This Row],[_IsSummary]],MAX(INDEX(Tasks[_LeafLateFinish],Tasks[[#This Row],[_Row]]+1):INDEX(Tasks[_LeafLateFinish],Tasks[[#This Row],[_Row]]+Tasks[[#This Row],[_Descendants]])),Tasks[[#This Row],[_LeafLateFinish]]))</f>
        <v/>
      </c>
      <c r="AH71" s="56" t="str">
        <f aca="false">IF(Tasks[[#This Row],[Task Name]]="","",IF(Tasks[[#This Row],[_IsSummary]],MIN(INDEX(Tasks[_LeafTotalSlack],Tasks[[#This Row],[_Row]]+1):INDEX(Tasks[_LeafTotalSlack],Tasks[[#This Row],[_Row]]+Tasks[[#This Row],[_Descendants]])),Tasks[[#This Row],[_LeafTotalSlack]]))</f>
        <v/>
      </c>
      <c r="AI7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1" s="45" t="str">
        <f aca="false">IF(Tasks[[#This Row],[Task Name]]="","",IF(IF(Tasks[[#This Row],[_IsSummary]],COUNTIF(INDEX(Tasks[_LeafCritical],Tasks[[#This Row],[_Row]]+1):INDEX(Tasks[_LeafCritical],Tasks[[#This Row],[_Row]]+Tasks[[#This Row],[_Descendants]]),TRUE())&gt;0,Tasks[[#This Row],[_LeafCritical]]),"Yes",""))</f>
        <v/>
      </c>
      <c r="AK7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1" s="102"/>
      <c r="AN7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1" s="45" t="str">
        <f aca="false">IF(Tasks[[#This Row],[Task Name]]="","",IF(Tasks[[#This Row],[Progress]]&gt;=1,"Complete",IF(OR(N(Tasks[[#This Row],[Actual Start]])&gt;0,Tasks[[#This Row],[Progress]]&gt;0),IF(Tasks[[#This Row],[Finish Var]]&gt;0,"Behind","In Progress"),IF(Tasks[[#This Row],[Planned Start]]&lt;StatusDate,"Late Start","Not Started"))))</f>
        <v/>
      </c>
      <c r="AP71" s="47"/>
      <c r="AQ71" s="102"/>
      <c r="AR7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1" s="110" t="str">
        <f aca="false">IF(Tasks[[#This Row],[Task Name]]="","",IF(Tasks[[#This Row],[_IsSummary]],SUM(INDEX(Tasks[_LeafTotalWork],Tasks[[#This Row],[_Row]]+1):INDEX(Tasks[_LeafTotalWork],Tasks[[#This Row],[_Row]]+Tasks[[#This Row],[_Descendants]])),Tasks[[#This Row],[_LeafTotalWork]]))</f>
        <v/>
      </c>
      <c r="AU71" s="111" t="str">
        <f aca="false">IF(Tasks[[#This Row],[Task Name]]="","",IF(Tasks[[#This Row],[_IsSummary]],SUM(INDEX(Tasks[_LeafTotalCost],Tasks[[#This Row],[_Row]]+1):INDEX(Tasks[_LeafTotalCost],Tasks[[#This Row],[_Row]]+Tasks[[#This Row],[_Descendants]])),Tasks[[#This Row],[_LeafTotalCost]]))</f>
        <v/>
      </c>
      <c r="AV71" s="112"/>
      <c r="AW71" s="46"/>
      <c r="AX7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1" s="96"/>
      <c r="AZ7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1" s="47"/>
      <c r="BB71" s="25" t="str">
        <f aca="false">IF(Tasks[[#This Row],[Task Name]]="","",Tasks[[#This Row],[Forecast Start]])</f>
        <v/>
      </c>
      <c r="BC71" s="25" t="str">
        <f aca="false">IF(Tasks[[#This Row],[Task Name]]="","",Tasks[[#This Row],[Forecast Finish]])</f>
        <v/>
      </c>
      <c r="BD71" s="45" t="str">
        <f aca="false">IF(Tasks[[#This Row],[Task Name]]="","",IF(Tasks[[#This Row],[_IsSummary]],NETWORKDAYS.INTL(Tasks[[#This Row],[Forecast Start]],Tasks[[#This Row],[Forecast Finish]],WorkWeek,Holidays),N(Tasks[[#This Row],[Duration]])))</f>
        <v/>
      </c>
      <c r="BE71" s="110" t="str">
        <f aca="false">IF(Tasks[[#This Row],[Task Name]]="","",Tasks[[#This Row],[Work]])</f>
        <v/>
      </c>
      <c r="BF71" s="111" t="str">
        <f aca="false">IF(Tasks[[#This Row],[Task Name]]="","",Tasks[[#This Row],[Cost]])</f>
        <v/>
      </c>
      <c r="BG71" s="88"/>
      <c r="BH71" s="88"/>
      <c r="BI71" s="46"/>
      <c r="BJ71" s="113"/>
      <c r="BK71" s="112"/>
      <c r="BL71" s="45" t="str">
        <f aca="false">IF(OR(Tasks[[#This Row],[Task Name]]="",Tasks[[#This Row],[Baseline Duration]]=""),"",Tasks[[#This Row],[BL Source Duration]]-N(Tasks[[#This Row],[Baseline Duration]]))</f>
        <v/>
      </c>
      <c r="BM71" s="110" t="str">
        <f aca="false">IF(OR(Tasks[[#This Row],[Task Name]]="",Tasks[[#This Row],[Baseline Work]]=""),"",Tasks[[#This Row],[Work]]-N(Tasks[[#This Row],[Baseline Work]]))</f>
        <v/>
      </c>
      <c r="BN71" s="111" t="str">
        <f aca="false">IF(OR(Tasks[[#This Row],[Task Name]]="",Tasks[[#This Row],[Baseline Cost]]=""),"",Tasks[[#This Row],[Cost]]-N(Tasks[[#This Row],[Baseline Cost]]))</f>
        <v/>
      </c>
      <c r="BO71" s="111" t="str">
        <f aca="false">IF(Tasks[[#This Row],[Task Name]]="","",IF(Tasks[[#This Row],[_IsSummary]],SUM(INDEX(Tasks[_LeafBudget],Tasks[[#This Row],[_Row]]+1):INDEX(Tasks[_LeafBudget],Tasks[[#This Row],[_Row]]+Tasks[[#This Row],[_Descendants]])),Tasks[[#This Row],[_LeafBudget]]))</f>
        <v/>
      </c>
      <c r="BP71" s="111" t="str">
        <f aca="false">IF(Tasks[[#This Row],[Task Name]]="","",IF(Tasks[[#This Row],[_IsSummary]],SUM(INDEX(Tasks[_LeafPV],Tasks[[#This Row],[_Row]]+1):INDEX(Tasks[_LeafPV],Tasks[[#This Row],[_Row]]+Tasks[[#This Row],[_Descendants]])),Tasks[[#This Row],[_LeafPV]]))</f>
        <v/>
      </c>
      <c r="BQ71" s="111" t="str">
        <f aca="false">IF(Tasks[[#This Row],[Task Name]]="","",IF(Tasks[[#This Row],[_IsSummary]],SUM(INDEX(Tasks[_LeafEV],Tasks[[#This Row],[_Row]]+1):INDEX(Tasks[_LeafEV],Tasks[[#This Row],[_Row]]+Tasks[[#This Row],[_Descendants]])),Tasks[[#This Row],[_LeafEV]]))</f>
        <v/>
      </c>
      <c r="BR71" s="111" t="str">
        <f aca="false">IF(Tasks[[#This Row],[Task Name]]="","",IF(Tasks[[#This Row],[_IsSummary]],SUM(INDEX(Tasks[_LeafAC],Tasks[[#This Row],[_Row]]+1):INDEX(Tasks[_LeafAC],Tasks[[#This Row],[_Row]]+Tasks[[#This Row],[_Descendants]])),Tasks[[#This Row],[_LeafAC]]))</f>
        <v/>
      </c>
      <c r="BS71" s="32" t="str">
        <f aca="false">IF(Tasks[[#This Row],[Task Name]]="","",MAX(1,N(Tasks[[#This Row],[Level]])))</f>
        <v/>
      </c>
      <c r="BT71" s="32" t="n">
        <f aca="false">ROW()-ROW(Tasks[[#Headers],[ID]])</f>
        <v>66</v>
      </c>
      <c r="BU71" s="32" t="n">
        <f aca="false">IF(OR(Tasks[[#This Row],[Task Name]]="",Tasks[[#This Row],[_Level]]&lt;=1),0,IFERROR(LOOKUP(2,1/(Tasks[[#Headers],[_Level]]:Tasks[[#This Row],[_Level]]=Tasks[[#This Row],[_Level]]-1),ROW(Tasks[[#Headers],[_Level]]:Tasks[[#This Row],[_Level]])),0))</f>
        <v>0</v>
      </c>
      <c r="BV71" s="32" t="n">
        <f aca="false">IFERROR(N(INDEX(Tasks[_Level],Tasks[[#This Row],[_Row]]+1)),0)</f>
        <v>0</v>
      </c>
      <c r="BW71" s="114" t="b">
        <f aca="false">AND(Tasks[[#This Row],[Task Name]]&lt;&gt;"",Tasks[[#This Row],[_NextLevel]]&gt;Tasks[[#This Row],[_Level]])</f>
        <v>0</v>
      </c>
      <c r="BX71" s="32" t="n">
        <f aca="false">IF(Tasks[[#This Row],[_IsSummary]],COUNTIF(Tasks[WBS],Tasks[[#This Row],[WBS]]&amp;".*"),0)</f>
        <v>0</v>
      </c>
      <c r="BY71" s="32" t="n">
        <f aca="false">IF(AND(Tasks[[#This Row],[Task Name]]&lt;&gt;"",NOT(Tasks[[#This Row],[_IsSummary]])),1,0)</f>
        <v>0</v>
      </c>
      <c r="BZ71" s="32" t="n">
        <f aca="false">IF(N(Tasks[[#This Row],[Pred1 UID]])=0,0,IFERROR(MATCH(Tasks[[#This Row],[Pred1 UID]],Tasks[UID],0),-1))</f>
        <v>0</v>
      </c>
      <c r="CA71" s="32" t="n">
        <f aca="false">IF(N(Tasks[[#This Row],[Pred2 UID]])=0,0,IFERROR(MATCH(Tasks[[#This Row],[Pred2 UID]],Tasks[UID],0),-1))</f>
        <v>0</v>
      </c>
      <c r="CB71" s="32" t="n">
        <f aca="false">IF(N(Tasks[[#This Row],[Pred3 UID]])=0,0,IFERROR(MATCH(Tasks[[#This Row],[Pred3 UID]],Tasks[UID],0),-1))</f>
        <v>0</v>
      </c>
      <c r="CC71" s="32" t="n">
        <f aca="false">IF(N(Tasks[[#This Row],[Pred4 UID]])=0,0,IFERROR(MATCH(Tasks[[#This Row],[Pred4 UID]],Tasks[UID],0),-1))</f>
        <v>0</v>
      </c>
      <c r="CD7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1" s="115" t="n">
        <f aca="false">IF(OR(Tasks[[#This Row],[_ConstraintCode]]=2,Tasks[[#This Row],[_ConstraintCode]]=3,Tasks[[#This Row],[_ConstraintCode]]=4,Tasks[[#This Row],[_ConstraintCode]]=6),Tasks[[#This Row],[_ConstraintStart]],0)</f>
        <v>0</v>
      </c>
      <c r="CG71" s="115" t="n">
        <f aca="false">IF(OR(Tasks[[#This Row],[_ConstraintCode]]=2,Tasks[[#This Row],[_ConstraintCode]]=3,Tasks[[#This Row],[_ConstraintCode]]=5,Tasks[[#This Row],[_ConstraintCode]]=7),Tasks[[#This Row],[_ConstraintStart]],2958465)</f>
        <v>2958465</v>
      </c>
      <c r="CH7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1" s="115" t="str">
        <f aca="false">IF(NOT(Tasks[[#This Row],[_IsLeaf]]=1),"",IF(N(Tasks[[#This Row],[Duration]])&lt;=0,Tasks[[#This Row],[_LeafCalcStart]],WORKDAY.INTL(Tasks[[#This Row],[_LeafCalcStart]],Tasks[[#This Row],[Duration]]-1,WorkWeek,Holidays)))</f>
        <v/>
      </c>
      <c r="CJ7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1" s="32" t="n">
        <f aca="false">IF(NOT(Tasks[[#This Row],[_IsLeaf]]=1),0,IF(N(Tasks[[#This Row],[Actual Finish]])&gt;0,1,MIN(1,N(Tasks[[#This Row],[% Complete]]))))</f>
        <v>0</v>
      </c>
      <c r="CM71" s="32" t="n">
        <f aca="false">IF(OR(NOT(Tasks[[#This Row],[_IsLeaf]]=1),Tasks[[#This Row],[Resource]]=""),0,N(Tasks[[#This Row],[Duration]])*HoursPerDay*IF(Tasks[[#This Row],[Units]]="",DefaultUnits,Tasks[[#This Row],[Units]]))</f>
        <v>0</v>
      </c>
      <c r="CN71" s="32" t="n">
        <f aca="false">IF(Tasks[[#This Row],[_LeafWork]]=0,0,Tasks[[#This Row],[_LeafWork]]*IFERROR(INDEX(res_Rate,MATCH(Tasks[[#This Row],[Resource]],res_Name,0)),0))</f>
        <v>0</v>
      </c>
      <c r="CO71" s="32" t="n">
        <f aca="false">Tasks[[#This Row],[_LeafWork]]+IF(Tasks[[#This Row],[_IsLeaf]]=1,SUMIFS(asg_Work,asg_TaskUID,Tasks[[#This Row],[UID]],asg_Valid,1),0)</f>
        <v>0</v>
      </c>
      <c r="CP71" s="32" t="n">
        <f aca="false">Tasks[[#This Row],[_LeafCost]]+IF(Tasks[[#This Row],[_IsLeaf]]=1,SUMIFS(asg_Cost,asg_TaskUID,Tasks[[#This Row],[UID]],asg_Valid,1),0)</f>
        <v>0</v>
      </c>
      <c r="CQ71" s="32" t="n">
        <f aca="false">IF(Tasks[[#This Row],[_LeafTotalCost]]=0,Tasks[[#This Row],[_LeafAC]],Tasks[[#This Row],[_LeafAC]]*Tasks[[#This Row],[_LeafCost]]/Tasks[[#This Row],[_LeafTotalCost]])</f>
        <v>0</v>
      </c>
      <c r="CR7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1" s="32" t="n">
        <f aca="false">IF(NOT(Tasks[[#This Row],[_IsLeaf]]=1),0,MAX(_xlfn.MAXIFS(Tasks[_Row],Tasks[Pred1 UID],Tasks[[#This Row],[UID]]),_xlfn.MAXIFS(Tasks[_Row],Tasks[Pred2 UID],Tasks[[#This Row],[UID]]),_xlfn.MAXIFS(Tasks[_Row],Tasks[Pred3 UID],Tasks[[#This Row],[UID]]),_xlfn.MAXIFS(Tasks[_Row],Tasks[Pred4 UID],Tasks[[#This Row],[UID]])))</f>
        <v>0</v>
      </c>
      <c r="DA7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1" s="115" t="str">
        <f aca="false">IF(NOT(Tasks[[#This Row],[_IsLeaf]]=1),"",IF(N(Tasks[[#This Row],[Duration]])&lt;=0,Tasks[[#This Row],[_LeafLateFinish]],WORKDAY.INTL(Tasks[[#This Row],[_LeafLateFinish]],-(Tasks[[#This Row],[Duration]]-1),WorkWeek,Holidays)))</f>
        <v/>
      </c>
      <c r="DD7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1" s="114" t="b">
        <f aca="false">AND(Tasks[[#This Row],[_IsLeaf]]=1,Tasks[[#This Row],[_LeafProgress]]&lt;1,N(Tasks[[#This Row],[_LeafTotalSlack]])&lt;=CriticalSlackDays)</f>
        <v>0</v>
      </c>
      <c r="DF71" s="32" t="n">
        <f aca="false">IF(AND(Tasks[[#This Row],[_IsLeaf]]=1,Tasks[[#This Row],[_ConstraintCode]]=1,Tasks[[#This Row],[Mode]]&lt;&gt;"Manual",N(Tasks[[#This Row],[Actual Start]])=0),MAX(0,N(Tasks[[#This Row],[Free Slack]])),0)</f>
        <v>0</v>
      </c>
      <c r="DG71" s="115" t="str">
        <f aca="false">IF(NOT(Tasks[[#This Row],[_IsLeaf]]=1),"",IF(Tasks[[#This Row],[_AlapShift]]=0,Tasks[[#This Row],[_LeafCalcStart]],WORKDAY.INTL(Tasks[[#This Row],[_LeafCalcStart]],Tasks[[#This Row],[_AlapShift]],WorkWeek,Holidays)))</f>
        <v/>
      </c>
      <c r="DH71" s="115" t="str">
        <f aca="false">IF(NOT(Tasks[[#This Row],[_IsLeaf]]=1),"",IF(Tasks[[#This Row],[_AlapShift]]=0,Tasks[[#This Row],[_LeafCalcFinish]],WORKDAY.INTL(Tasks[[#This Row],[_LeafCalcFinish]],Tasks[[#This Row],[_AlapShift]],WorkWeek,Holidays)))</f>
        <v/>
      </c>
      <c r="DI71" s="115" t="str">
        <f aca="false">IF(NOT(Tasks[[#This Row],[_IsLeaf]]=1),"",IF(Tasks[[#This Row],[_AlapShift]]=0,Tasks[[#This Row],[_LeafFcstStart]],WORKDAY.INTL(Tasks[[#This Row],[_LeafFcstStart]],Tasks[[#This Row],[_AlapShift]],WorkWeek,Holidays)))</f>
        <v/>
      </c>
      <c r="DJ71" s="115" t="str">
        <f aca="false">IF(NOT(Tasks[[#This Row],[_IsLeaf]]=1),"",IF(Tasks[[#This Row],[_AlapShift]]=0,Tasks[[#This Row],[_LeafFcstFinish]],WORKDAY.INTL(Tasks[[#This Row],[_LeafFcstFinish]],Tasks[[#This Row],[_AlapShift]],WorkWeek,Holidays)))</f>
        <v/>
      </c>
      <c r="DK71" s="115" t="str">
        <f aca="false">IF(Tasks[[#This Row],[Task Name]]="","",IF(Tasks[[#This Row],[_IsSummary]],MIN(INDEX(Tasks[_ShownCalcStart],Tasks[[#This Row],[_Row]]+1):INDEX(Tasks[_ShownCalcStart],Tasks[[#This Row],[_Row]]+Tasks[[#This Row],[_Descendants]])),Tasks[[#This Row],[_ShownCalcStart]]))</f>
        <v/>
      </c>
      <c r="DL71" s="115" t="str">
        <f aca="false">IF(Tasks[[#This Row],[Task Name]]="","",IF(Tasks[[#This Row],[_IsSummary]],MAX(INDEX(Tasks[_ShownCalcFinish],Tasks[[#This Row],[_Row]]+1):INDEX(Tasks[_ShownCalcFinish],Tasks[[#This Row],[_Row]]+Tasks[[#This Row],[_Descendants]])),Tasks[[#This Row],[_ShownCalcFinish]]))</f>
        <v/>
      </c>
      <c r="DM7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1" s="32" t="n">
        <f aca="false">IF(AND(Tasks[[#This Row],[_IsLeaf]]=1,Tasks[[#This Row],[_LeafTotalWork]]&gt;0),NETWORKDAYS.INTL(ProjectStart,Tasks[[#This Row],[_ShownFcstStart]],WorkWeek,Holidays),0)</f>
        <v>0</v>
      </c>
      <c r="DZ71" s="32" t="n">
        <f aca="false">IF(AND(Tasks[[#This Row],[_IsLeaf]]=1,Tasks[[#This Row],[_LeafTotalWork]]&gt;0),MAX(Tasks[[#This Row],[_StartWorkday]],NETWORKDAYS.INTL(ProjectStart,Tasks[[#This Row],[_ShownFcstFinish]],WorkWeek,Holidays)),0)</f>
        <v>0</v>
      </c>
      <c r="EA71" s="32" t="n">
        <f aca="false">IF(AND(Tasks[[#This Row],[_IsLeaf]]=1,Tasks[[#This Row],[_LeafTotalWork]]&gt;0),Tasks[[#This Row],[_LeafWork]]/(Tasks[[#This Row],[_FinishWorkday]]-Tasks[[#This Row],[_StartWorkday]]+1),0)</f>
        <v>0</v>
      </c>
      <c r="EB71" s="32" t="n">
        <f aca="false">Tasks[[#This Row],[_WorkPerWorkday]]*(Tasks[[#This Row],[_StartWorkday]]-1)</f>
        <v>-0</v>
      </c>
      <c r="EC71" s="32" t="n">
        <f aca="false">IF(Tasks[[#This Row],[_IsLeaf]]=1,MAX(N(Tasks[[#This Row],[Duration]]),0.1),0)</f>
        <v>0</v>
      </c>
      <c r="ED71" s="32" t="n">
        <f aca="false">Tasks[[#This Row],[_WeightDur]]*Tasks[[#This Row],[_LeafProgress]]</f>
        <v>0</v>
      </c>
      <c r="EE7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1" s="32" t="str">
        <f aca="false">IF(AND(Tasks[[#This Row],[_IsLeaf]]=1,N(Tasks[[#This Row],[Duration]])=0,Tasks[[#This Row],[_LeafProgress]]&lt;1),Tasks[[#This Row],[_ShownFcstFinish]]+Tasks[[#This Row],[_Row]]/100000,"")</f>
        <v/>
      </c>
      <c r="EG7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1" s="32" t="n">
        <f aca="false">IF(NOT(Tasks[[#This Row],[_IsLeaf]]=1),0,IF(Tasks[[#This Row],[Baseline Cost]]="",Tasks[[#This Row],[_LeafTotalCost]],N(Tasks[[#This Row],[Baseline Cost]])))</f>
        <v>0</v>
      </c>
      <c r="EI71" s="32" t="n">
        <f aca="false">Tasks[[#This Row],[_LeafBudget]]*Tasks[[#This Row],[_PlannedPct]]</f>
        <v>0</v>
      </c>
      <c r="EJ71" s="32" t="n">
        <f aca="false">Tasks[[#This Row],[_LeafBudget]]*Tasks[[#This Row],[_LeafProgress]]</f>
        <v>0</v>
      </c>
      <c r="EK71" s="32" t="n">
        <f aca="false">IF(NOT(Tasks[[#This Row],[_IsLeaf]]=1),0,IF(Tasks[[#This Row],[Actual Cost]]="",Tasks[[#This Row],[_LeafTotalCost]]*Tasks[[#This Row],[_LeafProgress]],N(Tasks[[#This Row],[Actual Cost]])))</f>
        <v>0</v>
      </c>
      <c r="EL71" s="32" t="str">
        <f aca="false">IF(Tasks[[#This Row],[Task Name]]="","",LEFT(Tasks[[#This Row],[WBS]],FIND(".",Tasks[[#This Row],[WBS]]&amp;".")-1))</f>
        <v/>
      </c>
      <c r="EM71" s="32" t="str">
        <f aca="false">IF(AND(Tasks[[#This Row],[Task Name]]&lt;&gt;"",Tasks[[#This Row],[_Level]]=1),Tasks[[#This Row],[_Row]],"")</f>
        <v/>
      </c>
      <c r="EN71" s="32" t="str">
        <f aca="false">IF(AND(Tasks[[#This Row],[_IsLeaf]]=1,N(Tasks[[#This Row],[Duration]])=0),Tasks[[#This Row],[Planned Finish]]+Tasks[[#This Row],[_Row]]/100000,"")</f>
        <v/>
      </c>
      <c r="EO71" s="32" t="str">
        <f aca="false">IF(AND(Tasks[[#This Row],[_IsLeaf]]=1,Tasks[[#This Row],[_LeafProgress]]&lt;1,OR(N(Tasks[[#This Row],[Finish Var]])&gt;0,Tasks[[#This Row],[Status]]="Late Start")),MAX(0,Tasks[[#This Row],[Finish Var]])+1-Tasks[[#This Row],[_Row]]/1000000,"")</f>
        <v/>
      </c>
      <c r="EP71" s="32" t="str">
        <f aca="false">IF(AND(Tasks[[#This Row],[_IsLeaf]]=1,N(Tasks[[#This Row],[Actual Start]])=0,Tasks[[#This Row],[_ShownFcstStart]]&gt;=StatusDate,Tasks[[#This Row],[_ShownFcstStart]]&lt;=LookaheadEnd),Tasks[[#This Row],[_ShownFcstStart]]+Tasks[[#This Row],[_Row]]/100000,"")</f>
        <v/>
      </c>
      <c r="EQ71" s="32" t="str">
        <f aca="false">IF(AND(Tasks[[#This Row],[_IsLeaf]]=1,Tasks[[#This Row],[_LeafProgress]]&lt;1,Tasks[[#This Row],[_ShownFcstFinish]]&gt;=StatusDate,Tasks[[#This Row],[_ShownFcstFinish]]&lt;=LookaheadEnd),Tasks[[#This Row],[_ShownFcstFinish]]+Tasks[[#This Row],[_Row]]/100000,"")</f>
        <v/>
      </c>
      <c r="ER71" s="32" t="str">
        <f aca="false">IF(Tasks[[#This Row],[_LeafCritical]],Tasks[[#This Row],[_ShownFcstStart]]+Tasks[[#This Row],[_Row]]/100000,"")</f>
        <v/>
      </c>
      <c r="ES71" s="32" t="n">
        <f aca="false">Tasks[[#This Row],[_LeafWork]]*Tasks[[#This Row],[_LeafProgress]]</f>
        <v>0</v>
      </c>
      <c r="ET71" s="115" t="str">
        <f aca="false">IF(AND(Tasks[[#This Row],[_IsLeaf]]=1,Tasks[[#This Row],[_LeafProgress]]&gt;=1),IF(N(Tasks[[#This Row],[Actual Finish]])&gt;0,Tasks[[#This Row],[Actual Finish]],Tasks[[#This Row],[_ShownFcstFinish]]),"")</f>
        <v/>
      </c>
      <c r="EU71" s="32" t="n">
        <f aca="false">IF(Tasks[[#This Row],[_IsLeaf]]=1,N(Tasks[[#This Row],[Story Points]]),0)</f>
        <v>0</v>
      </c>
      <c r="EV71" s="32" t="str">
        <f aca="false">IF(AND(Tasks[[#This Row],[_IsLeaf]]=1,CurrentSprint&lt;&gt;"",Tasks[[#This Row],[Sprint]]=CurrentSprint),Tasks[[#This Row],[_Row]],"")</f>
        <v/>
      </c>
    </row>
    <row r="72" customFormat="false" ht="15" hidden="false" customHeight="false" outlineLevel="0" collapsed="false">
      <c r="A72" s="45" t="str">
        <f aca="false">IF(Tasks[[#This Row],[Task Name]]="","",COUNTA(Tasks[[#Headers],[Task Name]]:Tasks[[#This Row],[Task Name]])-1)</f>
        <v/>
      </c>
      <c r="B72" s="46" t="n">
        <v>67</v>
      </c>
      <c r="C7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2" s="46"/>
      <c r="E72" s="45" t="str">
        <f aca="false">IF(Tasks[[#This Row],[Task Name]]="","",IF(Tasks[[#This Row],[_Level]]&lt;=OutlineShowLevel,"Yes","No"))</f>
        <v/>
      </c>
      <c r="F72" s="47"/>
      <c r="G72" s="46"/>
      <c r="H72" s="46"/>
      <c r="I72" s="46"/>
      <c r="J72" s="46"/>
      <c r="K72" s="46"/>
      <c r="L72" s="46"/>
      <c r="M72" s="46"/>
      <c r="N72" s="46"/>
      <c r="O72" s="46"/>
      <c r="P72" s="46"/>
      <c r="Q72" s="46"/>
      <c r="R72" s="46"/>
      <c r="S72" s="46"/>
      <c r="T72" s="46"/>
      <c r="U72" s="47"/>
      <c r="V72" s="88"/>
      <c r="W72" s="88"/>
      <c r="X72" s="25" t="str">
        <f aca="false">IF(Tasks[[#This Row],[Task Name]]="","",IF(N(Tasks[[#This Row],[Baseline Start]])&gt;0,Tasks[[#This Row],[Baseline Start]],Tasks[[#This Row],[_CalcStart]]))</f>
        <v/>
      </c>
      <c r="Y72" s="25" t="str">
        <f aca="false">IF(Tasks[[#This Row],[Task Name]]="","",IF(N(Tasks[[#This Row],[Baseline Finish]])&gt;0,Tasks[[#This Row],[Baseline Finish]],Tasks[[#This Row],[_CalcFinish]]))</f>
        <v/>
      </c>
      <c r="Z72" s="88"/>
      <c r="AA72" s="88"/>
      <c r="AB72" s="25" t="str">
        <f aca="false">IF(Tasks[[#This Row],[Task Name]]="","",IF(Tasks[[#This Row],[_IsSummary]],MIN(INDEX(Tasks[_ShownFcstStart],Tasks[[#This Row],[_Row]]+1):INDEX(Tasks[_ShownFcstStart],Tasks[[#This Row],[_Row]]+Tasks[[#This Row],[_Descendants]])),Tasks[[#This Row],[_ShownFcstStart]]))</f>
        <v/>
      </c>
      <c r="AC72" s="25" t="str">
        <f aca="false">IF(Tasks[[#This Row],[Task Name]]="","",IF(Tasks[[#This Row],[_IsSummary]],MAX(INDEX(Tasks[_ShownFcstFinish],Tasks[[#This Row],[_Row]]+1):INDEX(Tasks[_ShownFcstFinish],Tasks[[#This Row],[_Row]]+Tasks[[#This Row],[_Descendants]])),Tasks[[#This Row],[_ShownFcstFinish]]))</f>
        <v/>
      </c>
      <c r="AD7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2" s="25" t="str">
        <f aca="false">IF(Tasks[[#This Row],[Task Name]]="","",IF(Tasks[[#This Row],[_IsSummary]],MIN(INDEX(Tasks[_LeafLateStart],Tasks[[#This Row],[_Row]]+1):INDEX(Tasks[_LeafLateStart],Tasks[[#This Row],[_Row]]+Tasks[[#This Row],[_Descendants]])),Tasks[[#This Row],[_LeafLateStart]]))</f>
        <v/>
      </c>
      <c r="AG72" s="25" t="str">
        <f aca="false">IF(Tasks[[#This Row],[Task Name]]="","",IF(Tasks[[#This Row],[_IsSummary]],MAX(INDEX(Tasks[_LeafLateFinish],Tasks[[#This Row],[_Row]]+1):INDEX(Tasks[_LeafLateFinish],Tasks[[#This Row],[_Row]]+Tasks[[#This Row],[_Descendants]])),Tasks[[#This Row],[_LeafLateFinish]]))</f>
        <v/>
      </c>
      <c r="AH72" s="56" t="str">
        <f aca="false">IF(Tasks[[#This Row],[Task Name]]="","",IF(Tasks[[#This Row],[_IsSummary]],MIN(INDEX(Tasks[_LeafTotalSlack],Tasks[[#This Row],[_Row]]+1):INDEX(Tasks[_LeafTotalSlack],Tasks[[#This Row],[_Row]]+Tasks[[#This Row],[_Descendants]])),Tasks[[#This Row],[_LeafTotalSlack]]))</f>
        <v/>
      </c>
      <c r="AI7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2" s="45" t="str">
        <f aca="false">IF(Tasks[[#This Row],[Task Name]]="","",IF(IF(Tasks[[#This Row],[_IsSummary]],COUNTIF(INDEX(Tasks[_LeafCritical],Tasks[[#This Row],[_Row]]+1):INDEX(Tasks[_LeafCritical],Tasks[[#This Row],[_Row]]+Tasks[[#This Row],[_Descendants]]),TRUE())&gt;0,Tasks[[#This Row],[_LeafCritical]]),"Yes",""))</f>
        <v/>
      </c>
      <c r="AK7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2" s="102"/>
      <c r="AN7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2" s="45" t="str">
        <f aca="false">IF(Tasks[[#This Row],[Task Name]]="","",IF(Tasks[[#This Row],[Progress]]&gt;=1,"Complete",IF(OR(N(Tasks[[#This Row],[Actual Start]])&gt;0,Tasks[[#This Row],[Progress]]&gt;0),IF(Tasks[[#This Row],[Finish Var]]&gt;0,"Behind","In Progress"),IF(Tasks[[#This Row],[Planned Start]]&lt;StatusDate,"Late Start","Not Started"))))</f>
        <v/>
      </c>
      <c r="AP72" s="47"/>
      <c r="AQ72" s="102"/>
      <c r="AR7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2" s="110" t="str">
        <f aca="false">IF(Tasks[[#This Row],[Task Name]]="","",IF(Tasks[[#This Row],[_IsSummary]],SUM(INDEX(Tasks[_LeafTotalWork],Tasks[[#This Row],[_Row]]+1):INDEX(Tasks[_LeafTotalWork],Tasks[[#This Row],[_Row]]+Tasks[[#This Row],[_Descendants]])),Tasks[[#This Row],[_LeafTotalWork]]))</f>
        <v/>
      </c>
      <c r="AU72" s="111" t="str">
        <f aca="false">IF(Tasks[[#This Row],[Task Name]]="","",IF(Tasks[[#This Row],[_IsSummary]],SUM(INDEX(Tasks[_LeafTotalCost],Tasks[[#This Row],[_Row]]+1):INDEX(Tasks[_LeafTotalCost],Tasks[[#This Row],[_Row]]+Tasks[[#This Row],[_Descendants]])),Tasks[[#This Row],[_LeafTotalCost]]))</f>
        <v/>
      </c>
      <c r="AV72" s="112"/>
      <c r="AW72" s="46"/>
      <c r="AX7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2" s="96"/>
      <c r="AZ7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2" s="47"/>
      <c r="BB72" s="25" t="str">
        <f aca="false">IF(Tasks[[#This Row],[Task Name]]="","",Tasks[[#This Row],[Forecast Start]])</f>
        <v/>
      </c>
      <c r="BC72" s="25" t="str">
        <f aca="false">IF(Tasks[[#This Row],[Task Name]]="","",Tasks[[#This Row],[Forecast Finish]])</f>
        <v/>
      </c>
      <c r="BD72" s="45" t="str">
        <f aca="false">IF(Tasks[[#This Row],[Task Name]]="","",IF(Tasks[[#This Row],[_IsSummary]],NETWORKDAYS.INTL(Tasks[[#This Row],[Forecast Start]],Tasks[[#This Row],[Forecast Finish]],WorkWeek,Holidays),N(Tasks[[#This Row],[Duration]])))</f>
        <v/>
      </c>
      <c r="BE72" s="110" t="str">
        <f aca="false">IF(Tasks[[#This Row],[Task Name]]="","",Tasks[[#This Row],[Work]])</f>
        <v/>
      </c>
      <c r="BF72" s="111" t="str">
        <f aca="false">IF(Tasks[[#This Row],[Task Name]]="","",Tasks[[#This Row],[Cost]])</f>
        <v/>
      </c>
      <c r="BG72" s="88"/>
      <c r="BH72" s="88"/>
      <c r="BI72" s="46"/>
      <c r="BJ72" s="113"/>
      <c r="BK72" s="112"/>
      <c r="BL72" s="45" t="str">
        <f aca="false">IF(OR(Tasks[[#This Row],[Task Name]]="",Tasks[[#This Row],[Baseline Duration]]=""),"",Tasks[[#This Row],[BL Source Duration]]-N(Tasks[[#This Row],[Baseline Duration]]))</f>
        <v/>
      </c>
      <c r="BM72" s="110" t="str">
        <f aca="false">IF(OR(Tasks[[#This Row],[Task Name]]="",Tasks[[#This Row],[Baseline Work]]=""),"",Tasks[[#This Row],[Work]]-N(Tasks[[#This Row],[Baseline Work]]))</f>
        <v/>
      </c>
      <c r="BN72" s="111" t="str">
        <f aca="false">IF(OR(Tasks[[#This Row],[Task Name]]="",Tasks[[#This Row],[Baseline Cost]]=""),"",Tasks[[#This Row],[Cost]]-N(Tasks[[#This Row],[Baseline Cost]]))</f>
        <v/>
      </c>
      <c r="BO72" s="111" t="str">
        <f aca="false">IF(Tasks[[#This Row],[Task Name]]="","",IF(Tasks[[#This Row],[_IsSummary]],SUM(INDEX(Tasks[_LeafBudget],Tasks[[#This Row],[_Row]]+1):INDEX(Tasks[_LeafBudget],Tasks[[#This Row],[_Row]]+Tasks[[#This Row],[_Descendants]])),Tasks[[#This Row],[_LeafBudget]]))</f>
        <v/>
      </c>
      <c r="BP72" s="111" t="str">
        <f aca="false">IF(Tasks[[#This Row],[Task Name]]="","",IF(Tasks[[#This Row],[_IsSummary]],SUM(INDEX(Tasks[_LeafPV],Tasks[[#This Row],[_Row]]+1):INDEX(Tasks[_LeafPV],Tasks[[#This Row],[_Row]]+Tasks[[#This Row],[_Descendants]])),Tasks[[#This Row],[_LeafPV]]))</f>
        <v/>
      </c>
      <c r="BQ72" s="111" t="str">
        <f aca="false">IF(Tasks[[#This Row],[Task Name]]="","",IF(Tasks[[#This Row],[_IsSummary]],SUM(INDEX(Tasks[_LeafEV],Tasks[[#This Row],[_Row]]+1):INDEX(Tasks[_LeafEV],Tasks[[#This Row],[_Row]]+Tasks[[#This Row],[_Descendants]])),Tasks[[#This Row],[_LeafEV]]))</f>
        <v/>
      </c>
      <c r="BR72" s="111" t="str">
        <f aca="false">IF(Tasks[[#This Row],[Task Name]]="","",IF(Tasks[[#This Row],[_IsSummary]],SUM(INDEX(Tasks[_LeafAC],Tasks[[#This Row],[_Row]]+1):INDEX(Tasks[_LeafAC],Tasks[[#This Row],[_Row]]+Tasks[[#This Row],[_Descendants]])),Tasks[[#This Row],[_LeafAC]]))</f>
        <v/>
      </c>
      <c r="BS72" s="32" t="str">
        <f aca="false">IF(Tasks[[#This Row],[Task Name]]="","",MAX(1,N(Tasks[[#This Row],[Level]])))</f>
        <v/>
      </c>
      <c r="BT72" s="32" t="n">
        <f aca="false">ROW()-ROW(Tasks[[#Headers],[ID]])</f>
        <v>67</v>
      </c>
      <c r="BU72" s="32" t="n">
        <f aca="false">IF(OR(Tasks[[#This Row],[Task Name]]="",Tasks[[#This Row],[_Level]]&lt;=1),0,IFERROR(LOOKUP(2,1/(Tasks[[#Headers],[_Level]]:Tasks[[#This Row],[_Level]]=Tasks[[#This Row],[_Level]]-1),ROW(Tasks[[#Headers],[_Level]]:Tasks[[#This Row],[_Level]])),0))</f>
        <v>0</v>
      </c>
      <c r="BV72" s="32" t="n">
        <f aca="false">IFERROR(N(INDEX(Tasks[_Level],Tasks[[#This Row],[_Row]]+1)),0)</f>
        <v>0</v>
      </c>
      <c r="BW72" s="114" t="b">
        <f aca="false">AND(Tasks[[#This Row],[Task Name]]&lt;&gt;"",Tasks[[#This Row],[_NextLevel]]&gt;Tasks[[#This Row],[_Level]])</f>
        <v>0</v>
      </c>
      <c r="BX72" s="32" t="n">
        <f aca="false">IF(Tasks[[#This Row],[_IsSummary]],COUNTIF(Tasks[WBS],Tasks[[#This Row],[WBS]]&amp;".*"),0)</f>
        <v>0</v>
      </c>
      <c r="BY72" s="32" t="n">
        <f aca="false">IF(AND(Tasks[[#This Row],[Task Name]]&lt;&gt;"",NOT(Tasks[[#This Row],[_IsSummary]])),1,0)</f>
        <v>0</v>
      </c>
      <c r="BZ72" s="32" t="n">
        <f aca="false">IF(N(Tasks[[#This Row],[Pred1 UID]])=0,0,IFERROR(MATCH(Tasks[[#This Row],[Pred1 UID]],Tasks[UID],0),-1))</f>
        <v>0</v>
      </c>
      <c r="CA72" s="32" t="n">
        <f aca="false">IF(N(Tasks[[#This Row],[Pred2 UID]])=0,0,IFERROR(MATCH(Tasks[[#This Row],[Pred2 UID]],Tasks[UID],0),-1))</f>
        <v>0</v>
      </c>
      <c r="CB72" s="32" t="n">
        <f aca="false">IF(N(Tasks[[#This Row],[Pred3 UID]])=0,0,IFERROR(MATCH(Tasks[[#This Row],[Pred3 UID]],Tasks[UID],0),-1))</f>
        <v>0</v>
      </c>
      <c r="CC72" s="32" t="n">
        <f aca="false">IF(N(Tasks[[#This Row],[Pred4 UID]])=0,0,IFERROR(MATCH(Tasks[[#This Row],[Pred4 UID]],Tasks[UID],0),-1))</f>
        <v>0</v>
      </c>
      <c r="CD7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2" s="115" t="n">
        <f aca="false">IF(OR(Tasks[[#This Row],[_ConstraintCode]]=2,Tasks[[#This Row],[_ConstraintCode]]=3,Tasks[[#This Row],[_ConstraintCode]]=4,Tasks[[#This Row],[_ConstraintCode]]=6),Tasks[[#This Row],[_ConstraintStart]],0)</f>
        <v>0</v>
      </c>
      <c r="CG72" s="115" t="n">
        <f aca="false">IF(OR(Tasks[[#This Row],[_ConstraintCode]]=2,Tasks[[#This Row],[_ConstraintCode]]=3,Tasks[[#This Row],[_ConstraintCode]]=5,Tasks[[#This Row],[_ConstraintCode]]=7),Tasks[[#This Row],[_ConstraintStart]],2958465)</f>
        <v>2958465</v>
      </c>
      <c r="CH7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2" s="115" t="str">
        <f aca="false">IF(NOT(Tasks[[#This Row],[_IsLeaf]]=1),"",IF(N(Tasks[[#This Row],[Duration]])&lt;=0,Tasks[[#This Row],[_LeafCalcStart]],WORKDAY.INTL(Tasks[[#This Row],[_LeafCalcStart]],Tasks[[#This Row],[Duration]]-1,WorkWeek,Holidays)))</f>
        <v/>
      </c>
      <c r="CJ7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2" s="32" t="n">
        <f aca="false">IF(NOT(Tasks[[#This Row],[_IsLeaf]]=1),0,IF(N(Tasks[[#This Row],[Actual Finish]])&gt;0,1,MIN(1,N(Tasks[[#This Row],[% Complete]]))))</f>
        <v>0</v>
      </c>
      <c r="CM72" s="32" t="n">
        <f aca="false">IF(OR(NOT(Tasks[[#This Row],[_IsLeaf]]=1),Tasks[[#This Row],[Resource]]=""),0,N(Tasks[[#This Row],[Duration]])*HoursPerDay*IF(Tasks[[#This Row],[Units]]="",DefaultUnits,Tasks[[#This Row],[Units]]))</f>
        <v>0</v>
      </c>
      <c r="CN72" s="32" t="n">
        <f aca="false">IF(Tasks[[#This Row],[_LeafWork]]=0,0,Tasks[[#This Row],[_LeafWork]]*IFERROR(INDEX(res_Rate,MATCH(Tasks[[#This Row],[Resource]],res_Name,0)),0))</f>
        <v>0</v>
      </c>
      <c r="CO72" s="32" t="n">
        <f aca="false">Tasks[[#This Row],[_LeafWork]]+IF(Tasks[[#This Row],[_IsLeaf]]=1,SUMIFS(asg_Work,asg_TaskUID,Tasks[[#This Row],[UID]],asg_Valid,1),0)</f>
        <v>0</v>
      </c>
      <c r="CP72" s="32" t="n">
        <f aca="false">Tasks[[#This Row],[_LeafCost]]+IF(Tasks[[#This Row],[_IsLeaf]]=1,SUMIFS(asg_Cost,asg_TaskUID,Tasks[[#This Row],[UID]],asg_Valid,1),0)</f>
        <v>0</v>
      </c>
      <c r="CQ72" s="32" t="n">
        <f aca="false">IF(Tasks[[#This Row],[_LeafTotalCost]]=0,Tasks[[#This Row],[_LeafAC]],Tasks[[#This Row],[_LeafAC]]*Tasks[[#This Row],[_LeafCost]]/Tasks[[#This Row],[_LeafTotalCost]])</f>
        <v>0</v>
      </c>
      <c r="CR7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2" s="32" t="n">
        <f aca="false">IF(NOT(Tasks[[#This Row],[_IsLeaf]]=1),0,MAX(_xlfn.MAXIFS(Tasks[_Row],Tasks[Pred1 UID],Tasks[[#This Row],[UID]]),_xlfn.MAXIFS(Tasks[_Row],Tasks[Pred2 UID],Tasks[[#This Row],[UID]]),_xlfn.MAXIFS(Tasks[_Row],Tasks[Pred3 UID],Tasks[[#This Row],[UID]]),_xlfn.MAXIFS(Tasks[_Row],Tasks[Pred4 UID],Tasks[[#This Row],[UID]])))</f>
        <v>0</v>
      </c>
      <c r="DA7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2" s="115" t="str">
        <f aca="false">IF(NOT(Tasks[[#This Row],[_IsLeaf]]=1),"",IF(N(Tasks[[#This Row],[Duration]])&lt;=0,Tasks[[#This Row],[_LeafLateFinish]],WORKDAY.INTL(Tasks[[#This Row],[_LeafLateFinish]],-(Tasks[[#This Row],[Duration]]-1),WorkWeek,Holidays)))</f>
        <v/>
      </c>
      <c r="DD7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2" s="114" t="b">
        <f aca="false">AND(Tasks[[#This Row],[_IsLeaf]]=1,Tasks[[#This Row],[_LeafProgress]]&lt;1,N(Tasks[[#This Row],[_LeafTotalSlack]])&lt;=CriticalSlackDays)</f>
        <v>0</v>
      </c>
      <c r="DF72" s="32" t="n">
        <f aca="false">IF(AND(Tasks[[#This Row],[_IsLeaf]]=1,Tasks[[#This Row],[_ConstraintCode]]=1,Tasks[[#This Row],[Mode]]&lt;&gt;"Manual",N(Tasks[[#This Row],[Actual Start]])=0),MAX(0,N(Tasks[[#This Row],[Free Slack]])),0)</f>
        <v>0</v>
      </c>
      <c r="DG72" s="115" t="str">
        <f aca="false">IF(NOT(Tasks[[#This Row],[_IsLeaf]]=1),"",IF(Tasks[[#This Row],[_AlapShift]]=0,Tasks[[#This Row],[_LeafCalcStart]],WORKDAY.INTL(Tasks[[#This Row],[_LeafCalcStart]],Tasks[[#This Row],[_AlapShift]],WorkWeek,Holidays)))</f>
        <v/>
      </c>
      <c r="DH72" s="115" t="str">
        <f aca="false">IF(NOT(Tasks[[#This Row],[_IsLeaf]]=1),"",IF(Tasks[[#This Row],[_AlapShift]]=0,Tasks[[#This Row],[_LeafCalcFinish]],WORKDAY.INTL(Tasks[[#This Row],[_LeafCalcFinish]],Tasks[[#This Row],[_AlapShift]],WorkWeek,Holidays)))</f>
        <v/>
      </c>
      <c r="DI72" s="115" t="str">
        <f aca="false">IF(NOT(Tasks[[#This Row],[_IsLeaf]]=1),"",IF(Tasks[[#This Row],[_AlapShift]]=0,Tasks[[#This Row],[_LeafFcstStart]],WORKDAY.INTL(Tasks[[#This Row],[_LeafFcstStart]],Tasks[[#This Row],[_AlapShift]],WorkWeek,Holidays)))</f>
        <v/>
      </c>
      <c r="DJ72" s="115" t="str">
        <f aca="false">IF(NOT(Tasks[[#This Row],[_IsLeaf]]=1),"",IF(Tasks[[#This Row],[_AlapShift]]=0,Tasks[[#This Row],[_LeafFcstFinish]],WORKDAY.INTL(Tasks[[#This Row],[_LeafFcstFinish]],Tasks[[#This Row],[_AlapShift]],WorkWeek,Holidays)))</f>
        <v/>
      </c>
      <c r="DK72" s="115" t="str">
        <f aca="false">IF(Tasks[[#This Row],[Task Name]]="","",IF(Tasks[[#This Row],[_IsSummary]],MIN(INDEX(Tasks[_ShownCalcStart],Tasks[[#This Row],[_Row]]+1):INDEX(Tasks[_ShownCalcStart],Tasks[[#This Row],[_Row]]+Tasks[[#This Row],[_Descendants]])),Tasks[[#This Row],[_ShownCalcStart]]))</f>
        <v/>
      </c>
      <c r="DL72" s="115" t="str">
        <f aca="false">IF(Tasks[[#This Row],[Task Name]]="","",IF(Tasks[[#This Row],[_IsSummary]],MAX(INDEX(Tasks[_ShownCalcFinish],Tasks[[#This Row],[_Row]]+1):INDEX(Tasks[_ShownCalcFinish],Tasks[[#This Row],[_Row]]+Tasks[[#This Row],[_Descendants]])),Tasks[[#This Row],[_ShownCalcFinish]]))</f>
        <v/>
      </c>
      <c r="DM7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2" s="32" t="n">
        <f aca="false">IF(AND(Tasks[[#This Row],[_IsLeaf]]=1,Tasks[[#This Row],[_LeafTotalWork]]&gt;0),NETWORKDAYS.INTL(ProjectStart,Tasks[[#This Row],[_ShownFcstStart]],WorkWeek,Holidays),0)</f>
        <v>0</v>
      </c>
      <c r="DZ72" s="32" t="n">
        <f aca="false">IF(AND(Tasks[[#This Row],[_IsLeaf]]=1,Tasks[[#This Row],[_LeafTotalWork]]&gt;0),MAX(Tasks[[#This Row],[_StartWorkday]],NETWORKDAYS.INTL(ProjectStart,Tasks[[#This Row],[_ShownFcstFinish]],WorkWeek,Holidays)),0)</f>
        <v>0</v>
      </c>
      <c r="EA72" s="32" t="n">
        <f aca="false">IF(AND(Tasks[[#This Row],[_IsLeaf]]=1,Tasks[[#This Row],[_LeafTotalWork]]&gt;0),Tasks[[#This Row],[_LeafWork]]/(Tasks[[#This Row],[_FinishWorkday]]-Tasks[[#This Row],[_StartWorkday]]+1),0)</f>
        <v>0</v>
      </c>
      <c r="EB72" s="32" t="n">
        <f aca="false">Tasks[[#This Row],[_WorkPerWorkday]]*(Tasks[[#This Row],[_StartWorkday]]-1)</f>
        <v>-0</v>
      </c>
      <c r="EC72" s="32" t="n">
        <f aca="false">IF(Tasks[[#This Row],[_IsLeaf]]=1,MAX(N(Tasks[[#This Row],[Duration]]),0.1),0)</f>
        <v>0</v>
      </c>
      <c r="ED72" s="32" t="n">
        <f aca="false">Tasks[[#This Row],[_WeightDur]]*Tasks[[#This Row],[_LeafProgress]]</f>
        <v>0</v>
      </c>
      <c r="EE7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2" s="32" t="str">
        <f aca="false">IF(AND(Tasks[[#This Row],[_IsLeaf]]=1,N(Tasks[[#This Row],[Duration]])=0,Tasks[[#This Row],[_LeafProgress]]&lt;1),Tasks[[#This Row],[_ShownFcstFinish]]+Tasks[[#This Row],[_Row]]/100000,"")</f>
        <v/>
      </c>
      <c r="EG7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2" s="32" t="n">
        <f aca="false">IF(NOT(Tasks[[#This Row],[_IsLeaf]]=1),0,IF(Tasks[[#This Row],[Baseline Cost]]="",Tasks[[#This Row],[_LeafTotalCost]],N(Tasks[[#This Row],[Baseline Cost]])))</f>
        <v>0</v>
      </c>
      <c r="EI72" s="32" t="n">
        <f aca="false">Tasks[[#This Row],[_LeafBudget]]*Tasks[[#This Row],[_PlannedPct]]</f>
        <v>0</v>
      </c>
      <c r="EJ72" s="32" t="n">
        <f aca="false">Tasks[[#This Row],[_LeafBudget]]*Tasks[[#This Row],[_LeafProgress]]</f>
        <v>0</v>
      </c>
      <c r="EK72" s="32" t="n">
        <f aca="false">IF(NOT(Tasks[[#This Row],[_IsLeaf]]=1),0,IF(Tasks[[#This Row],[Actual Cost]]="",Tasks[[#This Row],[_LeafTotalCost]]*Tasks[[#This Row],[_LeafProgress]],N(Tasks[[#This Row],[Actual Cost]])))</f>
        <v>0</v>
      </c>
      <c r="EL72" s="32" t="str">
        <f aca="false">IF(Tasks[[#This Row],[Task Name]]="","",LEFT(Tasks[[#This Row],[WBS]],FIND(".",Tasks[[#This Row],[WBS]]&amp;".")-1))</f>
        <v/>
      </c>
      <c r="EM72" s="32" t="str">
        <f aca="false">IF(AND(Tasks[[#This Row],[Task Name]]&lt;&gt;"",Tasks[[#This Row],[_Level]]=1),Tasks[[#This Row],[_Row]],"")</f>
        <v/>
      </c>
      <c r="EN72" s="32" t="str">
        <f aca="false">IF(AND(Tasks[[#This Row],[_IsLeaf]]=1,N(Tasks[[#This Row],[Duration]])=0),Tasks[[#This Row],[Planned Finish]]+Tasks[[#This Row],[_Row]]/100000,"")</f>
        <v/>
      </c>
      <c r="EO72" s="32" t="str">
        <f aca="false">IF(AND(Tasks[[#This Row],[_IsLeaf]]=1,Tasks[[#This Row],[_LeafProgress]]&lt;1,OR(N(Tasks[[#This Row],[Finish Var]])&gt;0,Tasks[[#This Row],[Status]]="Late Start")),MAX(0,Tasks[[#This Row],[Finish Var]])+1-Tasks[[#This Row],[_Row]]/1000000,"")</f>
        <v/>
      </c>
      <c r="EP72" s="32" t="str">
        <f aca="false">IF(AND(Tasks[[#This Row],[_IsLeaf]]=1,N(Tasks[[#This Row],[Actual Start]])=0,Tasks[[#This Row],[_ShownFcstStart]]&gt;=StatusDate,Tasks[[#This Row],[_ShownFcstStart]]&lt;=LookaheadEnd),Tasks[[#This Row],[_ShownFcstStart]]+Tasks[[#This Row],[_Row]]/100000,"")</f>
        <v/>
      </c>
      <c r="EQ72" s="32" t="str">
        <f aca="false">IF(AND(Tasks[[#This Row],[_IsLeaf]]=1,Tasks[[#This Row],[_LeafProgress]]&lt;1,Tasks[[#This Row],[_ShownFcstFinish]]&gt;=StatusDate,Tasks[[#This Row],[_ShownFcstFinish]]&lt;=LookaheadEnd),Tasks[[#This Row],[_ShownFcstFinish]]+Tasks[[#This Row],[_Row]]/100000,"")</f>
        <v/>
      </c>
      <c r="ER72" s="32" t="str">
        <f aca="false">IF(Tasks[[#This Row],[_LeafCritical]],Tasks[[#This Row],[_ShownFcstStart]]+Tasks[[#This Row],[_Row]]/100000,"")</f>
        <v/>
      </c>
      <c r="ES72" s="32" t="n">
        <f aca="false">Tasks[[#This Row],[_LeafWork]]*Tasks[[#This Row],[_LeafProgress]]</f>
        <v>0</v>
      </c>
      <c r="ET72" s="115" t="str">
        <f aca="false">IF(AND(Tasks[[#This Row],[_IsLeaf]]=1,Tasks[[#This Row],[_LeafProgress]]&gt;=1),IF(N(Tasks[[#This Row],[Actual Finish]])&gt;0,Tasks[[#This Row],[Actual Finish]],Tasks[[#This Row],[_ShownFcstFinish]]),"")</f>
        <v/>
      </c>
      <c r="EU72" s="32" t="n">
        <f aca="false">IF(Tasks[[#This Row],[_IsLeaf]]=1,N(Tasks[[#This Row],[Story Points]]),0)</f>
        <v>0</v>
      </c>
      <c r="EV72" s="32" t="str">
        <f aca="false">IF(AND(Tasks[[#This Row],[_IsLeaf]]=1,CurrentSprint&lt;&gt;"",Tasks[[#This Row],[Sprint]]=CurrentSprint),Tasks[[#This Row],[_Row]],"")</f>
        <v/>
      </c>
    </row>
    <row r="73" customFormat="false" ht="15" hidden="false" customHeight="false" outlineLevel="0" collapsed="false">
      <c r="A73" s="45" t="str">
        <f aca="false">IF(Tasks[[#This Row],[Task Name]]="","",COUNTA(Tasks[[#Headers],[Task Name]]:Tasks[[#This Row],[Task Name]])-1)</f>
        <v/>
      </c>
      <c r="B73" s="46" t="n">
        <v>68</v>
      </c>
      <c r="C7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3" s="46"/>
      <c r="E73" s="45" t="str">
        <f aca="false">IF(Tasks[[#This Row],[Task Name]]="","",IF(Tasks[[#This Row],[_Level]]&lt;=OutlineShowLevel,"Yes","No"))</f>
        <v/>
      </c>
      <c r="F73" s="47"/>
      <c r="G73" s="46"/>
      <c r="H73" s="46"/>
      <c r="I73" s="46"/>
      <c r="J73" s="46"/>
      <c r="K73" s="46"/>
      <c r="L73" s="46"/>
      <c r="M73" s="46"/>
      <c r="N73" s="46"/>
      <c r="O73" s="46"/>
      <c r="P73" s="46"/>
      <c r="Q73" s="46"/>
      <c r="R73" s="46"/>
      <c r="S73" s="46"/>
      <c r="T73" s="46"/>
      <c r="U73" s="47"/>
      <c r="V73" s="88"/>
      <c r="W73" s="88"/>
      <c r="X73" s="25" t="str">
        <f aca="false">IF(Tasks[[#This Row],[Task Name]]="","",IF(N(Tasks[[#This Row],[Baseline Start]])&gt;0,Tasks[[#This Row],[Baseline Start]],Tasks[[#This Row],[_CalcStart]]))</f>
        <v/>
      </c>
      <c r="Y73" s="25" t="str">
        <f aca="false">IF(Tasks[[#This Row],[Task Name]]="","",IF(N(Tasks[[#This Row],[Baseline Finish]])&gt;0,Tasks[[#This Row],[Baseline Finish]],Tasks[[#This Row],[_CalcFinish]]))</f>
        <v/>
      </c>
      <c r="Z73" s="88"/>
      <c r="AA73" s="88"/>
      <c r="AB73" s="25" t="str">
        <f aca="false">IF(Tasks[[#This Row],[Task Name]]="","",IF(Tasks[[#This Row],[_IsSummary]],MIN(INDEX(Tasks[_ShownFcstStart],Tasks[[#This Row],[_Row]]+1):INDEX(Tasks[_ShownFcstStart],Tasks[[#This Row],[_Row]]+Tasks[[#This Row],[_Descendants]])),Tasks[[#This Row],[_ShownFcstStart]]))</f>
        <v/>
      </c>
      <c r="AC73" s="25" t="str">
        <f aca="false">IF(Tasks[[#This Row],[Task Name]]="","",IF(Tasks[[#This Row],[_IsSummary]],MAX(INDEX(Tasks[_ShownFcstFinish],Tasks[[#This Row],[_Row]]+1):INDEX(Tasks[_ShownFcstFinish],Tasks[[#This Row],[_Row]]+Tasks[[#This Row],[_Descendants]])),Tasks[[#This Row],[_ShownFcstFinish]]))</f>
        <v/>
      </c>
      <c r="AD7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3" s="25" t="str">
        <f aca="false">IF(Tasks[[#This Row],[Task Name]]="","",IF(Tasks[[#This Row],[_IsSummary]],MIN(INDEX(Tasks[_LeafLateStart],Tasks[[#This Row],[_Row]]+1):INDEX(Tasks[_LeafLateStart],Tasks[[#This Row],[_Row]]+Tasks[[#This Row],[_Descendants]])),Tasks[[#This Row],[_LeafLateStart]]))</f>
        <v/>
      </c>
      <c r="AG73" s="25" t="str">
        <f aca="false">IF(Tasks[[#This Row],[Task Name]]="","",IF(Tasks[[#This Row],[_IsSummary]],MAX(INDEX(Tasks[_LeafLateFinish],Tasks[[#This Row],[_Row]]+1):INDEX(Tasks[_LeafLateFinish],Tasks[[#This Row],[_Row]]+Tasks[[#This Row],[_Descendants]])),Tasks[[#This Row],[_LeafLateFinish]]))</f>
        <v/>
      </c>
      <c r="AH73" s="56" t="str">
        <f aca="false">IF(Tasks[[#This Row],[Task Name]]="","",IF(Tasks[[#This Row],[_IsSummary]],MIN(INDEX(Tasks[_LeafTotalSlack],Tasks[[#This Row],[_Row]]+1):INDEX(Tasks[_LeafTotalSlack],Tasks[[#This Row],[_Row]]+Tasks[[#This Row],[_Descendants]])),Tasks[[#This Row],[_LeafTotalSlack]]))</f>
        <v/>
      </c>
      <c r="AI7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3" s="45" t="str">
        <f aca="false">IF(Tasks[[#This Row],[Task Name]]="","",IF(IF(Tasks[[#This Row],[_IsSummary]],COUNTIF(INDEX(Tasks[_LeafCritical],Tasks[[#This Row],[_Row]]+1):INDEX(Tasks[_LeafCritical],Tasks[[#This Row],[_Row]]+Tasks[[#This Row],[_Descendants]]),TRUE())&gt;0,Tasks[[#This Row],[_LeafCritical]]),"Yes",""))</f>
        <v/>
      </c>
      <c r="AK7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3" s="102"/>
      <c r="AN7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3" s="45" t="str">
        <f aca="false">IF(Tasks[[#This Row],[Task Name]]="","",IF(Tasks[[#This Row],[Progress]]&gt;=1,"Complete",IF(OR(N(Tasks[[#This Row],[Actual Start]])&gt;0,Tasks[[#This Row],[Progress]]&gt;0),IF(Tasks[[#This Row],[Finish Var]]&gt;0,"Behind","In Progress"),IF(Tasks[[#This Row],[Planned Start]]&lt;StatusDate,"Late Start","Not Started"))))</f>
        <v/>
      </c>
      <c r="AP73" s="47"/>
      <c r="AQ73" s="102"/>
      <c r="AR7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3" s="110" t="str">
        <f aca="false">IF(Tasks[[#This Row],[Task Name]]="","",IF(Tasks[[#This Row],[_IsSummary]],SUM(INDEX(Tasks[_LeafTotalWork],Tasks[[#This Row],[_Row]]+1):INDEX(Tasks[_LeafTotalWork],Tasks[[#This Row],[_Row]]+Tasks[[#This Row],[_Descendants]])),Tasks[[#This Row],[_LeafTotalWork]]))</f>
        <v/>
      </c>
      <c r="AU73" s="111" t="str">
        <f aca="false">IF(Tasks[[#This Row],[Task Name]]="","",IF(Tasks[[#This Row],[_IsSummary]],SUM(INDEX(Tasks[_LeafTotalCost],Tasks[[#This Row],[_Row]]+1):INDEX(Tasks[_LeafTotalCost],Tasks[[#This Row],[_Row]]+Tasks[[#This Row],[_Descendants]])),Tasks[[#This Row],[_LeafTotalCost]]))</f>
        <v/>
      </c>
      <c r="AV73" s="112"/>
      <c r="AW73" s="46"/>
      <c r="AX7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3" s="96"/>
      <c r="AZ7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3" s="47"/>
      <c r="BB73" s="25" t="str">
        <f aca="false">IF(Tasks[[#This Row],[Task Name]]="","",Tasks[[#This Row],[Forecast Start]])</f>
        <v/>
      </c>
      <c r="BC73" s="25" t="str">
        <f aca="false">IF(Tasks[[#This Row],[Task Name]]="","",Tasks[[#This Row],[Forecast Finish]])</f>
        <v/>
      </c>
      <c r="BD73" s="45" t="str">
        <f aca="false">IF(Tasks[[#This Row],[Task Name]]="","",IF(Tasks[[#This Row],[_IsSummary]],NETWORKDAYS.INTL(Tasks[[#This Row],[Forecast Start]],Tasks[[#This Row],[Forecast Finish]],WorkWeek,Holidays),N(Tasks[[#This Row],[Duration]])))</f>
        <v/>
      </c>
      <c r="BE73" s="110" t="str">
        <f aca="false">IF(Tasks[[#This Row],[Task Name]]="","",Tasks[[#This Row],[Work]])</f>
        <v/>
      </c>
      <c r="BF73" s="111" t="str">
        <f aca="false">IF(Tasks[[#This Row],[Task Name]]="","",Tasks[[#This Row],[Cost]])</f>
        <v/>
      </c>
      <c r="BG73" s="88"/>
      <c r="BH73" s="88"/>
      <c r="BI73" s="46"/>
      <c r="BJ73" s="113"/>
      <c r="BK73" s="112"/>
      <c r="BL73" s="45" t="str">
        <f aca="false">IF(OR(Tasks[[#This Row],[Task Name]]="",Tasks[[#This Row],[Baseline Duration]]=""),"",Tasks[[#This Row],[BL Source Duration]]-N(Tasks[[#This Row],[Baseline Duration]]))</f>
        <v/>
      </c>
      <c r="BM73" s="110" t="str">
        <f aca="false">IF(OR(Tasks[[#This Row],[Task Name]]="",Tasks[[#This Row],[Baseline Work]]=""),"",Tasks[[#This Row],[Work]]-N(Tasks[[#This Row],[Baseline Work]]))</f>
        <v/>
      </c>
      <c r="BN73" s="111" t="str">
        <f aca="false">IF(OR(Tasks[[#This Row],[Task Name]]="",Tasks[[#This Row],[Baseline Cost]]=""),"",Tasks[[#This Row],[Cost]]-N(Tasks[[#This Row],[Baseline Cost]]))</f>
        <v/>
      </c>
      <c r="BO73" s="111" t="str">
        <f aca="false">IF(Tasks[[#This Row],[Task Name]]="","",IF(Tasks[[#This Row],[_IsSummary]],SUM(INDEX(Tasks[_LeafBudget],Tasks[[#This Row],[_Row]]+1):INDEX(Tasks[_LeafBudget],Tasks[[#This Row],[_Row]]+Tasks[[#This Row],[_Descendants]])),Tasks[[#This Row],[_LeafBudget]]))</f>
        <v/>
      </c>
      <c r="BP73" s="111" t="str">
        <f aca="false">IF(Tasks[[#This Row],[Task Name]]="","",IF(Tasks[[#This Row],[_IsSummary]],SUM(INDEX(Tasks[_LeafPV],Tasks[[#This Row],[_Row]]+1):INDEX(Tasks[_LeafPV],Tasks[[#This Row],[_Row]]+Tasks[[#This Row],[_Descendants]])),Tasks[[#This Row],[_LeafPV]]))</f>
        <v/>
      </c>
      <c r="BQ73" s="111" t="str">
        <f aca="false">IF(Tasks[[#This Row],[Task Name]]="","",IF(Tasks[[#This Row],[_IsSummary]],SUM(INDEX(Tasks[_LeafEV],Tasks[[#This Row],[_Row]]+1):INDEX(Tasks[_LeafEV],Tasks[[#This Row],[_Row]]+Tasks[[#This Row],[_Descendants]])),Tasks[[#This Row],[_LeafEV]]))</f>
        <v/>
      </c>
      <c r="BR73" s="111" t="str">
        <f aca="false">IF(Tasks[[#This Row],[Task Name]]="","",IF(Tasks[[#This Row],[_IsSummary]],SUM(INDEX(Tasks[_LeafAC],Tasks[[#This Row],[_Row]]+1):INDEX(Tasks[_LeafAC],Tasks[[#This Row],[_Row]]+Tasks[[#This Row],[_Descendants]])),Tasks[[#This Row],[_LeafAC]]))</f>
        <v/>
      </c>
      <c r="BS73" s="32" t="str">
        <f aca="false">IF(Tasks[[#This Row],[Task Name]]="","",MAX(1,N(Tasks[[#This Row],[Level]])))</f>
        <v/>
      </c>
      <c r="BT73" s="32" t="n">
        <f aca="false">ROW()-ROW(Tasks[[#Headers],[ID]])</f>
        <v>68</v>
      </c>
      <c r="BU73" s="32" t="n">
        <f aca="false">IF(OR(Tasks[[#This Row],[Task Name]]="",Tasks[[#This Row],[_Level]]&lt;=1),0,IFERROR(LOOKUP(2,1/(Tasks[[#Headers],[_Level]]:Tasks[[#This Row],[_Level]]=Tasks[[#This Row],[_Level]]-1),ROW(Tasks[[#Headers],[_Level]]:Tasks[[#This Row],[_Level]])),0))</f>
        <v>0</v>
      </c>
      <c r="BV73" s="32" t="n">
        <f aca="false">IFERROR(N(INDEX(Tasks[_Level],Tasks[[#This Row],[_Row]]+1)),0)</f>
        <v>0</v>
      </c>
      <c r="BW73" s="114" t="b">
        <f aca="false">AND(Tasks[[#This Row],[Task Name]]&lt;&gt;"",Tasks[[#This Row],[_NextLevel]]&gt;Tasks[[#This Row],[_Level]])</f>
        <v>0</v>
      </c>
      <c r="BX73" s="32" t="n">
        <f aca="false">IF(Tasks[[#This Row],[_IsSummary]],COUNTIF(Tasks[WBS],Tasks[[#This Row],[WBS]]&amp;".*"),0)</f>
        <v>0</v>
      </c>
      <c r="BY73" s="32" t="n">
        <f aca="false">IF(AND(Tasks[[#This Row],[Task Name]]&lt;&gt;"",NOT(Tasks[[#This Row],[_IsSummary]])),1,0)</f>
        <v>0</v>
      </c>
      <c r="BZ73" s="32" t="n">
        <f aca="false">IF(N(Tasks[[#This Row],[Pred1 UID]])=0,0,IFERROR(MATCH(Tasks[[#This Row],[Pred1 UID]],Tasks[UID],0),-1))</f>
        <v>0</v>
      </c>
      <c r="CA73" s="32" t="n">
        <f aca="false">IF(N(Tasks[[#This Row],[Pred2 UID]])=0,0,IFERROR(MATCH(Tasks[[#This Row],[Pred2 UID]],Tasks[UID],0),-1))</f>
        <v>0</v>
      </c>
      <c r="CB73" s="32" t="n">
        <f aca="false">IF(N(Tasks[[#This Row],[Pred3 UID]])=0,0,IFERROR(MATCH(Tasks[[#This Row],[Pred3 UID]],Tasks[UID],0),-1))</f>
        <v>0</v>
      </c>
      <c r="CC73" s="32" t="n">
        <f aca="false">IF(N(Tasks[[#This Row],[Pred4 UID]])=0,0,IFERROR(MATCH(Tasks[[#This Row],[Pred4 UID]],Tasks[UID],0),-1))</f>
        <v>0</v>
      </c>
      <c r="CD7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3" s="115" t="n">
        <f aca="false">IF(OR(Tasks[[#This Row],[_ConstraintCode]]=2,Tasks[[#This Row],[_ConstraintCode]]=3,Tasks[[#This Row],[_ConstraintCode]]=4,Tasks[[#This Row],[_ConstraintCode]]=6),Tasks[[#This Row],[_ConstraintStart]],0)</f>
        <v>0</v>
      </c>
      <c r="CG73" s="115" t="n">
        <f aca="false">IF(OR(Tasks[[#This Row],[_ConstraintCode]]=2,Tasks[[#This Row],[_ConstraintCode]]=3,Tasks[[#This Row],[_ConstraintCode]]=5,Tasks[[#This Row],[_ConstraintCode]]=7),Tasks[[#This Row],[_ConstraintStart]],2958465)</f>
        <v>2958465</v>
      </c>
      <c r="CH7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3" s="115" t="str">
        <f aca="false">IF(NOT(Tasks[[#This Row],[_IsLeaf]]=1),"",IF(N(Tasks[[#This Row],[Duration]])&lt;=0,Tasks[[#This Row],[_LeafCalcStart]],WORKDAY.INTL(Tasks[[#This Row],[_LeafCalcStart]],Tasks[[#This Row],[Duration]]-1,WorkWeek,Holidays)))</f>
        <v/>
      </c>
      <c r="CJ7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3" s="32" t="n">
        <f aca="false">IF(NOT(Tasks[[#This Row],[_IsLeaf]]=1),0,IF(N(Tasks[[#This Row],[Actual Finish]])&gt;0,1,MIN(1,N(Tasks[[#This Row],[% Complete]]))))</f>
        <v>0</v>
      </c>
      <c r="CM73" s="32" t="n">
        <f aca="false">IF(OR(NOT(Tasks[[#This Row],[_IsLeaf]]=1),Tasks[[#This Row],[Resource]]=""),0,N(Tasks[[#This Row],[Duration]])*HoursPerDay*IF(Tasks[[#This Row],[Units]]="",DefaultUnits,Tasks[[#This Row],[Units]]))</f>
        <v>0</v>
      </c>
      <c r="CN73" s="32" t="n">
        <f aca="false">IF(Tasks[[#This Row],[_LeafWork]]=0,0,Tasks[[#This Row],[_LeafWork]]*IFERROR(INDEX(res_Rate,MATCH(Tasks[[#This Row],[Resource]],res_Name,0)),0))</f>
        <v>0</v>
      </c>
      <c r="CO73" s="32" t="n">
        <f aca="false">Tasks[[#This Row],[_LeafWork]]+IF(Tasks[[#This Row],[_IsLeaf]]=1,SUMIFS(asg_Work,asg_TaskUID,Tasks[[#This Row],[UID]],asg_Valid,1),0)</f>
        <v>0</v>
      </c>
      <c r="CP73" s="32" t="n">
        <f aca="false">Tasks[[#This Row],[_LeafCost]]+IF(Tasks[[#This Row],[_IsLeaf]]=1,SUMIFS(asg_Cost,asg_TaskUID,Tasks[[#This Row],[UID]],asg_Valid,1),0)</f>
        <v>0</v>
      </c>
      <c r="CQ73" s="32" t="n">
        <f aca="false">IF(Tasks[[#This Row],[_LeafTotalCost]]=0,Tasks[[#This Row],[_LeafAC]],Tasks[[#This Row],[_LeafAC]]*Tasks[[#This Row],[_LeafCost]]/Tasks[[#This Row],[_LeafTotalCost]])</f>
        <v>0</v>
      </c>
      <c r="CR7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3" s="32" t="n">
        <f aca="false">IF(NOT(Tasks[[#This Row],[_IsLeaf]]=1),0,MAX(_xlfn.MAXIFS(Tasks[_Row],Tasks[Pred1 UID],Tasks[[#This Row],[UID]]),_xlfn.MAXIFS(Tasks[_Row],Tasks[Pred2 UID],Tasks[[#This Row],[UID]]),_xlfn.MAXIFS(Tasks[_Row],Tasks[Pred3 UID],Tasks[[#This Row],[UID]]),_xlfn.MAXIFS(Tasks[_Row],Tasks[Pred4 UID],Tasks[[#This Row],[UID]])))</f>
        <v>0</v>
      </c>
      <c r="DA7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3" s="115" t="str">
        <f aca="false">IF(NOT(Tasks[[#This Row],[_IsLeaf]]=1),"",IF(N(Tasks[[#This Row],[Duration]])&lt;=0,Tasks[[#This Row],[_LeafLateFinish]],WORKDAY.INTL(Tasks[[#This Row],[_LeafLateFinish]],-(Tasks[[#This Row],[Duration]]-1),WorkWeek,Holidays)))</f>
        <v/>
      </c>
      <c r="DD7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3" s="114" t="b">
        <f aca="false">AND(Tasks[[#This Row],[_IsLeaf]]=1,Tasks[[#This Row],[_LeafProgress]]&lt;1,N(Tasks[[#This Row],[_LeafTotalSlack]])&lt;=CriticalSlackDays)</f>
        <v>0</v>
      </c>
      <c r="DF73" s="32" t="n">
        <f aca="false">IF(AND(Tasks[[#This Row],[_IsLeaf]]=1,Tasks[[#This Row],[_ConstraintCode]]=1,Tasks[[#This Row],[Mode]]&lt;&gt;"Manual",N(Tasks[[#This Row],[Actual Start]])=0),MAX(0,N(Tasks[[#This Row],[Free Slack]])),0)</f>
        <v>0</v>
      </c>
      <c r="DG73" s="115" t="str">
        <f aca="false">IF(NOT(Tasks[[#This Row],[_IsLeaf]]=1),"",IF(Tasks[[#This Row],[_AlapShift]]=0,Tasks[[#This Row],[_LeafCalcStart]],WORKDAY.INTL(Tasks[[#This Row],[_LeafCalcStart]],Tasks[[#This Row],[_AlapShift]],WorkWeek,Holidays)))</f>
        <v/>
      </c>
      <c r="DH73" s="115" t="str">
        <f aca="false">IF(NOT(Tasks[[#This Row],[_IsLeaf]]=1),"",IF(Tasks[[#This Row],[_AlapShift]]=0,Tasks[[#This Row],[_LeafCalcFinish]],WORKDAY.INTL(Tasks[[#This Row],[_LeafCalcFinish]],Tasks[[#This Row],[_AlapShift]],WorkWeek,Holidays)))</f>
        <v/>
      </c>
      <c r="DI73" s="115" t="str">
        <f aca="false">IF(NOT(Tasks[[#This Row],[_IsLeaf]]=1),"",IF(Tasks[[#This Row],[_AlapShift]]=0,Tasks[[#This Row],[_LeafFcstStart]],WORKDAY.INTL(Tasks[[#This Row],[_LeafFcstStart]],Tasks[[#This Row],[_AlapShift]],WorkWeek,Holidays)))</f>
        <v/>
      </c>
      <c r="DJ73" s="115" t="str">
        <f aca="false">IF(NOT(Tasks[[#This Row],[_IsLeaf]]=1),"",IF(Tasks[[#This Row],[_AlapShift]]=0,Tasks[[#This Row],[_LeafFcstFinish]],WORKDAY.INTL(Tasks[[#This Row],[_LeafFcstFinish]],Tasks[[#This Row],[_AlapShift]],WorkWeek,Holidays)))</f>
        <v/>
      </c>
      <c r="DK73" s="115" t="str">
        <f aca="false">IF(Tasks[[#This Row],[Task Name]]="","",IF(Tasks[[#This Row],[_IsSummary]],MIN(INDEX(Tasks[_ShownCalcStart],Tasks[[#This Row],[_Row]]+1):INDEX(Tasks[_ShownCalcStart],Tasks[[#This Row],[_Row]]+Tasks[[#This Row],[_Descendants]])),Tasks[[#This Row],[_ShownCalcStart]]))</f>
        <v/>
      </c>
      <c r="DL73" s="115" t="str">
        <f aca="false">IF(Tasks[[#This Row],[Task Name]]="","",IF(Tasks[[#This Row],[_IsSummary]],MAX(INDEX(Tasks[_ShownCalcFinish],Tasks[[#This Row],[_Row]]+1):INDEX(Tasks[_ShownCalcFinish],Tasks[[#This Row],[_Row]]+Tasks[[#This Row],[_Descendants]])),Tasks[[#This Row],[_ShownCalcFinish]]))</f>
        <v/>
      </c>
      <c r="DM7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3" s="32" t="n">
        <f aca="false">IF(AND(Tasks[[#This Row],[_IsLeaf]]=1,Tasks[[#This Row],[_LeafTotalWork]]&gt;0),NETWORKDAYS.INTL(ProjectStart,Tasks[[#This Row],[_ShownFcstStart]],WorkWeek,Holidays),0)</f>
        <v>0</v>
      </c>
      <c r="DZ73" s="32" t="n">
        <f aca="false">IF(AND(Tasks[[#This Row],[_IsLeaf]]=1,Tasks[[#This Row],[_LeafTotalWork]]&gt;0),MAX(Tasks[[#This Row],[_StartWorkday]],NETWORKDAYS.INTL(ProjectStart,Tasks[[#This Row],[_ShownFcstFinish]],WorkWeek,Holidays)),0)</f>
        <v>0</v>
      </c>
      <c r="EA73" s="32" t="n">
        <f aca="false">IF(AND(Tasks[[#This Row],[_IsLeaf]]=1,Tasks[[#This Row],[_LeafTotalWork]]&gt;0),Tasks[[#This Row],[_LeafWork]]/(Tasks[[#This Row],[_FinishWorkday]]-Tasks[[#This Row],[_StartWorkday]]+1),0)</f>
        <v>0</v>
      </c>
      <c r="EB73" s="32" t="n">
        <f aca="false">Tasks[[#This Row],[_WorkPerWorkday]]*(Tasks[[#This Row],[_StartWorkday]]-1)</f>
        <v>-0</v>
      </c>
      <c r="EC73" s="32" t="n">
        <f aca="false">IF(Tasks[[#This Row],[_IsLeaf]]=1,MAX(N(Tasks[[#This Row],[Duration]]),0.1),0)</f>
        <v>0</v>
      </c>
      <c r="ED73" s="32" t="n">
        <f aca="false">Tasks[[#This Row],[_WeightDur]]*Tasks[[#This Row],[_LeafProgress]]</f>
        <v>0</v>
      </c>
      <c r="EE7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3" s="32" t="str">
        <f aca="false">IF(AND(Tasks[[#This Row],[_IsLeaf]]=1,N(Tasks[[#This Row],[Duration]])=0,Tasks[[#This Row],[_LeafProgress]]&lt;1),Tasks[[#This Row],[_ShownFcstFinish]]+Tasks[[#This Row],[_Row]]/100000,"")</f>
        <v/>
      </c>
      <c r="EG7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3" s="32" t="n">
        <f aca="false">IF(NOT(Tasks[[#This Row],[_IsLeaf]]=1),0,IF(Tasks[[#This Row],[Baseline Cost]]="",Tasks[[#This Row],[_LeafTotalCost]],N(Tasks[[#This Row],[Baseline Cost]])))</f>
        <v>0</v>
      </c>
      <c r="EI73" s="32" t="n">
        <f aca="false">Tasks[[#This Row],[_LeafBudget]]*Tasks[[#This Row],[_PlannedPct]]</f>
        <v>0</v>
      </c>
      <c r="EJ73" s="32" t="n">
        <f aca="false">Tasks[[#This Row],[_LeafBudget]]*Tasks[[#This Row],[_LeafProgress]]</f>
        <v>0</v>
      </c>
      <c r="EK73" s="32" t="n">
        <f aca="false">IF(NOT(Tasks[[#This Row],[_IsLeaf]]=1),0,IF(Tasks[[#This Row],[Actual Cost]]="",Tasks[[#This Row],[_LeafTotalCost]]*Tasks[[#This Row],[_LeafProgress]],N(Tasks[[#This Row],[Actual Cost]])))</f>
        <v>0</v>
      </c>
      <c r="EL73" s="32" t="str">
        <f aca="false">IF(Tasks[[#This Row],[Task Name]]="","",LEFT(Tasks[[#This Row],[WBS]],FIND(".",Tasks[[#This Row],[WBS]]&amp;".")-1))</f>
        <v/>
      </c>
      <c r="EM73" s="32" t="str">
        <f aca="false">IF(AND(Tasks[[#This Row],[Task Name]]&lt;&gt;"",Tasks[[#This Row],[_Level]]=1),Tasks[[#This Row],[_Row]],"")</f>
        <v/>
      </c>
      <c r="EN73" s="32" t="str">
        <f aca="false">IF(AND(Tasks[[#This Row],[_IsLeaf]]=1,N(Tasks[[#This Row],[Duration]])=0),Tasks[[#This Row],[Planned Finish]]+Tasks[[#This Row],[_Row]]/100000,"")</f>
        <v/>
      </c>
      <c r="EO73" s="32" t="str">
        <f aca="false">IF(AND(Tasks[[#This Row],[_IsLeaf]]=1,Tasks[[#This Row],[_LeafProgress]]&lt;1,OR(N(Tasks[[#This Row],[Finish Var]])&gt;0,Tasks[[#This Row],[Status]]="Late Start")),MAX(0,Tasks[[#This Row],[Finish Var]])+1-Tasks[[#This Row],[_Row]]/1000000,"")</f>
        <v/>
      </c>
      <c r="EP73" s="32" t="str">
        <f aca="false">IF(AND(Tasks[[#This Row],[_IsLeaf]]=1,N(Tasks[[#This Row],[Actual Start]])=0,Tasks[[#This Row],[_ShownFcstStart]]&gt;=StatusDate,Tasks[[#This Row],[_ShownFcstStart]]&lt;=LookaheadEnd),Tasks[[#This Row],[_ShownFcstStart]]+Tasks[[#This Row],[_Row]]/100000,"")</f>
        <v/>
      </c>
      <c r="EQ73" s="32" t="str">
        <f aca="false">IF(AND(Tasks[[#This Row],[_IsLeaf]]=1,Tasks[[#This Row],[_LeafProgress]]&lt;1,Tasks[[#This Row],[_ShownFcstFinish]]&gt;=StatusDate,Tasks[[#This Row],[_ShownFcstFinish]]&lt;=LookaheadEnd),Tasks[[#This Row],[_ShownFcstFinish]]+Tasks[[#This Row],[_Row]]/100000,"")</f>
        <v/>
      </c>
      <c r="ER73" s="32" t="str">
        <f aca="false">IF(Tasks[[#This Row],[_LeafCritical]],Tasks[[#This Row],[_ShownFcstStart]]+Tasks[[#This Row],[_Row]]/100000,"")</f>
        <v/>
      </c>
      <c r="ES73" s="32" t="n">
        <f aca="false">Tasks[[#This Row],[_LeafWork]]*Tasks[[#This Row],[_LeafProgress]]</f>
        <v>0</v>
      </c>
      <c r="ET73" s="115" t="str">
        <f aca="false">IF(AND(Tasks[[#This Row],[_IsLeaf]]=1,Tasks[[#This Row],[_LeafProgress]]&gt;=1),IF(N(Tasks[[#This Row],[Actual Finish]])&gt;0,Tasks[[#This Row],[Actual Finish]],Tasks[[#This Row],[_ShownFcstFinish]]),"")</f>
        <v/>
      </c>
      <c r="EU73" s="32" t="n">
        <f aca="false">IF(Tasks[[#This Row],[_IsLeaf]]=1,N(Tasks[[#This Row],[Story Points]]),0)</f>
        <v>0</v>
      </c>
      <c r="EV73" s="32" t="str">
        <f aca="false">IF(AND(Tasks[[#This Row],[_IsLeaf]]=1,CurrentSprint&lt;&gt;"",Tasks[[#This Row],[Sprint]]=CurrentSprint),Tasks[[#This Row],[_Row]],"")</f>
        <v/>
      </c>
    </row>
    <row r="74" customFormat="false" ht="15" hidden="false" customHeight="false" outlineLevel="0" collapsed="false">
      <c r="A74" s="45" t="str">
        <f aca="false">IF(Tasks[[#This Row],[Task Name]]="","",COUNTA(Tasks[[#Headers],[Task Name]]:Tasks[[#This Row],[Task Name]])-1)</f>
        <v/>
      </c>
      <c r="B74" s="46" t="n">
        <v>69</v>
      </c>
      <c r="C7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4" s="46"/>
      <c r="E74" s="45" t="str">
        <f aca="false">IF(Tasks[[#This Row],[Task Name]]="","",IF(Tasks[[#This Row],[_Level]]&lt;=OutlineShowLevel,"Yes","No"))</f>
        <v/>
      </c>
      <c r="F74" s="47"/>
      <c r="G74" s="46"/>
      <c r="H74" s="46"/>
      <c r="I74" s="46"/>
      <c r="J74" s="46"/>
      <c r="K74" s="46"/>
      <c r="L74" s="46"/>
      <c r="M74" s="46"/>
      <c r="N74" s="46"/>
      <c r="O74" s="46"/>
      <c r="P74" s="46"/>
      <c r="Q74" s="46"/>
      <c r="R74" s="46"/>
      <c r="S74" s="46"/>
      <c r="T74" s="46"/>
      <c r="U74" s="47"/>
      <c r="V74" s="88"/>
      <c r="W74" s="88"/>
      <c r="X74" s="25" t="str">
        <f aca="false">IF(Tasks[[#This Row],[Task Name]]="","",IF(N(Tasks[[#This Row],[Baseline Start]])&gt;0,Tasks[[#This Row],[Baseline Start]],Tasks[[#This Row],[_CalcStart]]))</f>
        <v/>
      </c>
      <c r="Y74" s="25" t="str">
        <f aca="false">IF(Tasks[[#This Row],[Task Name]]="","",IF(N(Tasks[[#This Row],[Baseline Finish]])&gt;0,Tasks[[#This Row],[Baseline Finish]],Tasks[[#This Row],[_CalcFinish]]))</f>
        <v/>
      </c>
      <c r="Z74" s="88"/>
      <c r="AA74" s="88"/>
      <c r="AB74" s="25" t="str">
        <f aca="false">IF(Tasks[[#This Row],[Task Name]]="","",IF(Tasks[[#This Row],[_IsSummary]],MIN(INDEX(Tasks[_ShownFcstStart],Tasks[[#This Row],[_Row]]+1):INDEX(Tasks[_ShownFcstStart],Tasks[[#This Row],[_Row]]+Tasks[[#This Row],[_Descendants]])),Tasks[[#This Row],[_ShownFcstStart]]))</f>
        <v/>
      </c>
      <c r="AC74" s="25" t="str">
        <f aca="false">IF(Tasks[[#This Row],[Task Name]]="","",IF(Tasks[[#This Row],[_IsSummary]],MAX(INDEX(Tasks[_ShownFcstFinish],Tasks[[#This Row],[_Row]]+1):INDEX(Tasks[_ShownFcstFinish],Tasks[[#This Row],[_Row]]+Tasks[[#This Row],[_Descendants]])),Tasks[[#This Row],[_ShownFcstFinish]]))</f>
        <v/>
      </c>
      <c r="AD7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4" s="25" t="str">
        <f aca="false">IF(Tasks[[#This Row],[Task Name]]="","",IF(Tasks[[#This Row],[_IsSummary]],MIN(INDEX(Tasks[_LeafLateStart],Tasks[[#This Row],[_Row]]+1):INDEX(Tasks[_LeafLateStart],Tasks[[#This Row],[_Row]]+Tasks[[#This Row],[_Descendants]])),Tasks[[#This Row],[_LeafLateStart]]))</f>
        <v/>
      </c>
      <c r="AG74" s="25" t="str">
        <f aca="false">IF(Tasks[[#This Row],[Task Name]]="","",IF(Tasks[[#This Row],[_IsSummary]],MAX(INDEX(Tasks[_LeafLateFinish],Tasks[[#This Row],[_Row]]+1):INDEX(Tasks[_LeafLateFinish],Tasks[[#This Row],[_Row]]+Tasks[[#This Row],[_Descendants]])),Tasks[[#This Row],[_LeafLateFinish]]))</f>
        <v/>
      </c>
      <c r="AH74" s="56" t="str">
        <f aca="false">IF(Tasks[[#This Row],[Task Name]]="","",IF(Tasks[[#This Row],[_IsSummary]],MIN(INDEX(Tasks[_LeafTotalSlack],Tasks[[#This Row],[_Row]]+1):INDEX(Tasks[_LeafTotalSlack],Tasks[[#This Row],[_Row]]+Tasks[[#This Row],[_Descendants]])),Tasks[[#This Row],[_LeafTotalSlack]]))</f>
        <v/>
      </c>
      <c r="AI7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4" s="45" t="str">
        <f aca="false">IF(Tasks[[#This Row],[Task Name]]="","",IF(IF(Tasks[[#This Row],[_IsSummary]],COUNTIF(INDEX(Tasks[_LeafCritical],Tasks[[#This Row],[_Row]]+1):INDEX(Tasks[_LeafCritical],Tasks[[#This Row],[_Row]]+Tasks[[#This Row],[_Descendants]]),TRUE())&gt;0,Tasks[[#This Row],[_LeafCritical]]),"Yes",""))</f>
        <v/>
      </c>
      <c r="AK7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4" s="102"/>
      <c r="AN7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4" s="45" t="str">
        <f aca="false">IF(Tasks[[#This Row],[Task Name]]="","",IF(Tasks[[#This Row],[Progress]]&gt;=1,"Complete",IF(OR(N(Tasks[[#This Row],[Actual Start]])&gt;0,Tasks[[#This Row],[Progress]]&gt;0),IF(Tasks[[#This Row],[Finish Var]]&gt;0,"Behind","In Progress"),IF(Tasks[[#This Row],[Planned Start]]&lt;StatusDate,"Late Start","Not Started"))))</f>
        <v/>
      </c>
      <c r="AP74" s="47"/>
      <c r="AQ74" s="102"/>
      <c r="AR7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4" s="110" t="str">
        <f aca="false">IF(Tasks[[#This Row],[Task Name]]="","",IF(Tasks[[#This Row],[_IsSummary]],SUM(INDEX(Tasks[_LeafTotalWork],Tasks[[#This Row],[_Row]]+1):INDEX(Tasks[_LeafTotalWork],Tasks[[#This Row],[_Row]]+Tasks[[#This Row],[_Descendants]])),Tasks[[#This Row],[_LeafTotalWork]]))</f>
        <v/>
      </c>
      <c r="AU74" s="111" t="str">
        <f aca="false">IF(Tasks[[#This Row],[Task Name]]="","",IF(Tasks[[#This Row],[_IsSummary]],SUM(INDEX(Tasks[_LeafTotalCost],Tasks[[#This Row],[_Row]]+1):INDEX(Tasks[_LeafTotalCost],Tasks[[#This Row],[_Row]]+Tasks[[#This Row],[_Descendants]])),Tasks[[#This Row],[_LeafTotalCost]]))</f>
        <v/>
      </c>
      <c r="AV74" s="112"/>
      <c r="AW74" s="46"/>
      <c r="AX7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4" s="96"/>
      <c r="AZ7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4" s="47"/>
      <c r="BB74" s="25" t="str">
        <f aca="false">IF(Tasks[[#This Row],[Task Name]]="","",Tasks[[#This Row],[Forecast Start]])</f>
        <v/>
      </c>
      <c r="BC74" s="25" t="str">
        <f aca="false">IF(Tasks[[#This Row],[Task Name]]="","",Tasks[[#This Row],[Forecast Finish]])</f>
        <v/>
      </c>
      <c r="BD74" s="45" t="str">
        <f aca="false">IF(Tasks[[#This Row],[Task Name]]="","",IF(Tasks[[#This Row],[_IsSummary]],NETWORKDAYS.INTL(Tasks[[#This Row],[Forecast Start]],Tasks[[#This Row],[Forecast Finish]],WorkWeek,Holidays),N(Tasks[[#This Row],[Duration]])))</f>
        <v/>
      </c>
      <c r="BE74" s="110" t="str">
        <f aca="false">IF(Tasks[[#This Row],[Task Name]]="","",Tasks[[#This Row],[Work]])</f>
        <v/>
      </c>
      <c r="BF74" s="111" t="str">
        <f aca="false">IF(Tasks[[#This Row],[Task Name]]="","",Tasks[[#This Row],[Cost]])</f>
        <v/>
      </c>
      <c r="BG74" s="88"/>
      <c r="BH74" s="88"/>
      <c r="BI74" s="46"/>
      <c r="BJ74" s="113"/>
      <c r="BK74" s="112"/>
      <c r="BL74" s="45" t="str">
        <f aca="false">IF(OR(Tasks[[#This Row],[Task Name]]="",Tasks[[#This Row],[Baseline Duration]]=""),"",Tasks[[#This Row],[BL Source Duration]]-N(Tasks[[#This Row],[Baseline Duration]]))</f>
        <v/>
      </c>
      <c r="BM74" s="110" t="str">
        <f aca="false">IF(OR(Tasks[[#This Row],[Task Name]]="",Tasks[[#This Row],[Baseline Work]]=""),"",Tasks[[#This Row],[Work]]-N(Tasks[[#This Row],[Baseline Work]]))</f>
        <v/>
      </c>
      <c r="BN74" s="111" t="str">
        <f aca="false">IF(OR(Tasks[[#This Row],[Task Name]]="",Tasks[[#This Row],[Baseline Cost]]=""),"",Tasks[[#This Row],[Cost]]-N(Tasks[[#This Row],[Baseline Cost]]))</f>
        <v/>
      </c>
      <c r="BO74" s="111" t="str">
        <f aca="false">IF(Tasks[[#This Row],[Task Name]]="","",IF(Tasks[[#This Row],[_IsSummary]],SUM(INDEX(Tasks[_LeafBudget],Tasks[[#This Row],[_Row]]+1):INDEX(Tasks[_LeafBudget],Tasks[[#This Row],[_Row]]+Tasks[[#This Row],[_Descendants]])),Tasks[[#This Row],[_LeafBudget]]))</f>
        <v/>
      </c>
      <c r="BP74" s="111" t="str">
        <f aca="false">IF(Tasks[[#This Row],[Task Name]]="","",IF(Tasks[[#This Row],[_IsSummary]],SUM(INDEX(Tasks[_LeafPV],Tasks[[#This Row],[_Row]]+1):INDEX(Tasks[_LeafPV],Tasks[[#This Row],[_Row]]+Tasks[[#This Row],[_Descendants]])),Tasks[[#This Row],[_LeafPV]]))</f>
        <v/>
      </c>
      <c r="BQ74" s="111" t="str">
        <f aca="false">IF(Tasks[[#This Row],[Task Name]]="","",IF(Tasks[[#This Row],[_IsSummary]],SUM(INDEX(Tasks[_LeafEV],Tasks[[#This Row],[_Row]]+1):INDEX(Tasks[_LeafEV],Tasks[[#This Row],[_Row]]+Tasks[[#This Row],[_Descendants]])),Tasks[[#This Row],[_LeafEV]]))</f>
        <v/>
      </c>
      <c r="BR74" s="111" t="str">
        <f aca="false">IF(Tasks[[#This Row],[Task Name]]="","",IF(Tasks[[#This Row],[_IsSummary]],SUM(INDEX(Tasks[_LeafAC],Tasks[[#This Row],[_Row]]+1):INDEX(Tasks[_LeafAC],Tasks[[#This Row],[_Row]]+Tasks[[#This Row],[_Descendants]])),Tasks[[#This Row],[_LeafAC]]))</f>
        <v/>
      </c>
      <c r="BS74" s="32" t="str">
        <f aca="false">IF(Tasks[[#This Row],[Task Name]]="","",MAX(1,N(Tasks[[#This Row],[Level]])))</f>
        <v/>
      </c>
      <c r="BT74" s="32" t="n">
        <f aca="false">ROW()-ROW(Tasks[[#Headers],[ID]])</f>
        <v>69</v>
      </c>
      <c r="BU74" s="32" t="n">
        <f aca="false">IF(OR(Tasks[[#This Row],[Task Name]]="",Tasks[[#This Row],[_Level]]&lt;=1),0,IFERROR(LOOKUP(2,1/(Tasks[[#Headers],[_Level]]:Tasks[[#This Row],[_Level]]=Tasks[[#This Row],[_Level]]-1),ROW(Tasks[[#Headers],[_Level]]:Tasks[[#This Row],[_Level]])),0))</f>
        <v>0</v>
      </c>
      <c r="BV74" s="32" t="n">
        <f aca="false">IFERROR(N(INDEX(Tasks[_Level],Tasks[[#This Row],[_Row]]+1)),0)</f>
        <v>0</v>
      </c>
      <c r="BW74" s="114" t="b">
        <f aca="false">AND(Tasks[[#This Row],[Task Name]]&lt;&gt;"",Tasks[[#This Row],[_NextLevel]]&gt;Tasks[[#This Row],[_Level]])</f>
        <v>0</v>
      </c>
      <c r="BX74" s="32" t="n">
        <f aca="false">IF(Tasks[[#This Row],[_IsSummary]],COUNTIF(Tasks[WBS],Tasks[[#This Row],[WBS]]&amp;".*"),0)</f>
        <v>0</v>
      </c>
      <c r="BY74" s="32" t="n">
        <f aca="false">IF(AND(Tasks[[#This Row],[Task Name]]&lt;&gt;"",NOT(Tasks[[#This Row],[_IsSummary]])),1,0)</f>
        <v>0</v>
      </c>
      <c r="BZ74" s="32" t="n">
        <f aca="false">IF(N(Tasks[[#This Row],[Pred1 UID]])=0,0,IFERROR(MATCH(Tasks[[#This Row],[Pred1 UID]],Tasks[UID],0),-1))</f>
        <v>0</v>
      </c>
      <c r="CA74" s="32" t="n">
        <f aca="false">IF(N(Tasks[[#This Row],[Pred2 UID]])=0,0,IFERROR(MATCH(Tasks[[#This Row],[Pred2 UID]],Tasks[UID],0),-1))</f>
        <v>0</v>
      </c>
      <c r="CB74" s="32" t="n">
        <f aca="false">IF(N(Tasks[[#This Row],[Pred3 UID]])=0,0,IFERROR(MATCH(Tasks[[#This Row],[Pred3 UID]],Tasks[UID],0),-1))</f>
        <v>0</v>
      </c>
      <c r="CC74" s="32" t="n">
        <f aca="false">IF(N(Tasks[[#This Row],[Pred4 UID]])=0,0,IFERROR(MATCH(Tasks[[#This Row],[Pred4 UID]],Tasks[UID],0),-1))</f>
        <v>0</v>
      </c>
      <c r="CD7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4" s="115" t="n">
        <f aca="false">IF(OR(Tasks[[#This Row],[_ConstraintCode]]=2,Tasks[[#This Row],[_ConstraintCode]]=3,Tasks[[#This Row],[_ConstraintCode]]=4,Tasks[[#This Row],[_ConstraintCode]]=6),Tasks[[#This Row],[_ConstraintStart]],0)</f>
        <v>0</v>
      </c>
      <c r="CG74" s="115" t="n">
        <f aca="false">IF(OR(Tasks[[#This Row],[_ConstraintCode]]=2,Tasks[[#This Row],[_ConstraintCode]]=3,Tasks[[#This Row],[_ConstraintCode]]=5,Tasks[[#This Row],[_ConstraintCode]]=7),Tasks[[#This Row],[_ConstraintStart]],2958465)</f>
        <v>2958465</v>
      </c>
      <c r="CH7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4" s="115" t="str">
        <f aca="false">IF(NOT(Tasks[[#This Row],[_IsLeaf]]=1),"",IF(N(Tasks[[#This Row],[Duration]])&lt;=0,Tasks[[#This Row],[_LeafCalcStart]],WORKDAY.INTL(Tasks[[#This Row],[_LeafCalcStart]],Tasks[[#This Row],[Duration]]-1,WorkWeek,Holidays)))</f>
        <v/>
      </c>
      <c r="CJ7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4" s="32" t="n">
        <f aca="false">IF(NOT(Tasks[[#This Row],[_IsLeaf]]=1),0,IF(N(Tasks[[#This Row],[Actual Finish]])&gt;0,1,MIN(1,N(Tasks[[#This Row],[% Complete]]))))</f>
        <v>0</v>
      </c>
      <c r="CM74" s="32" t="n">
        <f aca="false">IF(OR(NOT(Tasks[[#This Row],[_IsLeaf]]=1),Tasks[[#This Row],[Resource]]=""),0,N(Tasks[[#This Row],[Duration]])*HoursPerDay*IF(Tasks[[#This Row],[Units]]="",DefaultUnits,Tasks[[#This Row],[Units]]))</f>
        <v>0</v>
      </c>
      <c r="CN74" s="32" t="n">
        <f aca="false">IF(Tasks[[#This Row],[_LeafWork]]=0,0,Tasks[[#This Row],[_LeafWork]]*IFERROR(INDEX(res_Rate,MATCH(Tasks[[#This Row],[Resource]],res_Name,0)),0))</f>
        <v>0</v>
      </c>
      <c r="CO74" s="32" t="n">
        <f aca="false">Tasks[[#This Row],[_LeafWork]]+IF(Tasks[[#This Row],[_IsLeaf]]=1,SUMIFS(asg_Work,asg_TaskUID,Tasks[[#This Row],[UID]],asg_Valid,1),0)</f>
        <v>0</v>
      </c>
      <c r="CP74" s="32" t="n">
        <f aca="false">Tasks[[#This Row],[_LeafCost]]+IF(Tasks[[#This Row],[_IsLeaf]]=1,SUMIFS(asg_Cost,asg_TaskUID,Tasks[[#This Row],[UID]],asg_Valid,1),0)</f>
        <v>0</v>
      </c>
      <c r="CQ74" s="32" t="n">
        <f aca="false">IF(Tasks[[#This Row],[_LeafTotalCost]]=0,Tasks[[#This Row],[_LeafAC]],Tasks[[#This Row],[_LeafAC]]*Tasks[[#This Row],[_LeafCost]]/Tasks[[#This Row],[_LeafTotalCost]])</f>
        <v>0</v>
      </c>
      <c r="CR7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4" s="32" t="n">
        <f aca="false">IF(NOT(Tasks[[#This Row],[_IsLeaf]]=1),0,MAX(_xlfn.MAXIFS(Tasks[_Row],Tasks[Pred1 UID],Tasks[[#This Row],[UID]]),_xlfn.MAXIFS(Tasks[_Row],Tasks[Pred2 UID],Tasks[[#This Row],[UID]]),_xlfn.MAXIFS(Tasks[_Row],Tasks[Pred3 UID],Tasks[[#This Row],[UID]]),_xlfn.MAXIFS(Tasks[_Row],Tasks[Pred4 UID],Tasks[[#This Row],[UID]])))</f>
        <v>0</v>
      </c>
      <c r="DA7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4" s="115" t="str">
        <f aca="false">IF(NOT(Tasks[[#This Row],[_IsLeaf]]=1),"",IF(N(Tasks[[#This Row],[Duration]])&lt;=0,Tasks[[#This Row],[_LeafLateFinish]],WORKDAY.INTL(Tasks[[#This Row],[_LeafLateFinish]],-(Tasks[[#This Row],[Duration]]-1),WorkWeek,Holidays)))</f>
        <v/>
      </c>
      <c r="DD7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4" s="114" t="b">
        <f aca="false">AND(Tasks[[#This Row],[_IsLeaf]]=1,Tasks[[#This Row],[_LeafProgress]]&lt;1,N(Tasks[[#This Row],[_LeafTotalSlack]])&lt;=CriticalSlackDays)</f>
        <v>0</v>
      </c>
      <c r="DF74" s="32" t="n">
        <f aca="false">IF(AND(Tasks[[#This Row],[_IsLeaf]]=1,Tasks[[#This Row],[_ConstraintCode]]=1,Tasks[[#This Row],[Mode]]&lt;&gt;"Manual",N(Tasks[[#This Row],[Actual Start]])=0),MAX(0,N(Tasks[[#This Row],[Free Slack]])),0)</f>
        <v>0</v>
      </c>
      <c r="DG74" s="115" t="str">
        <f aca="false">IF(NOT(Tasks[[#This Row],[_IsLeaf]]=1),"",IF(Tasks[[#This Row],[_AlapShift]]=0,Tasks[[#This Row],[_LeafCalcStart]],WORKDAY.INTL(Tasks[[#This Row],[_LeafCalcStart]],Tasks[[#This Row],[_AlapShift]],WorkWeek,Holidays)))</f>
        <v/>
      </c>
      <c r="DH74" s="115" t="str">
        <f aca="false">IF(NOT(Tasks[[#This Row],[_IsLeaf]]=1),"",IF(Tasks[[#This Row],[_AlapShift]]=0,Tasks[[#This Row],[_LeafCalcFinish]],WORKDAY.INTL(Tasks[[#This Row],[_LeafCalcFinish]],Tasks[[#This Row],[_AlapShift]],WorkWeek,Holidays)))</f>
        <v/>
      </c>
      <c r="DI74" s="115" t="str">
        <f aca="false">IF(NOT(Tasks[[#This Row],[_IsLeaf]]=1),"",IF(Tasks[[#This Row],[_AlapShift]]=0,Tasks[[#This Row],[_LeafFcstStart]],WORKDAY.INTL(Tasks[[#This Row],[_LeafFcstStart]],Tasks[[#This Row],[_AlapShift]],WorkWeek,Holidays)))</f>
        <v/>
      </c>
      <c r="DJ74" s="115" t="str">
        <f aca="false">IF(NOT(Tasks[[#This Row],[_IsLeaf]]=1),"",IF(Tasks[[#This Row],[_AlapShift]]=0,Tasks[[#This Row],[_LeafFcstFinish]],WORKDAY.INTL(Tasks[[#This Row],[_LeafFcstFinish]],Tasks[[#This Row],[_AlapShift]],WorkWeek,Holidays)))</f>
        <v/>
      </c>
      <c r="DK74" s="115" t="str">
        <f aca="false">IF(Tasks[[#This Row],[Task Name]]="","",IF(Tasks[[#This Row],[_IsSummary]],MIN(INDEX(Tasks[_ShownCalcStart],Tasks[[#This Row],[_Row]]+1):INDEX(Tasks[_ShownCalcStart],Tasks[[#This Row],[_Row]]+Tasks[[#This Row],[_Descendants]])),Tasks[[#This Row],[_ShownCalcStart]]))</f>
        <v/>
      </c>
      <c r="DL74" s="115" t="str">
        <f aca="false">IF(Tasks[[#This Row],[Task Name]]="","",IF(Tasks[[#This Row],[_IsSummary]],MAX(INDEX(Tasks[_ShownCalcFinish],Tasks[[#This Row],[_Row]]+1):INDEX(Tasks[_ShownCalcFinish],Tasks[[#This Row],[_Row]]+Tasks[[#This Row],[_Descendants]])),Tasks[[#This Row],[_ShownCalcFinish]]))</f>
        <v/>
      </c>
      <c r="DM7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4" s="32" t="n">
        <f aca="false">IF(AND(Tasks[[#This Row],[_IsLeaf]]=1,Tasks[[#This Row],[_LeafTotalWork]]&gt;0),NETWORKDAYS.INTL(ProjectStart,Tasks[[#This Row],[_ShownFcstStart]],WorkWeek,Holidays),0)</f>
        <v>0</v>
      </c>
      <c r="DZ74" s="32" t="n">
        <f aca="false">IF(AND(Tasks[[#This Row],[_IsLeaf]]=1,Tasks[[#This Row],[_LeafTotalWork]]&gt;0),MAX(Tasks[[#This Row],[_StartWorkday]],NETWORKDAYS.INTL(ProjectStart,Tasks[[#This Row],[_ShownFcstFinish]],WorkWeek,Holidays)),0)</f>
        <v>0</v>
      </c>
      <c r="EA74" s="32" t="n">
        <f aca="false">IF(AND(Tasks[[#This Row],[_IsLeaf]]=1,Tasks[[#This Row],[_LeafTotalWork]]&gt;0),Tasks[[#This Row],[_LeafWork]]/(Tasks[[#This Row],[_FinishWorkday]]-Tasks[[#This Row],[_StartWorkday]]+1),0)</f>
        <v>0</v>
      </c>
      <c r="EB74" s="32" t="n">
        <f aca="false">Tasks[[#This Row],[_WorkPerWorkday]]*(Tasks[[#This Row],[_StartWorkday]]-1)</f>
        <v>-0</v>
      </c>
      <c r="EC74" s="32" t="n">
        <f aca="false">IF(Tasks[[#This Row],[_IsLeaf]]=1,MAX(N(Tasks[[#This Row],[Duration]]),0.1),0)</f>
        <v>0</v>
      </c>
      <c r="ED74" s="32" t="n">
        <f aca="false">Tasks[[#This Row],[_WeightDur]]*Tasks[[#This Row],[_LeafProgress]]</f>
        <v>0</v>
      </c>
      <c r="EE7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4" s="32" t="str">
        <f aca="false">IF(AND(Tasks[[#This Row],[_IsLeaf]]=1,N(Tasks[[#This Row],[Duration]])=0,Tasks[[#This Row],[_LeafProgress]]&lt;1),Tasks[[#This Row],[_ShownFcstFinish]]+Tasks[[#This Row],[_Row]]/100000,"")</f>
        <v/>
      </c>
      <c r="EG7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4" s="32" t="n">
        <f aca="false">IF(NOT(Tasks[[#This Row],[_IsLeaf]]=1),0,IF(Tasks[[#This Row],[Baseline Cost]]="",Tasks[[#This Row],[_LeafTotalCost]],N(Tasks[[#This Row],[Baseline Cost]])))</f>
        <v>0</v>
      </c>
      <c r="EI74" s="32" t="n">
        <f aca="false">Tasks[[#This Row],[_LeafBudget]]*Tasks[[#This Row],[_PlannedPct]]</f>
        <v>0</v>
      </c>
      <c r="EJ74" s="32" t="n">
        <f aca="false">Tasks[[#This Row],[_LeafBudget]]*Tasks[[#This Row],[_LeafProgress]]</f>
        <v>0</v>
      </c>
      <c r="EK74" s="32" t="n">
        <f aca="false">IF(NOT(Tasks[[#This Row],[_IsLeaf]]=1),0,IF(Tasks[[#This Row],[Actual Cost]]="",Tasks[[#This Row],[_LeafTotalCost]]*Tasks[[#This Row],[_LeafProgress]],N(Tasks[[#This Row],[Actual Cost]])))</f>
        <v>0</v>
      </c>
      <c r="EL74" s="32" t="str">
        <f aca="false">IF(Tasks[[#This Row],[Task Name]]="","",LEFT(Tasks[[#This Row],[WBS]],FIND(".",Tasks[[#This Row],[WBS]]&amp;".")-1))</f>
        <v/>
      </c>
      <c r="EM74" s="32" t="str">
        <f aca="false">IF(AND(Tasks[[#This Row],[Task Name]]&lt;&gt;"",Tasks[[#This Row],[_Level]]=1),Tasks[[#This Row],[_Row]],"")</f>
        <v/>
      </c>
      <c r="EN74" s="32" t="str">
        <f aca="false">IF(AND(Tasks[[#This Row],[_IsLeaf]]=1,N(Tasks[[#This Row],[Duration]])=0),Tasks[[#This Row],[Planned Finish]]+Tasks[[#This Row],[_Row]]/100000,"")</f>
        <v/>
      </c>
      <c r="EO74" s="32" t="str">
        <f aca="false">IF(AND(Tasks[[#This Row],[_IsLeaf]]=1,Tasks[[#This Row],[_LeafProgress]]&lt;1,OR(N(Tasks[[#This Row],[Finish Var]])&gt;0,Tasks[[#This Row],[Status]]="Late Start")),MAX(0,Tasks[[#This Row],[Finish Var]])+1-Tasks[[#This Row],[_Row]]/1000000,"")</f>
        <v/>
      </c>
      <c r="EP74" s="32" t="str">
        <f aca="false">IF(AND(Tasks[[#This Row],[_IsLeaf]]=1,N(Tasks[[#This Row],[Actual Start]])=0,Tasks[[#This Row],[_ShownFcstStart]]&gt;=StatusDate,Tasks[[#This Row],[_ShownFcstStart]]&lt;=LookaheadEnd),Tasks[[#This Row],[_ShownFcstStart]]+Tasks[[#This Row],[_Row]]/100000,"")</f>
        <v/>
      </c>
      <c r="EQ74" s="32" t="str">
        <f aca="false">IF(AND(Tasks[[#This Row],[_IsLeaf]]=1,Tasks[[#This Row],[_LeafProgress]]&lt;1,Tasks[[#This Row],[_ShownFcstFinish]]&gt;=StatusDate,Tasks[[#This Row],[_ShownFcstFinish]]&lt;=LookaheadEnd),Tasks[[#This Row],[_ShownFcstFinish]]+Tasks[[#This Row],[_Row]]/100000,"")</f>
        <v/>
      </c>
      <c r="ER74" s="32" t="str">
        <f aca="false">IF(Tasks[[#This Row],[_LeafCritical]],Tasks[[#This Row],[_ShownFcstStart]]+Tasks[[#This Row],[_Row]]/100000,"")</f>
        <v/>
      </c>
      <c r="ES74" s="32" t="n">
        <f aca="false">Tasks[[#This Row],[_LeafWork]]*Tasks[[#This Row],[_LeafProgress]]</f>
        <v>0</v>
      </c>
      <c r="ET74" s="115" t="str">
        <f aca="false">IF(AND(Tasks[[#This Row],[_IsLeaf]]=1,Tasks[[#This Row],[_LeafProgress]]&gt;=1),IF(N(Tasks[[#This Row],[Actual Finish]])&gt;0,Tasks[[#This Row],[Actual Finish]],Tasks[[#This Row],[_ShownFcstFinish]]),"")</f>
        <v/>
      </c>
      <c r="EU74" s="32" t="n">
        <f aca="false">IF(Tasks[[#This Row],[_IsLeaf]]=1,N(Tasks[[#This Row],[Story Points]]),0)</f>
        <v>0</v>
      </c>
      <c r="EV74" s="32" t="str">
        <f aca="false">IF(AND(Tasks[[#This Row],[_IsLeaf]]=1,CurrentSprint&lt;&gt;"",Tasks[[#This Row],[Sprint]]=CurrentSprint),Tasks[[#This Row],[_Row]],"")</f>
        <v/>
      </c>
    </row>
    <row r="75" customFormat="false" ht="15" hidden="false" customHeight="false" outlineLevel="0" collapsed="false">
      <c r="A75" s="45" t="str">
        <f aca="false">IF(Tasks[[#This Row],[Task Name]]="","",COUNTA(Tasks[[#Headers],[Task Name]]:Tasks[[#This Row],[Task Name]])-1)</f>
        <v/>
      </c>
      <c r="B75" s="46" t="n">
        <v>70</v>
      </c>
      <c r="C7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5" s="46"/>
      <c r="E75" s="45" t="str">
        <f aca="false">IF(Tasks[[#This Row],[Task Name]]="","",IF(Tasks[[#This Row],[_Level]]&lt;=OutlineShowLevel,"Yes","No"))</f>
        <v/>
      </c>
      <c r="F75" s="47"/>
      <c r="G75" s="46"/>
      <c r="H75" s="46"/>
      <c r="I75" s="46"/>
      <c r="J75" s="46"/>
      <c r="K75" s="46"/>
      <c r="L75" s="46"/>
      <c r="M75" s="46"/>
      <c r="N75" s="46"/>
      <c r="O75" s="46"/>
      <c r="P75" s="46"/>
      <c r="Q75" s="46"/>
      <c r="R75" s="46"/>
      <c r="S75" s="46"/>
      <c r="T75" s="46"/>
      <c r="U75" s="47"/>
      <c r="V75" s="88"/>
      <c r="W75" s="88"/>
      <c r="X75" s="25" t="str">
        <f aca="false">IF(Tasks[[#This Row],[Task Name]]="","",IF(N(Tasks[[#This Row],[Baseline Start]])&gt;0,Tasks[[#This Row],[Baseline Start]],Tasks[[#This Row],[_CalcStart]]))</f>
        <v/>
      </c>
      <c r="Y75" s="25" t="str">
        <f aca="false">IF(Tasks[[#This Row],[Task Name]]="","",IF(N(Tasks[[#This Row],[Baseline Finish]])&gt;0,Tasks[[#This Row],[Baseline Finish]],Tasks[[#This Row],[_CalcFinish]]))</f>
        <v/>
      </c>
      <c r="Z75" s="88"/>
      <c r="AA75" s="88"/>
      <c r="AB75" s="25" t="str">
        <f aca="false">IF(Tasks[[#This Row],[Task Name]]="","",IF(Tasks[[#This Row],[_IsSummary]],MIN(INDEX(Tasks[_ShownFcstStart],Tasks[[#This Row],[_Row]]+1):INDEX(Tasks[_ShownFcstStart],Tasks[[#This Row],[_Row]]+Tasks[[#This Row],[_Descendants]])),Tasks[[#This Row],[_ShownFcstStart]]))</f>
        <v/>
      </c>
      <c r="AC75" s="25" t="str">
        <f aca="false">IF(Tasks[[#This Row],[Task Name]]="","",IF(Tasks[[#This Row],[_IsSummary]],MAX(INDEX(Tasks[_ShownFcstFinish],Tasks[[#This Row],[_Row]]+1):INDEX(Tasks[_ShownFcstFinish],Tasks[[#This Row],[_Row]]+Tasks[[#This Row],[_Descendants]])),Tasks[[#This Row],[_ShownFcstFinish]]))</f>
        <v/>
      </c>
      <c r="AD7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5" s="25" t="str">
        <f aca="false">IF(Tasks[[#This Row],[Task Name]]="","",IF(Tasks[[#This Row],[_IsSummary]],MIN(INDEX(Tasks[_LeafLateStart],Tasks[[#This Row],[_Row]]+1):INDEX(Tasks[_LeafLateStart],Tasks[[#This Row],[_Row]]+Tasks[[#This Row],[_Descendants]])),Tasks[[#This Row],[_LeafLateStart]]))</f>
        <v/>
      </c>
      <c r="AG75" s="25" t="str">
        <f aca="false">IF(Tasks[[#This Row],[Task Name]]="","",IF(Tasks[[#This Row],[_IsSummary]],MAX(INDEX(Tasks[_LeafLateFinish],Tasks[[#This Row],[_Row]]+1):INDEX(Tasks[_LeafLateFinish],Tasks[[#This Row],[_Row]]+Tasks[[#This Row],[_Descendants]])),Tasks[[#This Row],[_LeafLateFinish]]))</f>
        <v/>
      </c>
      <c r="AH75" s="56" t="str">
        <f aca="false">IF(Tasks[[#This Row],[Task Name]]="","",IF(Tasks[[#This Row],[_IsSummary]],MIN(INDEX(Tasks[_LeafTotalSlack],Tasks[[#This Row],[_Row]]+1):INDEX(Tasks[_LeafTotalSlack],Tasks[[#This Row],[_Row]]+Tasks[[#This Row],[_Descendants]])),Tasks[[#This Row],[_LeafTotalSlack]]))</f>
        <v/>
      </c>
      <c r="AI7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5" s="45" t="str">
        <f aca="false">IF(Tasks[[#This Row],[Task Name]]="","",IF(IF(Tasks[[#This Row],[_IsSummary]],COUNTIF(INDEX(Tasks[_LeafCritical],Tasks[[#This Row],[_Row]]+1):INDEX(Tasks[_LeafCritical],Tasks[[#This Row],[_Row]]+Tasks[[#This Row],[_Descendants]]),TRUE())&gt;0,Tasks[[#This Row],[_LeafCritical]]),"Yes",""))</f>
        <v/>
      </c>
      <c r="AK7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5" s="102"/>
      <c r="AN7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5" s="45" t="str">
        <f aca="false">IF(Tasks[[#This Row],[Task Name]]="","",IF(Tasks[[#This Row],[Progress]]&gt;=1,"Complete",IF(OR(N(Tasks[[#This Row],[Actual Start]])&gt;0,Tasks[[#This Row],[Progress]]&gt;0),IF(Tasks[[#This Row],[Finish Var]]&gt;0,"Behind","In Progress"),IF(Tasks[[#This Row],[Planned Start]]&lt;StatusDate,"Late Start","Not Started"))))</f>
        <v/>
      </c>
      <c r="AP75" s="47"/>
      <c r="AQ75" s="102"/>
      <c r="AR7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5" s="110" t="str">
        <f aca="false">IF(Tasks[[#This Row],[Task Name]]="","",IF(Tasks[[#This Row],[_IsSummary]],SUM(INDEX(Tasks[_LeafTotalWork],Tasks[[#This Row],[_Row]]+1):INDEX(Tasks[_LeafTotalWork],Tasks[[#This Row],[_Row]]+Tasks[[#This Row],[_Descendants]])),Tasks[[#This Row],[_LeafTotalWork]]))</f>
        <v/>
      </c>
      <c r="AU75" s="111" t="str">
        <f aca="false">IF(Tasks[[#This Row],[Task Name]]="","",IF(Tasks[[#This Row],[_IsSummary]],SUM(INDEX(Tasks[_LeafTotalCost],Tasks[[#This Row],[_Row]]+1):INDEX(Tasks[_LeafTotalCost],Tasks[[#This Row],[_Row]]+Tasks[[#This Row],[_Descendants]])),Tasks[[#This Row],[_LeafTotalCost]]))</f>
        <v/>
      </c>
      <c r="AV75" s="112"/>
      <c r="AW75" s="46"/>
      <c r="AX7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5" s="96"/>
      <c r="AZ7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5" s="47"/>
      <c r="BB75" s="25" t="str">
        <f aca="false">IF(Tasks[[#This Row],[Task Name]]="","",Tasks[[#This Row],[Forecast Start]])</f>
        <v/>
      </c>
      <c r="BC75" s="25" t="str">
        <f aca="false">IF(Tasks[[#This Row],[Task Name]]="","",Tasks[[#This Row],[Forecast Finish]])</f>
        <v/>
      </c>
      <c r="BD75" s="45" t="str">
        <f aca="false">IF(Tasks[[#This Row],[Task Name]]="","",IF(Tasks[[#This Row],[_IsSummary]],NETWORKDAYS.INTL(Tasks[[#This Row],[Forecast Start]],Tasks[[#This Row],[Forecast Finish]],WorkWeek,Holidays),N(Tasks[[#This Row],[Duration]])))</f>
        <v/>
      </c>
      <c r="BE75" s="110" t="str">
        <f aca="false">IF(Tasks[[#This Row],[Task Name]]="","",Tasks[[#This Row],[Work]])</f>
        <v/>
      </c>
      <c r="BF75" s="111" t="str">
        <f aca="false">IF(Tasks[[#This Row],[Task Name]]="","",Tasks[[#This Row],[Cost]])</f>
        <v/>
      </c>
      <c r="BG75" s="88"/>
      <c r="BH75" s="88"/>
      <c r="BI75" s="46"/>
      <c r="BJ75" s="113"/>
      <c r="BK75" s="112"/>
      <c r="BL75" s="45" t="str">
        <f aca="false">IF(OR(Tasks[[#This Row],[Task Name]]="",Tasks[[#This Row],[Baseline Duration]]=""),"",Tasks[[#This Row],[BL Source Duration]]-N(Tasks[[#This Row],[Baseline Duration]]))</f>
        <v/>
      </c>
      <c r="BM75" s="110" t="str">
        <f aca="false">IF(OR(Tasks[[#This Row],[Task Name]]="",Tasks[[#This Row],[Baseline Work]]=""),"",Tasks[[#This Row],[Work]]-N(Tasks[[#This Row],[Baseline Work]]))</f>
        <v/>
      </c>
      <c r="BN75" s="111" t="str">
        <f aca="false">IF(OR(Tasks[[#This Row],[Task Name]]="",Tasks[[#This Row],[Baseline Cost]]=""),"",Tasks[[#This Row],[Cost]]-N(Tasks[[#This Row],[Baseline Cost]]))</f>
        <v/>
      </c>
      <c r="BO75" s="111" t="str">
        <f aca="false">IF(Tasks[[#This Row],[Task Name]]="","",IF(Tasks[[#This Row],[_IsSummary]],SUM(INDEX(Tasks[_LeafBudget],Tasks[[#This Row],[_Row]]+1):INDEX(Tasks[_LeafBudget],Tasks[[#This Row],[_Row]]+Tasks[[#This Row],[_Descendants]])),Tasks[[#This Row],[_LeafBudget]]))</f>
        <v/>
      </c>
      <c r="BP75" s="111" t="str">
        <f aca="false">IF(Tasks[[#This Row],[Task Name]]="","",IF(Tasks[[#This Row],[_IsSummary]],SUM(INDEX(Tasks[_LeafPV],Tasks[[#This Row],[_Row]]+1):INDEX(Tasks[_LeafPV],Tasks[[#This Row],[_Row]]+Tasks[[#This Row],[_Descendants]])),Tasks[[#This Row],[_LeafPV]]))</f>
        <v/>
      </c>
      <c r="BQ75" s="111" t="str">
        <f aca="false">IF(Tasks[[#This Row],[Task Name]]="","",IF(Tasks[[#This Row],[_IsSummary]],SUM(INDEX(Tasks[_LeafEV],Tasks[[#This Row],[_Row]]+1):INDEX(Tasks[_LeafEV],Tasks[[#This Row],[_Row]]+Tasks[[#This Row],[_Descendants]])),Tasks[[#This Row],[_LeafEV]]))</f>
        <v/>
      </c>
      <c r="BR75" s="111" t="str">
        <f aca="false">IF(Tasks[[#This Row],[Task Name]]="","",IF(Tasks[[#This Row],[_IsSummary]],SUM(INDEX(Tasks[_LeafAC],Tasks[[#This Row],[_Row]]+1):INDEX(Tasks[_LeafAC],Tasks[[#This Row],[_Row]]+Tasks[[#This Row],[_Descendants]])),Tasks[[#This Row],[_LeafAC]]))</f>
        <v/>
      </c>
      <c r="BS75" s="32" t="str">
        <f aca="false">IF(Tasks[[#This Row],[Task Name]]="","",MAX(1,N(Tasks[[#This Row],[Level]])))</f>
        <v/>
      </c>
      <c r="BT75" s="32" t="n">
        <f aca="false">ROW()-ROW(Tasks[[#Headers],[ID]])</f>
        <v>70</v>
      </c>
      <c r="BU75" s="32" t="n">
        <f aca="false">IF(OR(Tasks[[#This Row],[Task Name]]="",Tasks[[#This Row],[_Level]]&lt;=1),0,IFERROR(LOOKUP(2,1/(Tasks[[#Headers],[_Level]]:Tasks[[#This Row],[_Level]]=Tasks[[#This Row],[_Level]]-1),ROW(Tasks[[#Headers],[_Level]]:Tasks[[#This Row],[_Level]])),0))</f>
        <v>0</v>
      </c>
      <c r="BV75" s="32" t="n">
        <f aca="false">IFERROR(N(INDEX(Tasks[_Level],Tasks[[#This Row],[_Row]]+1)),0)</f>
        <v>0</v>
      </c>
      <c r="BW75" s="114" t="b">
        <f aca="false">AND(Tasks[[#This Row],[Task Name]]&lt;&gt;"",Tasks[[#This Row],[_NextLevel]]&gt;Tasks[[#This Row],[_Level]])</f>
        <v>0</v>
      </c>
      <c r="BX75" s="32" t="n">
        <f aca="false">IF(Tasks[[#This Row],[_IsSummary]],COUNTIF(Tasks[WBS],Tasks[[#This Row],[WBS]]&amp;".*"),0)</f>
        <v>0</v>
      </c>
      <c r="BY75" s="32" t="n">
        <f aca="false">IF(AND(Tasks[[#This Row],[Task Name]]&lt;&gt;"",NOT(Tasks[[#This Row],[_IsSummary]])),1,0)</f>
        <v>0</v>
      </c>
      <c r="BZ75" s="32" t="n">
        <f aca="false">IF(N(Tasks[[#This Row],[Pred1 UID]])=0,0,IFERROR(MATCH(Tasks[[#This Row],[Pred1 UID]],Tasks[UID],0),-1))</f>
        <v>0</v>
      </c>
      <c r="CA75" s="32" t="n">
        <f aca="false">IF(N(Tasks[[#This Row],[Pred2 UID]])=0,0,IFERROR(MATCH(Tasks[[#This Row],[Pred2 UID]],Tasks[UID],0),-1))</f>
        <v>0</v>
      </c>
      <c r="CB75" s="32" t="n">
        <f aca="false">IF(N(Tasks[[#This Row],[Pred3 UID]])=0,0,IFERROR(MATCH(Tasks[[#This Row],[Pred3 UID]],Tasks[UID],0),-1))</f>
        <v>0</v>
      </c>
      <c r="CC75" s="32" t="n">
        <f aca="false">IF(N(Tasks[[#This Row],[Pred4 UID]])=0,0,IFERROR(MATCH(Tasks[[#This Row],[Pred4 UID]],Tasks[UID],0),-1))</f>
        <v>0</v>
      </c>
      <c r="CD7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5" s="115" t="n">
        <f aca="false">IF(OR(Tasks[[#This Row],[_ConstraintCode]]=2,Tasks[[#This Row],[_ConstraintCode]]=3,Tasks[[#This Row],[_ConstraintCode]]=4,Tasks[[#This Row],[_ConstraintCode]]=6),Tasks[[#This Row],[_ConstraintStart]],0)</f>
        <v>0</v>
      </c>
      <c r="CG75" s="115" t="n">
        <f aca="false">IF(OR(Tasks[[#This Row],[_ConstraintCode]]=2,Tasks[[#This Row],[_ConstraintCode]]=3,Tasks[[#This Row],[_ConstraintCode]]=5,Tasks[[#This Row],[_ConstraintCode]]=7),Tasks[[#This Row],[_ConstraintStart]],2958465)</f>
        <v>2958465</v>
      </c>
      <c r="CH7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5" s="115" t="str">
        <f aca="false">IF(NOT(Tasks[[#This Row],[_IsLeaf]]=1),"",IF(N(Tasks[[#This Row],[Duration]])&lt;=0,Tasks[[#This Row],[_LeafCalcStart]],WORKDAY.INTL(Tasks[[#This Row],[_LeafCalcStart]],Tasks[[#This Row],[Duration]]-1,WorkWeek,Holidays)))</f>
        <v/>
      </c>
      <c r="CJ7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5" s="32" t="n">
        <f aca="false">IF(NOT(Tasks[[#This Row],[_IsLeaf]]=1),0,IF(N(Tasks[[#This Row],[Actual Finish]])&gt;0,1,MIN(1,N(Tasks[[#This Row],[% Complete]]))))</f>
        <v>0</v>
      </c>
      <c r="CM75" s="32" t="n">
        <f aca="false">IF(OR(NOT(Tasks[[#This Row],[_IsLeaf]]=1),Tasks[[#This Row],[Resource]]=""),0,N(Tasks[[#This Row],[Duration]])*HoursPerDay*IF(Tasks[[#This Row],[Units]]="",DefaultUnits,Tasks[[#This Row],[Units]]))</f>
        <v>0</v>
      </c>
      <c r="CN75" s="32" t="n">
        <f aca="false">IF(Tasks[[#This Row],[_LeafWork]]=0,0,Tasks[[#This Row],[_LeafWork]]*IFERROR(INDEX(res_Rate,MATCH(Tasks[[#This Row],[Resource]],res_Name,0)),0))</f>
        <v>0</v>
      </c>
      <c r="CO75" s="32" t="n">
        <f aca="false">Tasks[[#This Row],[_LeafWork]]+IF(Tasks[[#This Row],[_IsLeaf]]=1,SUMIFS(asg_Work,asg_TaskUID,Tasks[[#This Row],[UID]],asg_Valid,1),0)</f>
        <v>0</v>
      </c>
      <c r="CP75" s="32" t="n">
        <f aca="false">Tasks[[#This Row],[_LeafCost]]+IF(Tasks[[#This Row],[_IsLeaf]]=1,SUMIFS(asg_Cost,asg_TaskUID,Tasks[[#This Row],[UID]],asg_Valid,1),0)</f>
        <v>0</v>
      </c>
      <c r="CQ75" s="32" t="n">
        <f aca="false">IF(Tasks[[#This Row],[_LeafTotalCost]]=0,Tasks[[#This Row],[_LeafAC]],Tasks[[#This Row],[_LeafAC]]*Tasks[[#This Row],[_LeafCost]]/Tasks[[#This Row],[_LeafTotalCost]])</f>
        <v>0</v>
      </c>
      <c r="CR7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5" s="32" t="n">
        <f aca="false">IF(NOT(Tasks[[#This Row],[_IsLeaf]]=1),0,MAX(_xlfn.MAXIFS(Tasks[_Row],Tasks[Pred1 UID],Tasks[[#This Row],[UID]]),_xlfn.MAXIFS(Tasks[_Row],Tasks[Pred2 UID],Tasks[[#This Row],[UID]]),_xlfn.MAXIFS(Tasks[_Row],Tasks[Pred3 UID],Tasks[[#This Row],[UID]]),_xlfn.MAXIFS(Tasks[_Row],Tasks[Pred4 UID],Tasks[[#This Row],[UID]])))</f>
        <v>0</v>
      </c>
      <c r="DA7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5" s="115" t="str">
        <f aca="false">IF(NOT(Tasks[[#This Row],[_IsLeaf]]=1),"",IF(N(Tasks[[#This Row],[Duration]])&lt;=0,Tasks[[#This Row],[_LeafLateFinish]],WORKDAY.INTL(Tasks[[#This Row],[_LeafLateFinish]],-(Tasks[[#This Row],[Duration]]-1),WorkWeek,Holidays)))</f>
        <v/>
      </c>
      <c r="DD7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5" s="114" t="b">
        <f aca="false">AND(Tasks[[#This Row],[_IsLeaf]]=1,Tasks[[#This Row],[_LeafProgress]]&lt;1,N(Tasks[[#This Row],[_LeafTotalSlack]])&lt;=CriticalSlackDays)</f>
        <v>0</v>
      </c>
      <c r="DF75" s="32" t="n">
        <f aca="false">IF(AND(Tasks[[#This Row],[_IsLeaf]]=1,Tasks[[#This Row],[_ConstraintCode]]=1,Tasks[[#This Row],[Mode]]&lt;&gt;"Manual",N(Tasks[[#This Row],[Actual Start]])=0),MAX(0,N(Tasks[[#This Row],[Free Slack]])),0)</f>
        <v>0</v>
      </c>
      <c r="DG75" s="115" t="str">
        <f aca="false">IF(NOT(Tasks[[#This Row],[_IsLeaf]]=1),"",IF(Tasks[[#This Row],[_AlapShift]]=0,Tasks[[#This Row],[_LeafCalcStart]],WORKDAY.INTL(Tasks[[#This Row],[_LeafCalcStart]],Tasks[[#This Row],[_AlapShift]],WorkWeek,Holidays)))</f>
        <v/>
      </c>
      <c r="DH75" s="115" t="str">
        <f aca="false">IF(NOT(Tasks[[#This Row],[_IsLeaf]]=1),"",IF(Tasks[[#This Row],[_AlapShift]]=0,Tasks[[#This Row],[_LeafCalcFinish]],WORKDAY.INTL(Tasks[[#This Row],[_LeafCalcFinish]],Tasks[[#This Row],[_AlapShift]],WorkWeek,Holidays)))</f>
        <v/>
      </c>
      <c r="DI75" s="115" t="str">
        <f aca="false">IF(NOT(Tasks[[#This Row],[_IsLeaf]]=1),"",IF(Tasks[[#This Row],[_AlapShift]]=0,Tasks[[#This Row],[_LeafFcstStart]],WORKDAY.INTL(Tasks[[#This Row],[_LeafFcstStart]],Tasks[[#This Row],[_AlapShift]],WorkWeek,Holidays)))</f>
        <v/>
      </c>
      <c r="DJ75" s="115" t="str">
        <f aca="false">IF(NOT(Tasks[[#This Row],[_IsLeaf]]=1),"",IF(Tasks[[#This Row],[_AlapShift]]=0,Tasks[[#This Row],[_LeafFcstFinish]],WORKDAY.INTL(Tasks[[#This Row],[_LeafFcstFinish]],Tasks[[#This Row],[_AlapShift]],WorkWeek,Holidays)))</f>
        <v/>
      </c>
      <c r="DK75" s="115" t="str">
        <f aca="false">IF(Tasks[[#This Row],[Task Name]]="","",IF(Tasks[[#This Row],[_IsSummary]],MIN(INDEX(Tasks[_ShownCalcStart],Tasks[[#This Row],[_Row]]+1):INDEX(Tasks[_ShownCalcStart],Tasks[[#This Row],[_Row]]+Tasks[[#This Row],[_Descendants]])),Tasks[[#This Row],[_ShownCalcStart]]))</f>
        <v/>
      </c>
      <c r="DL75" s="115" t="str">
        <f aca="false">IF(Tasks[[#This Row],[Task Name]]="","",IF(Tasks[[#This Row],[_IsSummary]],MAX(INDEX(Tasks[_ShownCalcFinish],Tasks[[#This Row],[_Row]]+1):INDEX(Tasks[_ShownCalcFinish],Tasks[[#This Row],[_Row]]+Tasks[[#This Row],[_Descendants]])),Tasks[[#This Row],[_ShownCalcFinish]]))</f>
        <v/>
      </c>
      <c r="DM7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5" s="32" t="n">
        <f aca="false">IF(AND(Tasks[[#This Row],[_IsLeaf]]=1,Tasks[[#This Row],[_LeafTotalWork]]&gt;0),NETWORKDAYS.INTL(ProjectStart,Tasks[[#This Row],[_ShownFcstStart]],WorkWeek,Holidays),0)</f>
        <v>0</v>
      </c>
      <c r="DZ75" s="32" t="n">
        <f aca="false">IF(AND(Tasks[[#This Row],[_IsLeaf]]=1,Tasks[[#This Row],[_LeafTotalWork]]&gt;0),MAX(Tasks[[#This Row],[_StartWorkday]],NETWORKDAYS.INTL(ProjectStart,Tasks[[#This Row],[_ShownFcstFinish]],WorkWeek,Holidays)),0)</f>
        <v>0</v>
      </c>
      <c r="EA75" s="32" t="n">
        <f aca="false">IF(AND(Tasks[[#This Row],[_IsLeaf]]=1,Tasks[[#This Row],[_LeafTotalWork]]&gt;0),Tasks[[#This Row],[_LeafWork]]/(Tasks[[#This Row],[_FinishWorkday]]-Tasks[[#This Row],[_StartWorkday]]+1),0)</f>
        <v>0</v>
      </c>
      <c r="EB75" s="32" t="n">
        <f aca="false">Tasks[[#This Row],[_WorkPerWorkday]]*(Tasks[[#This Row],[_StartWorkday]]-1)</f>
        <v>-0</v>
      </c>
      <c r="EC75" s="32" t="n">
        <f aca="false">IF(Tasks[[#This Row],[_IsLeaf]]=1,MAX(N(Tasks[[#This Row],[Duration]]),0.1),0)</f>
        <v>0</v>
      </c>
      <c r="ED75" s="32" t="n">
        <f aca="false">Tasks[[#This Row],[_WeightDur]]*Tasks[[#This Row],[_LeafProgress]]</f>
        <v>0</v>
      </c>
      <c r="EE7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5" s="32" t="str">
        <f aca="false">IF(AND(Tasks[[#This Row],[_IsLeaf]]=1,N(Tasks[[#This Row],[Duration]])=0,Tasks[[#This Row],[_LeafProgress]]&lt;1),Tasks[[#This Row],[_ShownFcstFinish]]+Tasks[[#This Row],[_Row]]/100000,"")</f>
        <v/>
      </c>
      <c r="EG7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5" s="32" t="n">
        <f aca="false">IF(NOT(Tasks[[#This Row],[_IsLeaf]]=1),0,IF(Tasks[[#This Row],[Baseline Cost]]="",Tasks[[#This Row],[_LeafTotalCost]],N(Tasks[[#This Row],[Baseline Cost]])))</f>
        <v>0</v>
      </c>
      <c r="EI75" s="32" t="n">
        <f aca="false">Tasks[[#This Row],[_LeafBudget]]*Tasks[[#This Row],[_PlannedPct]]</f>
        <v>0</v>
      </c>
      <c r="EJ75" s="32" t="n">
        <f aca="false">Tasks[[#This Row],[_LeafBudget]]*Tasks[[#This Row],[_LeafProgress]]</f>
        <v>0</v>
      </c>
      <c r="EK75" s="32" t="n">
        <f aca="false">IF(NOT(Tasks[[#This Row],[_IsLeaf]]=1),0,IF(Tasks[[#This Row],[Actual Cost]]="",Tasks[[#This Row],[_LeafTotalCost]]*Tasks[[#This Row],[_LeafProgress]],N(Tasks[[#This Row],[Actual Cost]])))</f>
        <v>0</v>
      </c>
      <c r="EL75" s="32" t="str">
        <f aca="false">IF(Tasks[[#This Row],[Task Name]]="","",LEFT(Tasks[[#This Row],[WBS]],FIND(".",Tasks[[#This Row],[WBS]]&amp;".")-1))</f>
        <v/>
      </c>
      <c r="EM75" s="32" t="str">
        <f aca="false">IF(AND(Tasks[[#This Row],[Task Name]]&lt;&gt;"",Tasks[[#This Row],[_Level]]=1),Tasks[[#This Row],[_Row]],"")</f>
        <v/>
      </c>
      <c r="EN75" s="32" t="str">
        <f aca="false">IF(AND(Tasks[[#This Row],[_IsLeaf]]=1,N(Tasks[[#This Row],[Duration]])=0),Tasks[[#This Row],[Planned Finish]]+Tasks[[#This Row],[_Row]]/100000,"")</f>
        <v/>
      </c>
      <c r="EO75" s="32" t="str">
        <f aca="false">IF(AND(Tasks[[#This Row],[_IsLeaf]]=1,Tasks[[#This Row],[_LeafProgress]]&lt;1,OR(N(Tasks[[#This Row],[Finish Var]])&gt;0,Tasks[[#This Row],[Status]]="Late Start")),MAX(0,Tasks[[#This Row],[Finish Var]])+1-Tasks[[#This Row],[_Row]]/1000000,"")</f>
        <v/>
      </c>
      <c r="EP75" s="32" t="str">
        <f aca="false">IF(AND(Tasks[[#This Row],[_IsLeaf]]=1,N(Tasks[[#This Row],[Actual Start]])=0,Tasks[[#This Row],[_ShownFcstStart]]&gt;=StatusDate,Tasks[[#This Row],[_ShownFcstStart]]&lt;=LookaheadEnd),Tasks[[#This Row],[_ShownFcstStart]]+Tasks[[#This Row],[_Row]]/100000,"")</f>
        <v/>
      </c>
      <c r="EQ75" s="32" t="str">
        <f aca="false">IF(AND(Tasks[[#This Row],[_IsLeaf]]=1,Tasks[[#This Row],[_LeafProgress]]&lt;1,Tasks[[#This Row],[_ShownFcstFinish]]&gt;=StatusDate,Tasks[[#This Row],[_ShownFcstFinish]]&lt;=LookaheadEnd),Tasks[[#This Row],[_ShownFcstFinish]]+Tasks[[#This Row],[_Row]]/100000,"")</f>
        <v/>
      </c>
      <c r="ER75" s="32" t="str">
        <f aca="false">IF(Tasks[[#This Row],[_LeafCritical]],Tasks[[#This Row],[_ShownFcstStart]]+Tasks[[#This Row],[_Row]]/100000,"")</f>
        <v/>
      </c>
      <c r="ES75" s="32" t="n">
        <f aca="false">Tasks[[#This Row],[_LeafWork]]*Tasks[[#This Row],[_LeafProgress]]</f>
        <v>0</v>
      </c>
      <c r="ET75" s="115" t="str">
        <f aca="false">IF(AND(Tasks[[#This Row],[_IsLeaf]]=1,Tasks[[#This Row],[_LeafProgress]]&gt;=1),IF(N(Tasks[[#This Row],[Actual Finish]])&gt;0,Tasks[[#This Row],[Actual Finish]],Tasks[[#This Row],[_ShownFcstFinish]]),"")</f>
        <v/>
      </c>
      <c r="EU75" s="32" t="n">
        <f aca="false">IF(Tasks[[#This Row],[_IsLeaf]]=1,N(Tasks[[#This Row],[Story Points]]),0)</f>
        <v>0</v>
      </c>
      <c r="EV75" s="32" t="str">
        <f aca="false">IF(AND(Tasks[[#This Row],[_IsLeaf]]=1,CurrentSprint&lt;&gt;"",Tasks[[#This Row],[Sprint]]=CurrentSprint),Tasks[[#This Row],[_Row]],"")</f>
        <v/>
      </c>
    </row>
    <row r="76" customFormat="false" ht="15" hidden="false" customHeight="false" outlineLevel="0" collapsed="false">
      <c r="A76" s="45" t="str">
        <f aca="false">IF(Tasks[[#This Row],[Task Name]]="","",COUNTA(Tasks[[#Headers],[Task Name]]:Tasks[[#This Row],[Task Name]])-1)</f>
        <v/>
      </c>
      <c r="B76" s="46" t="n">
        <v>71</v>
      </c>
      <c r="C7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6" s="46"/>
      <c r="E76" s="45" t="str">
        <f aca="false">IF(Tasks[[#This Row],[Task Name]]="","",IF(Tasks[[#This Row],[_Level]]&lt;=OutlineShowLevel,"Yes","No"))</f>
        <v/>
      </c>
      <c r="F76" s="47"/>
      <c r="G76" s="46"/>
      <c r="H76" s="46"/>
      <c r="I76" s="46"/>
      <c r="J76" s="46"/>
      <c r="K76" s="46"/>
      <c r="L76" s="46"/>
      <c r="M76" s="46"/>
      <c r="N76" s="46"/>
      <c r="O76" s="46"/>
      <c r="P76" s="46"/>
      <c r="Q76" s="46"/>
      <c r="R76" s="46"/>
      <c r="S76" s="46"/>
      <c r="T76" s="46"/>
      <c r="U76" s="47"/>
      <c r="V76" s="88"/>
      <c r="W76" s="88"/>
      <c r="X76" s="25" t="str">
        <f aca="false">IF(Tasks[[#This Row],[Task Name]]="","",IF(N(Tasks[[#This Row],[Baseline Start]])&gt;0,Tasks[[#This Row],[Baseline Start]],Tasks[[#This Row],[_CalcStart]]))</f>
        <v/>
      </c>
      <c r="Y76" s="25" t="str">
        <f aca="false">IF(Tasks[[#This Row],[Task Name]]="","",IF(N(Tasks[[#This Row],[Baseline Finish]])&gt;0,Tasks[[#This Row],[Baseline Finish]],Tasks[[#This Row],[_CalcFinish]]))</f>
        <v/>
      </c>
      <c r="Z76" s="88"/>
      <c r="AA76" s="88"/>
      <c r="AB76" s="25" t="str">
        <f aca="false">IF(Tasks[[#This Row],[Task Name]]="","",IF(Tasks[[#This Row],[_IsSummary]],MIN(INDEX(Tasks[_ShownFcstStart],Tasks[[#This Row],[_Row]]+1):INDEX(Tasks[_ShownFcstStart],Tasks[[#This Row],[_Row]]+Tasks[[#This Row],[_Descendants]])),Tasks[[#This Row],[_ShownFcstStart]]))</f>
        <v/>
      </c>
      <c r="AC76" s="25" t="str">
        <f aca="false">IF(Tasks[[#This Row],[Task Name]]="","",IF(Tasks[[#This Row],[_IsSummary]],MAX(INDEX(Tasks[_ShownFcstFinish],Tasks[[#This Row],[_Row]]+1):INDEX(Tasks[_ShownFcstFinish],Tasks[[#This Row],[_Row]]+Tasks[[#This Row],[_Descendants]])),Tasks[[#This Row],[_ShownFcstFinish]]))</f>
        <v/>
      </c>
      <c r="AD7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6" s="25" t="str">
        <f aca="false">IF(Tasks[[#This Row],[Task Name]]="","",IF(Tasks[[#This Row],[_IsSummary]],MIN(INDEX(Tasks[_LeafLateStart],Tasks[[#This Row],[_Row]]+1):INDEX(Tasks[_LeafLateStart],Tasks[[#This Row],[_Row]]+Tasks[[#This Row],[_Descendants]])),Tasks[[#This Row],[_LeafLateStart]]))</f>
        <v/>
      </c>
      <c r="AG76" s="25" t="str">
        <f aca="false">IF(Tasks[[#This Row],[Task Name]]="","",IF(Tasks[[#This Row],[_IsSummary]],MAX(INDEX(Tasks[_LeafLateFinish],Tasks[[#This Row],[_Row]]+1):INDEX(Tasks[_LeafLateFinish],Tasks[[#This Row],[_Row]]+Tasks[[#This Row],[_Descendants]])),Tasks[[#This Row],[_LeafLateFinish]]))</f>
        <v/>
      </c>
      <c r="AH76" s="56" t="str">
        <f aca="false">IF(Tasks[[#This Row],[Task Name]]="","",IF(Tasks[[#This Row],[_IsSummary]],MIN(INDEX(Tasks[_LeafTotalSlack],Tasks[[#This Row],[_Row]]+1):INDEX(Tasks[_LeafTotalSlack],Tasks[[#This Row],[_Row]]+Tasks[[#This Row],[_Descendants]])),Tasks[[#This Row],[_LeafTotalSlack]]))</f>
        <v/>
      </c>
      <c r="AI7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6" s="45" t="str">
        <f aca="false">IF(Tasks[[#This Row],[Task Name]]="","",IF(IF(Tasks[[#This Row],[_IsSummary]],COUNTIF(INDEX(Tasks[_LeafCritical],Tasks[[#This Row],[_Row]]+1):INDEX(Tasks[_LeafCritical],Tasks[[#This Row],[_Row]]+Tasks[[#This Row],[_Descendants]]),TRUE())&gt;0,Tasks[[#This Row],[_LeafCritical]]),"Yes",""))</f>
        <v/>
      </c>
      <c r="AK7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6" s="102"/>
      <c r="AN7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6" s="45" t="str">
        <f aca="false">IF(Tasks[[#This Row],[Task Name]]="","",IF(Tasks[[#This Row],[Progress]]&gt;=1,"Complete",IF(OR(N(Tasks[[#This Row],[Actual Start]])&gt;0,Tasks[[#This Row],[Progress]]&gt;0),IF(Tasks[[#This Row],[Finish Var]]&gt;0,"Behind","In Progress"),IF(Tasks[[#This Row],[Planned Start]]&lt;StatusDate,"Late Start","Not Started"))))</f>
        <v/>
      </c>
      <c r="AP76" s="47"/>
      <c r="AQ76" s="102"/>
      <c r="AR7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6" s="110" t="str">
        <f aca="false">IF(Tasks[[#This Row],[Task Name]]="","",IF(Tasks[[#This Row],[_IsSummary]],SUM(INDEX(Tasks[_LeafTotalWork],Tasks[[#This Row],[_Row]]+1):INDEX(Tasks[_LeafTotalWork],Tasks[[#This Row],[_Row]]+Tasks[[#This Row],[_Descendants]])),Tasks[[#This Row],[_LeafTotalWork]]))</f>
        <v/>
      </c>
      <c r="AU76" s="111" t="str">
        <f aca="false">IF(Tasks[[#This Row],[Task Name]]="","",IF(Tasks[[#This Row],[_IsSummary]],SUM(INDEX(Tasks[_LeafTotalCost],Tasks[[#This Row],[_Row]]+1):INDEX(Tasks[_LeafTotalCost],Tasks[[#This Row],[_Row]]+Tasks[[#This Row],[_Descendants]])),Tasks[[#This Row],[_LeafTotalCost]]))</f>
        <v/>
      </c>
      <c r="AV76" s="112"/>
      <c r="AW76" s="46"/>
      <c r="AX7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6" s="96"/>
      <c r="AZ7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6" s="47"/>
      <c r="BB76" s="25" t="str">
        <f aca="false">IF(Tasks[[#This Row],[Task Name]]="","",Tasks[[#This Row],[Forecast Start]])</f>
        <v/>
      </c>
      <c r="BC76" s="25" t="str">
        <f aca="false">IF(Tasks[[#This Row],[Task Name]]="","",Tasks[[#This Row],[Forecast Finish]])</f>
        <v/>
      </c>
      <c r="BD76" s="45" t="str">
        <f aca="false">IF(Tasks[[#This Row],[Task Name]]="","",IF(Tasks[[#This Row],[_IsSummary]],NETWORKDAYS.INTL(Tasks[[#This Row],[Forecast Start]],Tasks[[#This Row],[Forecast Finish]],WorkWeek,Holidays),N(Tasks[[#This Row],[Duration]])))</f>
        <v/>
      </c>
      <c r="BE76" s="110" t="str">
        <f aca="false">IF(Tasks[[#This Row],[Task Name]]="","",Tasks[[#This Row],[Work]])</f>
        <v/>
      </c>
      <c r="BF76" s="111" t="str">
        <f aca="false">IF(Tasks[[#This Row],[Task Name]]="","",Tasks[[#This Row],[Cost]])</f>
        <v/>
      </c>
      <c r="BG76" s="88"/>
      <c r="BH76" s="88"/>
      <c r="BI76" s="46"/>
      <c r="BJ76" s="113"/>
      <c r="BK76" s="112"/>
      <c r="BL76" s="45" t="str">
        <f aca="false">IF(OR(Tasks[[#This Row],[Task Name]]="",Tasks[[#This Row],[Baseline Duration]]=""),"",Tasks[[#This Row],[BL Source Duration]]-N(Tasks[[#This Row],[Baseline Duration]]))</f>
        <v/>
      </c>
      <c r="BM76" s="110" t="str">
        <f aca="false">IF(OR(Tasks[[#This Row],[Task Name]]="",Tasks[[#This Row],[Baseline Work]]=""),"",Tasks[[#This Row],[Work]]-N(Tasks[[#This Row],[Baseline Work]]))</f>
        <v/>
      </c>
      <c r="BN76" s="111" t="str">
        <f aca="false">IF(OR(Tasks[[#This Row],[Task Name]]="",Tasks[[#This Row],[Baseline Cost]]=""),"",Tasks[[#This Row],[Cost]]-N(Tasks[[#This Row],[Baseline Cost]]))</f>
        <v/>
      </c>
      <c r="BO76" s="111" t="str">
        <f aca="false">IF(Tasks[[#This Row],[Task Name]]="","",IF(Tasks[[#This Row],[_IsSummary]],SUM(INDEX(Tasks[_LeafBudget],Tasks[[#This Row],[_Row]]+1):INDEX(Tasks[_LeafBudget],Tasks[[#This Row],[_Row]]+Tasks[[#This Row],[_Descendants]])),Tasks[[#This Row],[_LeafBudget]]))</f>
        <v/>
      </c>
      <c r="BP76" s="111" t="str">
        <f aca="false">IF(Tasks[[#This Row],[Task Name]]="","",IF(Tasks[[#This Row],[_IsSummary]],SUM(INDEX(Tasks[_LeafPV],Tasks[[#This Row],[_Row]]+1):INDEX(Tasks[_LeafPV],Tasks[[#This Row],[_Row]]+Tasks[[#This Row],[_Descendants]])),Tasks[[#This Row],[_LeafPV]]))</f>
        <v/>
      </c>
      <c r="BQ76" s="111" t="str">
        <f aca="false">IF(Tasks[[#This Row],[Task Name]]="","",IF(Tasks[[#This Row],[_IsSummary]],SUM(INDEX(Tasks[_LeafEV],Tasks[[#This Row],[_Row]]+1):INDEX(Tasks[_LeafEV],Tasks[[#This Row],[_Row]]+Tasks[[#This Row],[_Descendants]])),Tasks[[#This Row],[_LeafEV]]))</f>
        <v/>
      </c>
      <c r="BR76" s="111" t="str">
        <f aca="false">IF(Tasks[[#This Row],[Task Name]]="","",IF(Tasks[[#This Row],[_IsSummary]],SUM(INDEX(Tasks[_LeafAC],Tasks[[#This Row],[_Row]]+1):INDEX(Tasks[_LeafAC],Tasks[[#This Row],[_Row]]+Tasks[[#This Row],[_Descendants]])),Tasks[[#This Row],[_LeafAC]]))</f>
        <v/>
      </c>
      <c r="BS76" s="32" t="str">
        <f aca="false">IF(Tasks[[#This Row],[Task Name]]="","",MAX(1,N(Tasks[[#This Row],[Level]])))</f>
        <v/>
      </c>
      <c r="BT76" s="32" t="n">
        <f aca="false">ROW()-ROW(Tasks[[#Headers],[ID]])</f>
        <v>71</v>
      </c>
      <c r="BU76" s="32" t="n">
        <f aca="false">IF(OR(Tasks[[#This Row],[Task Name]]="",Tasks[[#This Row],[_Level]]&lt;=1),0,IFERROR(LOOKUP(2,1/(Tasks[[#Headers],[_Level]]:Tasks[[#This Row],[_Level]]=Tasks[[#This Row],[_Level]]-1),ROW(Tasks[[#Headers],[_Level]]:Tasks[[#This Row],[_Level]])),0))</f>
        <v>0</v>
      </c>
      <c r="BV76" s="32" t="n">
        <f aca="false">IFERROR(N(INDEX(Tasks[_Level],Tasks[[#This Row],[_Row]]+1)),0)</f>
        <v>0</v>
      </c>
      <c r="BW76" s="114" t="b">
        <f aca="false">AND(Tasks[[#This Row],[Task Name]]&lt;&gt;"",Tasks[[#This Row],[_NextLevel]]&gt;Tasks[[#This Row],[_Level]])</f>
        <v>0</v>
      </c>
      <c r="BX76" s="32" t="n">
        <f aca="false">IF(Tasks[[#This Row],[_IsSummary]],COUNTIF(Tasks[WBS],Tasks[[#This Row],[WBS]]&amp;".*"),0)</f>
        <v>0</v>
      </c>
      <c r="BY76" s="32" t="n">
        <f aca="false">IF(AND(Tasks[[#This Row],[Task Name]]&lt;&gt;"",NOT(Tasks[[#This Row],[_IsSummary]])),1,0)</f>
        <v>0</v>
      </c>
      <c r="BZ76" s="32" t="n">
        <f aca="false">IF(N(Tasks[[#This Row],[Pred1 UID]])=0,0,IFERROR(MATCH(Tasks[[#This Row],[Pred1 UID]],Tasks[UID],0),-1))</f>
        <v>0</v>
      </c>
      <c r="CA76" s="32" t="n">
        <f aca="false">IF(N(Tasks[[#This Row],[Pred2 UID]])=0,0,IFERROR(MATCH(Tasks[[#This Row],[Pred2 UID]],Tasks[UID],0),-1))</f>
        <v>0</v>
      </c>
      <c r="CB76" s="32" t="n">
        <f aca="false">IF(N(Tasks[[#This Row],[Pred3 UID]])=0,0,IFERROR(MATCH(Tasks[[#This Row],[Pred3 UID]],Tasks[UID],0),-1))</f>
        <v>0</v>
      </c>
      <c r="CC76" s="32" t="n">
        <f aca="false">IF(N(Tasks[[#This Row],[Pred4 UID]])=0,0,IFERROR(MATCH(Tasks[[#This Row],[Pred4 UID]],Tasks[UID],0),-1))</f>
        <v>0</v>
      </c>
      <c r="CD7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6" s="115" t="n">
        <f aca="false">IF(OR(Tasks[[#This Row],[_ConstraintCode]]=2,Tasks[[#This Row],[_ConstraintCode]]=3,Tasks[[#This Row],[_ConstraintCode]]=4,Tasks[[#This Row],[_ConstraintCode]]=6),Tasks[[#This Row],[_ConstraintStart]],0)</f>
        <v>0</v>
      </c>
      <c r="CG76" s="115" t="n">
        <f aca="false">IF(OR(Tasks[[#This Row],[_ConstraintCode]]=2,Tasks[[#This Row],[_ConstraintCode]]=3,Tasks[[#This Row],[_ConstraintCode]]=5,Tasks[[#This Row],[_ConstraintCode]]=7),Tasks[[#This Row],[_ConstraintStart]],2958465)</f>
        <v>2958465</v>
      </c>
      <c r="CH7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6" s="115" t="str">
        <f aca="false">IF(NOT(Tasks[[#This Row],[_IsLeaf]]=1),"",IF(N(Tasks[[#This Row],[Duration]])&lt;=0,Tasks[[#This Row],[_LeafCalcStart]],WORKDAY.INTL(Tasks[[#This Row],[_LeafCalcStart]],Tasks[[#This Row],[Duration]]-1,WorkWeek,Holidays)))</f>
        <v/>
      </c>
      <c r="CJ7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6" s="32" t="n">
        <f aca="false">IF(NOT(Tasks[[#This Row],[_IsLeaf]]=1),0,IF(N(Tasks[[#This Row],[Actual Finish]])&gt;0,1,MIN(1,N(Tasks[[#This Row],[% Complete]]))))</f>
        <v>0</v>
      </c>
      <c r="CM76" s="32" t="n">
        <f aca="false">IF(OR(NOT(Tasks[[#This Row],[_IsLeaf]]=1),Tasks[[#This Row],[Resource]]=""),0,N(Tasks[[#This Row],[Duration]])*HoursPerDay*IF(Tasks[[#This Row],[Units]]="",DefaultUnits,Tasks[[#This Row],[Units]]))</f>
        <v>0</v>
      </c>
      <c r="CN76" s="32" t="n">
        <f aca="false">IF(Tasks[[#This Row],[_LeafWork]]=0,0,Tasks[[#This Row],[_LeafWork]]*IFERROR(INDEX(res_Rate,MATCH(Tasks[[#This Row],[Resource]],res_Name,0)),0))</f>
        <v>0</v>
      </c>
      <c r="CO76" s="32" t="n">
        <f aca="false">Tasks[[#This Row],[_LeafWork]]+IF(Tasks[[#This Row],[_IsLeaf]]=1,SUMIFS(asg_Work,asg_TaskUID,Tasks[[#This Row],[UID]],asg_Valid,1),0)</f>
        <v>0</v>
      </c>
      <c r="CP76" s="32" t="n">
        <f aca="false">Tasks[[#This Row],[_LeafCost]]+IF(Tasks[[#This Row],[_IsLeaf]]=1,SUMIFS(asg_Cost,asg_TaskUID,Tasks[[#This Row],[UID]],asg_Valid,1),0)</f>
        <v>0</v>
      </c>
      <c r="CQ76" s="32" t="n">
        <f aca="false">IF(Tasks[[#This Row],[_LeafTotalCost]]=0,Tasks[[#This Row],[_LeafAC]],Tasks[[#This Row],[_LeafAC]]*Tasks[[#This Row],[_LeafCost]]/Tasks[[#This Row],[_LeafTotalCost]])</f>
        <v>0</v>
      </c>
      <c r="CR7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6" s="32" t="n">
        <f aca="false">IF(NOT(Tasks[[#This Row],[_IsLeaf]]=1),0,MAX(_xlfn.MAXIFS(Tasks[_Row],Tasks[Pred1 UID],Tasks[[#This Row],[UID]]),_xlfn.MAXIFS(Tasks[_Row],Tasks[Pred2 UID],Tasks[[#This Row],[UID]]),_xlfn.MAXIFS(Tasks[_Row],Tasks[Pred3 UID],Tasks[[#This Row],[UID]]),_xlfn.MAXIFS(Tasks[_Row],Tasks[Pred4 UID],Tasks[[#This Row],[UID]])))</f>
        <v>0</v>
      </c>
      <c r="DA7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6" s="115" t="str">
        <f aca="false">IF(NOT(Tasks[[#This Row],[_IsLeaf]]=1),"",IF(N(Tasks[[#This Row],[Duration]])&lt;=0,Tasks[[#This Row],[_LeafLateFinish]],WORKDAY.INTL(Tasks[[#This Row],[_LeafLateFinish]],-(Tasks[[#This Row],[Duration]]-1),WorkWeek,Holidays)))</f>
        <v/>
      </c>
      <c r="DD7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6" s="114" t="b">
        <f aca="false">AND(Tasks[[#This Row],[_IsLeaf]]=1,Tasks[[#This Row],[_LeafProgress]]&lt;1,N(Tasks[[#This Row],[_LeafTotalSlack]])&lt;=CriticalSlackDays)</f>
        <v>0</v>
      </c>
      <c r="DF76" s="32" t="n">
        <f aca="false">IF(AND(Tasks[[#This Row],[_IsLeaf]]=1,Tasks[[#This Row],[_ConstraintCode]]=1,Tasks[[#This Row],[Mode]]&lt;&gt;"Manual",N(Tasks[[#This Row],[Actual Start]])=0),MAX(0,N(Tasks[[#This Row],[Free Slack]])),0)</f>
        <v>0</v>
      </c>
      <c r="DG76" s="115" t="str">
        <f aca="false">IF(NOT(Tasks[[#This Row],[_IsLeaf]]=1),"",IF(Tasks[[#This Row],[_AlapShift]]=0,Tasks[[#This Row],[_LeafCalcStart]],WORKDAY.INTL(Tasks[[#This Row],[_LeafCalcStart]],Tasks[[#This Row],[_AlapShift]],WorkWeek,Holidays)))</f>
        <v/>
      </c>
      <c r="DH76" s="115" t="str">
        <f aca="false">IF(NOT(Tasks[[#This Row],[_IsLeaf]]=1),"",IF(Tasks[[#This Row],[_AlapShift]]=0,Tasks[[#This Row],[_LeafCalcFinish]],WORKDAY.INTL(Tasks[[#This Row],[_LeafCalcFinish]],Tasks[[#This Row],[_AlapShift]],WorkWeek,Holidays)))</f>
        <v/>
      </c>
      <c r="DI76" s="115" t="str">
        <f aca="false">IF(NOT(Tasks[[#This Row],[_IsLeaf]]=1),"",IF(Tasks[[#This Row],[_AlapShift]]=0,Tasks[[#This Row],[_LeafFcstStart]],WORKDAY.INTL(Tasks[[#This Row],[_LeafFcstStart]],Tasks[[#This Row],[_AlapShift]],WorkWeek,Holidays)))</f>
        <v/>
      </c>
      <c r="DJ76" s="115" t="str">
        <f aca="false">IF(NOT(Tasks[[#This Row],[_IsLeaf]]=1),"",IF(Tasks[[#This Row],[_AlapShift]]=0,Tasks[[#This Row],[_LeafFcstFinish]],WORKDAY.INTL(Tasks[[#This Row],[_LeafFcstFinish]],Tasks[[#This Row],[_AlapShift]],WorkWeek,Holidays)))</f>
        <v/>
      </c>
      <c r="DK76" s="115" t="str">
        <f aca="false">IF(Tasks[[#This Row],[Task Name]]="","",IF(Tasks[[#This Row],[_IsSummary]],MIN(INDEX(Tasks[_ShownCalcStart],Tasks[[#This Row],[_Row]]+1):INDEX(Tasks[_ShownCalcStart],Tasks[[#This Row],[_Row]]+Tasks[[#This Row],[_Descendants]])),Tasks[[#This Row],[_ShownCalcStart]]))</f>
        <v/>
      </c>
      <c r="DL76" s="115" t="str">
        <f aca="false">IF(Tasks[[#This Row],[Task Name]]="","",IF(Tasks[[#This Row],[_IsSummary]],MAX(INDEX(Tasks[_ShownCalcFinish],Tasks[[#This Row],[_Row]]+1):INDEX(Tasks[_ShownCalcFinish],Tasks[[#This Row],[_Row]]+Tasks[[#This Row],[_Descendants]])),Tasks[[#This Row],[_ShownCalcFinish]]))</f>
        <v/>
      </c>
      <c r="DM7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6" s="32" t="n">
        <f aca="false">IF(AND(Tasks[[#This Row],[_IsLeaf]]=1,Tasks[[#This Row],[_LeafTotalWork]]&gt;0),NETWORKDAYS.INTL(ProjectStart,Tasks[[#This Row],[_ShownFcstStart]],WorkWeek,Holidays),0)</f>
        <v>0</v>
      </c>
      <c r="DZ76" s="32" t="n">
        <f aca="false">IF(AND(Tasks[[#This Row],[_IsLeaf]]=1,Tasks[[#This Row],[_LeafTotalWork]]&gt;0),MAX(Tasks[[#This Row],[_StartWorkday]],NETWORKDAYS.INTL(ProjectStart,Tasks[[#This Row],[_ShownFcstFinish]],WorkWeek,Holidays)),0)</f>
        <v>0</v>
      </c>
      <c r="EA76" s="32" t="n">
        <f aca="false">IF(AND(Tasks[[#This Row],[_IsLeaf]]=1,Tasks[[#This Row],[_LeafTotalWork]]&gt;0),Tasks[[#This Row],[_LeafWork]]/(Tasks[[#This Row],[_FinishWorkday]]-Tasks[[#This Row],[_StartWorkday]]+1),0)</f>
        <v>0</v>
      </c>
      <c r="EB76" s="32" t="n">
        <f aca="false">Tasks[[#This Row],[_WorkPerWorkday]]*(Tasks[[#This Row],[_StartWorkday]]-1)</f>
        <v>-0</v>
      </c>
      <c r="EC76" s="32" t="n">
        <f aca="false">IF(Tasks[[#This Row],[_IsLeaf]]=1,MAX(N(Tasks[[#This Row],[Duration]]),0.1),0)</f>
        <v>0</v>
      </c>
      <c r="ED76" s="32" t="n">
        <f aca="false">Tasks[[#This Row],[_WeightDur]]*Tasks[[#This Row],[_LeafProgress]]</f>
        <v>0</v>
      </c>
      <c r="EE7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6" s="32" t="str">
        <f aca="false">IF(AND(Tasks[[#This Row],[_IsLeaf]]=1,N(Tasks[[#This Row],[Duration]])=0,Tasks[[#This Row],[_LeafProgress]]&lt;1),Tasks[[#This Row],[_ShownFcstFinish]]+Tasks[[#This Row],[_Row]]/100000,"")</f>
        <v/>
      </c>
      <c r="EG7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6" s="32" t="n">
        <f aca="false">IF(NOT(Tasks[[#This Row],[_IsLeaf]]=1),0,IF(Tasks[[#This Row],[Baseline Cost]]="",Tasks[[#This Row],[_LeafTotalCost]],N(Tasks[[#This Row],[Baseline Cost]])))</f>
        <v>0</v>
      </c>
      <c r="EI76" s="32" t="n">
        <f aca="false">Tasks[[#This Row],[_LeafBudget]]*Tasks[[#This Row],[_PlannedPct]]</f>
        <v>0</v>
      </c>
      <c r="EJ76" s="32" t="n">
        <f aca="false">Tasks[[#This Row],[_LeafBudget]]*Tasks[[#This Row],[_LeafProgress]]</f>
        <v>0</v>
      </c>
      <c r="EK76" s="32" t="n">
        <f aca="false">IF(NOT(Tasks[[#This Row],[_IsLeaf]]=1),0,IF(Tasks[[#This Row],[Actual Cost]]="",Tasks[[#This Row],[_LeafTotalCost]]*Tasks[[#This Row],[_LeafProgress]],N(Tasks[[#This Row],[Actual Cost]])))</f>
        <v>0</v>
      </c>
      <c r="EL76" s="32" t="str">
        <f aca="false">IF(Tasks[[#This Row],[Task Name]]="","",LEFT(Tasks[[#This Row],[WBS]],FIND(".",Tasks[[#This Row],[WBS]]&amp;".")-1))</f>
        <v/>
      </c>
      <c r="EM76" s="32" t="str">
        <f aca="false">IF(AND(Tasks[[#This Row],[Task Name]]&lt;&gt;"",Tasks[[#This Row],[_Level]]=1),Tasks[[#This Row],[_Row]],"")</f>
        <v/>
      </c>
      <c r="EN76" s="32" t="str">
        <f aca="false">IF(AND(Tasks[[#This Row],[_IsLeaf]]=1,N(Tasks[[#This Row],[Duration]])=0),Tasks[[#This Row],[Planned Finish]]+Tasks[[#This Row],[_Row]]/100000,"")</f>
        <v/>
      </c>
      <c r="EO76" s="32" t="str">
        <f aca="false">IF(AND(Tasks[[#This Row],[_IsLeaf]]=1,Tasks[[#This Row],[_LeafProgress]]&lt;1,OR(N(Tasks[[#This Row],[Finish Var]])&gt;0,Tasks[[#This Row],[Status]]="Late Start")),MAX(0,Tasks[[#This Row],[Finish Var]])+1-Tasks[[#This Row],[_Row]]/1000000,"")</f>
        <v/>
      </c>
      <c r="EP76" s="32" t="str">
        <f aca="false">IF(AND(Tasks[[#This Row],[_IsLeaf]]=1,N(Tasks[[#This Row],[Actual Start]])=0,Tasks[[#This Row],[_ShownFcstStart]]&gt;=StatusDate,Tasks[[#This Row],[_ShownFcstStart]]&lt;=LookaheadEnd),Tasks[[#This Row],[_ShownFcstStart]]+Tasks[[#This Row],[_Row]]/100000,"")</f>
        <v/>
      </c>
      <c r="EQ76" s="32" t="str">
        <f aca="false">IF(AND(Tasks[[#This Row],[_IsLeaf]]=1,Tasks[[#This Row],[_LeafProgress]]&lt;1,Tasks[[#This Row],[_ShownFcstFinish]]&gt;=StatusDate,Tasks[[#This Row],[_ShownFcstFinish]]&lt;=LookaheadEnd),Tasks[[#This Row],[_ShownFcstFinish]]+Tasks[[#This Row],[_Row]]/100000,"")</f>
        <v/>
      </c>
      <c r="ER76" s="32" t="str">
        <f aca="false">IF(Tasks[[#This Row],[_LeafCritical]],Tasks[[#This Row],[_ShownFcstStart]]+Tasks[[#This Row],[_Row]]/100000,"")</f>
        <v/>
      </c>
      <c r="ES76" s="32" t="n">
        <f aca="false">Tasks[[#This Row],[_LeafWork]]*Tasks[[#This Row],[_LeafProgress]]</f>
        <v>0</v>
      </c>
      <c r="ET76" s="115" t="str">
        <f aca="false">IF(AND(Tasks[[#This Row],[_IsLeaf]]=1,Tasks[[#This Row],[_LeafProgress]]&gt;=1),IF(N(Tasks[[#This Row],[Actual Finish]])&gt;0,Tasks[[#This Row],[Actual Finish]],Tasks[[#This Row],[_ShownFcstFinish]]),"")</f>
        <v/>
      </c>
      <c r="EU76" s="32" t="n">
        <f aca="false">IF(Tasks[[#This Row],[_IsLeaf]]=1,N(Tasks[[#This Row],[Story Points]]),0)</f>
        <v>0</v>
      </c>
      <c r="EV76" s="32" t="str">
        <f aca="false">IF(AND(Tasks[[#This Row],[_IsLeaf]]=1,CurrentSprint&lt;&gt;"",Tasks[[#This Row],[Sprint]]=CurrentSprint),Tasks[[#This Row],[_Row]],"")</f>
        <v/>
      </c>
    </row>
    <row r="77" customFormat="false" ht="15" hidden="false" customHeight="false" outlineLevel="0" collapsed="false">
      <c r="A77" s="45" t="str">
        <f aca="false">IF(Tasks[[#This Row],[Task Name]]="","",COUNTA(Tasks[[#Headers],[Task Name]]:Tasks[[#This Row],[Task Name]])-1)</f>
        <v/>
      </c>
      <c r="B77" s="46" t="n">
        <v>72</v>
      </c>
      <c r="C7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7" s="46"/>
      <c r="E77" s="45" t="str">
        <f aca="false">IF(Tasks[[#This Row],[Task Name]]="","",IF(Tasks[[#This Row],[_Level]]&lt;=OutlineShowLevel,"Yes","No"))</f>
        <v/>
      </c>
      <c r="F77" s="47"/>
      <c r="G77" s="46"/>
      <c r="H77" s="46"/>
      <c r="I77" s="46"/>
      <c r="J77" s="46"/>
      <c r="K77" s="46"/>
      <c r="L77" s="46"/>
      <c r="M77" s="46"/>
      <c r="N77" s="46"/>
      <c r="O77" s="46"/>
      <c r="P77" s="46"/>
      <c r="Q77" s="46"/>
      <c r="R77" s="46"/>
      <c r="S77" s="46"/>
      <c r="T77" s="46"/>
      <c r="U77" s="47"/>
      <c r="V77" s="88"/>
      <c r="W77" s="88"/>
      <c r="X77" s="25" t="str">
        <f aca="false">IF(Tasks[[#This Row],[Task Name]]="","",IF(N(Tasks[[#This Row],[Baseline Start]])&gt;0,Tasks[[#This Row],[Baseline Start]],Tasks[[#This Row],[_CalcStart]]))</f>
        <v/>
      </c>
      <c r="Y77" s="25" t="str">
        <f aca="false">IF(Tasks[[#This Row],[Task Name]]="","",IF(N(Tasks[[#This Row],[Baseline Finish]])&gt;0,Tasks[[#This Row],[Baseline Finish]],Tasks[[#This Row],[_CalcFinish]]))</f>
        <v/>
      </c>
      <c r="Z77" s="88"/>
      <c r="AA77" s="88"/>
      <c r="AB77" s="25" t="str">
        <f aca="false">IF(Tasks[[#This Row],[Task Name]]="","",IF(Tasks[[#This Row],[_IsSummary]],MIN(INDEX(Tasks[_ShownFcstStart],Tasks[[#This Row],[_Row]]+1):INDEX(Tasks[_ShownFcstStart],Tasks[[#This Row],[_Row]]+Tasks[[#This Row],[_Descendants]])),Tasks[[#This Row],[_ShownFcstStart]]))</f>
        <v/>
      </c>
      <c r="AC77" s="25" t="str">
        <f aca="false">IF(Tasks[[#This Row],[Task Name]]="","",IF(Tasks[[#This Row],[_IsSummary]],MAX(INDEX(Tasks[_ShownFcstFinish],Tasks[[#This Row],[_Row]]+1):INDEX(Tasks[_ShownFcstFinish],Tasks[[#This Row],[_Row]]+Tasks[[#This Row],[_Descendants]])),Tasks[[#This Row],[_ShownFcstFinish]]))</f>
        <v/>
      </c>
      <c r="AD7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7" s="25" t="str">
        <f aca="false">IF(Tasks[[#This Row],[Task Name]]="","",IF(Tasks[[#This Row],[_IsSummary]],MIN(INDEX(Tasks[_LeafLateStart],Tasks[[#This Row],[_Row]]+1):INDEX(Tasks[_LeafLateStart],Tasks[[#This Row],[_Row]]+Tasks[[#This Row],[_Descendants]])),Tasks[[#This Row],[_LeafLateStart]]))</f>
        <v/>
      </c>
      <c r="AG77" s="25" t="str">
        <f aca="false">IF(Tasks[[#This Row],[Task Name]]="","",IF(Tasks[[#This Row],[_IsSummary]],MAX(INDEX(Tasks[_LeafLateFinish],Tasks[[#This Row],[_Row]]+1):INDEX(Tasks[_LeafLateFinish],Tasks[[#This Row],[_Row]]+Tasks[[#This Row],[_Descendants]])),Tasks[[#This Row],[_LeafLateFinish]]))</f>
        <v/>
      </c>
      <c r="AH77" s="56" t="str">
        <f aca="false">IF(Tasks[[#This Row],[Task Name]]="","",IF(Tasks[[#This Row],[_IsSummary]],MIN(INDEX(Tasks[_LeafTotalSlack],Tasks[[#This Row],[_Row]]+1):INDEX(Tasks[_LeafTotalSlack],Tasks[[#This Row],[_Row]]+Tasks[[#This Row],[_Descendants]])),Tasks[[#This Row],[_LeafTotalSlack]]))</f>
        <v/>
      </c>
      <c r="AI7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7" s="45" t="str">
        <f aca="false">IF(Tasks[[#This Row],[Task Name]]="","",IF(IF(Tasks[[#This Row],[_IsSummary]],COUNTIF(INDEX(Tasks[_LeafCritical],Tasks[[#This Row],[_Row]]+1):INDEX(Tasks[_LeafCritical],Tasks[[#This Row],[_Row]]+Tasks[[#This Row],[_Descendants]]),TRUE())&gt;0,Tasks[[#This Row],[_LeafCritical]]),"Yes",""))</f>
        <v/>
      </c>
      <c r="AK7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7" s="102"/>
      <c r="AN7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7" s="45" t="str">
        <f aca="false">IF(Tasks[[#This Row],[Task Name]]="","",IF(Tasks[[#This Row],[Progress]]&gt;=1,"Complete",IF(OR(N(Tasks[[#This Row],[Actual Start]])&gt;0,Tasks[[#This Row],[Progress]]&gt;0),IF(Tasks[[#This Row],[Finish Var]]&gt;0,"Behind","In Progress"),IF(Tasks[[#This Row],[Planned Start]]&lt;StatusDate,"Late Start","Not Started"))))</f>
        <v/>
      </c>
      <c r="AP77" s="47"/>
      <c r="AQ77" s="102"/>
      <c r="AR7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7" s="110" t="str">
        <f aca="false">IF(Tasks[[#This Row],[Task Name]]="","",IF(Tasks[[#This Row],[_IsSummary]],SUM(INDEX(Tasks[_LeafTotalWork],Tasks[[#This Row],[_Row]]+1):INDEX(Tasks[_LeafTotalWork],Tasks[[#This Row],[_Row]]+Tasks[[#This Row],[_Descendants]])),Tasks[[#This Row],[_LeafTotalWork]]))</f>
        <v/>
      </c>
      <c r="AU77" s="111" t="str">
        <f aca="false">IF(Tasks[[#This Row],[Task Name]]="","",IF(Tasks[[#This Row],[_IsSummary]],SUM(INDEX(Tasks[_LeafTotalCost],Tasks[[#This Row],[_Row]]+1):INDEX(Tasks[_LeafTotalCost],Tasks[[#This Row],[_Row]]+Tasks[[#This Row],[_Descendants]])),Tasks[[#This Row],[_LeafTotalCost]]))</f>
        <v/>
      </c>
      <c r="AV77" s="112"/>
      <c r="AW77" s="46"/>
      <c r="AX7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7" s="96"/>
      <c r="AZ7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7" s="47"/>
      <c r="BB77" s="25" t="str">
        <f aca="false">IF(Tasks[[#This Row],[Task Name]]="","",Tasks[[#This Row],[Forecast Start]])</f>
        <v/>
      </c>
      <c r="BC77" s="25" t="str">
        <f aca="false">IF(Tasks[[#This Row],[Task Name]]="","",Tasks[[#This Row],[Forecast Finish]])</f>
        <v/>
      </c>
      <c r="BD77" s="45" t="str">
        <f aca="false">IF(Tasks[[#This Row],[Task Name]]="","",IF(Tasks[[#This Row],[_IsSummary]],NETWORKDAYS.INTL(Tasks[[#This Row],[Forecast Start]],Tasks[[#This Row],[Forecast Finish]],WorkWeek,Holidays),N(Tasks[[#This Row],[Duration]])))</f>
        <v/>
      </c>
      <c r="BE77" s="110" t="str">
        <f aca="false">IF(Tasks[[#This Row],[Task Name]]="","",Tasks[[#This Row],[Work]])</f>
        <v/>
      </c>
      <c r="BF77" s="111" t="str">
        <f aca="false">IF(Tasks[[#This Row],[Task Name]]="","",Tasks[[#This Row],[Cost]])</f>
        <v/>
      </c>
      <c r="BG77" s="88"/>
      <c r="BH77" s="88"/>
      <c r="BI77" s="46"/>
      <c r="BJ77" s="113"/>
      <c r="BK77" s="112"/>
      <c r="BL77" s="45" t="str">
        <f aca="false">IF(OR(Tasks[[#This Row],[Task Name]]="",Tasks[[#This Row],[Baseline Duration]]=""),"",Tasks[[#This Row],[BL Source Duration]]-N(Tasks[[#This Row],[Baseline Duration]]))</f>
        <v/>
      </c>
      <c r="BM77" s="110" t="str">
        <f aca="false">IF(OR(Tasks[[#This Row],[Task Name]]="",Tasks[[#This Row],[Baseline Work]]=""),"",Tasks[[#This Row],[Work]]-N(Tasks[[#This Row],[Baseline Work]]))</f>
        <v/>
      </c>
      <c r="BN77" s="111" t="str">
        <f aca="false">IF(OR(Tasks[[#This Row],[Task Name]]="",Tasks[[#This Row],[Baseline Cost]]=""),"",Tasks[[#This Row],[Cost]]-N(Tasks[[#This Row],[Baseline Cost]]))</f>
        <v/>
      </c>
      <c r="BO77" s="111" t="str">
        <f aca="false">IF(Tasks[[#This Row],[Task Name]]="","",IF(Tasks[[#This Row],[_IsSummary]],SUM(INDEX(Tasks[_LeafBudget],Tasks[[#This Row],[_Row]]+1):INDEX(Tasks[_LeafBudget],Tasks[[#This Row],[_Row]]+Tasks[[#This Row],[_Descendants]])),Tasks[[#This Row],[_LeafBudget]]))</f>
        <v/>
      </c>
      <c r="BP77" s="111" t="str">
        <f aca="false">IF(Tasks[[#This Row],[Task Name]]="","",IF(Tasks[[#This Row],[_IsSummary]],SUM(INDEX(Tasks[_LeafPV],Tasks[[#This Row],[_Row]]+1):INDEX(Tasks[_LeafPV],Tasks[[#This Row],[_Row]]+Tasks[[#This Row],[_Descendants]])),Tasks[[#This Row],[_LeafPV]]))</f>
        <v/>
      </c>
      <c r="BQ77" s="111" t="str">
        <f aca="false">IF(Tasks[[#This Row],[Task Name]]="","",IF(Tasks[[#This Row],[_IsSummary]],SUM(INDEX(Tasks[_LeafEV],Tasks[[#This Row],[_Row]]+1):INDEX(Tasks[_LeafEV],Tasks[[#This Row],[_Row]]+Tasks[[#This Row],[_Descendants]])),Tasks[[#This Row],[_LeafEV]]))</f>
        <v/>
      </c>
      <c r="BR77" s="111" t="str">
        <f aca="false">IF(Tasks[[#This Row],[Task Name]]="","",IF(Tasks[[#This Row],[_IsSummary]],SUM(INDEX(Tasks[_LeafAC],Tasks[[#This Row],[_Row]]+1):INDEX(Tasks[_LeafAC],Tasks[[#This Row],[_Row]]+Tasks[[#This Row],[_Descendants]])),Tasks[[#This Row],[_LeafAC]]))</f>
        <v/>
      </c>
      <c r="BS77" s="32" t="str">
        <f aca="false">IF(Tasks[[#This Row],[Task Name]]="","",MAX(1,N(Tasks[[#This Row],[Level]])))</f>
        <v/>
      </c>
      <c r="BT77" s="32" t="n">
        <f aca="false">ROW()-ROW(Tasks[[#Headers],[ID]])</f>
        <v>72</v>
      </c>
      <c r="BU77" s="32" t="n">
        <f aca="false">IF(OR(Tasks[[#This Row],[Task Name]]="",Tasks[[#This Row],[_Level]]&lt;=1),0,IFERROR(LOOKUP(2,1/(Tasks[[#Headers],[_Level]]:Tasks[[#This Row],[_Level]]=Tasks[[#This Row],[_Level]]-1),ROW(Tasks[[#Headers],[_Level]]:Tasks[[#This Row],[_Level]])),0))</f>
        <v>0</v>
      </c>
      <c r="BV77" s="32" t="n">
        <f aca="false">IFERROR(N(INDEX(Tasks[_Level],Tasks[[#This Row],[_Row]]+1)),0)</f>
        <v>0</v>
      </c>
      <c r="BW77" s="114" t="b">
        <f aca="false">AND(Tasks[[#This Row],[Task Name]]&lt;&gt;"",Tasks[[#This Row],[_NextLevel]]&gt;Tasks[[#This Row],[_Level]])</f>
        <v>0</v>
      </c>
      <c r="BX77" s="32" t="n">
        <f aca="false">IF(Tasks[[#This Row],[_IsSummary]],COUNTIF(Tasks[WBS],Tasks[[#This Row],[WBS]]&amp;".*"),0)</f>
        <v>0</v>
      </c>
      <c r="BY77" s="32" t="n">
        <f aca="false">IF(AND(Tasks[[#This Row],[Task Name]]&lt;&gt;"",NOT(Tasks[[#This Row],[_IsSummary]])),1,0)</f>
        <v>0</v>
      </c>
      <c r="BZ77" s="32" t="n">
        <f aca="false">IF(N(Tasks[[#This Row],[Pred1 UID]])=0,0,IFERROR(MATCH(Tasks[[#This Row],[Pred1 UID]],Tasks[UID],0),-1))</f>
        <v>0</v>
      </c>
      <c r="CA77" s="32" t="n">
        <f aca="false">IF(N(Tasks[[#This Row],[Pred2 UID]])=0,0,IFERROR(MATCH(Tasks[[#This Row],[Pred2 UID]],Tasks[UID],0),-1))</f>
        <v>0</v>
      </c>
      <c r="CB77" s="32" t="n">
        <f aca="false">IF(N(Tasks[[#This Row],[Pred3 UID]])=0,0,IFERROR(MATCH(Tasks[[#This Row],[Pred3 UID]],Tasks[UID],0),-1))</f>
        <v>0</v>
      </c>
      <c r="CC77" s="32" t="n">
        <f aca="false">IF(N(Tasks[[#This Row],[Pred4 UID]])=0,0,IFERROR(MATCH(Tasks[[#This Row],[Pred4 UID]],Tasks[UID],0),-1))</f>
        <v>0</v>
      </c>
      <c r="CD7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7" s="115" t="n">
        <f aca="false">IF(OR(Tasks[[#This Row],[_ConstraintCode]]=2,Tasks[[#This Row],[_ConstraintCode]]=3,Tasks[[#This Row],[_ConstraintCode]]=4,Tasks[[#This Row],[_ConstraintCode]]=6),Tasks[[#This Row],[_ConstraintStart]],0)</f>
        <v>0</v>
      </c>
      <c r="CG77" s="115" t="n">
        <f aca="false">IF(OR(Tasks[[#This Row],[_ConstraintCode]]=2,Tasks[[#This Row],[_ConstraintCode]]=3,Tasks[[#This Row],[_ConstraintCode]]=5,Tasks[[#This Row],[_ConstraintCode]]=7),Tasks[[#This Row],[_ConstraintStart]],2958465)</f>
        <v>2958465</v>
      </c>
      <c r="CH7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7" s="115" t="str">
        <f aca="false">IF(NOT(Tasks[[#This Row],[_IsLeaf]]=1),"",IF(N(Tasks[[#This Row],[Duration]])&lt;=0,Tasks[[#This Row],[_LeafCalcStart]],WORKDAY.INTL(Tasks[[#This Row],[_LeafCalcStart]],Tasks[[#This Row],[Duration]]-1,WorkWeek,Holidays)))</f>
        <v/>
      </c>
      <c r="CJ7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7" s="32" t="n">
        <f aca="false">IF(NOT(Tasks[[#This Row],[_IsLeaf]]=1),0,IF(N(Tasks[[#This Row],[Actual Finish]])&gt;0,1,MIN(1,N(Tasks[[#This Row],[% Complete]]))))</f>
        <v>0</v>
      </c>
      <c r="CM77" s="32" t="n">
        <f aca="false">IF(OR(NOT(Tasks[[#This Row],[_IsLeaf]]=1),Tasks[[#This Row],[Resource]]=""),0,N(Tasks[[#This Row],[Duration]])*HoursPerDay*IF(Tasks[[#This Row],[Units]]="",DefaultUnits,Tasks[[#This Row],[Units]]))</f>
        <v>0</v>
      </c>
      <c r="CN77" s="32" t="n">
        <f aca="false">IF(Tasks[[#This Row],[_LeafWork]]=0,0,Tasks[[#This Row],[_LeafWork]]*IFERROR(INDEX(res_Rate,MATCH(Tasks[[#This Row],[Resource]],res_Name,0)),0))</f>
        <v>0</v>
      </c>
      <c r="CO77" s="32" t="n">
        <f aca="false">Tasks[[#This Row],[_LeafWork]]+IF(Tasks[[#This Row],[_IsLeaf]]=1,SUMIFS(asg_Work,asg_TaskUID,Tasks[[#This Row],[UID]],asg_Valid,1),0)</f>
        <v>0</v>
      </c>
      <c r="CP77" s="32" t="n">
        <f aca="false">Tasks[[#This Row],[_LeafCost]]+IF(Tasks[[#This Row],[_IsLeaf]]=1,SUMIFS(asg_Cost,asg_TaskUID,Tasks[[#This Row],[UID]],asg_Valid,1),0)</f>
        <v>0</v>
      </c>
      <c r="CQ77" s="32" t="n">
        <f aca="false">IF(Tasks[[#This Row],[_LeafTotalCost]]=0,Tasks[[#This Row],[_LeafAC]],Tasks[[#This Row],[_LeafAC]]*Tasks[[#This Row],[_LeafCost]]/Tasks[[#This Row],[_LeafTotalCost]])</f>
        <v>0</v>
      </c>
      <c r="CR7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7" s="32" t="n">
        <f aca="false">IF(NOT(Tasks[[#This Row],[_IsLeaf]]=1),0,MAX(_xlfn.MAXIFS(Tasks[_Row],Tasks[Pred1 UID],Tasks[[#This Row],[UID]]),_xlfn.MAXIFS(Tasks[_Row],Tasks[Pred2 UID],Tasks[[#This Row],[UID]]),_xlfn.MAXIFS(Tasks[_Row],Tasks[Pred3 UID],Tasks[[#This Row],[UID]]),_xlfn.MAXIFS(Tasks[_Row],Tasks[Pred4 UID],Tasks[[#This Row],[UID]])))</f>
        <v>0</v>
      </c>
      <c r="DA7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7" s="115" t="str">
        <f aca="false">IF(NOT(Tasks[[#This Row],[_IsLeaf]]=1),"",IF(N(Tasks[[#This Row],[Duration]])&lt;=0,Tasks[[#This Row],[_LeafLateFinish]],WORKDAY.INTL(Tasks[[#This Row],[_LeafLateFinish]],-(Tasks[[#This Row],[Duration]]-1),WorkWeek,Holidays)))</f>
        <v/>
      </c>
      <c r="DD7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7" s="114" t="b">
        <f aca="false">AND(Tasks[[#This Row],[_IsLeaf]]=1,Tasks[[#This Row],[_LeafProgress]]&lt;1,N(Tasks[[#This Row],[_LeafTotalSlack]])&lt;=CriticalSlackDays)</f>
        <v>0</v>
      </c>
      <c r="DF77" s="32" t="n">
        <f aca="false">IF(AND(Tasks[[#This Row],[_IsLeaf]]=1,Tasks[[#This Row],[_ConstraintCode]]=1,Tasks[[#This Row],[Mode]]&lt;&gt;"Manual",N(Tasks[[#This Row],[Actual Start]])=0),MAX(0,N(Tasks[[#This Row],[Free Slack]])),0)</f>
        <v>0</v>
      </c>
      <c r="DG77" s="115" t="str">
        <f aca="false">IF(NOT(Tasks[[#This Row],[_IsLeaf]]=1),"",IF(Tasks[[#This Row],[_AlapShift]]=0,Tasks[[#This Row],[_LeafCalcStart]],WORKDAY.INTL(Tasks[[#This Row],[_LeafCalcStart]],Tasks[[#This Row],[_AlapShift]],WorkWeek,Holidays)))</f>
        <v/>
      </c>
      <c r="DH77" s="115" t="str">
        <f aca="false">IF(NOT(Tasks[[#This Row],[_IsLeaf]]=1),"",IF(Tasks[[#This Row],[_AlapShift]]=0,Tasks[[#This Row],[_LeafCalcFinish]],WORKDAY.INTL(Tasks[[#This Row],[_LeafCalcFinish]],Tasks[[#This Row],[_AlapShift]],WorkWeek,Holidays)))</f>
        <v/>
      </c>
      <c r="DI77" s="115" t="str">
        <f aca="false">IF(NOT(Tasks[[#This Row],[_IsLeaf]]=1),"",IF(Tasks[[#This Row],[_AlapShift]]=0,Tasks[[#This Row],[_LeafFcstStart]],WORKDAY.INTL(Tasks[[#This Row],[_LeafFcstStart]],Tasks[[#This Row],[_AlapShift]],WorkWeek,Holidays)))</f>
        <v/>
      </c>
      <c r="DJ77" s="115" t="str">
        <f aca="false">IF(NOT(Tasks[[#This Row],[_IsLeaf]]=1),"",IF(Tasks[[#This Row],[_AlapShift]]=0,Tasks[[#This Row],[_LeafFcstFinish]],WORKDAY.INTL(Tasks[[#This Row],[_LeafFcstFinish]],Tasks[[#This Row],[_AlapShift]],WorkWeek,Holidays)))</f>
        <v/>
      </c>
      <c r="DK77" s="115" t="str">
        <f aca="false">IF(Tasks[[#This Row],[Task Name]]="","",IF(Tasks[[#This Row],[_IsSummary]],MIN(INDEX(Tasks[_ShownCalcStart],Tasks[[#This Row],[_Row]]+1):INDEX(Tasks[_ShownCalcStart],Tasks[[#This Row],[_Row]]+Tasks[[#This Row],[_Descendants]])),Tasks[[#This Row],[_ShownCalcStart]]))</f>
        <v/>
      </c>
      <c r="DL77" s="115" t="str">
        <f aca="false">IF(Tasks[[#This Row],[Task Name]]="","",IF(Tasks[[#This Row],[_IsSummary]],MAX(INDEX(Tasks[_ShownCalcFinish],Tasks[[#This Row],[_Row]]+1):INDEX(Tasks[_ShownCalcFinish],Tasks[[#This Row],[_Row]]+Tasks[[#This Row],[_Descendants]])),Tasks[[#This Row],[_ShownCalcFinish]]))</f>
        <v/>
      </c>
      <c r="DM7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7" s="32" t="n">
        <f aca="false">IF(AND(Tasks[[#This Row],[_IsLeaf]]=1,Tasks[[#This Row],[_LeafTotalWork]]&gt;0),NETWORKDAYS.INTL(ProjectStart,Tasks[[#This Row],[_ShownFcstStart]],WorkWeek,Holidays),0)</f>
        <v>0</v>
      </c>
      <c r="DZ77" s="32" t="n">
        <f aca="false">IF(AND(Tasks[[#This Row],[_IsLeaf]]=1,Tasks[[#This Row],[_LeafTotalWork]]&gt;0),MAX(Tasks[[#This Row],[_StartWorkday]],NETWORKDAYS.INTL(ProjectStart,Tasks[[#This Row],[_ShownFcstFinish]],WorkWeek,Holidays)),0)</f>
        <v>0</v>
      </c>
      <c r="EA77" s="32" t="n">
        <f aca="false">IF(AND(Tasks[[#This Row],[_IsLeaf]]=1,Tasks[[#This Row],[_LeafTotalWork]]&gt;0),Tasks[[#This Row],[_LeafWork]]/(Tasks[[#This Row],[_FinishWorkday]]-Tasks[[#This Row],[_StartWorkday]]+1),0)</f>
        <v>0</v>
      </c>
      <c r="EB77" s="32" t="n">
        <f aca="false">Tasks[[#This Row],[_WorkPerWorkday]]*(Tasks[[#This Row],[_StartWorkday]]-1)</f>
        <v>-0</v>
      </c>
      <c r="EC77" s="32" t="n">
        <f aca="false">IF(Tasks[[#This Row],[_IsLeaf]]=1,MAX(N(Tasks[[#This Row],[Duration]]),0.1),0)</f>
        <v>0</v>
      </c>
      <c r="ED77" s="32" t="n">
        <f aca="false">Tasks[[#This Row],[_WeightDur]]*Tasks[[#This Row],[_LeafProgress]]</f>
        <v>0</v>
      </c>
      <c r="EE7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7" s="32" t="str">
        <f aca="false">IF(AND(Tasks[[#This Row],[_IsLeaf]]=1,N(Tasks[[#This Row],[Duration]])=0,Tasks[[#This Row],[_LeafProgress]]&lt;1),Tasks[[#This Row],[_ShownFcstFinish]]+Tasks[[#This Row],[_Row]]/100000,"")</f>
        <v/>
      </c>
      <c r="EG7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7" s="32" t="n">
        <f aca="false">IF(NOT(Tasks[[#This Row],[_IsLeaf]]=1),0,IF(Tasks[[#This Row],[Baseline Cost]]="",Tasks[[#This Row],[_LeafTotalCost]],N(Tasks[[#This Row],[Baseline Cost]])))</f>
        <v>0</v>
      </c>
      <c r="EI77" s="32" t="n">
        <f aca="false">Tasks[[#This Row],[_LeafBudget]]*Tasks[[#This Row],[_PlannedPct]]</f>
        <v>0</v>
      </c>
      <c r="EJ77" s="32" t="n">
        <f aca="false">Tasks[[#This Row],[_LeafBudget]]*Tasks[[#This Row],[_LeafProgress]]</f>
        <v>0</v>
      </c>
      <c r="EK77" s="32" t="n">
        <f aca="false">IF(NOT(Tasks[[#This Row],[_IsLeaf]]=1),0,IF(Tasks[[#This Row],[Actual Cost]]="",Tasks[[#This Row],[_LeafTotalCost]]*Tasks[[#This Row],[_LeafProgress]],N(Tasks[[#This Row],[Actual Cost]])))</f>
        <v>0</v>
      </c>
      <c r="EL77" s="32" t="str">
        <f aca="false">IF(Tasks[[#This Row],[Task Name]]="","",LEFT(Tasks[[#This Row],[WBS]],FIND(".",Tasks[[#This Row],[WBS]]&amp;".")-1))</f>
        <v/>
      </c>
      <c r="EM77" s="32" t="str">
        <f aca="false">IF(AND(Tasks[[#This Row],[Task Name]]&lt;&gt;"",Tasks[[#This Row],[_Level]]=1),Tasks[[#This Row],[_Row]],"")</f>
        <v/>
      </c>
      <c r="EN77" s="32" t="str">
        <f aca="false">IF(AND(Tasks[[#This Row],[_IsLeaf]]=1,N(Tasks[[#This Row],[Duration]])=0),Tasks[[#This Row],[Planned Finish]]+Tasks[[#This Row],[_Row]]/100000,"")</f>
        <v/>
      </c>
      <c r="EO77" s="32" t="str">
        <f aca="false">IF(AND(Tasks[[#This Row],[_IsLeaf]]=1,Tasks[[#This Row],[_LeafProgress]]&lt;1,OR(N(Tasks[[#This Row],[Finish Var]])&gt;0,Tasks[[#This Row],[Status]]="Late Start")),MAX(0,Tasks[[#This Row],[Finish Var]])+1-Tasks[[#This Row],[_Row]]/1000000,"")</f>
        <v/>
      </c>
      <c r="EP77" s="32" t="str">
        <f aca="false">IF(AND(Tasks[[#This Row],[_IsLeaf]]=1,N(Tasks[[#This Row],[Actual Start]])=0,Tasks[[#This Row],[_ShownFcstStart]]&gt;=StatusDate,Tasks[[#This Row],[_ShownFcstStart]]&lt;=LookaheadEnd),Tasks[[#This Row],[_ShownFcstStart]]+Tasks[[#This Row],[_Row]]/100000,"")</f>
        <v/>
      </c>
      <c r="EQ77" s="32" t="str">
        <f aca="false">IF(AND(Tasks[[#This Row],[_IsLeaf]]=1,Tasks[[#This Row],[_LeafProgress]]&lt;1,Tasks[[#This Row],[_ShownFcstFinish]]&gt;=StatusDate,Tasks[[#This Row],[_ShownFcstFinish]]&lt;=LookaheadEnd),Tasks[[#This Row],[_ShownFcstFinish]]+Tasks[[#This Row],[_Row]]/100000,"")</f>
        <v/>
      </c>
      <c r="ER77" s="32" t="str">
        <f aca="false">IF(Tasks[[#This Row],[_LeafCritical]],Tasks[[#This Row],[_ShownFcstStart]]+Tasks[[#This Row],[_Row]]/100000,"")</f>
        <v/>
      </c>
      <c r="ES77" s="32" t="n">
        <f aca="false">Tasks[[#This Row],[_LeafWork]]*Tasks[[#This Row],[_LeafProgress]]</f>
        <v>0</v>
      </c>
      <c r="ET77" s="115" t="str">
        <f aca="false">IF(AND(Tasks[[#This Row],[_IsLeaf]]=1,Tasks[[#This Row],[_LeafProgress]]&gt;=1),IF(N(Tasks[[#This Row],[Actual Finish]])&gt;0,Tasks[[#This Row],[Actual Finish]],Tasks[[#This Row],[_ShownFcstFinish]]),"")</f>
        <v/>
      </c>
      <c r="EU77" s="32" t="n">
        <f aca="false">IF(Tasks[[#This Row],[_IsLeaf]]=1,N(Tasks[[#This Row],[Story Points]]),0)</f>
        <v>0</v>
      </c>
      <c r="EV77" s="32" t="str">
        <f aca="false">IF(AND(Tasks[[#This Row],[_IsLeaf]]=1,CurrentSprint&lt;&gt;"",Tasks[[#This Row],[Sprint]]=CurrentSprint),Tasks[[#This Row],[_Row]],"")</f>
        <v/>
      </c>
    </row>
    <row r="78" customFormat="false" ht="15" hidden="false" customHeight="false" outlineLevel="0" collapsed="false">
      <c r="A78" s="45" t="str">
        <f aca="false">IF(Tasks[[#This Row],[Task Name]]="","",COUNTA(Tasks[[#Headers],[Task Name]]:Tasks[[#This Row],[Task Name]])-1)</f>
        <v/>
      </c>
      <c r="B78" s="46" t="n">
        <v>73</v>
      </c>
      <c r="C7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8" s="46"/>
      <c r="E78" s="45" t="str">
        <f aca="false">IF(Tasks[[#This Row],[Task Name]]="","",IF(Tasks[[#This Row],[_Level]]&lt;=OutlineShowLevel,"Yes","No"))</f>
        <v/>
      </c>
      <c r="F78" s="47"/>
      <c r="G78" s="46"/>
      <c r="H78" s="46"/>
      <c r="I78" s="46"/>
      <c r="J78" s="46"/>
      <c r="K78" s="46"/>
      <c r="L78" s="46"/>
      <c r="M78" s="46"/>
      <c r="N78" s="46"/>
      <c r="O78" s="46"/>
      <c r="P78" s="46"/>
      <c r="Q78" s="46"/>
      <c r="R78" s="46"/>
      <c r="S78" s="46"/>
      <c r="T78" s="46"/>
      <c r="U78" s="47"/>
      <c r="V78" s="88"/>
      <c r="W78" s="88"/>
      <c r="X78" s="25" t="str">
        <f aca="false">IF(Tasks[[#This Row],[Task Name]]="","",IF(N(Tasks[[#This Row],[Baseline Start]])&gt;0,Tasks[[#This Row],[Baseline Start]],Tasks[[#This Row],[_CalcStart]]))</f>
        <v/>
      </c>
      <c r="Y78" s="25" t="str">
        <f aca="false">IF(Tasks[[#This Row],[Task Name]]="","",IF(N(Tasks[[#This Row],[Baseline Finish]])&gt;0,Tasks[[#This Row],[Baseline Finish]],Tasks[[#This Row],[_CalcFinish]]))</f>
        <v/>
      </c>
      <c r="Z78" s="88"/>
      <c r="AA78" s="88"/>
      <c r="AB78" s="25" t="str">
        <f aca="false">IF(Tasks[[#This Row],[Task Name]]="","",IF(Tasks[[#This Row],[_IsSummary]],MIN(INDEX(Tasks[_ShownFcstStart],Tasks[[#This Row],[_Row]]+1):INDEX(Tasks[_ShownFcstStart],Tasks[[#This Row],[_Row]]+Tasks[[#This Row],[_Descendants]])),Tasks[[#This Row],[_ShownFcstStart]]))</f>
        <v/>
      </c>
      <c r="AC78" s="25" t="str">
        <f aca="false">IF(Tasks[[#This Row],[Task Name]]="","",IF(Tasks[[#This Row],[_IsSummary]],MAX(INDEX(Tasks[_ShownFcstFinish],Tasks[[#This Row],[_Row]]+1):INDEX(Tasks[_ShownFcstFinish],Tasks[[#This Row],[_Row]]+Tasks[[#This Row],[_Descendants]])),Tasks[[#This Row],[_ShownFcstFinish]]))</f>
        <v/>
      </c>
      <c r="AD7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8" s="25" t="str">
        <f aca="false">IF(Tasks[[#This Row],[Task Name]]="","",IF(Tasks[[#This Row],[_IsSummary]],MIN(INDEX(Tasks[_LeafLateStart],Tasks[[#This Row],[_Row]]+1):INDEX(Tasks[_LeafLateStart],Tasks[[#This Row],[_Row]]+Tasks[[#This Row],[_Descendants]])),Tasks[[#This Row],[_LeafLateStart]]))</f>
        <v/>
      </c>
      <c r="AG78" s="25" t="str">
        <f aca="false">IF(Tasks[[#This Row],[Task Name]]="","",IF(Tasks[[#This Row],[_IsSummary]],MAX(INDEX(Tasks[_LeafLateFinish],Tasks[[#This Row],[_Row]]+1):INDEX(Tasks[_LeafLateFinish],Tasks[[#This Row],[_Row]]+Tasks[[#This Row],[_Descendants]])),Tasks[[#This Row],[_LeafLateFinish]]))</f>
        <v/>
      </c>
      <c r="AH78" s="56" t="str">
        <f aca="false">IF(Tasks[[#This Row],[Task Name]]="","",IF(Tasks[[#This Row],[_IsSummary]],MIN(INDEX(Tasks[_LeafTotalSlack],Tasks[[#This Row],[_Row]]+1):INDEX(Tasks[_LeafTotalSlack],Tasks[[#This Row],[_Row]]+Tasks[[#This Row],[_Descendants]])),Tasks[[#This Row],[_LeafTotalSlack]]))</f>
        <v/>
      </c>
      <c r="AI7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8" s="45" t="str">
        <f aca="false">IF(Tasks[[#This Row],[Task Name]]="","",IF(IF(Tasks[[#This Row],[_IsSummary]],COUNTIF(INDEX(Tasks[_LeafCritical],Tasks[[#This Row],[_Row]]+1):INDEX(Tasks[_LeafCritical],Tasks[[#This Row],[_Row]]+Tasks[[#This Row],[_Descendants]]),TRUE())&gt;0,Tasks[[#This Row],[_LeafCritical]]),"Yes",""))</f>
        <v/>
      </c>
      <c r="AK7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8" s="102"/>
      <c r="AN7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8" s="45" t="str">
        <f aca="false">IF(Tasks[[#This Row],[Task Name]]="","",IF(Tasks[[#This Row],[Progress]]&gt;=1,"Complete",IF(OR(N(Tasks[[#This Row],[Actual Start]])&gt;0,Tasks[[#This Row],[Progress]]&gt;0),IF(Tasks[[#This Row],[Finish Var]]&gt;0,"Behind","In Progress"),IF(Tasks[[#This Row],[Planned Start]]&lt;StatusDate,"Late Start","Not Started"))))</f>
        <v/>
      </c>
      <c r="AP78" s="47"/>
      <c r="AQ78" s="102"/>
      <c r="AR7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8" s="110" t="str">
        <f aca="false">IF(Tasks[[#This Row],[Task Name]]="","",IF(Tasks[[#This Row],[_IsSummary]],SUM(INDEX(Tasks[_LeafTotalWork],Tasks[[#This Row],[_Row]]+1):INDEX(Tasks[_LeafTotalWork],Tasks[[#This Row],[_Row]]+Tasks[[#This Row],[_Descendants]])),Tasks[[#This Row],[_LeafTotalWork]]))</f>
        <v/>
      </c>
      <c r="AU78" s="111" t="str">
        <f aca="false">IF(Tasks[[#This Row],[Task Name]]="","",IF(Tasks[[#This Row],[_IsSummary]],SUM(INDEX(Tasks[_LeafTotalCost],Tasks[[#This Row],[_Row]]+1):INDEX(Tasks[_LeafTotalCost],Tasks[[#This Row],[_Row]]+Tasks[[#This Row],[_Descendants]])),Tasks[[#This Row],[_LeafTotalCost]]))</f>
        <v/>
      </c>
      <c r="AV78" s="112"/>
      <c r="AW78" s="46"/>
      <c r="AX7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8" s="96"/>
      <c r="AZ7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8" s="47"/>
      <c r="BB78" s="25" t="str">
        <f aca="false">IF(Tasks[[#This Row],[Task Name]]="","",Tasks[[#This Row],[Forecast Start]])</f>
        <v/>
      </c>
      <c r="BC78" s="25" t="str">
        <f aca="false">IF(Tasks[[#This Row],[Task Name]]="","",Tasks[[#This Row],[Forecast Finish]])</f>
        <v/>
      </c>
      <c r="BD78" s="45" t="str">
        <f aca="false">IF(Tasks[[#This Row],[Task Name]]="","",IF(Tasks[[#This Row],[_IsSummary]],NETWORKDAYS.INTL(Tasks[[#This Row],[Forecast Start]],Tasks[[#This Row],[Forecast Finish]],WorkWeek,Holidays),N(Tasks[[#This Row],[Duration]])))</f>
        <v/>
      </c>
      <c r="BE78" s="110" t="str">
        <f aca="false">IF(Tasks[[#This Row],[Task Name]]="","",Tasks[[#This Row],[Work]])</f>
        <v/>
      </c>
      <c r="BF78" s="111" t="str">
        <f aca="false">IF(Tasks[[#This Row],[Task Name]]="","",Tasks[[#This Row],[Cost]])</f>
        <v/>
      </c>
      <c r="BG78" s="88"/>
      <c r="BH78" s="88"/>
      <c r="BI78" s="46"/>
      <c r="BJ78" s="113"/>
      <c r="BK78" s="112"/>
      <c r="BL78" s="45" t="str">
        <f aca="false">IF(OR(Tasks[[#This Row],[Task Name]]="",Tasks[[#This Row],[Baseline Duration]]=""),"",Tasks[[#This Row],[BL Source Duration]]-N(Tasks[[#This Row],[Baseline Duration]]))</f>
        <v/>
      </c>
      <c r="BM78" s="110" t="str">
        <f aca="false">IF(OR(Tasks[[#This Row],[Task Name]]="",Tasks[[#This Row],[Baseline Work]]=""),"",Tasks[[#This Row],[Work]]-N(Tasks[[#This Row],[Baseline Work]]))</f>
        <v/>
      </c>
      <c r="BN78" s="111" t="str">
        <f aca="false">IF(OR(Tasks[[#This Row],[Task Name]]="",Tasks[[#This Row],[Baseline Cost]]=""),"",Tasks[[#This Row],[Cost]]-N(Tasks[[#This Row],[Baseline Cost]]))</f>
        <v/>
      </c>
      <c r="BO78" s="111" t="str">
        <f aca="false">IF(Tasks[[#This Row],[Task Name]]="","",IF(Tasks[[#This Row],[_IsSummary]],SUM(INDEX(Tasks[_LeafBudget],Tasks[[#This Row],[_Row]]+1):INDEX(Tasks[_LeafBudget],Tasks[[#This Row],[_Row]]+Tasks[[#This Row],[_Descendants]])),Tasks[[#This Row],[_LeafBudget]]))</f>
        <v/>
      </c>
      <c r="BP78" s="111" t="str">
        <f aca="false">IF(Tasks[[#This Row],[Task Name]]="","",IF(Tasks[[#This Row],[_IsSummary]],SUM(INDEX(Tasks[_LeafPV],Tasks[[#This Row],[_Row]]+1):INDEX(Tasks[_LeafPV],Tasks[[#This Row],[_Row]]+Tasks[[#This Row],[_Descendants]])),Tasks[[#This Row],[_LeafPV]]))</f>
        <v/>
      </c>
      <c r="BQ78" s="111" t="str">
        <f aca="false">IF(Tasks[[#This Row],[Task Name]]="","",IF(Tasks[[#This Row],[_IsSummary]],SUM(INDEX(Tasks[_LeafEV],Tasks[[#This Row],[_Row]]+1):INDEX(Tasks[_LeafEV],Tasks[[#This Row],[_Row]]+Tasks[[#This Row],[_Descendants]])),Tasks[[#This Row],[_LeafEV]]))</f>
        <v/>
      </c>
      <c r="BR78" s="111" t="str">
        <f aca="false">IF(Tasks[[#This Row],[Task Name]]="","",IF(Tasks[[#This Row],[_IsSummary]],SUM(INDEX(Tasks[_LeafAC],Tasks[[#This Row],[_Row]]+1):INDEX(Tasks[_LeafAC],Tasks[[#This Row],[_Row]]+Tasks[[#This Row],[_Descendants]])),Tasks[[#This Row],[_LeafAC]]))</f>
        <v/>
      </c>
      <c r="BS78" s="32" t="str">
        <f aca="false">IF(Tasks[[#This Row],[Task Name]]="","",MAX(1,N(Tasks[[#This Row],[Level]])))</f>
        <v/>
      </c>
      <c r="BT78" s="32" t="n">
        <f aca="false">ROW()-ROW(Tasks[[#Headers],[ID]])</f>
        <v>73</v>
      </c>
      <c r="BU78" s="32" t="n">
        <f aca="false">IF(OR(Tasks[[#This Row],[Task Name]]="",Tasks[[#This Row],[_Level]]&lt;=1),0,IFERROR(LOOKUP(2,1/(Tasks[[#Headers],[_Level]]:Tasks[[#This Row],[_Level]]=Tasks[[#This Row],[_Level]]-1),ROW(Tasks[[#Headers],[_Level]]:Tasks[[#This Row],[_Level]])),0))</f>
        <v>0</v>
      </c>
      <c r="BV78" s="32" t="n">
        <f aca="false">IFERROR(N(INDEX(Tasks[_Level],Tasks[[#This Row],[_Row]]+1)),0)</f>
        <v>0</v>
      </c>
      <c r="BW78" s="114" t="b">
        <f aca="false">AND(Tasks[[#This Row],[Task Name]]&lt;&gt;"",Tasks[[#This Row],[_NextLevel]]&gt;Tasks[[#This Row],[_Level]])</f>
        <v>0</v>
      </c>
      <c r="BX78" s="32" t="n">
        <f aca="false">IF(Tasks[[#This Row],[_IsSummary]],COUNTIF(Tasks[WBS],Tasks[[#This Row],[WBS]]&amp;".*"),0)</f>
        <v>0</v>
      </c>
      <c r="BY78" s="32" t="n">
        <f aca="false">IF(AND(Tasks[[#This Row],[Task Name]]&lt;&gt;"",NOT(Tasks[[#This Row],[_IsSummary]])),1,0)</f>
        <v>0</v>
      </c>
      <c r="BZ78" s="32" t="n">
        <f aca="false">IF(N(Tasks[[#This Row],[Pred1 UID]])=0,0,IFERROR(MATCH(Tasks[[#This Row],[Pred1 UID]],Tasks[UID],0),-1))</f>
        <v>0</v>
      </c>
      <c r="CA78" s="32" t="n">
        <f aca="false">IF(N(Tasks[[#This Row],[Pred2 UID]])=0,0,IFERROR(MATCH(Tasks[[#This Row],[Pred2 UID]],Tasks[UID],0),-1))</f>
        <v>0</v>
      </c>
      <c r="CB78" s="32" t="n">
        <f aca="false">IF(N(Tasks[[#This Row],[Pred3 UID]])=0,0,IFERROR(MATCH(Tasks[[#This Row],[Pred3 UID]],Tasks[UID],0),-1))</f>
        <v>0</v>
      </c>
      <c r="CC78" s="32" t="n">
        <f aca="false">IF(N(Tasks[[#This Row],[Pred4 UID]])=0,0,IFERROR(MATCH(Tasks[[#This Row],[Pred4 UID]],Tasks[UID],0),-1))</f>
        <v>0</v>
      </c>
      <c r="CD7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8" s="115" t="n">
        <f aca="false">IF(OR(Tasks[[#This Row],[_ConstraintCode]]=2,Tasks[[#This Row],[_ConstraintCode]]=3,Tasks[[#This Row],[_ConstraintCode]]=4,Tasks[[#This Row],[_ConstraintCode]]=6),Tasks[[#This Row],[_ConstraintStart]],0)</f>
        <v>0</v>
      </c>
      <c r="CG78" s="115" t="n">
        <f aca="false">IF(OR(Tasks[[#This Row],[_ConstraintCode]]=2,Tasks[[#This Row],[_ConstraintCode]]=3,Tasks[[#This Row],[_ConstraintCode]]=5,Tasks[[#This Row],[_ConstraintCode]]=7),Tasks[[#This Row],[_ConstraintStart]],2958465)</f>
        <v>2958465</v>
      </c>
      <c r="CH7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8" s="115" t="str">
        <f aca="false">IF(NOT(Tasks[[#This Row],[_IsLeaf]]=1),"",IF(N(Tasks[[#This Row],[Duration]])&lt;=0,Tasks[[#This Row],[_LeafCalcStart]],WORKDAY.INTL(Tasks[[#This Row],[_LeafCalcStart]],Tasks[[#This Row],[Duration]]-1,WorkWeek,Holidays)))</f>
        <v/>
      </c>
      <c r="CJ7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8" s="32" t="n">
        <f aca="false">IF(NOT(Tasks[[#This Row],[_IsLeaf]]=1),0,IF(N(Tasks[[#This Row],[Actual Finish]])&gt;0,1,MIN(1,N(Tasks[[#This Row],[% Complete]]))))</f>
        <v>0</v>
      </c>
      <c r="CM78" s="32" t="n">
        <f aca="false">IF(OR(NOT(Tasks[[#This Row],[_IsLeaf]]=1),Tasks[[#This Row],[Resource]]=""),0,N(Tasks[[#This Row],[Duration]])*HoursPerDay*IF(Tasks[[#This Row],[Units]]="",DefaultUnits,Tasks[[#This Row],[Units]]))</f>
        <v>0</v>
      </c>
      <c r="CN78" s="32" t="n">
        <f aca="false">IF(Tasks[[#This Row],[_LeafWork]]=0,0,Tasks[[#This Row],[_LeafWork]]*IFERROR(INDEX(res_Rate,MATCH(Tasks[[#This Row],[Resource]],res_Name,0)),0))</f>
        <v>0</v>
      </c>
      <c r="CO78" s="32" t="n">
        <f aca="false">Tasks[[#This Row],[_LeafWork]]+IF(Tasks[[#This Row],[_IsLeaf]]=1,SUMIFS(asg_Work,asg_TaskUID,Tasks[[#This Row],[UID]],asg_Valid,1),0)</f>
        <v>0</v>
      </c>
      <c r="CP78" s="32" t="n">
        <f aca="false">Tasks[[#This Row],[_LeafCost]]+IF(Tasks[[#This Row],[_IsLeaf]]=1,SUMIFS(asg_Cost,asg_TaskUID,Tasks[[#This Row],[UID]],asg_Valid,1),0)</f>
        <v>0</v>
      </c>
      <c r="CQ78" s="32" t="n">
        <f aca="false">IF(Tasks[[#This Row],[_LeafTotalCost]]=0,Tasks[[#This Row],[_LeafAC]],Tasks[[#This Row],[_LeafAC]]*Tasks[[#This Row],[_LeafCost]]/Tasks[[#This Row],[_LeafTotalCost]])</f>
        <v>0</v>
      </c>
      <c r="CR7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8" s="32" t="n">
        <f aca="false">IF(NOT(Tasks[[#This Row],[_IsLeaf]]=1),0,MAX(_xlfn.MAXIFS(Tasks[_Row],Tasks[Pred1 UID],Tasks[[#This Row],[UID]]),_xlfn.MAXIFS(Tasks[_Row],Tasks[Pred2 UID],Tasks[[#This Row],[UID]]),_xlfn.MAXIFS(Tasks[_Row],Tasks[Pred3 UID],Tasks[[#This Row],[UID]]),_xlfn.MAXIFS(Tasks[_Row],Tasks[Pred4 UID],Tasks[[#This Row],[UID]])))</f>
        <v>0</v>
      </c>
      <c r="DA7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8" s="115" t="str">
        <f aca="false">IF(NOT(Tasks[[#This Row],[_IsLeaf]]=1),"",IF(N(Tasks[[#This Row],[Duration]])&lt;=0,Tasks[[#This Row],[_LeafLateFinish]],WORKDAY.INTL(Tasks[[#This Row],[_LeafLateFinish]],-(Tasks[[#This Row],[Duration]]-1),WorkWeek,Holidays)))</f>
        <v/>
      </c>
      <c r="DD7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8" s="114" t="b">
        <f aca="false">AND(Tasks[[#This Row],[_IsLeaf]]=1,Tasks[[#This Row],[_LeafProgress]]&lt;1,N(Tasks[[#This Row],[_LeafTotalSlack]])&lt;=CriticalSlackDays)</f>
        <v>0</v>
      </c>
      <c r="DF78" s="32" t="n">
        <f aca="false">IF(AND(Tasks[[#This Row],[_IsLeaf]]=1,Tasks[[#This Row],[_ConstraintCode]]=1,Tasks[[#This Row],[Mode]]&lt;&gt;"Manual",N(Tasks[[#This Row],[Actual Start]])=0),MAX(0,N(Tasks[[#This Row],[Free Slack]])),0)</f>
        <v>0</v>
      </c>
      <c r="DG78" s="115" t="str">
        <f aca="false">IF(NOT(Tasks[[#This Row],[_IsLeaf]]=1),"",IF(Tasks[[#This Row],[_AlapShift]]=0,Tasks[[#This Row],[_LeafCalcStart]],WORKDAY.INTL(Tasks[[#This Row],[_LeafCalcStart]],Tasks[[#This Row],[_AlapShift]],WorkWeek,Holidays)))</f>
        <v/>
      </c>
      <c r="DH78" s="115" t="str">
        <f aca="false">IF(NOT(Tasks[[#This Row],[_IsLeaf]]=1),"",IF(Tasks[[#This Row],[_AlapShift]]=0,Tasks[[#This Row],[_LeafCalcFinish]],WORKDAY.INTL(Tasks[[#This Row],[_LeafCalcFinish]],Tasks[[#This Row],[_AlapShift]],WorkWeek,Holidays)))</f>
        <v/>
      </c>
      <c r="DI78" s="115" t="str">
        <f aca="false">IF(NOT(Tasks[[#This Row],[_IsLeaf]]=1),"",IF(Tasks[[#This Row],[_AlapShift]]=0,Tasks[[#This Row],[_LeafFcstStart]],WORKDAY.INTL(Tasks[[#This Row],[_LeafFcstStart]],Tasks[[#This Row],[_AlapShift]],WorkWeek,Holidays)))</f>
        <v/>
      </c>
      <c r="DJ78" s="115" t="str">
        <f aca="false">IF(NOT(Tasks[[#This Row],[_IsLeaf]]=1),"",IF(Tasks[[#This Row],[_AlapShift]]=0,Tasks[[#This Row],[_LeafFcstFinish]],WORKDAY.INTL(Tasks[[#This Row],[_LeafFcstFinish]],Tasks[[#This Row],[_AlapShift]],WorkWeek,Holidays)))</f>
        <v/>
      </c>
      <c r="DK78" s="115" t="str">
        <f aca="false">IF(Tasks[[#This Row],[Task Name]]="","",IF(Tasks[[#This Row],[_IsSummary]],MIN(INDEX(Tasks[_ShownCalcStart],Tasks[[#This Row],[_Row]]+1):INDEX(Tasks[_ShownCalcStart],Tasks[[#This Row],[_Row]]+Tasks[[#This Row],[_Descendants]])),Tasks[[#This Row],[_ShownCalcStart]]))</f>
        <v/>
      </c>
      <c r="DL78" s="115" t="str">
        <f aca="false">IF(Tasks[[#This Row],[Task Name]]="","",IF(Tasks[[#This Row],[_IsSummary]],MAX(INDEX(Tasks[_ShownCalcFinish],Tasks[[#This Row],[_Row]]+1):INDEX(Tasks[_ShownCalcFinish],Tasks[[#This Row],[_Row]]+Tasks[[#This Row],[_Descendants]])),Tasks[[#This Row],[_ShownCalcFinish]]))</f>
        <v/>
      </c>
      <c r="DM7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8" s="32" t="n">
        <f aca="false">IF(AND(Tasks[[#This Row],[_IsLeaf]]=1,Tasks[[#This Row],[_LeafTotalWork]]&gt;0),NETWORKDAYS.INTL(ProjectStart,Tasks[[#This Row],[_ShownFcstStart]],WorkWeek,Holidays),0)</f>
        <v>0</v>
      </c>
      <c r="DZ78" s="32" t="n">
        <f aca="false">IF(AND(Tasks[[#This Row],[_IsLeaf]]=1,Tasks[[#This Row],[_LeafTotalWork]]&gt;0),MAX(Tasks[[#This Row],[_StartWorkday]],NETWORKDAYS.INTL(ProjectStart,Tasks[[#This Row],[_ShownFcstFinish]],WorkWeek,Holidays)),0)</f>
        <v>0</v>
      </c>
      <c r="EA78" s="32" t="n">
        <f aca="false">IF(AND(Tasks[[#This Row],[_IsLeaf]]=1,Tasks[[#This Row],[_LeafTotalWork]]&gt;0),Tasks[[#This Row],[_LeafWork]]/(Tasks[[#This Row],[_FinishWorkday]]-Tasks[[#This Row],[_StartWorkday]]+1),0)</f>
        <v>0</v>
      </c>
      <c r="EB78" s="32" t="n">
        <f aca="false">Tasks[[#This Row],[_WorkPerWorkday]]*(Tasks[[#This Row],[_StartWorkday]]-1)</f>
        <v>-0</v>
      </c>
      <c r="EC78" s="32" t="n">
        <f aca="false">IF(Tasks[[#This Row],[_IsLeaf]]=1,MAX(N(Tasks[[#This Row],[Duration]]),0.1),0)</f>
        <v>0</v>
      </c>
      <c r="ED78" s="32" t="n">
        <f aca="false">Tasks[[#This Row],[_WeightDur]]*Tasks[[#This Row],[_LeafProgress]]</f>
        <v>0</v>
      </c>
      <c r="EE7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8" s="32" t="str">
        <f aca="false">IF(AND(Tasks[[#This Row],[_IsLeaf]]=1,N(Tasks[[#This Row],[Duration]])=0,Tasks[[#This Row],[_LeafProgress]]&lt;1),Tasks[[#This Row],[_ShownFcstFinish]]+Tasks[[#This Row],[_Row]]/100000,"")</f>
        <v/>
      </c>
      <c r="EG7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8" s="32" t="n">
        <f aca="false">IF(NOT(Tasks[[#This Row],[_IsLeaf]]=1),0,IF(Tasks[[#This Row],[Baseline Cost]]="",Tasks[[#This Row],[_LeafTotalCost]],N(Tasks[[#This Row],[Baseline Cost]])))</f>
        <v>0</v>
      </c>
      <c r="EI78" s="32" t="n">
        <f aca="false">Tasks[[#This Row],[_LeafBudget]]*Tasks[[#This Row],[_PlannedPct]]</f>
        <v>0</v>
      </c>
      <c r="EJ78" s="32" t="n">
        <f aca="false">Tasks[[#This Row],[_LeafBudget]]*Tasks[[#This Row],[_LeafProgress]]</f>
        <v>0</v>
      </c>
      <c r="EK78" s="32" t="n">
        <f aca="false">IF(NOT(Tasks[[#This Row],[_IsLeaf]]=1),0,IF(Tasks[[#This Row],[Actual Cost]]="",Tasks[[#This Row],[_LeafTotalCost]]*Tasks[[#This Row],[_LeafProgress]],N(Tasks[[#This Row],[Actual Cost]])))</f>
        <v>0</v>
      </c>
      <c r="EL78" s="32" t="str">
        <f aca="false">IF(Tasks[[#This Row],[Task Name]]="","",LEFT(Tasks[[#This Row],[WBS]],FIND(".",Tasks[[#This Row],[WBS]]&amp;".")-1))</f>
        <v/>
      </c>
      <c r="EM78" s="32" t="str">
        <f aca="false">IF(AND(Tasks[[#This Row],[Task Name]]&lt;&gt;"",Tasks[[#This Row],[_Level]]=1),Tasks[[#This Row],[_Row]],"")</f>
        <v/>
      </c>
      <c r="EN78" s="32" t="str">
        <f aca="false">IF(AND(Tasks[[#This Row],[_IsLeaf]]=1,N(Tasks[[#This Row],[Duration]])=0),Tasks[[#This Row],[Planned Finish]]+Tasks[[#This Row],[_Row]]/100000,"")</f>
        <v/>
      </c>
      <c r="EO78" s="32" t="str">
        <f aca="false">IF(AND(Tasks[[#This Row],[_IsLeaf]]=1,Tasks[[#This Row],[_LeafProgress]]&lt;1,OR(N(Tasks[[#This Row],[Finish Var]])&gt;0,Tasks[[#This Row],[Status]]="Late Start")),MAX(0,Tasks[[#This Row],[Finish Var]])+1-Tasks[[#This Row],[_Row]]/1000000,"")</f>
        <v/>
      </c>
      <c r="EP78" s="32" t="str">
        <f aca="false">IF(AND(Tasks[[#This Row],[_IsLeaf]]=1,N(Tasks[[#This Row],[Actual Start]])=0,Tasks[[#This Row],[_ShownFcstStart]]&gt;=StatusDate,Tasks[[#This Row],[_ShownFcstStart]]&lt;=LookaheadEnd),Tasks[[#This Row],[_ShownFcstStart]]+Tasks[[#This Row],[_Row]]/100000,"")</f>
        <v/>
      </c>
      <c r="EQ78" s="32" t="str">
        <f aca="false">IF(AND(Tasks[[#This Row],[_IsLeaf]]=1,Tasks[[#This Row],[_LeafProgress]]&lt;1,Tasks[[#This Row],[_ShownFcstFinish]]&gt;=StatusDate,Tasks[[#This Row],[_ShownFcstFinish]]&lt;=LookaheadEnd),Tasks[[#This Row],[_ShownFcstFinish]]+Tasks[[#This Row],[_Row]]/100000,"")</f>
        <v/>
      </c>
      <c r="ER78" s="32" t="str">
        <f aca="false">IF(Tasks[[#This Row],[_LeafCritical]],Tasks[[#This Row],[_ShownFcstStart]]+Tasks[[#This Row],[_Row]]/100000,"")</f>
        <v/>
      </c>
      <c r="ES78" s="32" t="n">
        <f aca="false">Tasks[[#This Row],[_LeafWork]]*Tasks[[#This Row],[_LeafProgress]]</f>
        <v>0</v>
      </c>
      <c r="ET78" s="115" t="str">
        <f aca="false">IF(AND(Tasks[[#This Row],[_IsLeaf]]=1,Tasks[[#This Row],[_LeafProgress]]&gt;=1),IF(N(Tasks[[#This Row],[Actual Finish]])&gt;0,Tasks[[#This Row],[Actual Finish]],Tasks[[#This Row],[_ShownFcstFinish]]),"")</f>
        <v/>
      </c>
      <c r="EU78" s="32" t="n">
        <f aca="false">IF(Tasks[[#This Row],[_IsLeaf]]=1,N(Tasks[[#This Row],[Story Points]]),0)</f>
        <v>0</v>
      </c>
      <c r="EV78" s="32" t="str">
        <f aca="false">IF(AND(Tasks[[#This Row],[_IsLeaf]]=1,CurrentSprint&lt;&gt;"",Tasks[[#This Row],[Sprint]]=CurrentSprint),Tasks[[#This Row],[_Row]],"")</f>
        <v/>
      </c>
    </row>
    <row r="79" customFormat="false" ht="15" hidden="false" customHeight="false" outlineLevel="0" collapsed="false">
      <c r="A79" s="45" t="str">
        <f aca="false">IF(Tasks[[#This Row],[Task Name]]="","",COUNTA(Tasks[[#Headers],[Task Name]]:Tasks[[#This Row],[Task Name]])-1)</f>
        <v/>
      </c>
      <c r="B79" s="46" t="n">
        <v>74</v>
      </c>
      <c r="C7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79" s="46"/>
      <c r="E79" s="45" t="str">
        <f aca="false">IF(Tasks[[#This Row],[Task Name]]="","",IF(Tasks[[#This Row],[_Level]]&lt;=OutlineShowLevel,"Yes","No"))</f>
        <v/>
      </c>
      <c r="F79" s="47"/>
      <c r="G79" s="46"/>
      <c r="H79" s="46"/>
      <c r="I79" s="46"/>
      <c r="J79" s="46"/>
      <c r="K79" s="46"/>
      <c r="L79" s="46"/>
      <c r="M79" s="46"/>
      <c r="N79" s="46"/>
      <c r="O79" s="46"/>
      <c r="P79" s="46"/>
      <c r="Q79" s="46"/>
      <c r="R79" s="46"/>
      <c r="S79" s="46"/>
      <c r="T79" s="46"/>
      <c r="U79" s="47"/>
      <c r="V79" s="88"/>
      <c r="W79" s="88"/>
      <c r="X79" s="25" t="str">
        <f aca="false">IF(Tasks[[#This Row],[Task Name]]="","",IF(N(Tasks[[#This Row],[Baseline Start]])&gt;0,Tasks[[#This Row],[Baseline Start]],Tasks[[#This Row],[_CalcStart]]))</f>
        <v/>
      </c>
      <c r="Y79" s="25" t="str">
        <f aca="false">IF(Tasks[[#This Row],[Task Name]]="","",IF(N(Tasks[[#This Row],[Baseline Finish]])&gt;0,Tasks[[#This Row],[Baseline Finish]],Tasks[[#This Row],[_CalcFinish]]))</f>
        <v/>
      </c>
      <c r="Z79" s="88"/>
      <c r="AA79" s="88"/>
      <c r="AB79" s="25" t="str">
        <f aca="false">IF(Tasks[[#This Row],[Task Name]]="","",IF(Tasks[[#This Row],[_IsSummary]],MIN(INDEX(Tasks[_ShownFcstStart],Tasks[[#This Row],[_Row]]+1):INDEX(Tasks[_ShownFcstStart],Tasks[[#This Row],[_Row]]+Tasks[[#This Row],[_Descendants]])),Tasks[[#This Row],[_ShownFcstStart]]))</f>
        <v/>
      </c>
      <c r="AC79" s="25" t="str">
        <f aca="false">IF(Tasks[[#This Row],[Task Name]]="","",IF(Tasks[[#This Row],[_IsSummary]],MAX(INDEX(Tasks[_ShownFcstFinish],Tasks[[#This Row],[_Row]]+1):INDEX(Tasks[_ShownFcstFinish],Tasks[[#This Row],[_Row]]+Tasks[[#This Row],[_Descendants]])),Tasks[[#This Row],[_ShownFcstFinish]]))</f>
        <v/>
      </c>
      <c r="AD7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7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79" s="25" t="str">
        <f aca="false">IF(Tasks[[#This Row],[Task Name]]="","",IF(Tasks[[#This Row],[_IsSummary]],MIN(INDEX(Tasks[_LeafLateStart],Tasks[[#This Row],[_Row]]+1):INDEX(Tasks[_LeafLateStart],Tasks[[#This Row],[_Row]]+Tasks[[#This Row],[_Descendants]])),Tasks[[#This Row],[_LeafLateStart]]))</f>
        <v/>
      </c>
      <c r="AG79" s="25" t="str">
        <f aca="false">IF(Tasks[[#This Row],[Task Name]]="","",IF(Tasks[[#This Row],[_IsSummary]],MAX(INDEX(Tasks[_LeafLateFinish],Tasks[[#This Row],[_Row]]+1):INDEX(Tasks[_LeafLateFinish],Tasks[[#This Row],[_Row]]+Tasks[[#This Row],[_Descendants]])),Tasks[[#This Row],[_LeafLateFinish]]))</f>
        <v/>
      </c>
      <c r="AH79" s="56" t="str">
        <f aca="false">IF(Tasks[[#This Row],[Task Name]]="","",IF(Tasks[[#This Row],[_IsSummary]],MIN(INDEX(Tasks[_LeafTotalSlack],Tasks[[#This Row],[_Row]]+1):INDEX(Tasks[_LeafTotalSlack],Tasks[[#This Row],[_Row]]+Tasks[[#This Row],[_Descendants]])),Tasks[[#This Row],[_LeafTotalSlack]]))</f>
        <v/>
      </c>
      <c r="AI7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79" s="45" t="str">
        <f aca="false">IF(Tasks[[#This Row],[Task Name]]="","",IF(IF(Tasks[[#This Row],[_IsSummary]],COUNTIF(INDEX(Tasks[_LeafCritical],Tasks[[#This Row],[_Row]]+1):INDEX(Tasks[_LeafCritical],Tasks[[#This Row],[_Row]]+Tasks[[#This Row],[_Descendants]]),TRUE())&gt;0,Tasks[[#This Row],[_LeafCritical]]),"Yes",""))</f>
        <v/>
      </c>
      <c r="AK7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7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79" s="102"/>
      <c r="AN7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79" s="45" t="str">
        <f aca="false">IF(Tasks[[#This Row],[Task Name]]="","",IF(Tasks[[#This Row],[Progress]]&gt;=1,"Complete",IF(OR(N(Tasks[[#This Row],[Actual Start]])&gt;0,Tasks[[#This Row],[Progress]]&gt;0),IF(Tasks[[#This Row],[Finish Var]]&gt;0,"Behind","In Progress"),IF(Tasks[[#This Row],[Planned Start]]&lt;StatusDate,"Late Start","Not Started"))))</f>
        <v/>
      </c>
      <c r="AP79" s="47"/>
      <c r="AQ79" s="102"/>
      <c r="AR7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7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79" s="110" t="str">
        <f aca="false">IF(Tasks[[#This Row],[Task Name]]="","",IF(Tasks[[#This Row],[_IsSummary]],SUM(INDEX(Tasks[_LeafTotalWork],Tasks[[#This Row],[_Row]]+1):INDEX(Tasks[_LeafTotalWork],Tasks[[#This Row],[_Row]]+Tasks[[#This Row],[_Descendants]])),Tasks[[#This Row],[_LeafTotalWork]]))</f>
        <v/>
      </c>
      <c r="AU79" s="111" t="str">
        <f aca="false">IF(Tasks[[#This Row],[Task Name]]="","",IF(Tasks[[#This Row],[_IsSummary]],SUM(INDEX(Tasks[_LeafTotalCost],Tasks[[#This Row],[_Row]]+1):INDEX(Tasks[_LeafTotalCost],Tasks[[#This Row],[_Row]]+Tasks[[#This Row],[_Descendants]])),Tasks[[#This Row],[_LeafTotalCost]]))</f>
        <v/>
      </c>
      <c r="AV79" s="112"/>
      <c r="AW79" s="46"/>
      <c r="AX7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79" s="96"/>
      <c r="AZ7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79" s="47"/>
      <c r="BB79" s="25" t="str">
        <f aca="false">IF(Tasks[[#This Row],[Task Name]]="","",Tasks[[#This Row],[Forecast Start]])</f>
        <v/>
      </c>
      <c r="BC79" s="25" t="str">
        <f aca="false">IF(Tasks[[#This Row],[Task Name]]="","",Tasks[[#This Row],[Forecast Finish]])</f>
        <v/>
      </c>
      <c r="BD79" s="45" t="str">
        <f aca="false">IF(Tasks[[#This Row],[Task Name]]="","",IF(Tasks[[#This Row],[_IsSummary]],NETWORKDAYS.INTL(Tasks[[#This Row],[Forecast Start]],Tasks[[#This Row],[Forecast Finish]],WorkWeek,Holidays),N(Tasks[[#This Row],[Duration]])))</f>
        <v/>
      </c>
      <c r="BE79" s="110" t="str">
        <f aca="false">IF(Tasks[[#This Row],[Task Name]]="","",Tasks[[#This Row],[Work]])</f>
        <v/>
      </c>
      <c r="BF79" s="111" t="str">
        <f aca="false">IF(Tasks[[#This Row],[Task Name]]="","",Tasks[[#This Row],[Cost]])</f>
        <v/>
      </c>
      <c r="BG79" s="88"/>
      <c r="BH79" s="88"/>
      <c r="BI79" s="46"/>
      <c r="BJ79" s="113"/>
      <c r="BK79" s="112"/>
      <c r="BL79" s="45" t="str">
        <f aca="false">IF(OR(Tasks[[#This Row],[Task Name]]="",Tasks[[#This Row],[Baseline Duration]]=""),"",Tasks[[#This Row],[BL Source Duration]]-N(Tasks[[#This Row],[Baseline Duration]]))</f>
        <v/>
      </c>
      <c r="BM79" s="110" t="str">
        <f aca="false">IF(OR(Tasks[[#This Row],[Task Name]]="",Tasks[[#This Row],[Baseline Work]]=""),"",Tasks[[#This Row],[Work]]-N(Tasks[[#This Row],[Baseline Work]]))</f>
        <v/>
      </c>
      <c r="BN79" s="111" t="str">
        <f aca="false">IF(OR(Tasks[[#This Row],[Task Name]]="",Tasks[[#This Row],[Baseline Cost]]=""),"",Tasks[[#This Row],[Cost]]-N(Tasks[[#This Row],[Baseline Cost]]))</f>
        <v/>
      </c>
      <c r="BO79" s="111" t="str">
        <f aca="false">IF(Tasks[[#This Row],[Task Name]]="","",IF(Tasks[[#This Row],[_IsSummary]],SUM(INDEX(Tasks[_LeafBudget],Tasks[[#This Row],[_Row]]+1):INDEX(Tasks[_LeafBudget],Tasks[[#This Row],[_Row]]+Tasks[[#This Row],[_Descendants]])),Tasks[[#This Row],[_LeafBudget]]))</f>
        <v/>
      </c>
      <c r="BP79" s="111" t="str">
        <f aca="false">IF(Tasks[[#This Row],[Task Name]]="","",IF(Tasks[[#This Row],[_IsSummary]],SUM(INDEX(Tasks[_LeafPV],Tasks[[#This Row],[_Row]]+1):INDEX(Tasks[_LeafPV],Tasks[[#This Row],[_Row]]+Tasks[[#This Row],[_Descendants]])),Tasks[[#This Row],[_LeafPV]]))</f>
        <v/>
      </c>
      <c r="BQ79" s="111" t="str">
        <f aca="false">IF(Tasks[[#This Row],[Task Name]]="","",IF(Tasks[[#This Row],[_IsSummary]],SUM(INDEX(Tasks[_LeafEV],Tasks[[#This Row],[_Row]]+1):INDEX(Tasks[_LeafEV],Tasks[[#This Row],[_Row]]+Tasks[[#This Row],[_Descendants]])),Tasks[[#This Row],[_LeafEV]]))</f>
        <v/>
      </c>
      <c r="BR79" s="111" t="str">
        <f aca="false">IF(Tasks[[#This Row],[Task Name]]="","",IF(Tasks[[#This Row],[_IsSummary]],SUM(INDEX(Tasks[_LeafAC],Tasks[[#This Row],[_Row]]+1):INDEX(Tasks[_LeafAC],Tasks[[#This Row],[_Row]]+Tasks[[#This Row],[_Descendants]])),Tasks[[#This Row],[_LeafAC]]))</f>
        <v/>
      </c>
      <c r="BS79" s="32" t="str">
        <f aca="false">IF(Tasks[[#This Row],[Task Name]]="","",MAX(1,N(Tasks[[#This Row],[Level]])))</f>
        <v/>
      </c>
      <c r="BT79" s="32" t="n">
        <f aca="false">ROW()-ROW(Tasks[[#Headers],[ID]])</f>
        <v>74</v>
      </c>
      <c r="BU79" s="32" t="n">
        <f aca="false">IF(OR(Tasks[[#This Row],[Task Name]]="",Tasks[[#This Row],[_Level]]&lt;=1),0,IFERROR(LOOKUP(2,1/(Tasks[[#Headers],[_Level]]:Tasks[[#This Row],[_Level]]=Tasks[[#This Row],[_Level]]-1),ROW(Tasks[[#Headers],[_Level]]:Tasks[[#This Row],[_Level]])),0))</f>
        <v>0</v>
      </c>
      <c r="BV79" s="32" t="n">
        <f aca="false">IFERROR(N(INDEX(Tasks[_Level],Tasks[[#This Row],[_Row]]+1)),0)</f>
        <v>0</v>
      </c>
      <c r="BW79" s="114" t="b">
        <f aca="false">AND(Tasks[[#This Row],[Task Name]]&lt;&gt;"",Tasks[[#This Row],[_NextLevel]]&gt;Tasks[[#This Row],[_Level]])</f>
        <v>0</v>
      </c>
      <c r="BX79" s="32" t="n">
        <f aca="false">IF(Tasks[[#This Row],[_IsSummary]],COUNTIF(Tasks[WBS],Tasks[[#This Row],[WBS]]&amp;".*"),0)</f>
        <v>0</v>
      </c>
      <c r="BY79" s="32" t="n">
        <f aca="false">IF(AND(Tasks[[#This Row],[Task Name]]&lt;&gt;"",NOT(Tasks[[#This Row],[_IsSummary]])),1,0)</f>
        <v>0</v>
      </c>
      <c r="BZ79" s="32" t="n">
        <f aca="false">IF(N(Tasks[[#This Row],[Pred1 UID]])=0,0,IFERROR(MATCH(Tasks[[#This Row],[Pred1 UID]],Tasks[UID],0),-1))</f>
        <v>0</v>
      </c>
      <c r="CA79" s="32" t="n">
        <f aca="false">IF(N(Tasks[[#This Row],[Pred2 UID]])=0,0,IFERROR(MATCH(Tasks[[#This Row],[Pred2 UID]],Tasks[UID],0),-1))</f>
        <v>0</v>
      </c>
      <c r="CB79" s="32" t="n">
        <f aca="false">IF(N(Tasks[[#This Row],[Pred3 UID]])=0,0,IFERROR(MATCH(Tasks[[#This Row],[Pred3 UID]],Tasks[UID],0),-1))</f>
        <v>0</v>
      </c>
      <c r="CC79" s="32" t="n">
        <f aca="false">IF(N(Tasks[[#This Row],[Pred4 UID]])=0,0,IFERROR(MATCH(Tasks[[#This Row],[Pred4 UID]],Tasks[UID],0),-1))</f>
        <v>0</v>
      </c>
      <c r="CD7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7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79" s="115" t="n">
        <f aca="false">IF(OR(Tasks[[#This Row],[_ConstraintCode]]=2,Tasks[[#This Row],[_ConstraintCode]]=3,Tasks[[#This Row],[_ConstraintCode]]=4,Tasks[[#This Row],[_ConstraintCode]]=6),Tasks[[#This Row],[_ConstraintStart]],0)</f>
        <v>0</v>
      </c>
      <c r="CG79" s="115" t="n">
        <f aca="false">IF(OR(Tasks[[#This Row],[_ConstraintCode]]=2,Tasks[[#This Row],[_ConstraintCode]]=3,Tasks[[#This Row],[_ConstraintCode]]=5,Tasks[[#This Row],[_ConstraintCode]]=7),Tasks[[#This Row],[_ConstraintStart]],2958465)</f>
        <v>2958465</v>
      </c>
      <c r="CH7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79" s="115" t="str">
        <f aca="false">IF(NOT(Tasks[[#This Row],[_IsLeaf]]=1),"",IF(N(Tasks[[#This Row],[Duration]])&lt;=0,Tasks[[#This Row],[_LeafCalcStart]],WORKDAY.INTL(Tasks[[#This Row],[_LeafCalcStart]],Tasks[[#This Row],[Duration]]-1,WorkWeek,Holidays)))</f>
        <v/>
      </c>
      <c r="CJ7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7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79" s="32" t="n">
        <f aca="false">IF(NOT(Tasks[[#This Row],[_IsLeaf]]=1),0,IF(N(Tasks[[#This Row],[Actual Finish]])&gt;0,1,MIN(1,N(Tasks[[#This Row],[% Complete]]))))</f>
        <v>0</v>
      </c>
      <c r="CM79" s="32" t="n">
        <f aca="false">IF(OR(NOT(Tasks[[#This Row],[_IsLeaf]]=1),Tasks[[#This Row],[Resource]]=""),0,N(Tasks[[#This Row],[Duration]])*HoursPerDay*IF(Tasks[[#This Row],[Units]]="",DefaultUnits,Tasks[[#This Row],[Units]]))</f>
        <v>0</v>
      </c>
      <c r="CN79" s="32" t="n">
        <f aca="false">IF(Tasks[[#This Row],[_LeafWork]]=0,0,Tasks[[#This Row],[_LeafWork]]*IFERROR(INDEX(res_Rate,MATCH(Tasks[[#This Row],[Resource]],res_Name,0)),0))</f>
        <v>0</v>
      </c>
      <c r="CO79" s="32" t="n">
        <f aca="false">Tasks[[#This Row],[_LeafWork]]+IF(Tasks[[#This Row],[_IsLeaf]]=1,SUMIFS(asg_Work,asg_TaskUID,Tasks[[#This Row],[UID]],asg_Valid,1),0)</f>
        <v>0</v>
      </c>
      <c r="CP79" s="32" t="n">
        <f aca="false">Tasks[[#This Row],[_LeafCost]]+IF(Tasks[[#This Row],[_IsLeaf]]=1,SUMIFS(asg_Cost,asg_TaskUID,Tasks[[#This Row],[UID]],asg_Valid,1),0)</f>
        <v>0</v>
      </c>
      <c r="CQ79" s="32" t="n">
        <f aca="false">IF(Tasks[[#This Row],[_LeafTotalCost]]=0,Tasks[[#This Row],[_LeafAC]],Tasks[[#This Row],[_LeafAC]]*Tasks[[#This Row],[_LeafCost]]/Tasks[[#This Row],[_LeafTotalCost]])</f>
        <v>0</v>
      </c>
      <c r="CR7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7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7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7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7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7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7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7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79" s="32" t="n">
        <f aca="false">IF(NOT(Tasks[[#This Row],[_IsLeaf]]=1),0,MAX(_xlfn.MAXIFS(Tasks[_Row],Tasks[Pred1 UID],Tasks[[#This Row],[UID]]),_xlfn.MAXIFS(Tasks[_Row],Tasks[Pred2 UID],Tasks[[#This Row],[UID]]),_xlfn.MAXIFS(Tasks[_Row],Tasks[Pred3 UID],Tasks[[#This Row],[UID]]),_xlfn.MAXIFS(Tasks[_Row],Tasks[Pred4 UID],Tasks[[#This Row],[UID]])))</f>
        <v>0</v>
      </c>
      <c r="DA7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7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79" s="115" t="str">
        <f aca="false">IF(NOT(Tasks[[#This Row],[_IsLeaf]]=1),"",IF(N(Tasks[[#This Row],[Duration]])&lt;=0,Tasks[[#This Row],[_LeafLateFinish]],WORKDAY.INTL(Tasks[[#This Row],[_LeafLateFinish]],-(Tasks[[#This Row],[Duration]]-1),WorkWeek,Holidays)))</f>
        <v/>
      </c>
      <c r="DD7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79" s="114" t="b">
        <f aca="false">AND(Tasks[[#This Row],[_IsLeaf]]=1,Tasks[[#This Row],[_LeafProgress]]&lt;1,N(Tasks[[#This Row],[_LeafTotalSlack]])&lt;=CriticalSlackDays)</f>
        <v>0</v>
      </c>
      <c r="DF79" s="32" t="n">
        <f aca="false">IF(AND(Tasks[[#This Row],[_IsLeaf]]=1,Tasks[[#This Row],[_ConstraintCode]]=1,Tasks[[#This Row],[Mode]]&lt;&gt;"Manual",N(Tasks[[#This Row],[Actual Start]])=0),MAX(0,N(Tasks[[#This Row],[Free Slack]])),0)</f>
        <v>0</v>
      </c>
      <c r="DG79" s="115" t="str">
        <f aca="false">IF(NOT(Tasks[[#This Row],[_IsLeaf]]=1),"",IF(Tasks[[#This Row],[_AlapShift]]=0,Tasks[[#This Row],[_LeafCalcStart]],WORKDAY.INTL(Tasks[[#This Row],[_LeafCalcStart]],Tasks[[#This Row],[_AlapShift]],WorkWeek,Holidays)))</f>
        <v/>
      </c>
      <c r="DH79" s="115" t="str">
        <f aca="false">IF(NOT(Tasks[[#This Row],[_IsLeaf]]=1),"",IF(Tasks[[#This Row],[_AlapShift]]=0,Tasks[[#This Row],[_LeafCalcFinish]],WORKDAY.INTL(Tasks[[#This Row],[_LeafCalcFinish]],Tasks[[#This Row],[_AlapShift]],WorkWeek,Holidays)))</f>
        <v/>
      </c>
      <c r="DI79" s="115" t="str">
        <f aca="false">IF(NOT(Tasks[[#This Row],[_IsLeaf]]=1),"",IF(Tasks[[#This Row],[_AlapShift]]=0,Tasks[[#This Row],[_LeafFcstStart]],WORKDAY.INTL(Tasks[[#This Row],[_LeafFcstStart]],Tasks[[#This Row],[_AlapShift]],WorkWeek,Holidays)))</f>
        <v/>
      </c>
      <c r="DJ79" s="115" t="str">
        <f aca="false">IF(NOT(Tasks[[#This Row],[_IsLeaf]]=1),"",IF(Tasks[[#This Row],[_AlapShift]]=0,Tasks[[#This Row],[_LeafFcstFinish]],WORKDAY.INTL(Tasks[[#This Row],[_LeafFcstFinish]],Tasks[[#This Row],[_AlapShift]],WorkWeek,Holidays)))</f>
        <v/>
      </c>
      <c r="DK79" s="115" t="str">
        <f aca="false">IF(Tasks[[#This Row],[Task Name]]="","",IF(Tasks[[#This Row],[_IsSummary]],MIN(INDEX(Tasks[_ShownCalcStart],Tasks[[#This Row],[_Row]]+1):INDEX(Tasks[_ShownCalcStart],Tasks[[#This Row],[_Row]]+Tasks[[#This Row],[_Descendants]])),Tasks[[#This Row],[_ShownCalcStart]]))</f>
        <v/>
      </c>
      <c r="DL79" s="115" t="str">
        <f aca="false">IF(Tasks[[#This Row],[Task Name]]="","",IF(Tasks[[#This Row],[_IsSummary]],MAX(INDEX(Tasks[_ShownCalcFinish],Tasks[[#This Row],[_Row]]+1):INDEX(Tasks[_ShownCalcFinish],Tasks[[#This Row],[_Row]]+Tasks[[#This Row],[_Descendants]])),Tasks[[#This Row],[_ShownCalcFinish]]))</f>
        <v/>
      </c>
      <c r="DM7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7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7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7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7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7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7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7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7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7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7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7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79" s="32" t="n">
        <f aca="false">IF(AND(Tasks[[#This Row],[_IsLeaf]]=1,Tasks[[#This Row],[_LeafTotalWork]]&gt;0),NETWORKDAYS.INTL(ProjectStart,Tasks[[#This Row],[_ShownFcstStart]],WorkWeek,Holidays),0)</f>
        <v>0</v>
      </c>
      <c r="DZ79" s="32" t="n">
        <f aca="false">IF(AND(Tasks[[#This Row],[_IsLeaf]]=1,Tasks[[#This Row],[_LeafTotalWork]]&gt;0),MAX(Tasks[[#This Row],[_StartWorkday]],NETWORKDAYS.INTL(ProjectStart,Tasks[[#This Row],[_ShownFcstFinish]],WorkWeek,Holidays)),0)</f>
        <v>0</v>
      </c>
      <c r="EA79" s="32" t="n">
        <f aca="false">IF(AND(Tasks[[#This Row],[_IsLeaf]]=1,Tasks[[#This Row],[_LeafTotalWork]]&gt;0),Tasks[[#This Row],[_LeafWork]]/(Tasks[[#This Row],[_FinishWorkday]]-Tasks[[#This Row],[_StartWorkday]]+1),0)</f>
        <v>0</v>
      </c>
      <c r="EB79" s="32" t="n">
        <f aca="false">Tasks[[#This Row],[_WorkPerWorkday]]*(Tasks[[#This Row],[_StartWorkday]]-1)</f>
        <v>-0</v>
      </c>
      <c r="EC79" s="32" t="n">
        <f aca="false">IF(Tasks[[#This Row],[_IsLeaf]]=1,MAX(N(Tasks[[#This Row],[Duration]]),0.1),0)</f>
        <v>0</v>
      </c>
      <c r="ED79" s="32" t="n">
        <f aca="false">Tasks[[#This Row],[_WeightDur]]*Tasks[[#This Row],[_LeafProgress]]</f>
        <v>0</v>
      </c>
      <c r="EE7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79" s="32" t="str">
        <f aca="false">IF(AND(Tasks[[#This Row],[_IsLeaf]]=1,N(Tasks[[#This Row],[Duration]])=0,Tasks[[#This Row],[_LeafProgress]]&lt;1),Tasks[[#This Row],[_ShownFcstFinish]]+Tasks[[#This Row],[_Row]]/100000,"")</f>
        <v/>
      </c>
      <c r="EG7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79" s="32" t="n">
        <f aca="false">IF(NOT(Tasks[[#This Row],[_IsLeaf]]=1),0,IF(Tasks[[#This Row],[Baseline Cost]]="",Tasks[[#This Row],[_LeafTotalCost]],N(Tasks[[#This Row],[Baseline Cost]])))</f>
        <v>0</v>
      </c>
      <c r="EI79" s="32" t="n">
        <f aca="false">Tasks[[#This Row],[_LeafBudget]]*Tasks[[#This Row],[_PlannedPct]]</f>
        <v>0</v>
      </c>
      <c r="EJ79" s="32" t="n">
        <f aca="false">Tasks[[#This Row],[_LeafBudget]]*Tasks[[#This Row],[_LeafProgress]]</f>
        <v>0</v>
      </c>
      <c r="EK79" s="32" t="n">
        <f aca="false">IF(NOT(Tasks[[#This Row],[_IsLeaf]]=1),0,IF(Tasks[[#This Row],[Actual Cost]]="",Tasks[[#This Row],[_LeafTotalCost]]*Tasks[[#This Row],[_LeafProgress]],N(Tasks[[#This Row],[Actual Cost]])))</f>
        <v>0</v>
      </c>
      <c r="EL79" s="32" t="str">
        <f aca="false">IF(Tasks[[#This Row],[Task Name]]="","",LEFT(Tasks[[#This Row],[WBS]],FIND(".",Tasks[[#This Row],[WBS]]&amp;".")-1))</f>
        <v/>
      </c>
      <c r="EM79" s="32" t="str">
        <f aca="false">IF(AND(Tasks[[#This Row],[Task Name]]&lt;&gt;"",Tasks[[#This Row],[_Level]]=1),Tasks[[#This Row],[_Row]],"")</f>
        <v/>
      </c>
      <c r="EN79" s="32" t="str">
        <f aca="false">IF(AND(Tasks[[#This Row],[_IsLeaf]]=1,N(Tasks[[#This Row],[Duration]])=0),Tasks[[#This Row],[Planned Finish]]+Tasks[[#This Row],[_Row]]/100000,"")</f>
        <v/>
      </c>
      <c r="EO79" s="32" t="str">
        <f aca="false">IF(AND(Tasks[[#This Row],[_IsLeaf]]=1,Tasks[[#This Row],[_LeafProgress]]&lt;1,OR(N(Tasks[[#This Row],[Finish Var]])&gt;0,Tasks[[#This Row],[Status]]="Late Start")),MAX(0,Tasks[[#This Row],[Finish Var]])+1-Tasks[[#This Row],[_Row]]/1000000,"")</f>
        <v/>
      </c>
      <c r="EP79" s="32" t="str">
        <f aca="false">IF(AND(Tasks[[#This Row],[_IsLeaf]]=1,N(Tasks[[#This Row],[Actual Start]])=0,Tasks[[#This Row],[_ShownFcstStart]]&gt;=StatusDate,Tasks[[#This Row],[_ShownFcstStart]]&lt;=LookaheadEnd),Tasks[[#This Row],[_ShownFcstStart]]+Tasks[[#This Row],[_Row]]/100000,"")</f>
        <v/>
      </c>
      <c r="EQ79" s="32" t="str">
        <f aca="false">IF(AND(Tasks[[#This Row],[_IsLeaf]]=1,Tasks[[#This Row],[_LeafProgress]]&lt;1,Tasks[[#This Row],[_ShownFcstFinish]]&gt;=StatusDate,Tasks[[#This Row],[_ShownFcstFinish]]&lt;=LookaheadEnd),Tasks[[#This Row],[_ShownFcstFinish]]+Tasks[[#This Row],[_Row]]/100000,"")</f>
        <v/>
      </c>
      <c r="ER79" s="32" t="str">
        <f aca="false">IF(Tasks[[#This Row],[_LeafCritical]],Tasks[[#This Row],[_ShownFcstStart]]+Tasks[[#This Row],[_Row]]/100000,"")</f>
        <v/>
      </c>
      <c r="ES79" s="32" t="n">
        <f aca="false">Tasks[[#This Row],[_LeafWork]]*Tasks[[#This Row],[_LeafProgress]]</f>
        <v>0</v>
      </c>
      <c r="ET79" s="115" t="str">
        <f aca="false">IF(AND(Tasks[[#This Row],[_IsLeaf]]=1,Tasks[[#This Row],[_LeafProgress]]&gt;=1),IF(N(Tasks[[#This Row],[Actual Finish]])&gt;0,Tasks[[#This Row],[Actual Finish]],Tasks[[#This Row],[_ShownFcstFinish]]),"")</f>
        <v/>
      </c>
      <c r="EU79" s="32" t="n">
        <f aca="false">IF(Tasks[[#This Row],[_IsLeaf]]=1,N(Tasks[[#This Row],[Story Points]]),0)</f>
        <v>0</v>
      </c>
      <c r="EV79" s="32" t="str">
        <f aca="false">IF(AND(Tasks[[#This Row],[_IsLeaf]]=1,CurrentSprint&lt;&gt;"",Tasks[[#This Row],[Sprint]]=CurrentSprint),Tasks[[#This Row],[_Row]],"")</f>
        <v/>
      </c>
    </row>
    <row r="80" customFormat="false" ht="15" hidden="false" customHeight="false" outlineLevel="0" collapsed="false">
      <c r="A80" s="45" t="str">
        <f aca="false">IF(Tasks[[#This Row],[Task Name]]="","",COUNTA(Tasks[[#Headers],[Task Name]]:Tasks[[#This Row],[Task Name]])-1)</f>
        <v/>
      </c>
      <c r="B80" s="46" t="n">
        <v>75</v>
      </c>
      <c r="C8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0" s="46"/>
      <c r="E80" s="45" t="str">
        <f aca="false">IF(Tasks[[#This Row],[Task Name]]="","",IF(Tasks[[#This Row],[_Level]]&lt;=OutlineShowLevel,"Yes","No"))</f>
        <v/>
      </c>
      <c r="F80" s="47"/>
      <c r="G80" s="46"/>
      <c r="H80" s="46"/>
      <c r="I80" s="46"/>
      <c r="J80" s="46"/>
      <c r="K80" s="46"/>
      <c r="L80" s="46"/>
      <c r="M80" s="46"/>
      <c r="N80" s="46"/>
      <c r="O80" s="46"/>
      <c r="P80" s="46"/>
      <c r="Q80" s="46"/>
      <c r="R80" s="46"/>
      <c r="S80" s="46"/>
      <c r="T80" s="46"/>
      <c r="U80" s="47"/>
      <c r="V80" s="88"/>
      <c r="W80" s="88"/>
      <c r="X80" s="25" t="str">
        <f aca="false">IF(Tasks[[#This Row],[Task Name]]="","",IF(N(Tasks[[#This Row],[Baseline Start]])&gt;0,Tasks[[#This Row],[Baseline Start]],Tasks[[#This Row],[_CalcStart]]))</f>
        <v/>
      </c>
      <c r="Y80" s="25" t="str">
        <f aca="false">IF(Tasks[[#This Row],[Task Name]]="","",IF(N(Tasks[[#This Row],[Baseline Finish]])&gt;0,Tasks[[#This Row],[Baseline Finish]],Tasks[[#This Row],[_CalcFinish]]))</f>
        <v/>
      </c>
      <c r="Z80" s="88"/>
      <c r="AA80" s="88"/>
      <c r="AB80" s="25" t="str">
        <f aca="false">IF(Tasks[[#This Row],[Task Name]]="","",IF(Tasks[[#This Row],[_IsSummary]],MIN(INDEX(Tasks[_ShownFcstStart],Tasks[[#This Row],[_Row]]+1):INDEX(Tasks[_ShownFcstStart],Tasks[[#This Row],[_Row]]+Tasks[[#This Row],[_Descendants]])),Tasks[[#This Row],[_ShownFcstStart]]))</f>
        <v/>
      </c>
      <c r="AC80" s="25" t="str">
        <f aca="false">IF(Tasks[[#This Row],[Task Name]]="","",IF(Tasks[[#This Row],[_IsSummary]],MAX(INDEX(Tasks[_ShownFcstFinish],Tasks[[#This Row],[_Row]]+1):INDEX(Tasks[_ShownFcstFinish],Tasks[[#This Row],[_Row]]+Tasks[[#This Row],[_Descendants]])),Tasks[[#This Row],[_ShownFcstFinish]]))</f>
        <v/>
      </c>
      <c r="AD8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0" s="25" t="str">
        <f aca="false">IF(Tasks[[#This Row],[Task Name]]="","",IF(Tasks[[#This Row],[_IsSummary]],MIN(INDEX(Tasks[_LeafLateStart],Tasks[[#This Row],[_Row]]+1):INDEX(Tasks[_LeafLateStart],Tasks[[#This Row],[_Row]]+Tasks[[#This Row],[_Descendants]])),Tasks[[#This Row],[_LeafLateStart]]))</f>
        <v/>
      </c>
      <c r="AG80" s="25" t="str">
        <f aca="false">IF(Tasks[[#This Row],[Task Name]]="","",IF(Tasks[[#This Row],[_IsSummary]],MAX(INDEX(Tasks[_LeafLateFinish],Tasks[[#This Row],[_Row]]+1):INDEX(Tasks[_LeafLateFinish],Tasks[[#This Row],[_Row]]+Tasks[[#This Row],[_Descendants]])),Tasks[[#This Row],[_LeafLateFinish]]))</f>
        <v/>
      </c>
      <c r="AH80" s="56" t="str">
        <f aca="false">IF(Tasks[[#This Row],[Task Name]]="","",IF(Tasks[[#This Row],[_IsSummary]],MIN(INDEX(Tasks[_LeafTotalSlack],Tasks[[#This Row],[_Row]]+1):INDEX(Tasks[_LeafTotalSlack],Tasks[[#This Row],[_Row]]+Tasks[[#This Row],[_Descendants]])),Tasks[[#This Row],[_LeafTotalSlack]]))</f>
        <v/>
      </c>
      <c r="AI8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0" s="45" t="str">
        <f aca="false">IF(Tasks[[#This Row],[Task Name]]="","",IF(IF(Tasks[[#This Row],[_IsSummary]],COUNTIF(INDEX(Tasks[_LeafCritical],Tasks[[#This Row],[_Row]]+1):INDEX(Tasks[_LeafCritical],Tasks[[#This Row],[_Row]]+Tasks[[#This Row],[_Descendants]]),TRUE())&gt;0,Tasks[[#This Row],[_LeafCritical]]),"Yes",""))</f>
        <v/>
      </c>
      <c r="AK8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0" s="102"/>
      <c r="AN8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0" s="45" t="str">
        <f aca="false">IF(Tasks[[#This Row],[Task Name]]="","",IF(Tasks[[#This Row],[Progress]]&gt;=1,"Complete",IF(OR(N(Tasks[[#This Row],[Actual Start]])&gt;0,Tasks[[#This Row],[Progress]]&gt;0),IF(Tasks[[#This Row],[Finish Var]]&gt;0,"Behind","In Progress"),IF(Tasks[[#This Row],[Planned Start]]&lt;StatusDate,"Late Start","Not Started"))))</f>
        <v/>
      </c>
      <c r="AP80" s="47"/>
      <c r="AQ80" s="102"/>
      <c r="AR8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0" s="110" t="str">
        <f aca="false">IF(Tasks[[#This Row],[Task Name]]="","",IF(Tasks[[#This Row],[_IsSummary]],SUM(INDEX(Tasks[_LeafTotalWork],Tasks[[#This Row],[_Row]]+1):INDEX(Tasks[_LeafTotalWork],Tasks[[#This Row],[_Row]]+Tasks[[#This Row],[_Descendants]])),Tasks[[#This Row],[_LeafTotalWork]]))</f>
        <v/>
      </c>
      <c r="AU80" s="111" t="str">
        <f aca="false">IF(Tasks[[#This Row],[Task Name]]="","",IF(Tasks[[#This Row],[_IsSummary]],SUM(INDEX(Tasks[_LeafTotalCost],Tasks[[#This Row],[_Row]]+1):INDEX(Tasks[_LeafTotalCost],Tasks[[#This Row],[_Row]]+Tasks[[#This Row],[_Descendants]])),Tasks[[#This Row],[_LeafTotalCost]]))</f>
        <v/>
      </c>
      <c r="AV80" s="112"/>
      <c r="AW80" s="46"/>
      <c r="AX8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0" s="96"/>
      <c r="AZ8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0" s="47"/>
      <c r="BB80" s="25" t="str">
        <f aca="false">IF(Tasks[[#This Row],[Task Name]]="","",Tasks[[#This Row],[Forecast Start]])</f>
        <v/>
      </c>
      <c r="BC80" s="25" t="str">
        <f aca="false">IF(Tasks[[#This Row],[Task Name]]="","",Tasks[[#This Row],[Forecast Finish]])</f>
        <v/>
      </c>
      <c r="BD80" s="45" t="str">
        <f aca="false">IF(Tasks[[#This Row],[Task Name]]="","",IF(Tasks[[#This Row],[_IsSummary]],NETWORKDAYS.INTL(Tasks[[#This Row],[Forecast Start]],Tasks[[#This Row],[Forecast Finish]],WorkWeek,Holidays),N(Tasks[[#This Row],[Duration]])))</f>
        <v/>
      </c>
      <c r="BE80" s="110" t="str">
        <f aca="false">IF(Tasks[[#This Row],[Task Name]]="","",Tasks[[#This Row],[Work]])</f>
        <v/>
      </c>
      <c r="BF80" s="111" t="str">
        <f aca="false">IF(Tasks[[#This Row],[Task Name]]="","",Tasks[[#This Row],[Cost]])</f>
        <v/>
      </c>
      <c r="BG80" s="88"/>
      <c r="BH80" s="88"/>
      <c r="BI80" s="46"/>
      <c r="BJ80" s="113"/>
      <c r="BK80" s="112"/>
      <c r="BL80" s="45" t="str">
        <f aca="false">IF(OR(Tasks[[#This Row],[Task Name]]="",Tasks[[#This Row],[Baseline Duration]]=""),"",Tasks[[#This Row],[BL Source Duration]]-N(Tasks[[#This Row],[Baseline Duration]]))</f>
        <v/>
      </c>
      <c r="BM80" s="110" t="str">
        <f aca="false">IF(OR(Tasks[[#This Row],[Task Name]]="",Tasks[[#This Row],[Baseline Work]]=""),"",Tasks[[#This Row],[Work]]-N(Tasks[[#This Row],[Baseline Work]]))</f>
        <v/>
      </c>
      <c r="BN80" s="111" t="str">
        <f aca="false">IF(OR(Tasks[[#This Row],[Task Name]]="",Tasks[[#This Row],[Baseline Cost]]=""),"",Tasks[[#This Row],[Cost]]-N(Tasks[[#This Row],[Baseline Cost]]))</f>
        <v/>
      </c>
      <c r="BO80" s="111" t="str">
        <f aca="false">IF(Tasks[[#This Row],[Task Name]]="","",IF(Tasks[[#This Row],[_IsSummary]],SUM(INDEX(Tasks[_LeafBudget],Tasks[[#This Row],[_Row]]+1):INDEX(Tasks[_LeafBudget],Tasks[[#This Row],[_Row]]+Tasks[[#This Row],[_Descendants]])),Tasks[[#This Row],[_LeafBudget]]))</f>
        <v/>
      </c>
      <c r="BP80" s="111" t="str">
        <f aca="false">IF(Tasks[[#This Row],[Task Name]]="","",IF(Tasks[[#This Row],[_IsSummary]],SUM(INDEX(Tasks[_LeafPV],Tasks[[#This Row],[_Row]]+1):INDEX(Tasks[_LeafPV],Tasks[[#This Row],[_Row]]+Tasks[[#This Row],[_Descendants]])),Tasks[[#This Row],[_LeafPV]]))</f>
        <v/>
      </c>
      <c r="BQ80" s="111" t="str">
        <f aca="false">IF(Tasks[[#This Row],[Task Name]]="","",IF(Tasks[[#This Row],[_IsSummary]],SUM(INDEX(Tasks[_LeafEV],Tasks[[#This Row],[_Row]]+1):INDEX(Tasks[_LeafEV],Tasks[[#This Row],[_Row]]+Tasks[[#This Row],[_Descendants]])),Tasks[[#This Row],[_LeafEV]]))</f>
        <v/>
      </c>
      <c r="BR80" s="111" t="str">
        <f aca="false">IF(Tasks[[#This Row],[Task Name]]="","",IF(Tasks[[#This Row],[_IsSummary]],SUM(INDEX(Tasks[_LeafAC],Tasks[[#This Row],[_Row]]+1):INDEX(Tasks[_LeafAC],Tasks[[#This Row],[_Row]]+Tasks[[#This Row],[_Descendants]])),Tasks[[#This Row],[_LeafAC]]))</f>
        <v/>
      </c>
      <c r="BS80" s="32" t="str">
        <f aca="false">IF(Tasks[[#This Row],[Task Name]]="","",MAX(1,N(Tasks[[#This Row],[Level]])))</f>
        <v/>
      </c>
      <c r="BT80" s="32" t="n">
        <f aca="false">ROW()-ROW(Tasks[[#Headers],[ID]])</f>
        <v>75</v>
      </c>
      <c r="BU80" s="32" t="n">
        <f aca="false">IF(OR(Tasks[[#This Row],[Task Name]]="",Tasks[[#This Row],[_Level]]&lt;=1),0,IFERROR(LOOKUP(2,1/(Tasks[[#Headers],[_Level]]:Tasks[[#This Row],[_Level]]=Tasks[[#This Row],[_Level]]-1),ROW(Tasks[[#Headers],[_Level]]:Tasks[[#This Row],[_Level]])),0))</f>
        <v>0</v>
      </c>
      <c r="BV80" s="32" t="n">
        <f aca="false">IFERROR(N(INDEX(Tasks[_Level],Tasks[[#This Row],[_Row]]+1)),0)</f>
        <v>0</v>
      </c>
      <c r="BW80" s="114" t="b">
        <f aca="false">AND(Tasks[[#This Row],[Task Name]]&lt;&gt;"",Tasks[[#This Row],[_NextLevel]]&gt;Tasks[[#This Row],[_Level]])</f>
        <v>0</v>
      </c>
      <c r="BX80" s="32" t="n">
        <f aca="false">IF(Tasks[[#This Row],[_IsSummary]],COUNTIF(Tasks[WBS],Tasks[[#This Row],[WBS]]&amp;".*"),0)</f>
        <v>0</v>
      </c>
      <c r="BY80" s="32" t="n">
        <f aca="false">IF(AND(Tasks[[#This Row],[Task Name]]&lt;&gt;"",NOT(Tasks[[#This Row],[_IsSummary]])),1,0)</f>
        <v>0</v>
      </c>
      <c r="BZ80" s="32" t="n">
        <f aca="false">IF(N(Tasks[[#This Row],[Pred1 UID]])=0,0,IFERROR(MATCH(Tasks[[#This Row],[Pred1 UID]],Tasks[UID],0),-1))</f>
        <v>0</v>
      </c>
      <c r="CA80" s="32" t="n">
        <f aca="false">IF(N(Tasks[[#This Row],[Pred2 UID]])=0,0,IFERROR(MATCH(Tasks[[#This Row],[Pred2 UID]],Tasks[UID],0),-1))</f>
        <v>0</v>
      </c>
      <c r="CB80" s="32" t="n">
        <f aca="false">IF(N(Tasks[[#This Row],[Pred3 UID]])=0,0,IFERROR(MATCH(Tasks[[#This Row],[Pred3 UID]],Tasks[UID],0),-1))</f>
        <v>0</v>
      </c>
      <c r="CC80" s="32" t="n">
        <f aca="false">IF(N(Tasks[[#This Row],[Pred4 UID]])=0,0,IFERROR(MATCH(Tasks[[#This Row],[Pred4 UID]],Tasks[UID],0),-1))</f>
        <v>0</v>
      </c>
      <c r="CD8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0" s="115" t="n">
        <f aca="false">IF(OR(Tasks[[#This Row],[_ConstraintCode]]=2,Tasks[[#This Row],[_ConstraintCode]]=3,Tasks[[#This Row],[_ConstraintCode]]=4,Tasks[[#This Row],[_ConstraintCode]]=6),Tasks[[#This Row],[_ConstraintStart]],0)</f>
        <v>0</v>
      </c>
      <c r="CG80" s="115" t="n">
        <f aca="false">IF(OR(Tasks[[#This Row],[_ConstraintCode]]=2,Tasks[[#This Row],[_ConstraintCode]]=3,Tasks[[#This Row],[_ConstraintCode]]=5,Tasks[[#This Row],[_ConstraintCode]]=7),Tasks[[#This Row],[_ConstraintStart]],2958465)</f>
        <v>2958465</v>
      </c>
      <c r="CH8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0" s="115" t="str">
        <f aca="false">IF(NOT(Tasks[[#This Row],[_IsLeaf]]=1),"",IF(N(Tasks[[#This Row],[Duration]])&lt;=0,Tasks[[#This Row],[_LeafCalcStart]],WORKDAY.INTL(Tasks[[#This Row],[_LeafCalcStart]],Tasks[[#This Row],[Duration]]-1,WorkWeek,Holidays)))</f>
        <v/>
      </c>
      <c r="CJ8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0" s="32" t="n">
        <f aca="false">IF(NOT(Tasks[[#This Row],[_IsLeaf]]=1),0,IF(N(Tasks[[#This Row],[Actual Finish]])&gt;0,1,MIN(1,N(Tasks[[#This Row],[% Complete]]))))</f>
        <v>0</v>
      </c>
      <c r="CM80" s="32" t="n">
        <f aca="false">IF(OR(NOT(Tasks[[#This Row],[_IsLeaf]]=1),Tasks[[#This Row],[Resource]]=""),0,N(Tasks[[#This Row],[Duration]])*HoursPerDay*IF(Tasks[[#This Row],[Units]]="",DefaultUnits,Tasks[[#This Row],[Units]]))</f>
        <v>0</v>
      </c>
      <c r="CN80" s="32" t="n">
        <f aca="false">IF(Tasks[[#This Row],[_LeafWork]]=0,0,Tasks[[#This Row],[_LeafWork]]*IFERROR(INDEX(res_Rate,MATCH(Tasks[[#This Row],[Resource]],res_Name,0)),0))</f>
        <v>0</v>
      </c>
      <c r="CO80" s="32" t="n">
        <f aca="false">Tasks[[#This Row],[_LeafWork]]+IF(Tasks[[#This Row],[_IsLeaf]]=1,SUMIFS(asg_Work,asg_TaskUID,Tasks[[#This Row],[UID]],asg_Valid,1),0)</f>
        <v>0</v>
      </c>
      <c r="CP80" s="32" t="n">
        <f aca="false">Tasks[[#This Row],[_LeafCost]]+IF(Tasks[[#This Row],[_IsLeaf]]=1,SUMIFS(asg_Cost,asg_TaskUID,Tasks[[#This Row],[UID]],asg_Valid,1),0)</f>
        <v>0</v>
      </c>
      <c r="CQ80" s="32" t="n">
        <f aca="false">IF(Tasks[[#This Row],[_LeafTotalCost]]=0,Tasks[[#This Row],[_LeafAC]],Tasks[[#This Row],[_LeafAC]]*Tasks[[#This Row],[_LeafCost]]/Tasks[[#This Row],[_LeafTotalCost]])</f>
        <v>0</v>
      </c>
      <c r="CR8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0" s="32" t="n">
        <f aca="false">IF(NOT(Tasks[[#This Row],[_IsLeaf]]=1),0,MAX(_xlfn.MAXIFS(Tasks[_Row],Tasks[Pred1 UID],Tasks[[#This Row],[UID]]),_xlfn.MAXIFS(Tasks[_Row],Tasks[Pred2 UID],Tasks[[#This Row],[UID]]),_xlfn.MAXIFS(Tasks[_Row],Tasks[Pred3 UID],Tasks[[#This Row],[UID]]),_xlfn.MAXIFS(Tasks[_Row],Tasks[Pred4 UID],Tasks[[#This Row],[UID]])))</f>
        <v>0</v>
      </c>
      <c r="DA8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0" s="115" t="str">
        <f aca="false">IF(NOT(Tasks[[#This Row],[_IsLeaf]]=1),"",IF(N(Tasks[[#This Row],[Duration]])&lt;=0,Tasks[[#This Row],[_LeafLateFinish]],WORKDAY.INTL(Tasks[[#This Row],[_LeafLateFinish]],-(Tasks[[#This Row],[Duration]]-1),WorkWeek,Holidays)))</f>
        <v/>
      </c>
      <c r="DD8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0" s="114" t="b">
        <f aca="false">AND(Tasks[[#This Row],[_IsLeaf]]=1,Tasks[[#This Row],[_LeafProgress]]&lt;1,N(Tasks[[#This Row],[_LeafTotalSlack]])&lt;=CriticalSlackDays)</f>
        <v>0</v>
      </c>
      <c r="DF80" s="32" t="n">
        <f aca="false">IF(AND(Tasks[[#This Row],[_IsLeaf]]=1,Tasks[[#This Row],[_ConstraintCode]]=1,Tasks[[#This Row],[Mode]]&lt;&gt;"Manual",N(Tasks[[#This Row],[Actual Start]])=0),MAX(0,N(Tasks[[#This Row],[Free Slack]])),0)</f>
        <v>0</v>
      </c>
      <c r="DG80" s="115" t="str">
        <f aca="false">IF(NOT(Tasks[[#This Row],[_IsLeaf]]=1),"",IF(Tasks[[#This Row],[_AlapShift]]=0,Tasks[[#This Row],[_LeafCalcStart]],WORKDAY.INTL(Tasks[[#This Row],[_LeafCalcStart]],Tasks[[#This Row],[_AlapShift]],WorkWeek,Holidays)))</f>
        <v/>
      </c>
      <c r="DH80" s="115" t="str">
        <f aca="false">IF(NOT(Tasks[[#This Row],[_IsLeaf]]=1),"",IF(Tasks[[#This Row],[_AlapShift]]=0,Tasks[[#This Row],[_LeafCalcFinish]],WORKDAY.INTL(Tasks[[#This Row],[_LeafCalcFinish]],Tasks[[#This Row],[_AlapShift]],WorkWeek,Holidays)))</f>
        <v/>
      </c>
      <c r="DI80" s="115" t="str">
        <f aca="false">IF(NOT(Tasks[[#This Row],[_IsLeaf]]=1),"",IF(Tasks[[#This Row],[_AlapShift]]=0,Tasks[[#This Row],[_LeafFcstStart]],WORKDAY.INTL(Tasks[[#This Row],[_LeafFcstStart]],Tasks[[#This Row],[_AlapShift]],WorkWeek,Holidays)))</f>
        <v/>
      </c>
      <c r="DJ80" s="115" t="str">
        <f aca="false">IF(NOT(Tasks[[#This Row],[_IsLeaf]]=1),"",IF(Tasks[[#This Row],[_AlapShift]]=0,Tasks[[#This Row],[_LeafFcstFinish]],WORKDAY.INTL(Tasks[[#This Row],[_LeafFcstFinish]],Tasks[[#This Row],[_AlapShift]],WorkWeek,Holidays)))</f>
        <v/>
      </c>
      <c r="DK80" s="115" t="str">
        <f aca="false">IF(Tasks[[#This Row],[Task Name]]="","",IF(Tasks[[#This Row],[_IsSummary]],MIN(INDEX(Tasks[_ShownCalcStart],Tasks[[#This Row],[_Row]]+1):INDEX(Tasks[_ShownCalcStart],Tasks[[#This Row],[_Row]]+Tasks[[#This Row],[_Descendants]])),Tasks[[#This Row],[_ShownCalcStart]]))</f>
        <v/>
      </c>
      <c r="DL80" s="115" t="str">
        <f aca="false">IF(Tasks[[#This Row],[Task Name]]="","",IF(Tasks[[#This Row],[_IsSummary]],MAX(INDEX(Tasks[_ShownCalcFinish],Tasks[[#This Row],[_Row]]+1):INDEX(Tasks[_ShownCalcFinish],Tasks[[#This Row],[_Row]]+Tasks[[#This Row],[_Descendants]])),Tasks[[#This Row],[_ShownCalcFinish]]))</f>
        <v/>
      </c>
      <c r="DM8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0" s="32" t="n">
        <f aca="false">IF(AND(Tasks[[#This Row],[_IsLeaf]]=1,Tasks[[#This Row],[_LeafTotalWork]]&gt;0),NETWORKDAYS.INTL(ProjectStart,Tasks[[#This Row],[_ShownFcstStart]],WorkWeek,Holidays),0)</f>
        <v>0</v>
      </c>
      <c r="DZ80" s="32" t="n">
        <f aca="false">IF(AND(Tasks[[#This Row],[_IsLeaf]]=1,Tasks[[#This Row],[_LeafTotalWork]]&gt;0),MAX(Tasks[[#This Row],[_StartWorkday]],NETWORKDAYS.INTL(ProjectStart,Tasks[[#This Row],[_ShownFcstFinish]],WorkWeek,Holidays)),0)</f>
        <v>0</v>
      </c>
      <c r="EA80" s="32" t="n">
        <f aca="false">IF(AND(Tasks[[#This Row],[_IsLeaf]]=1,Tasks[[#This Row],[_LeafTotalWork]]&gt;0),Tasks[[#This Row],[_LeafWork]]/(Tasks[[#This Row],[_FinishWorkday]]-Tasks[[#This Row],[_StartWorkday]]+1),0)</f>
        <v>0</v>
      </c>
      <c r="EB80" s="32" t="n">
        <f aca="false">Tasks[[#This Row],[_WorkPerWorkday]]*(Tasks[[#This Row],[_StartWorkday]]-1)</f>
        <v>-0</v>
      </c>
      <c r="EC80" s="32" t="n">
        <f aca="false">IF(Tasks[[#This Row],[_IsLeaf]]=1,MAX(N(Tasks[[#This Row],[Duration]]),0.1),0)</f>
        <v>0</v>
      </c>
      <c r="ED80" s="32" t="n">
        <f aca="false">Tasks[[#This Row],[_WeightDur]]*Tasks[[#This Row],[_LeafProgress]]</f>
        <v>0</v>
      </c>
      <c r="EE8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0" s="32" t="str">
        <f aca="false">IF(AND(Tasks[[#This Row],[_IsLeaf]]=1,N(Tasks[[#This Row],[Duration]])=0,Tasks[[#This Row],[_LeafProgress]]&lt;1),Tasks[[#This Row],[_ShownFcstFinish]]+Tasks[[#This Row],[_Row]]/100000,"")</f>
        <v/>
      </c>
      <c r="EG8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0" s="32" t="n">
        <f aca="false">IF(NOT(Tasks[[#This Row],[_IsLeaf]]=1),0,IF(Tasks[[#This Row],[Baseline Cost]]="",Tasks[[#This Row],[_LeafTotalCost]],N(Tasks[[#This Row],[Baseline Cost]])))</f>
        <v>0</v>
      </c>
      <c r="EI80" s="32" t="n">
        <f aca="false">Tasks[[#This Row],[_LeafBudget]]*Tasks[[#This Row],[_PlannedPct]]</f>
        <v>0</v>
      </c>
      <c r="EJ80" s="32" t="n">
        <f aca="false">Tasks[[#This Row],[_LeafBudget]]*Tasks[[#This Row],[_LeafProgress]]</f>
        <v>0</v>
      </c>
      <c r="EK80" s="32" t="n">
        <f aca="false">IF(NOT(Tasks[[#This Row],[_IsLeaf]]=1),0,IF(Tasks[[#This Row],[Actual Cost]]="",Tasks[[#This Row],[_LeafTotalCost]]*Tasks[[#This Row],[_LeafProgress]],N(Tasks[[#This Row],[Actual Cost]])))</f>
        <v>0</v>
      </c>
      <c r="EL80" s="32" t="str">
        <f aca="false">IF(Tasks[[#This Row],[Task Name]]="","",LEFT(Tasks[[#This Row],[WBS]],FIND(".",Tasks[[#This Row],[WBS]]&amp;".")-1))</f>
        <v/>
      </c>
      <c r="EM80" s="32" t="str">
        <f aca="false">IF(AND(Tasks[[#This Row],[Task Name]]&lt;&gt;"",Tasks[[#This Row],[_Level]]=1),Tasks[[#This Row],[_Row]],"")</f>
        <v/>
      </c>
      <c r="EN80" s="32" t="str">
        <f aca="false">IF(AND(Tasks[[#This Row],[_IsLeaf]]=1,N(Tasks[[#This Row],[Duration]])=0),Tasks[[#This Row],[Planned Finish]]+Tasks[[#This Row],[_Row]]/100000,"")</f>
        <v/>
      </c>
      <c r="EO80" s="32" t="str">
        <f aca="false">IF(AND(Tasks[[#This Row],[_IsLeaf]]=1,Tasks[[#This Row],[_LeafProgress]]&lt;1,OR(N(Tasks[[#This Row],[Finish Var]])&gt;0,Tasks[[#This Row],[Status]]="Late Start")),MAX(0,Tasks[[#This Row],[Finish Var]])+1-Tasks[[#This Row],[_Row]]/1000000,"")</f>
        <v/>
      </c>
      <c r="EP80" s="32" t="str">
        <f aca="false">IF(AND(Tasks[[#This Row],[_IsLeaf]]=1,N(Tasks[[#This Row],[Actual Start]])=0,Tasks[[#This Row],[_ShownFcstStart]]&gt;=StatusDate,Tasks[[#This Row],[_ShownFcstStart]]&lt;=LookaheadEnd),Tasks[[#This Row],[_ShownFcstStart]]+Tasks[[#This Row],[_Row]]/100000,"")</f>
        <v/>
      </c>
      <c r="EQ80" s="32" t="str">
        <f aca="false">IF(AND(Tasks[[#This Row],[_IsLeaf]]=1,Tasks[[#This Row],[_LeafProgress]]&lt;1,Tasks[[#This Row],[_ShownFcstFinish]]&gt;=StatusDate,Tasks[[#This Row],[_ShownFcstFinish]]&lt;=LookaheadEnd),Tasks[[#This Row],[_ShownFcstFinish]]+Tasks[[#This Row],[_Row]]/100000,"")</f>
        <v/>
      </c>
      <c r="ER80" s="32" t="str">
        <f aca="false">IF(Tasks[[#This Row],[_LeafCritical]],Tasks[[#This Row],[_ShownFcstStart]]+Tasks[[#This Row],[_Row]]/100000,"")</f>
        <v/>
      </c>
      <c r="ES80" s="32" t="n">
        <f aca="false">Tasks[[#This Row],[_LeafWork]]*Tasks[[#This Row],[_LeafProgress]]</f>
        <v>0</v>
      </c>
      <c r="ET80" s="115" t="str">
        <f aca="false">IF(AND(Tasks[[#This Row],[_IsLeaf]]=1,Tasks[[#This Row],[_LeafProgress]]&gt;=1),IF(N(Tasks[[#This Row],[Actual Finish]])&gt;0,Tasks[[#This Row],[Actual Finish]],Tasks[[#This Row],[_ShownFcstFinish]]),"")</f>
        <v/>
      </c>
      <c r="EU80" s="32" t="n">
        <f aca="false">IF(Tasks[[#This Row],[_IsLeaf]]=1,N(Tasks[[#This Row],[Story Points]]),0)</f>
        <v>0</v>
      </c>
      <c r="EV80" s="32" t="str">
        <f aca="false">IF(AND(Tasks[[#This Row],[_IsLeaf]]=1,CurrentSprint&lt;&gt;"",Tasks[[#This Row],[Sprint]]=CurrentSprint),Tasks[[#This Row],[_Row]],"")</f>
        <v/>
      </c>
    </row>
    <row r="81" customFormat="false" ht="15" hidden="false" customHeight="false" outlineLevel="0" collapsed="false">
      <c r="A81" s="45" t="str">
        <f aca="false">IF(Tasks[[#This Row],[Task Name]]="","",COUNTA(Tasks[[#Headers],[Task Name]]:Tasks[[#This Row],[Task Name]])-1)</f>
        <v/>
      </c>
      <c r="B81" s="46" t="n">
        <v>76</v>
      </c>
      <c r="C8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1" s="46"/>
      <c r="E81" s="45" t="str">
        <f aca="false">IF(Tasks[[#This Row],[Task Name]]="","",IF(Tasks[[#This Row],[_Level]]&lt;=OutlineShowLevel,"Yes","No"))</f>
        <v/>
      </c>
      <c r="F81" s="47"/>
      <c r="G81" s="46"/>
      <c r="H81" s="46"/>
      <c r="I81" s="46"/>
      <c r="J81" s="46"/>
      <c r="K81" s="46"/>
      <c r="L81" s="46"/>
      <c r="M81" s="46"/>
      <c r="N81" s="46"/>
      <c r="O81" s="46"/>
      <c r="P81" s="46"/>
      <c r="Q81" s="46"/>
      <c r="R81" s="46"/>
      <c r="S81" s="46"/>
      <c r="T81" s="46"/>
      <c r="U81" s="47"/>
      <c r="V81" s="88"/>
      <c r="W81" s="88"/>
      <c r="X81" s="25" t="str">
        <f aca="false">IF(Tasks[[#This Row],[Task Name]]="","",IF(N(Tasks[[#This Row],[Baseline Start]])&gt;0,Tasks[[#This Row],[Baseline Start]],Tasks[[#This Row],[_CalcStart]]))</f>
        <v/>
      </c>
      <c r="Y81" s="25" t="str">
        <f aca="false">IF(Tasks[[#This Row],[Task Name]]="","",IF(N(Tasks[[#This Row],[Baseline Finish]])&gt;0,Tasks[[#This Row],[Baseline Finish]],Tasks[[#This Row],[_CalcFinish]]))</f>
        <v/>
      </c>
      <c r="Z81" s="88"/>
      <c r="AA81" s="88"/>
      <c r="AB81" s="25" t="str">
        <f aca="false">IF(Tasks[[#This Row],[Task Name]]="","",IF(Tasks[[#This Row],[_IsSummary]],MIN(INDEX(Tasks[_ShownFcstStart],Tasks[[#This Row],[_Row]]+1):INDEX(Tasks[_ShownFcstStart],Tasks[[#This Row],[_Row]]+Tasks[[#This Row],[_Descendants]])),Tasks[[#This Row],[_ShownFcstStart]]))</f>
        <v/>
      </c>
      <c r="AC81" s="25" t="str">
        <f aca="false">IF(Tasks[[#This Row],[Task Name]]="","",IF(Tasks[[#This Row],[_IsSummary]],MAX(INDEX(Tasks[_ShownFcstFinish],Tasks[[#This Row],[_Row]]+1):INDEX(Tasks[_ShownFcstFinish],Tasks[[#This Row],[_Row]]+Tasks[[#This Row],[_Descendants]])),Tasks[[#This Row],[_ShownFcstFinish]]))</f>
        <v/>
      </c>
      <c r="AD8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1" s="25" t="str">
        <f aca="false">IF(Tasks[[#This Row],[Task Name]]="","",IF(Tasks[[#This Row],[_IsSummary]],MIN(INDEX(Tasks[_LeafLateStart],Tasks[[#This Row],[_Row]]+1):INDEX(Tasks[_LeafLateStart],Tasks[[#This Row],[_Row]]+Tasks[[#This Row],[_Descendants]])),Tasks[[#This Row],[_LeafLateStart]]))</f>
        <v/>
      </c>
      <c r="AG81" s="25" t="str">
        <f aca="false">IF(Tasks[[#This Row],[Task Name]]="","",IF(Tasks[[#This Row],[_IsSummary]],MAX(INDEX(Tasks[_LeafLateFinish],Tasks[[#This Row],[_Row]]+1):INDEX(Tasks[_LeafLateFinish],Tasks[[#This Row],[_Row]]+Tasks[[#This Row],[_Descendants]])),Tasks[[#This Row],[_LeafLateFinish]]))</f>
        <v/>
      </c>
      <c r="AH81" s="56" t="str">
        <f aca="false">IF(Tasks[[#This Row],[Task Name]]="","",IF(Tasks[[#This Row],[_IsSummary]],MIN(INDEX(Tasks[_LeafTotalSlack],Tasks[[#This Row],[_Row]]+1):INDEX(Tasks[_LeafTotalSlack],Tasks[[#This Row],[_Row]]+Tasks[[#This Row],[_Descendants]])),Tasks[[#This Row],[_LeafTotalSlack]]))</f>
        <v/>
      </c>
      <c r="AI8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1" s="45" t="str">
        <f aca="false">IF(Tasks[[#This Row],[Task Name]]="","",IF(IF(Tasks[[#This Row],[_IsSummary]],COUNTIF(INDEX(Tasks[_LeafCritical],Tasks[[#This Row],[_Row]]+1):INDEX(Tasks[_LeafCritical],Tasks[[#This Row],[_Row]]+Tasks[[#This Row],[_Descendants]]),TRUE())&gt;0,Tasks[[#This Row],[_LeafCritical]]),"Yes",""))</f>
        <v/>
      </c>
      <c r="AK8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1" s="102"/>
      <c r="AN8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1" s="45" t="str">
        <f aca="false">IF(Tasks[[#This Row],[Task Name]]="","",IF(Tasks[[#This Row],[Progress]]&gt;=1,"Complete",IF(OR(N(Tasks[[#This Row],[Actual Start]])&gt;0,Tasks[[#This Row],[Progress]]&gt;0),IF(Tasks[[#This Row],[Finish Var]]&gt;0,"Behind","In Progress"),IF(Tasks[[#This Row],[Planned Start]]&lt;StatusDate,"Late Start","Not Started"))))</f>
        <v/>
      </c>
      <c r="AP81" s="47"/>
      <c r="AQ81" s="102"/>
      <c r="AR8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1" s="110" t="str">
        <f aca="false">IF(Tasks[[#This Row],[Task Name]]="","",IF(Tasks[[#This Row],[_IsSummary]],SUM(INDEX(Tasks[_LeafTotalWork],Tasks[[#This Row],[_Row]]+1):INDEX(Tasks[_LeafTotalWork],Tasks[[#This Row],[_Row]]+Tasks[[#This Row],[_Descendants]])),Tasks[[#This Row],[_LeafTotalWork]]))</f>
        <v/>
      </c>
      <c r="AU81" s="111" t="str">
        <f aca="false">IF(Tasks[[#This Row],[Task Name]]="","",IF(Tasks[[#This Row],[_IsSummary]],SUM(INDEX(Tasks[_LeafTotalCost],Tasks[[#This Row],[_Row]]+1):INDEX(Tasks[_LeafTotalCost],Tasks[[#This Row],[_Row]]+Tasks[[#This Row],[_Descendants]])),Tasks[[#This Row],[_LeafTotalCost]]))</f>
        <v/>
      </c>
      <c r="AV81" s="112"/>
      <c r="AW81" s="46"/>
      <c r="AX8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1" s="96"/>
      <c r="AZ8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1" s="47"/>
      <c r="BB81" s="25" t="str">
        <f aca="false">IF(Tasks[[#This Row],[Task Name]]="","",Tasks[[#This Row],[Forecast Start]])</f>
        <v/>
      </c>
      <c r="BC81" s="25" t="str">
        <f aca="false">IF(Tasks[[#This Row],[Task Name]]="","",Tasks[[#This Row],[Forecast Finish]])</f>
        <v/>
      </c>
      <c r="BD81" s="45" t="str">
        <f aca="false">IF(Tasks[[#This Row],[Task Name]]="","",IF(Tasks[[#This Row],[_IsSummary]],NETWORKDAYS.INTL(Tasks[[#This Row],[Forecast Start]],Tasks[[#This Row],[Forecast Finish]],WorkWeek,Holidays),N(Tasks[[#This Row],[Duration]])))</f>
        <v/>
      </c>
      <c r="BE81" s="110" t="str">
        <f aca="false">IF(Tasks[[#This Row],[Task Name]]="","",Tasks[[#This Row],[Work]])</f>
        <v/>
      </c>
      <c r="BF81" s="111" t="str">
        <f aca="false">IF(Tasks[[#This Row],[Task Name]]="","",Tasks[[#This Row],[Cost]])</f>
        <v/>
      </c>
      <c r="BG81" s="88"/>
      <c r="BH81" s="88"/>
      <c r="BI81" s="46"/>
      <c r="BJ81" s="113"/>
      <c r="BK81" s="112"/>
      <c r="BL81" s="45" t="str">
        <f aca="false">IF(OR(Tasks[[#This Row],[Task Name]]="",Tasks[[#This Row],[Baseline Duration]]=""),"",Tasks[[#This Row],[BL Source Duration]]-N(Tasks[[#This Row],[Baseline Duration]]))</f>
        <v/>
      </c>
      <c r="BM81" s="110" t="str">
        <f aca="false">IF(OR(Tasks[[#This Row],[Task Name]]="",Tasks[[#This Row],[Baseline Work]]=""),"",Tasks[[#This Row],[Work]]-N(Tasks[[#This Row],[Baseline Work]]))</f>
        <v/>
      </c>
      <c r="BN81" s="111" t="str">
        <f aca="false">IF(OR(Tasks[[#This Row],[Task Name]]="",Tasks[[#This Row],[Baseline Cost]]=""),"",Tasks[[#This Row],[Cost]]-N(Tasks[[#This Row],[Baseline Cost]]))</f>
        <v/>
      </c>
      <c r="BO81" s="111" t="str">
        <f aca="false">IF(Tasks[[#This Row],[Task Name]]="","",IF(Tasks[[#This Row],[_IsSummary]],SUM(INDEX(Tasks[_LeafBudget],Tasks[[#This Row],[_Row]]+1):INDEX(Tasks[_LeafBudget],Tasks[[#This Row],[_Row]]+Tasks[[#This Row],[_Descendants]])),Tasks[[#This Row],[_LeafBudget]]))</f>
        <v/>
      </c>
      <c r="BP81" s="111" t="str">
        <f aca="false">IF(Tasks[[#This Row],[Task Name]]="","",IF(Tasks[[#This Row],[_IsSummary]],SUM(INDEX(Tasks[_LeafPV],Tasks[[#This Row],[_Row]]+1):INDEX(Tasks[_LeafPV],Tasks[[#This Row],[_Row]]+Tasks[[#This Row],[_Descendants]])),Tasks[[#This Row],[_LeafPV]]))</f>
        <v/>
      </c>
      <c r="BQ81" s="111" t="str">
        <f aca="false">IF(Tasks[[#This Row],[Task Name]]="","",IF(Tasks[[#This Row],[_IsSummary]],SUM(INDEX(Tasks[_LeafEV],Tasks[[#This Row],[_Row]]+1):INDEX(Tasks[_LeafEV],Tasks[[#This Row],[_Row]]+Tasks[[#This Row],[_Descendants]])),Tasks[[#This Row],[_LeafEV]]))</f>
        <v/>
      </c>
      <c r="BR81" s="111" t="str">
        <f aca="false">IF(Tasks[[#This Row],[Task Name]]="","",IF(Tasks[[#This Row],[_IsSummary]],SUM(INDEX(Tasks[_LeafAC],Tasks[[#This Row],[_Row]]+1):INDEX(Tasks[_LeafAC],Tasks[[#This Row],[_Row]]+Tasks[[#This Row],[_Descendants]])),Tasks[[#This Row],[_LeafAC]]))</f>
        <v/>
      </c>
      <c r="BS81" s="32" t="str">
        <f aca="false">IF(Tasks[[#This Row],[Task Name]]="","",MAX(1,N(Tasks[[#This Row],[Level]])))</f>
        <v/>
      </c>
      <c r="BT81" s="32" t="n">
        <f aca="false">ROW()-ROW(Tasks[[#Headers],[ID]])</f>
        <v>76</v>
      </c>
      <c r="BU81" s="32" t="n">
        <f aca="false">IF(OR(Tasks[[#This Row],[Task Name]]="",Tasks[[#This Row],[_Level]]&lt;=1),0,IFERROR(LOOKUP(2,1/(Tasks[[#Headers],[_Level]]:Tasks[[#This Row],[_Level]]=Tasks[[#This Row],[_Level]]-1),ROW(Tasks[[#Headers],[_Level]]:Tasks[[#This Row],[_Level]])),0))</f>
        <v>0</v>
      </c>
      <c r="BV81" s="32" t="n">
        <f aca="false">IFERROR(N(INDEX(Tasks[_Level],Tasks[[#This Row],[_Row]]+1)),0)</f>
        <v>0</v>
      </c>
      <c r="BW81" s="114" t="b">
        <f aca="false">AND(Tasks[[#This Row],[Task Name]]&lt;&gt;"",Tasks[[#This Row],[_NextLevel]]&gt;Tasks[[#This Row],[_Level]])</f>
        <v>0</v>
      </c>
      <c r="BX81" s="32" t="n">
        <f aca="false">IF(Tasks[[#This Row],[_IsSummary]],COUNTIF(Tasks[WBS],Tasks[[#This Row],[WBS]]&amp;".*"),0)</f>
        <v>0</v>
      </c>
      <c r="BY81" s="32" t="n">
        <f aca="false">IF(AND(Tasks[[#This Row],[Task Name]]&lt;&gt;"",NOT(Tasks[[#This Row],[_IsSummary]])),1,0)</f>
        <v>0</v>
      </c>
      <c r="BZ81" s="32" t="n">
        <f aca="false">IF(N(Tasks[[#This Row],[Pred1 UID]])=0,0,IFERROR(MATCH(Tasks[[#This Row],[Pred1 UID]],Tasks[UID],0),-1))</f>
        <v>0</v>
      </c>
      <c r="CA81" s="32" t="n">
        <f aca="false">IF(N(Tasks[[#This Row],[Pred2 UID]])=0,0,IFERROR(MATCH(Tasks[[#This Row],[Pred2 UID]],Tasks[UID],0),-1))</f>
        <v>0</v>
      </c>
      <c r="CB81" s="32" t="n">
        <f aca="false">IF(N(Tasks[[#This Row],[Pred3 UID]])=0,0,IFERROR(MATCH(Tasks[[#This Row],[Pred3 UID]],Tasks[UID],0),-1))</f>
        <v>0</v>
      </c>
      <c r="CC81" s="32" t="n">
        <f aca="false">IF(N(Tasks[[#This Row],[Pred4 UID]])=0,0,IFERROR(MATCH(Tasks[[#This Row],[Pred4 UID]],Tasks[UID],0),-1))</f>
        <v>0</v>
      </c>
      <c r="CD8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1" s="115" t="n">
        <f aca="false">IF(OR(Tasks[[#This Row],[_ConstraintCode]]=2,Tasks[[#This Row],[_ConstraintCode]]=3,Tasks[[#This Row],[_ConstraintCode]]=4,Tasks[[#This Row],[_ConstraintCode]]=6),Tasks[[#This Row],[_ConstraintStart]],0)</f>
        <v>0</v>
      </c>
      <c r="CG81" s="115" t="n">
        <f aca="false">IF(OR(Tasks[[#This Row],[_ConstraintCode]]=2,Tasks[[#This Row],[_ConstraintCode]]=3,Tasks[[#This Row],[_ConstraintCode]]=5,Tasks[[#This Row],[_ConstraintCode]]=7),Tasks[[#This Row],[_ConstraintStart]],2958465)</f>
        <v>2958465</v>
      </c>
      <c r="CH8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1" s="115" t="str">
        <f aca="false">IF(NOT(Tasks[[#This Row],[_IsLeaf]]=1),"",IF(N(Tasks[[#This Row],[Duration]])&lt;=0,Tasks[[#This Row],[_LeafCalcStart]],WORKDAY.INTL(Tasks[[#This Row],[_LeafCalcStart]],Tasks[[#This Row],[Duration]]-1,WorkWeek,Holidays)))</f>
        <v/>
      </c>
      <c r="CJ8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1" s="32" t="n">
        <f aca="false">IF(NOT(Tasks[[#This Row],[_IsLeaf]]=1),0,IF(N(Tasks[[#This Row],[Actual Finish]])&gt;0,1,MIN(1,N(Tasks[[#This Row],[% Complete]]))))</f>
        <v>0</v>
      </c>
      <c r="CM81" s="32" t="n">
        <f aca="false">IF(OR(NOT(Tasks[[#This Row],[_IsLeaf]]=1),Tasks[[#This Row],[Resource]]=""),0,N(Tasks[[#This Row],[Duration]])*HoursPerDay*IF(Tasks[[#This Row],[Units]]="",DefaultUnits,Tasks[[#This Row],[Units]]))</f>
        <v>0</v>
      </c>
      <c r="CN81" s="32" t="n">
        <f aca="false">IF(Tasks[[#This Row],[_LeafWork]]=0,0,Tasks[[#This Row],[_LeafWork]]*IFERROR(INDEX(res_Rate,MATCH(Tasks[[#This Row],[Resource]],res_Name,0)),0))</f>
        <v>0</v>
      </c>
      <c r="CO81" s="32" t="n">
        <f aca="false">Tasks[[#This Row],[_LeafWork]]+IF(Tasks[[#This Row],[_IsLeaf]]=1,SUMIFS(asg_Work,asg_TaskUID,Tasks[[#This Row],[UID]],asg_Valid,1),0)</f>
        <v>0</v>
      </c>
      <c r="CP81" s="32" t="n">
        <f aca="false">Tasks[[#This Row],[_LeafCost]]+IF(Tasks[[#This Row],[_IsLeaf]]=1,SUMIFS(asg_Cost,asg_TaskUID,Tasks[[#This Row],[UID]],asg_Valid,1),0)</f>
        <v>0</v>
      </c>
      <c r="CQ81" s="32" t="n">
        <f aca="false">IF(Tasks[[#This Row],[_LeafTotalCost]]=0,Tasks[[#This Row],[_LeafAC]],Tasks[[#This Row],[_LeafAC]]*Tasks[[#This Row],[_LeafCost]]/Tasks[[#This Row],[_LeafTotalCost]])</f>
        <v>0</v>
      </c>
      <c r="CR8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1" s="32" t="n">
        <f aca="false">IF(NOT(Tasks[[#This Row],[_IsLeaf]]=1),0,MAX(_xlfn.MAXIFS(Tasks[_Row],Tasks[Pred1 UID],Tasks[[#This Row],[UID]]),_xlfn.MAXIFS(Tasks[_Row],Tasks[Pred2 UID],Tasks[[#This Row],[UID]]),_xlfn.MAXIFS(Tasks[_Row],Tasks[Pred3 UID],Tasks[[#This Row],[UID]]),_xlfn.MAXIFS(Tasks[_Row],Tasks[Pred4 UID],Tasks[[#This Row],[UID]])))</f>
        <v>0</v>
      </c>
      <c r="DA8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1" s="115" t="str">
        <f aca="false">IF(NOT(Tasks[[#This Row],[_IsLeaf]]=1),"",IF(N(Tasks[[#This Row],[Duration]])&lt;=0,Tasks[[#This Row],[_LeafLateFinish]],WORKDAY.INTL(Tasks[[#This Row],[_LeafLateFinish]],-(Tasks[[#This Row],[Duration]]-1),WorkWeek,Holidays)))</f>
        <v/>
      </c>
      <c r="DD8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1" s="114" t="b">
        <f aca="false">AND(Tasks[[#This Row],[_IsLeaf]]=1,Tasks[[#This Row],[_LeafProgress]]&lt;1,N(Tasks[[#This Row],[_LeafTotalSlack]])&lt;=CriticalSlackDays)</f>
        <v>0</v>
      </c>
      <c r="DF81" s="32" t="n">
        <f aca="false">IF(AND(Tasks[[#This Row],[_IsLeaf]]=1,Tasks[[#This Row],[_ConstraintCode]]=1,Tasks[[#This Row],[Mode]]&lt;&gt;"Manual",N(Tasks[[#This Row],[Actual Start]])=0),MAX(0,N(Tasks[[#This Row],[Free Slack]])),0)</f>
        <v>0</v>
      </c>
      <c r="DG81" s="115" t="str">
        <f aca="false">IF(NOT(Tasks[[#This Row],[_IsLeaf]]=1),"",IF(Tasks[[#This Row],[_AlapShift]]=0,Tasks[[#This Row],[_LeafCalcStart]],WORKDAY.INTL(Tasks[[#This Row],[_LeafCalcStart]],Tasks[[#This Row],[_AlapShift]],WorkWeek,Holidays)))</f>
        <v/>
      </c>
      <c r="DH81" s="115" t="str">
        <f aca="false">IF(NOT(Tasks[[#This Row],[_IsLeaf]]=1),"",IF(Tasks[[#This Row],[_AlapShift]]=0,Tasks[[#This Row],[_LeafCalcFinish]],WORKDAY.INTL(Tasks[[#This Row],[_LeafCalcFinish]],Tasks[[#This Row],[_AlapShift]],WorkWeek,Holidays)))</f>
        <v/>
      </c>
      <c r="DI81" s="115" t="str">
        <f aca="false">IF(NOT(Tasks[[#This Row],[_IsLeaf]]=1),"",IF(Tasks[[#This Row],[_AlapShift]]=0,Tasks[[#This Row],[_LeafFcstStart]],WORKDAY.INTL(Tasks[[#This Row],[_LeafFcstStart]],Tasks[[#This Row],[_AlapShift]],WorkWeek,Holidays)))</f>
        <v/>
      </c>
      <c r="DJ81" s="115" t="str">
        <f aca="false">IF(NOT(Tasks[[#This Row],[_IsLeaf]]=1),"",IF(Tasks[[#This Row],[_AlapShift]]=0,Tasks[[#This Row],[_LeafFcstFinish]],WORKDAY.INTL(Tasks[[#This Row],[_LeafFcstFinish]],Tasks[[#This Row],[_AlapShift]],WorkWeek,Holidays)))</f>
        <v/>
      </c>
      <c r="DK81" s="115" t="str">
        <f aca="false">IF(Tasks[[#This Row],[Task Name]]="","",IF(Tasks[[#This Row],[_IsSummary]],MIN(INDEX(Tasks[_ShownCalcStart],Tasks[[#This Row],[_Row]]+1):INDEX(Tasks[_ShownCalcStart],Tasks[[#This Row],[_Row]]+Tasks[[#This Row],[_Descendants]])),Tasks[[#This Row],[_ShownCalcStart]]))</f>
        <v/>
      </c>
      <c r="DL81" s="115" t="str">
        <f aca="false">IF(Tasks[[#This Row],[Task Name]]="","",IF(Tasks[[#This Row],[_IsSummary]],MAX(INDEX(Tasks[_ShownCalcFinish],Tasks[[#This Row],[_Row]]+1):INDEX(Tasks[_ShownCalcFinish],Tasks[[#This Row],[_Row]]+Tasks[[#This Row],[_Descendants]])),Tasks[[#This Row],[_ShownCalcFinish]]))</f>
        <v/>
      </c>
      <c r="DM8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1" s="32" t="n">
        <f aca="false">IF(AND(Tasks[[#This Row],[_IsLeaf]]=1,Tasks[[#This Row],[_LeafTotalWork]]&gt;0),NETWORKDAYS.INTL(ProjectStart,Tasks[[#This Row],[_ShownFcstStart]],WorkWeek,Holidays),0)</f>
        <v>0</v>
      </c>
      <c r="DZ81" s="32" t="n">
        <f aca="false">IF(AND(Tasks[[#This Row],[_IsLeaf]]=1,Tasks[[#This Row],[_LeafTotalWork]]&gt;0),MAX(Tasks[[#This Row],[_StartWorkday]],NETWORKDAYS.INTL(ProjectStart,Tasks[[#This Row],[_ShownFcstFinish]],WorkWeek,Holidays)),0)</f>
        <v>0</v>
      </c>
      <c r="EA81" s="32" t="n">
        <f aca="false">IF(AND(Tasks[[#This Row],[_IsLeaf]]=1,Tasks[[#This Row],[_LeafTotalWork]]&gt;0),Tasks[[#This Row],[_LeafWork]]/(Tasks[[#This Row],[_FinishWorkday]]-Tasks[[#This Row],[_StartWorkday]]+1),0)</f>
        <v>0</v>
      </c>
      <c r="EB81" s="32" t="n">
        <f aca="false">Tasks[[#This Row],[_WorkPerWorkday]]*(Tasks[[#This Row],[_StartWorkday]]-1)</f>
        <v>-0</v>
      </c>
      <c r="EC81" s="32" t="n">
        <f aca="false">IF(Tasks[[#This Row],[_IsLeaf]]=1,MAX(N(Tasks[[#This Row],[Duration]]),0.1),0)</f>
        <v>0</v>
      </c>
      <c r="ED81" s="32" t="n">
        <f aca="false">Tasks[[#This Row],[_WeightDur]]*Tasks[[#This Row],[_LeafProgress]]</f>
        <v>0</v>
      </c>
      <c r="EE8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1" s="32" t="str">
        <f aca="false">IF(AND(Tasks[[#This Row],[_IsLeaf]]=1,N(Tasks[[#This Row],[Duration]])=0,Tasks[[#This Row],[_LeafProgress]]&lt;1),Tasks[[#This Row],[_ShownFcstFinish]]+Tasks[[#This Row],[_Row]]/100000,"")</f>
        <v/>
      </c>
      <c r="EG8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1" s="32" t="n">
        <f aca="false">IF(NOT(Tasks[[#This Row],[_IsLeaf]]=1),0,IF(Tasks[[#This Row],[Baseline Cost]]="",Tasks[[#This Row],[_LeafTotalCost]],N(Tasks[[#This Row],[Baseline Cost]])))</f>
        <v>0</v>
      </c>
      <c r="EI81" s="32" t="n">
        <f aca="false">Tasks[[#This Row],[_LeafBudget]]*Tasks[[#This Row],[_PlannedPct]]</f>
        <v>0</v>
      </c>
      <c r="EJ81" s="32" t="n">
        <f aca="false">Tasks[[#This Row],[_LeafBudget]]*Tasks[[#This Row],[_LeafProgress]]</f>
        <v>0</v>
      </c>
      <c r="EK81" s="32" t="n">
        <f aca="false">IF(NOT(Tasks[[#This Row],[_IsLeaf]]=1),0,IF(Tasks[[#This Row],[Actual Cost]]="",Tasks[[#This Row],[_LeafTotalCost]]*Tasks[[#This Row],[_LeafProgress]],N(Tasks[[#This Row],[Actual Cost]])))</f>
        <v>0</v>
      </c>
      <c r="EL81" s="32" t="str">
        <f aca="false">IF(Tasks[[#This Row],[Task Name]]="","",LEFT(Tasks[[#This Row],[WBS]],FIND(".",Tasks[[#This Row],[WBS]]&amp;".")-1))</f>
        <v/>
      </c>
      <c r="EM81" s="32" t="str">
        <f aca="false">IF(AND(Tasks[[#This Row],[Task Name]]&lt;&gt;"",Tasks[[#This Row],[_Level]]=1),Tasks[[#This Row],[_Row]],"")</f>
        <v/>
      </c>
      <c r="EN81" s="32" t="str">
        <f aca="false">IF(AND(Tasks[[#This Row],[_IsLeaf]]=1,N(Tasks[[#This Row],[Duration]])=0),Tasks[[#This Row],[Planned Finish]]+Tasks[[#This Row],[_Row]]/100000,"")</f>
        <v/>
      </c>
      <c r="EO81" s="32" t="str">
        <f aca="false">IF(AND(Tasks[[#This Row],[_IsLeaf]]=1,Tasks[[#This Row],[_LeafProgress]]&lt;1,OR(N(Tasks[[#This Row],[Finish Var]])&gt;0,Tasks[[#This Row],[Status]]="Late Start")),MAX(0,Tasks[[#This Row],[Finish Var]])+1-Tasks[[#This Row],[_Row]]/1000000,"")</f>
        <v/>
      </c>
      <c r="EP81" s="32" t="str">
        <f aca="false">IF(AND(Tasks[[#This Row],[_IsLeaf]]=1,N(Tasks[[#This Row],[Actual Start]])=0,Tasks[[#This Row],[_ShownFcstStart]]&gt;=StatusDate,Tasks[[#This Row],[_ShownFcstStart]]&lt;=LookaheadEnd),Tasks[[#This Row],[_ShownFcstStart]]+Tasks[[#This Row],[_Row]]/100000,"")</f>
        <v/>
      </c>
      <c r="EQ81" s="32" t="str">
        <f aca="false">IF(AND(Tasks[[#This Row],[_IsLeaf]]=1,Tasks[[#This Row],[_LeafProgress]]&lt;1,Tasks[[#This Row],[_ShownFcstFinish]]&gt;=StatusDate,Tasks[[#This Row],[_ShownFcstFinish]]&lt;=LookaheadEnd),Tasks[[#This Row],[_ShownFcstFinish]]+Tasks[[#This Row],[_Row]]/100000,"")</f>
        <v/>
      </c>
      <c r="ER81" s="32" t="str">
        <f aca="false">IF(Tasks[[#This Row],[_LeafCritical]],Tasks[[#This Row],[_ShownFcstStart]]+Tasks[[#This Row],[_Row]]/100000,"")</f>
        <v/>
      </c>
      <c r="ES81" s="32" t="n">
        <f aca="false">Tasks[[#This Row],[_LeafWork]]*Tasks[[#This Row],[_LeafProgress]]</f>
        <v>0</v>
      </c>
      <c r="ET81" s="115" t="str">
        <f aca="false">IF(AND(Tasks[[#This Row],[_IsLeaf]]=1,Tasks[[#This Row],[_LeafProgress]]&gt;=1),IF(N(Tasks[[#This Row],[Actual Finish]])&gt;0,Tasks[[#This Row],[Actual Finish]],Tasks[[#This Row],[_ShownFcstFinish]]),"")</f>
        <v/>
      </c>
      <c r="EU81" s="32" t="n">
        <f aca="false">IF(Tasks[[#This Row],[_IsLeaf]]=1,N(Tasks[[#This Row],[Story Points]]),0)</f>
        <v>0</v>
      </c>
      <c r="EV81" s="32" t="str">
        <f aca="false">IF(AND(Tasks[[#This Row],[_IsLeaf]]=1,CurrentSprint&lt;&gt;"",Tasks[[#This Row],[Sprint]]=CurrentSprint),Tasks[[#This Row],[_Row]],"")</f>
        <v/>
      </c>
    </row>
    <row r="82" customFormat="false" ht="15" hidden="false" customHeight="false" outlineLevel="0" collapsed="false">
      <c r="A82" s="45" t="str">
        <f aca="false">IF(Tasks[[#This Row],[Task Name]]="","",COUNTA(Tasks[[#Headers],[Task Name]]:Tasks[[#This Row],[Task Name]])-1)</f>
        <v/>
      </c>
      <c r="B82" s="46" t="n">
        <v>77</v>
      </c>
      <c r="C8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2" s="46"/>
      <c r="E82" s="45" t="str">
        <f aca="false">IF(Tasks[[#This Row],[Task Name]]="","",IF(Tasks[[#This Row],[_Level]]&lt;=OutlineShowLevel,"Yes","No"))</f>
        <v/>
      </c>
      <c r="F82" s="47"/>
      <c r="G82" s="46"/>
      <c r="H82" s="46"/>
      <c r="I82" s="46"/>
      <c r="J82" s="46"/>
      <c r="K82" s="46"/>
      <c r="L82" s="46"/>
      <c r="M82" s="46"/>
      <c r="N82" s="46"/>
      <c r="O82" s="46"/>
      <c r="P82" s="46"/>
      <c r="Q82" s="46"/>
      <c r="R82" s="46"/>
      <c r="S82" s="46"/>
      <c r="T82" s="46"/>
      <c r="U82" s="47"/>
      <c r="V82" s="88"/>
      <c r="W82" s="88"/>
      <c r="X82" s="25" t="str">
        <f aca="false">IF(Tasks[[#This Row],[Task Name]]="","",IF(N(Tasks[[#This Row],[Baseline Start]])&gt;0,Tasks[[#This Row],[Baseline Start]],Tasks[[#This Row],[_CalcStart]]))</f>
        <v/>
      </c>
      <c r="Y82" s="25" t="str">
        <f aca="false">IF(Tasks[[#This Row],[Task Name]]="","",IF(N(Tasks[[#This Row],[Baseline Finish]])&gt;0,Tasks[[#This Row],[Baseline Finish]],Tasks[[#This Row],[_CalcFinish]]))</f>
        <v/>
      </c>
      <c r="Z82" s="88"/>
      <c r="AA82" s="88"/>
      <c r="AB82" s="25" t="str">
        <f aca="false">IF(Tasks[[#This Row],[Task Name]]="","",IF(Tasks[[#This Row],[_IsSummary]],MIN(INDEX(Tasks[_ShownFcstStart],Tasks[[#This Row],[_Row]]+1):INDEX(Tasks[_ShownFcstStart],Tasks[[#This Row],[_Row]]+Tasks[[#This Row],[_Descendants]])),Tasks[[#This Row],[_ShownFcstStart]]))</f>
        <v/>
      </c>
      <c r="AC82" s="25" t="str">
        <f aca="false">IF(Tasks[[#This Row],[Task Name]]="","",IF(Tasks[[#This Row],[_IsSummary]],MAX(INDEX(Tasks[_ShownFcstFinish],Tasks[[#This Row],[_Row]]+1):INDEX(Tasks[_ShownFcstFinish],Tasks[[#This Row],[_Row]]+Tasks[[#This Row],[_Descendants]])),Tasks[[#This Row],[_ShownFcstFinish]]))</f>
        <v/>
      </c>
      <c r="AD8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2" s="25" t="str">
        <f aca="false">IF(Tasks[[#This Row],[Task Name]]="","",IF(Tasks[[#This Row],[_IsSummary]],MIN(INDEX(Tasks[_LeafLateStart],Tasks[[#This Row],[_Row]]+1):INDEX(Tasks[_LeafLateStart],Tasks[[#This Row],[_Row]]+Tasks[[#This Row],[_Descendants]])),Tasks[[#This Row],[_LeafLateStart]]))</f>
        <v/>
      </c>
      <c r="AG82" s="25" t="str">
        <f aca="false">IF(Tasks[[#This Row],[Task Name]]="","",IF(Tasks[[#This Row],[_IsSummary]],MAX(INDEX(Tasks[_LeafLateFinish],Tasks[[#This Row],[_Row]]+1):INDEX(Tasks[_LeafLateFinish],Tasks[[#This Row],[_Row]]+Tasks[[#This Row],[_Descendants]])),Tasks[[#This Row],[_LeafLateFinish]]))</f>
        <v/>
      </c>
      <c r="AH82" s="56" t="str">
        <f aca="false">IF(Tasks[[#This Row],[Task Name]]="","",IF(Tasks[[#This Row],[_IsSummary]],MIN(INDEX(Tasks[_LeafTotalSlack],Tasks[[#This Row],[_Row]]+1):INDEX(Tasks[_LeafTotalSlack],Tasks[[#This Row],[_Row]]+Tasks[[#This Row],[_Descendants]])),Tasks[[#This Row],[_LeafTotalSlack]]))</f>
        <v/>
      </c>
      <c r="AI8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2" s="45" t="str">
        <f aca="false">IF(Tasks[[#This Row],[Task Name]]="","",IF(IF(Tasks[[#This Row],[_IsSummary]],COUNTIF(INDEX(Tasks[_LeafCritical],Tasks[[#This Row],[_Row]]+1):INDEX(Tasks[_LeafCritical],Tasks[[#This Row],[_Row]]+Tasks[[#This Row],[_Descendants]]),TRUE())&gt;0,Tasks[[#This Row],[_LeafCritical]]),"Yes",""))</f>
        <v/>
      </c>
      <c r="AK8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2" s="102"/>
      <c r="AN8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2" s="45" t="str">
        <f aca="false">IF(Tasks[[#This Row],[Task Name]]="","",IF(Tasks[[#This Row],[Progress]]&gt;=1,"Complete",IF(OR(N(Tasks[[#This Row],[Actual Start]])&gt;0,Tasks[[#This Row],[Progress]]&gt;0),IF(Tasks[[#This Row],[Finish Var]]&gt;0,"Behind","In Progress"),IF(Tasks[[#This Row],[Planned Start]]&lt;StatusDate,"Late Start","Not Started"))))</f>
        <v/>
      </c>
      <c r="AP82" s="47"/>
      <c r="AQ82" s="102"/>
      <c r="AR8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2" s="110" t="str">
        <f aca="false">IF(Tasks[[#This Row],[Task Name]]="","",IF(Tasks[[#This Row],[_IsSummary]],SUM(INDEX(Tasks[_LeafTotalWork],Tasks[[#This Row],[_Row]]+1):INDEX(Tasks[_LeafTotalWork],Tasks[[#This Row],[_Row]]+Tasks[[#This Row],[_Descendants]])),Tasks[[#This Row],[_LeafTotalWork]]))</f>
        <v/>
      </c>
      <c r="AU82" s="111" t="str">
        <f aca="false">IF(Tasks[[#This Row],[Task Name]]="","",IF(Tasks[[#This Row],[_IsSummary]],SUM(INDEX(Tasks[_LeafTotalCost],Tasks[[#This Row],[_Row]]+1):INDEX(Tasks[_LeafTotalCost],Tasks[[#This Row],[_Row]]+Tasks[[#This Row],[_Descendants]])),Tasks[[#This Row],[_LeafTotalCost]]))</f>
        <v/>
      </c>
      <c r="AV82" s="112"/>
      <c r="AW82" s="46"/>
      <c r="AX8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2" s="96"/>
      <c r="AZ8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2" s="47"/>
      <c r="BB82" s="25" t="str">
        <f aca="false">IF(Tasks[[#This Row],[Task Name]]="","",Tasks[[#This Row],[Forecast Start]])</f>
        <v/>
      </c>
      <c r="BC82" s="25" t="str">
        <f aca="false">IF(Tasks[[#This Row],[Task Name]]="","",Tasks[[#This Row],[Forecast Finish]])</f>
        <v/>
      </c>
      <c r="BD82" s="45" t="str">
        <f aca="false">IF(Tasks[[#This Row],[Task Name]]="","",IF(Tasks[[#This Row],[_IsSummary]],NETWORKDAYS.INTL(Tasks[[#This Row],[Forecast Start]],Tasks[[#This Row],[Forecast Finish]],WorkWeek,Holidays),N(Tasks[[#This Row],[Duration]])))</f>
        <v/>
      </c>
      <c r="BE82" s="110" t="str">
        <f aca="false">IF(Tasks[[#This Row],[Task Name]]="","",Tasks[[#This Row],[Work]])</f>
        <v/>
      </c>
      <c r="BF82" s="111" t="str">
        <f aca="false">IF(Tasks[[#This Row],[Task Name]]="","",Tasks[[#This Row],[Cost]])</f>
        <v/>
      </c>
      <c r="BG82" s="88"/>
      <c r="BH82" s="88"/>
      <c r="BI82" s="46"/>
      <c r="BJ82" s="113"/>
      <c r="BK82" s="112"/>
      <c r="BL82" s="45" t="str">
        <f aca="false">IF(OR(Tasks[[#This Row],[Task Name]]="",Tasks[[#This Row],[Baseline Duration]]=""),"",Tasks[[#This Row],[BL Source Duration]]-N(Tasks[[#This Row],[Baseline Duration]]))</f>
        <v/>
      </c>
      <c r="BM82" s="110" t="str">
        <f aca="false">IF(OR(Tasks[[#This Row],[Task Name]]="",Tasks[[#This Row],[Baseline Work]]=""),"",Tasks[[#This Row],[Work]]-N(Tasks[[#This Row],[Baseline Work]]))</f>
        <v/>
      </c>
      <c r="BN82" s="111" t="str">
        <f aca="false">IF(OR(Tasks[[#This Row],[Task Name]]="",Tasks[[#This Row],[Baseline Cost]]=""),"",Tasks[[#This Row],[Cost]]-N(Tasks[[#This Row],[Baseline Cost]]))</f>
        <v/>
      </c>
      <c r="BO82" s="111" t="str">
        <f aca="false">IF(Tasks[[#This Row],[Task Name]]="","",IF(Tasks[[#This Row],[_IsSummary]],SUM(INDEX(Tasks[_LeafBudget],Tasks[[#This Row],[_Row]]+1):INDEX(Tasks[_LeafBudget],Tasks[[#This Row],[_Row]]+Tasks[[#This Row],[_Descendants]])),Tasks[[#This Row],[_LeafBudget]]))</f>
        <v/>
      </c>
      <c r="BP82" s="111" t="str">
        <f aca="false">IF(Tasks[[#This Row],[Task Name]]="","",IF(Tasks[[#This Row],[_IsSummary]],SUM(INDEX(Tasks[_LeafPV],Tasks[[#This Row],[_Row]]+1):INDEX(Tasks[_LeafPV],Tasks[[#This Row],[_Row]]+Tasks[[#This Row],[_Descendants]])),Tasks[[#This Row],[_LeafPV]]))</f>
        <v/>
      </c>
      <c r="BQ82" s="111" t="str">
        <f aca="false">IF(Tasks[[#This Row],[Task Name]]="","",IF(Tasks[[#This Row],[_IsSummary]],SUM(INDEX(Tasks[_LeafEV],Tasks[[#This Row],[_Row]]+1):INDEX(Tasks[_LeafEV],Tasks[[#This Row],[_Row]]+Tasks[[#This Row],[_Descendants]])),Tasks[[#This Row],[_LeafEV]]))</f>
        <v/>
      </c>
      <c r="BR82" s="111" t="str">
        <f aca="false">IF(Tasks[[#This Row],[Task Name]]="","",IF(Tasks[[#This Row],[_IsSummary]],SUM(INDEX(Tasks[_LeafAC],Tasks[[#This Row],[_Row]]+1):INDEX(Tasks[_LeafAC],Tasks[[#This Row],[_Row]]+Tasks[[#This Row],[_Descendants]])),Tasks[[#This Row],[_LeafAC]]))</f>
        <v/>
      </c>
      <c r="BS82" s="32" t="str">
        <f aca="false">IF(Tasks[[#This Row],[Task Name]]="","",MAX(1,N(Tasks[[#This Row],[Level]])))</f>
        <v/>
      </c>
      <c r="BT82" s="32" t="n">
        <f aca="false">ROW()-ROW(Tasks[[#Headers],[ID]])</f>
        <v>77</v>
      </c>
      <c r="BU82" s="32" t="n">
        <f aca="false">IF(OR(Tasks[[#This Row],[Task Name]]="",Tasks[[#This Row],[_Level]]&lt;=1),0,IFERROR(LOOKUP(2,1/(Tasks[[#Headers],[_Level]]:Tasks[[#This Row],[_Level]]=Tasks[[#This Row],[_Level]]-1),ROW(Tasks[[#Headers],[_Level]]:Tasks[[#This Row],[_Level]])),0))</f>
        <v>0</v>
      </c>
      <c r="BV82" s="32" t="n">
        <f aca="false">IFERROR(N(INDEX(Tasks[_Level],Tasks[[#This Row],[_Row]]+1)),0)</f>
        <v>0</v>
      </c>
      <c r="BW82" s="114" t="b">
        <f aca="false">AND(Tasks[[#This Row],[Task Name]]&lt;&gt;"",Tasks[[#This Row],[_NextLevel]]&gt;Tasks[[#This Row],[_Level]])</f>
        <v>0</v>
      </c>
      <c r="BX82" s="32" t="n">
        <f aca="false">IF(Tasks[[#This Row],[_IsSummary]],COUNTIF(Tasks[WBS],Tasks[[#This Row],[WBS]]&amp;".*"),0)</f>
        <v>0</v>
      </c>
      <c r="BY82" s="32" t="n">
        <f aca="false">IF(AND(Tasks[[#This Row],[Task Name]]&lt;&gt;"",NOT(Tasks[[#This Row],[_IsSummary]])),1,0)</f>
        <v>0</v>
      </c>
      <c r="BZ82" s="32" t="n">
        <f aca="false">IF(N(Tasks[[#This Row],[Pred1 UID]])=0,0,IFERROR(MATCH(Tasks[[#This Row],[Pred1 UID]],Tasks[UID],0),-1))</f>
        <v>0</v>
      </c>
      <c r="CA82" s="32" t="n">
        <f aca="false">IF(N(Tasks[[#This Row],[Pred2 UID]])=0,0,IFERROR(MATCH(Tasks[[#This Row],[Pred2 UID]],Tasks[UID],0),-1))</f>
        <v>0</v>
      </c>
      <c r="CB82" s="32" t="n">
        <f aca="false">IF(N(Tasks[[#This Row],[Pred3 UID]])=0,0,IFERROR(MATCH(Tasks[[#This Row],[Pred3 UID]],Tasks[UID],0),-1))</f>
        <v>0</v>
      </c>
      <c r="CC82" s="32" t="n">
        <f aca="false">IF(N(Tasks[[#This Row],[Pred4 UID]])=0,0,IFERROR(MATCH(Tasks[[#This Row],[Pred4 UID]],Tasks[UID],0),-1))</f>
        <v>0</v>
      </c>
      <c r="CD8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2" s="115" t="n">
        <f aca="false">IF(OR(Tasks[[#This Row],[_ConstraintCode]]=2,Tasks[[#This Row],[_ConstraintCode]]=3,Tasks[[#This Row],[_ConstraintCode]]=4,Tasks[[#This Row],[_ConstraintCode]]=6),Tasks[[#This Row],[_ConstraintStart]],0)</f>
        <v>0</v>
      </c>
      <c r="CG82" s="115" t="n">
        <f aca="false">IF(OR(Tasks[[#This Row],[_ConstraintCode]]=2,Tasks[[#This Row],[_ConstraintCode]]=3,Tasks[[#This Row],[_ConstraintCode]]=5,Tasks[[#This Row],[_ConstraintCode]]=7),Tasks[[#This Row],[_ConstraintStart]],2958465)</f>
        <v>2958465</v>
      </c>
      <c r="CH8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2" s="115" t="str">
        <f aca="false">IF(NOT(Tasks[[#This Row],[_IsLeaf]]=1),"",IF(N(Tasks[[#This Row],[Duration]])&lt;=0,Tasks[[#This Row],[_LeafCalcStart]],WORKDAY.INTL(Tasks[[#This Row],[_LeafCalcStart]],Tasks[[#This Row],[Duration]]-1,WorkWeek,Holidays)))</f>
        <v/>
      </c>
      <c r="CJ8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2" s="32" t="n">
        <f aca="false">IF(NOT(Tasks[[#This Row],[_IsLeaf]]=1),0,IF(N(Tasks[[#This Row],[Actual Finish]])&gt;0,1,MIN(1,N(Tasks[[#This Row],[% Complete]]))))</f>
        <v>0</v>
      </c>
      <c r="CM82" s="32" t="n">
        <f aca="false">IF(OR(NOT(Tasks[[#This Row],[_IsLeaf]]=1),Tasks[[#This Row],[Resource]]=""),0,N(Tasks[[#This Row],[Duration]])*HoursPerDay*IF(Tasks[[#This Row],[Units]]="",DefaultUnits,Tasks[[#This Row],[Units]]))</f>
        <v>0</v>
      </c>
      <c r="CN82" s="32" t="n">
        <f aca="false">IF(Tasks[[#This Row],[_LeafWork]]=0,0,Tasks[[#This Row],[_LeafWork]]*IFERROR(INDEX(res_Rate,MATCH(Tasks[[#This Row],[Resource]],res_Name,0)),0))</f>
        <v>0</v>
      </c>
      <c r="CO82" s="32" t="n">
        <f aca="false">Tasks[[#This Row],[_LeafWork]]+IF(Tasks[[#This Row],[_IsLeaf]]=1,SUMIFS(asg_Work,asg_TaskUID,Tasks[[#This Row],[UID]],asg_Valid,1),0)</f>
        <v>0</v>
      </c>
      <c r="CP82" s="32" t="n">
        <f aca="false">Tasks[[#This Row],[_LeafCost]]+IF(Tasks[[#This Row],[_IsLeaf]]=1,SUMIFS(asg_Cost,asg_TaskUID,Tasks[[#This Row],[UID]],asg_Valid,1),0)</f>
        <v>0</v>
      </c>
      <c r="CQ82" s="32" t="n">
        <f aca="false">IF(Tasks[[#This Row],[_LeafTotalCost]]=0,Tasks[[#This Row],[_LeafAC]],Tasks[[#This Row],[_LeafAC]]*Tasks[[#This Row],[_LeafCost]]/Tasks[[#This Row],[_LeafTotalCost]])</f>
        <v>0</v>
      </c>
      <c r="CR8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2" s="32" t="n">
        <f aca="false">IF(NOT(Tasks[[#This Row],[_IsLeaf]]=1),0,MAX(_xlfn.MAXIFS(Tasks[_Row],Tasks[Pred1 UID],Tasks[[#This Row],[UID]]),_xlfn.MAXIFS(Tasks[_Row],Tasks[Pred2 UID],Tasks[[#This Row],[UID]]),_xlfn.MAXIFS(Tasks[_Row],Tasks[Pred3 UID],Tasks[[#This Row],[UID]]),_xlfn.MAXIFS(Tasks[_Row],Tasks[Pred4 UID],Tasks[[#This Row],[UID]])))</f>
        <v>0</v>
      </c>
      <c r="DA8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2" s="115" t="str">
        <f aca="false">IF(NOT(Tasks[[#This Row],[_IsLeaf]]=1),"",IF(N(Tasks[[#This Row],[Duration]])&lt;=0,Tasks[[#This Row],[_LeafLateFinish]],WORKDAY.INTL(Tasks[[#This Row],[_LeafLateFinish]],-(Tasks[[#This Row],[Duration]]-1),WorkWeek,Holidays)))</f>
        <v/>
      </c>
      <c r="DD8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2" s="114" t="b">
        <f aca="false">AND(Tasks[[#This Row],[_IsLeaf]]=1,Tasks[[#This Row],[_LeafProgress]]&lt;1,N(Tasks[[#This Row],[_LeafTotalSlack]])&lt;=CriticalSlackDays)</f>
        <v>0</v>
      </c>
      <c r="DF82" s="32" t="n">
        <f aca="false">IF(AND(Tasks[[#This Row],[_IsLeaf]]=1,Tasks[[#This Row],[_ConstraintCode]]=1,Tasks[[#This Row],[Mode]]&lt;&gt;"Manual",N(Tasks[[#This Row],[Actual Start]])=0),MAX(0,N(Tasks[[#This Row],[Free Slack]])),0)</f>
        <v>0</v>
      </c>
      <c r="DG82" s="115" t="str">
        <f aca="false">IF(NOT(Tasks[[#This Row],[_IsLeaf]]=1),"",IF(Tasks[[#This Row],[_AlapShift]]=0,Tasks[[#This Row],[_LeafCalcStart]],WORKDAY.INTL(Tasks[[#This Row],[_LeafCalcStart]],Tasks[[#This Row],[_AlapShift]],WorkWeek,Holidays)))</f>
        <v/>
      </c>
      <c r="DH82" s="115" t="str">
        <f aca="false">IF(NOT(Tasks[[#This Row],[_IsLeaf]]=1),"",IF(Tasks[[#This Row],[_AlapShift]]=0,Tasks[[#This Row],[_LeafCalcFinish]],WORKDAY.INTL(Tasks[[#This Row],[_LeafCalcFinish]],Tasks[[#This Row],[_AlapShift]],WorkWeek,Holidays)))</f>
        <v/>
      </c>
      <c r="DI82" s="115" t="str">
        <f aca="false">IF(NOT(Tasks[[#This Row],[_IsLeaf]]=1),"",IF(Tasks[[#This Row],[_AlapShift]]=0,Tasks[[#This Row],[_LeafFcstStart]],WORKDAY.INTL(Tasks[[#This Row],[_LeafFcstStart]],Tasks[[#This Row],[_AlapShift]],WorkWeek,Holidays)))</f>
        <v/>
      </c>
      <c r="DJ82" s="115" t="str">
        <f aca="false">IF(NOT(Tasks[[#This Row],[_IsLeaf]]=1),"",IF(Tasks[[#This Row],[_AlapShift]]=0,Tasks[[#This Row],[_LeafFcstFinish]],WORKDAY.INTL(Tasks[[#This Row],[_LeafFcstFinish]],Tasks[[#This Row],[_AlapShift]],WorkWeek,Holidays)))</f>
        <v/>
      </c>
      <c r="DK82" s="115" t="str">
        <f aca="false">IF(Tasks[[#This Row],[Task Name]]="","",IF(Tasks[[#This Row],[_IsSummary]],MIN(INDEX(Tasks[_ShownCalcStart],Tasks[[#This Row],[_Row]]+1):INDEX(Tasks[_ShownCalcStart],Tasks[[#This Row],[_Row]]+Tasks[[#This Row],[_Descendants]])),Tasks[[#This Row],[_ShownCalcStart]]))</f>
        <v/>
      </c>
      <c r="DL82" s="115" t="str">
        <f aca="false">IF(Tasks[[#This Row],[Task Name]]="","",IF(Tasks[[#This Row],[_IsSummary]],MAX(INDEX(Tasks[_ShownCalcFinish],Tasks[[#This Row],[_Row]]+1):INDEX(Tasks[_ShownCalcFinish],Tasks[[#This Row],[_Row]]+Tasks[[#This Row],[_Descendants]])),Tasks[[#This Row],[_ShownCalcFinish]]))</f>
        <v/>
      </c>
      <c r="DM8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2" s="32" t="n">
        <f aca="false">IF(AND(Tasks[[#This Row],[_IsLeaf]]=1,Tasks[[#This Row],[_LeafTotalWork]]&gt;0),NETWORKDAYS.INTL(ProjectStart,Tasks[[#This Row],[_ShownFcstStart]],WorkWeek,Holidays),0)</f>
        <v>0</v>
      </c>
      <c r="DZ82" s="32" t="n">
        <f aca="false">IF(AND(Tasks[[#This Row],[_IsLeaf]]=1,Tasks[[#This Row],[_LeafTotalWork]]&gt;0),MAX(Tasks[[#This Row],[_StartWorkday]],NETWORKDAYS.INTL(ProjectStart,Tasks[[#This Row],[_ShownFcstFinish]],WorkWeek,Holidays)),0)</f>
        <v>0</v>
      </c>
      <c r="EA82" s="32" t="n">
        <f aca="false">IF(AND(Tasks[[#This Row],[_IsLeaf]]=1,Tasks[[#This Row],[_LeafTotalWork]]&gt;0),Tasks[[#This Row],[_LeafWork]]/(Tasks[[#This Row],[_FinishWorkday]]-Tasks[[#This Row],[_StartWorkday]]+1),0)</f>
        <v>0</v>
      </c>
      <c r="EB82" s="32" t="n">
        <f aca="false">Tasks[[#This Row],[_WorkPerWorkday]]*(Tasks[[#This Row],[_StartWorkday]]-1)</f>
        <v>-0</v>
      </c>
      <c r="EC82" s="32" t="n">
        <f aca="false">IF(Tasks[[#This Row],[_IsLeaf]]=1,MAX(N(Tasks[[#This Row],[Duration]]),0.1),0)</f>
        <v>0</v>
      </c>
      <c r="ED82" s="32" t="n">
        <f aca="false">Tasks[[#This Row],[_WeightDur]]*Tasks[[#This Row],[_LeafProgress]]</f>
        <v>0</v>
      </c>
      <c r="EE8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2" s="32" t="str">
        <f aca="false">IF(AND(Tasks[[#This Row],[_IsLeaf]]=1,N(Tasks[[#This Row],[Duration]])=0,Tasks[[#This Row],[_LeafProgress]]&lt;1),Tasks[[#This Row],[_ShownFcstFinish]]+Tasks[[#This Row],[_Row]]/100000,"")</f>
        <v/>
      </c>
      <c r="EG8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2" s="32" t="n">
        <f aca="false">IF(NOT(Tasks[[#This Row],[_IsLeaf]]=1),0,IF(Tasks[[#This Row],[Baseline Cost]]="",Tasks[[#This Row],[_LeafTotalCost]],N(Tasks[[#This Row],[Baseline Cost]])))</f>
        <v>0</v>
      </c>
      <c r="EI82" s="32" t="n">
        <f aca="false">Tasks[[#This Row],[_LeafBudget]]*Tasks[[#This Row],[_PlannedPct]]</f>
        <v>0</v>
      </c>
      <c r="EJ82" s="32" t="n">
        <f aca="false">Tasks[[#This Row],[_LeafBudget]]*Tasks[[#This Row],[_LeafProgress]]</f>
        <v>0</v>
      </c>
      <c r="EK82" s="32" t="n">
        <f aca="false">IF(NOT(Tasks[[#This Row],[_IsLeaf]]=1),0,IF(Tasks[[#This Row],[Actual Cost]]="",Tasks[[#This Row],[_LeafTotalCost]]*Tasks[[#This Row],[_LeafProgress]],N(Tasks[[#This Row],[Actual Cost]])))</f>
        <v>0</v>
      </c>
      <c r="EL82" s="32" t="str">
        <f aca="false">IF(Tasks[[#This Row],[Task Name]]="","",LEFT(Tasks[[#This Row],[WBS]],FIND(".",Tasks[[#This Row],[WBS]]&amp;".")-1))</f>
        <v/>
      </c>
      <c r="EM82" s="32" t="str">
        <f aca="false">IF(AND(Tasks[[#This Row],[Task Name]]&lt;&gt;"",Tasks[[#This Row],[_Level]]=1),Tasks[[#This Row],[_Row]],"")</f>
        <v/>
      </c>
      <c r="EN82" s="32" t="str">
        <f aca="false">IF(AND(Tasks[[#This Row],[_IsLeaf]]=1,N(Tasks[[#This Row],[Duration]])=0),Tasks[[#This Row],[Planned Finish]]+Tasks[[#This Row],[_Row]]/100000,"")</f>
        <v/>
      </c>
      <c r="EO82" s="32" t="str">
        <f aca="false">IF(AND(Tasks[[#This Row],[_IsLeaf]]=1,Tasks[[#This Row],[_LeafProgress]]&lt;1,OR(N(Tasks[[#This Row],[Finish Var]])&gt;0,Tasks[[#This Row],[Status]]="Late Start")),MAX(0,Tasks[[#This Row],[Finish Var]])+1-Tasks[[#This Row],[_Row]]/1000000,"")</f>
        <v/>
      </c>
      <c r="EP82" s="32" t="str">
        <f aca="false">IF(AND(Tasks[[#This Row],[_IsLeaf]]=1,N(Tasks[[#This Row],[Actual Start]])=0,Tasks[[#This Row],[_ShownFcstStart]]&gt;=StatusDate,Tasks[[#This Row],[_ShownFcstStart]]&lt;=LookaheadEnd),Tasks[[#This Row],[_ShownFcstStart]]+Tasks[[#This Row],[_Row]]/100000,"")</f>
        <v/>
      </c>
      <c r="EQ82" s="32" t="str">
        <f aca="false">IF(AND(Tasks[[#This Row],[_IsLeaf]]=1,Tasks[[#This Row],[_LeafProgress]]&lt;1,Tasks[[#This Row],[_ShownFcstFinish]]&gt;=StatusDate,Tasks[[#This Row],[_ShownFcstFinish]]&lt;=LookaheadEnd),Tasks[[#This Row],[_ShownFcstFinish]]+Tasks[[#This Row],[_Row]]/100000,"")</f>
        <v/>
      </c>
      <c r="ER82" s="32" t="str">
        <f aca="false">IF(Tasks[[#This Row],[_LeafCritical]],Tasks[[#This Row],[_ShownFcstStart]]+Tasks[[#This Row],[_Row]]/100000,"")</f>
        <v/>
      </c>
      <c r="ES82" s="32" t="n">
        <f aca="false">Tasks[[#This Row],[_LeafWork]]*Tasks[[#This Row],[_LeafProgress]]</f>
        <v>0</v>
      </c>
      <c r="ET82" s="115" t="str">
        <f aca="false">IF(AND(Tasks[[#This Row],[_IsLeaf]]=1,Tasks[[#This Row],[_LeafProgress]]&gt;=1),IF(N(Tasks[[#This Row],[Actual Finish]])&gt;0,Tasks[[#This Row],[Actual Finish]],Tasks[[#This Row],[_ShownFcstFinish]]),"")</f>
        <v/>
      </c>
      <c r="EU82" s="32" t="n">
        <f aca="false">IF(Tasks[[#This Row],[_IsLeaf]]=1,N(Tasks[[#This Row],[Story Points]]),0)</f>
        <v>0</v>
      </c>
      <c r="EV82" s="32" t="str">
        <f aca="false">IF(AND(Tasks[[#This Row],[_IsLeaf]]=1,CurrentSprint&lt;&gt;"",Tasks[[#This Row],[Sprint]]=CurrentSprint),Tasks[[#This Row],[_Row]],"")</f>
        <v/>
      </c>
    </row>
    <row r="83" customFormat="false" ht="15" hidden="false" customHeight="false" outlineLevel="0" collapsed="false">
      <c r="A83" s="45" t="str">
        <f aca="false">IF(Tasks[[#This Row],[Task Name]]="","",COUNTA(Tasks[[#Headers],[Task Name]]:Tasks[[#This Row],[Task Name]])-1)</f>
        <v/>
      </c>
      <c r="B83" s="46" t="n">
        <v>78</v>
      </c>
      <c r="C8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3" s="46"/>
      <c r="E83" s="45" t="str">
        <f aca="false">IF(Tasks[[#This Row],[Task Name]]="","",IF(Tasks[[#This Row],[_Level]]&lt;=OutlineShowLevel,"Yes","No"))</f>
        <v/>
      </c>
      <c r="F83" s="47"/>
      <c r="G83" s="46"/>
      <c r="H83" s="46"/>
      <c r="I83" s="46"/>
      <c r="J83" s="46"/>
      <c r="K83" s="46"/>
      <c r="L83" s="46"/>
      <c r="M83" s="46"/>
      <c r="N83" s="46"/>
      <c r="O83" s="46"/>
      <c r="P83" s="46"/>
      <c r="Q83" s="46"/>
      <c r="R83" s="46"/>
      <c r="S83" s="46"/>
      <c r="T83" s="46"/>
      <c r="U83" s="47"/>
      <c r="V83" s="88"/>
      <c r="W83" s="88"/>
      <c r="X83" s="25" t="str">
        <f aca="false">IF(Tasks[[#This Row],[Task Name]]="","",IF(N(Tasks[[#This Row],[Baseline Start]])&gt;0,Tasks[[#This Row],[Baseline Start]],Tasks[[#This Row],[_CalcStart]]))</f>
        <v/>
      </c>
      <c r="Y83" s="25" t="str">
        <f aca="false">IF(Tasks[[#This Row],[Task Name]]="","",IF(N(Tasks[[#This Row],[Baseline Finish]])&gt;0,Tasks[[#This Row],[Baseline Finish]],Tasks[[#This Row],[_CalcFinish]]))</f>
        <v/>
      </c>
      <c r="Z83" s="88"/>
      <c r="AA83" s="88"/>
      <c r="AB83" s="25" t="str">
        <f aca="false">IF(Tasks[[#This Row],[Task Name]]="","",IF(Tasks[[#This Row],[_IsSummary]],MIN(INDEX(Tasks[_ShownFcstStart],Tasks[[#This Row],[_Row]]+1):INDEX(Tasks[_ShownFcstStart],Tasks[[#This Row],[_Row]]+Tasks[[#This Row],[_Descendants]])),Tasks[[#This Row],[_ShownFcstStart]]))</f>
        <v/>
      </c>
      <c r="AC83" s="25" t="str">
        <f aca="false">IF(Tasks[[#This Row],[Task Name]]="","",IF(Tasks[[#This Row],[_IsSummary]],MAX(INDEX(Tasks[_ShownFcstFinish],Tasks[[#This Row],[_Row]]+1):INDEX(Tasks[_ShownFcstFinish],Tasks[[#This Row],[_Row]]+Tasks[[#This Row],[_Descendants]])),Tasks[[#This Row],[_ShownFcstFinish]]))</f>
        <v/>
      </c>
      <c r="AD8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3" s="25" t="str">
        <f aca="false">IF(Tasks[[#This Row],[Task Name]]="","",IF(Tasks[[#This Row],[_IsSummary]],MIN(INDEX(Tasks[_LeafLateStart],Tasks[[#This Row],[_Row]]+1):INDEX(Tasks[_LeafLateStart],Tasks[[#This Row],[_Row]]+Tasks[[#This Row],[_Descendants]])),Tasks[[#This Row],[_LeafLateStart]]))</f>
        <v/>
      </c>
      <c r="AG83" s="25" t="str">
        <f aca="false">IF(Tasks[[#This Row],[Task Name]]="","",IF(Tasks[[#This Row],[_IsSummary]],MAX(INDEX(Tasks[_LeafLateFinish],Tasks[[#This Row],[_Row]]+1):INDEX(Tasks[_LeafLateFinish],Tasks[[#This Row],[_Row]]+Tasks[[#This Row],[_Descendants]])),Tasks[[#This Row],[_LeafLateFinish]]))</f>
        <v/>
      </c>
      <c r="AH83" s="56" t="str">
        <f aca="false">IF(Tasks[[#This Row],[Task Name]]="","",IF(Tasks[[#This Row],[_IsSummary]],MIN(INDEX(Tasks[_LeafTotalSlack],Tasks[[#This Row],[_Row]]+1):INDEX(Tasks[_LeafTotalSlack],Tasks[[#This Row],[_Row]]+Tasks[[#This Row],[_Descendants]])),Tasks[[#This Row],[_LeafTotalSlack]]))</f>
        <v/>
      </c>
      <c r="AI8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3" s="45" t="str">
        <f aca="false">IF(Tasks[[#This Row],[Task Name]]="","",IF(IF(Tasks[[#This Row],[_IsSummary]],COUNTIF(INDEX(Tasks[_LeafCritical],Tasks[[#This Row],[_Row]]+1):INDEX(Tasks[_LeafCritical],Tasks[[#This Row],[_Row]]+Tasks[[#This Row],[_Descendants]]),TRUE())&gt;0,Tasks[[#This Row],[_LeafCritical]]),"Yes",""))</f>
        <v/>
      </c>
      <c r="AK8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3" s="102"/>
      <c r="AN8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3" s="45" t="str">
        <f aca="false">IF(Tasks[[#This Row],[Task Name]]="","",IF(Tasks[[#This Row],[Progress]]&gt;=1,"Complete",IF(OR(N(Tasks[[#This Row],[Actual Start]])&gt;0,Tasks[[#This Row],[Progress]]&gt;0),IF(Tasks[[#This Row],[Finish Var]]&gt;0,"Behind","In Progress"),IF(Tasks[[#This Row],[Planned Start]]&lt;StatusDate,"Late Start","Not Started"))))</f>
        <v/>
      </c>
      <c r="AP83" s="47"/>
      <c r="AQ83" s="102"/>
      <c r="AR8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3" s="110" t="str">
        <f aca="false">IF(Tasks[[#This Row],[Task Name]]="","",IF(Tasks[[#This Row],[_IsSummary]],SUM(INDEX(Tasks[_LeafTotalWork],Tasks[[#This Row],[_Row]]+1):INDEX(Tasks[_LeafTotalWork],Tasks[[#This Row],[_Row]]+Tasks[[#This Row],[_Descendants]])),Tasks[[#This Row],[_LeafTotalWork]]))</f>
        <v/>
      </c>
      <c r="AU83" s="111" t="str">
        <f aca="false">IF(Tasks[[#This Row],[Task Name]]="","",IF(Tasks[[#This Row],[_IsSummary]],SUM(INDEX(Tasks[_LeafTotalCost],Tasks[[#This Row],[_Row]]+1):INDEX(Tasks[_LeafTotalCost],Tasks[[#This Row],[_Row]]+Tasks[[#This Row],[_Descendants]])),Tasks[[#This Row],[_LeafTotalCost]]))</f>
        <v/>
      </c>
      <c r="AV83" s="112"/>
      <c r="AW83" s="46"/>
      <c r="AX8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3" s="96"/>
      <c r="AZ8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3" s="47"/>
      <c r="BB83" s="25" t="str">
        <f aca="false">IF(Tasks[[#This Row],[Task Name]]="","",Tasks[[#This Row],[Forecast Start]])</f>
        <v/>
      </c>
      <c r="BC83" s="25" t="str">
        <f aca="false">IF(Tasks[[#This Row],[Task Name]]="","",Tasks[[#This Row],[Forecast Finish]])</f>
        <v/>
      </c>
      <c r="BD83" s="45" t="str">
        <f aca="false">IF(Tasks[[#This Row],[Task Name]]="","",IF(Tasks[[#This Row],[_IsSummary]],NETWORKDAYS.INTL(Tasks[[#This Row],[Forecast Start]],Tasks[[#This Row],[Forecast Finish]],WorkWeek,Holidays),N(Tasks[[#This Row],[Duration]])))</f>
        <v/>
      </c>
      <c r="BE83" s="110" t="str">
        <f aca="false">IF(Tasks[[#This Row],[Task Name]]="","",Tasks[[#This Row],[Work]])</f>
        <v/>
      </c>
      <c r="BF83" s="111" t="str">
        <f aca="false">IF(Tasks[[#This Row],[Task Name]]="","",Tasks[[#This Row],[Cost]])</f>
        <v/>
      </c>
      <c r="BG83" s="88"/>
      <c r="BH83" s="88"/>
      <c r="BI83" s="46"/>
      <c r="BJ83" s="113"/>
      <c r="BK83" s="112"/>
      <c r="BL83" s="45" t="str">
        <f aca="false">IF(OR(Tasks[[#This Row],[Task Name]]="",Tasks[[#This Row],[Baseline Duration]]=""),"",Tasks[[#This Row],[BL Source Duration]]-N(Tasks[[#This Row],[Baseline Duration]]))</f>
        <v/>
      </c>
      <c r="BM83" s="110" t="str">
        <f aca="false">IF(OR(Tasks[[#This Row],[Task Name]]="",Tasks[[#This Row],[Baseline Work]]=""),"",Tasks[[#This Row],[Work]]-N(Tasks[[#This Row],[Baseline Work]]))</f>
        <v/>
      </c>
      <c r="BN83" s="111" t="str">
        <f aca="false">IF(OR(Tasks[[#This Row],[Task Name]]="",Tasks[[#This Row],[Baseline Cost]]=""),"",Tasks[[#This Row],[Cost]]-N(Tasks[[#This Row],[Baseline Cost]]))</f>
        <v/>
      </c>
      <c r="BO83" s="111" t="str">
        <f aca="false">IF(Tasks[[#This Row],[Task Name]]="","",IF(Tasks[[#This Row],[_IsSummary]],SUM(INDEX(Tasks[_LeafBudget],Tasks[[#This Row],[_Row]]+1):INDEX(Tasks[_LeafBudget],Tasks[[#This Row],[_Row]]+Tasks[[#This Row],[_Descendants]])),Tasks[[#This Row],[_LeafBudget]]))</f>
        <v/>
      </c>
      <c r="BP83" s="111" t="str">
        <f aca="false">IF(Tasks[[#This Row],[Task Name]]="","",IF(Tasks[[#This Row],[_IsSummary]],SUM(INDEX(Tasks[_LeafPV],Tasks[[#This Row],[_Row]]+1):INDEX(Tasks[_LeafPV],Tasks[[#This Row],[_Row]]+Tasks[[#This Row],[_Descendants]])),Tasks[[#This Row],[_LeafPV]]))</f>
        <v/>
      </c>
      <c r="BQ83" s="111" t="str">
        <f aca="false">IF(Tasks[[#This Row],[Task Name]]="","",IF(Tasks[[#This Row],[_IsSummary]],SUM(INDEX(Tasks[_LeafEV],Tasks[[#This Row],[_Row]]+1):INDEX(Tasks[_LeafEV],Tasks[[#This Row],[_Row]]+Tasks[[#This Row],[_Descendants]])),Tasks[[#This Row],[_LeafEV]]))</f>
        <v/>
      </c>
      <c r="BR83" s="111" t="str">
        <f aca="false">IF(Tasks[[#This Row],[Task Name]]="","",IF(Tasks[[#This Row],[_IsSummary]],SUM(INDEX(Tasks[_LeafAC],Tasks[[#This Row],[_Row]]+1):INDEX(Tasks[_LeafAC],Tasks[[#This Row],[_Row]]+Tasks[[#This Row],[_Descendants]])),Tasks[[#This Row],[_LeafAC]]))</f>
        <v/>
      </c>
      <c r="BS83" s="32" t="str">
        <f aca="false">IF(Tasks[[#This Row],[Task Name]]="","",MAX(1,N(Tasks[[#This Row],[Level]])))</f>
        <v/>
      </c>
      <c r="BT83" s="32" t="n">
        <f aca="false">ROW()-ROW(Tasks[[#Headers],[ID]])</f>
        <v>78</v>
      </c>
      <c r="BU83" s="32" t="n">
        <f aca="false">IF(OR(Tasks[[#This Row],[Task Name]]="",Tasks[[#This Row],[_Level]]&lt;=1),0,IFERROR(LOOKUP(2,1/(Tasks[[#Headers],[_Level]]:Tasks[[#This Row],[_Level]]=Tasks[[#This Row],[_Level]]-1),ROW(Tasks[[#Headers],[_Level]]:Tasks[[#This Row],[_Level]])),0))</f>
        <v>0</v>
      </c>
      <c r="BV83" s="32" t="n">
        <f aca="false">IFERROR(N(INDEX(Tasks[_Level],Tasks[[#This Row],[_Row]]+1)),0)</f>
        <v>0</v>
      </c>
      <c r="BW83" s="114" t="b">
        <f aca="false">AND(Tasks[[#This Row],[Task Name]]&lt;&gt;"",Tasks[[#This Row],[_NextLevel]]&gt;Tasks[[#This Row],[_Level]])</f>
        <v>0</v>
      </c>
      <c r="BX83" s="32" t="n">
        <f aca="false">IF(Tasks[[#This Row],[_IsSummary]],COUNTIF(Tasks[WBS],Tasks[[#This Row],[WBS]]&amp;".*"),0)</f>
        <v>0</v>
      </c>
      <c r="BY83" s="32" t="n">
        <f aca="false">IF(AND(Tasks[[#This Row],[Task Name]]&lt;&gt;"",NOT(Tasks[[#This Row],[_IsSummary]])),1,0)</f>
        <v>0</v>
      </c>
      <c r="BZ83" s="32" t="n">
        <f aca="false">IF(N(Tasks[[#This Row],[Pred1 UID]])=0,0,IFERROR(MATCH(Tasks[[#This Row],[Pred1 UID]],Tasks[UID],0),-1))</f>
        <v>0</v>
      </c>
      <c r="CA83" s="32" t="n">
        <f aca="false">IF(N(Tasks[[#This Row],[Pred2 UID]])=0,0,IFERROR(MATCH(Tasks[[#This Row],[Pred2 UID]],Tasks[UID],0),-1))</f>
        <v>0</v>
      </c>
      <c r="CB83" s="32" t="n">
        <f aca="false">IF(N(Tasks[[#This Row],[Pred3 UID]])=0,0,IFERROR(MATCH(Tasks[[#This Row],[Pred3 UID]],Tasks[UID],0),-1))</f>
        <v>0</v>
      </c>
      <c r="CC83" s="32" t="n">
        <f aca="false">IF(N(Tasks[[#This Row],[Pred4 UID]])=0,0,IFERROR(MATCH(Tasks[[#This Row],[Pred4 UID]],Tasks[UID],0),-1))</f>
        <v>0</v>
      </c>
      <c r="CD8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3" s="115" t="n">
        <f aca="false">IF(OR(Tasks[[#This Row],[_ConstraintCode]]=2,Tasks[[#This Row],[_ConstraintCode]]=3,Tasks[[#This Row],[_ConstraintCode]]=4,Tasks[[#This Row],[_ConstraintCode]]=6),Tasks[[#This Row],[_ConstraintStart]],0)</f>
        <v>0</v>
      </c>
      <c r="CG83" s="115" t="n">
        <f aca="false">IF(OR(Tasks[[#This Row],[_ConstraintCode]]=2,Tasks[[#This Row],[_ConstraintCode]]=3,Tasks[[#This Row],[_ConstraintCode]]=5,Tasks[[#This Row],[_ConstraintCode]]=7),Tasks[[#This Row],[_ConstraintStart]],2958465)</f>
        <v>2958465</v>
      </c>
      <c r="CH8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3" s="115" t="str">
        <f aca="false">IF(NOT(Tasks[[#This Row],[_IsLeaf]]=1),"",IF(N(Tasks[[#This Row],[Duration]])&lt;=0,Tasks[[#This Row],[_LeafCalcStart]],WORKDAY.INTL(Tasks[[#This Row],[_LeafCalcStart]],Tasks[[#This Row],[Duration]]-1,WorkWeek,Holidays)))</f>
        <v/>
      </c>
      <c r="CJ8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3" s="32" t="n">
        <f aca="false">IF(NOT(Tasks[[#This Row],[_IsLeaf]]=1),0,IF(N(Tasks[[#This Row],[Actual Finish]])&gt;0,1,MIN(1,N(Tasks[[#This Row],[% Complete]]))))</f>
        <v>0</v>
      </c>
      <c r="CM83" s="32" t="n">
        <f aca="false">IF(OR(NOT(Tasks[[#This Row],[_IsLeaf]]=1),Tasks[[#This Row],[Resource]]=""),0,N(Tasks[[#This Row],[Duration]])*HoursPerDay*IF(Tasks[[#This Row],[Units]]="",DefaultUnits,Tasks[[#This Row],[Units]]))</f>
        <v>0</v>
      </c>
      <c r="CN83" s="32" t="n">
        <f aca="false">IF(Tasks[[#This Row],[_LeafWork]]=0,0,Tasks[[#This Row],[_LeafWork]]*IFERROR(INDEX(res_Rate,MATCH(Tasks[[#This Row],[Resource]],res_Name,0)),0))</f>
        <v>0</v>
      </c>
      <c r="CO83" s="32" t="n">
        <f aca="false">Tasks[[#This Row],[_LeafWork]]+IF(Tasks[[#This Row],[_IsLeaf]]=1,SUMIFS(asg_Work,asg_TaskUID,Tasks[[#This Row],[UID]],asg_Valid,1),0)</f>
        <v>0</v>
      </c>
      <c r="CP83" s="32" t="n">
        <f aca="false">Tasks[[#This Row],[_LeafCost]]+IF(Tasks[[#This Row],[_IsLeaf]]=1,SUMIFS(asg_Cost,asg_TaskUID,Tasks[[#This Row],[UID]],asg_Valid,1),0)</f>
        <v>0</v>
      </c>
      <c r="CQ83" s="32" t="n">
        <f aca="false">IF(Tasks[[#This Row],[_LeafTotalCost]]=0,Tasks[[#This Row],[_LeafAC]],Tasks[[#This Row],[_LeafAC]]*Tasks[[#This Row],[_LeafCost]]/Tasks[[#This Row],[_LeafTotalCost]])</f>
        <v>0</v>
      </c>
      <c r="CR8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3" s="32" t="n">
        <f aca="false">IF(NOT(Tasks[[#This Row],[_IsLeaf]]=1),0,MAX(_xlfn.MAXIFS(Tasks[_Row],Tasks[Pred1 UID],Tasks[[#This Row],[UID]]),_xlfn.MAXIFS(Tasks[_Row],Tasks[Pred2 UID],Tasks[[#This Row],[UID]]),_xlfn.MAXIFS(Tasks[_Row],Tasks[Pred3 UID],Tasks[[#This Row],[UID]]),_xlfn.MAXIFS(Tasks[_Row],Tasks[Pred4 UID],Tasks[[#This Row],[UID]])))</f>
        <v>0</v>
      </c>
      <c r="DA8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3" s="115" t="str">
        <f aca="false">IF(NOT(Tasks[[#This Row],[_IsLeaf]]=1),"",IF(N(Tasks[[#This Row],[Duration]])&lt;=0,Tasks[[#This Row],[_LeafLateFinish]],WORKDAY.INTL(Tasks[[#This Row],[_LeafLateFinish]],-(Tasks[[#This Row],[Duration]]-1),WorkWeek,Holidays)))</f>
        <v/>
      </c>
      <c r="DD8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3" s="114" t="b">
        <f aca="false">AND(Tasks[[#This Row],[_IsLeaf]]=1,Tasks[[#This Row],[_LeafProgress]]&lt;1,N(Tasks[[#This Row],[_LeafTotalSlack]])&lt;=CriticalSlackDays)</f>
        <v>0</v>
      </c>
      <c r="DF83" s="32" t="n">
        <f aca="false">IF(AND(Tasks[[#This Row],[_IsLeaf]]=1,Tasks[[#This Row],[_ConstraintCode]]=1,Tasks[[#This Row],[Mode]]&lt;&gt;"Manual",N(Tasks[[#This Row],[Actual Start]])=0),MAX(0,N(Tasks[[#This Row],[Free Slack]])),0)</f>
        <v>0</v>
      </c>
      <c r="DG83" s="115" t="str">
        <f aca="false">IF(NOT(Tasks[[#This Row],[_IsLeaf]]=1),"",IF(Tasks[[#This Row],[_AlapShift]]=0,Tasks[[#This Row],[_LeafCalcStart]],WORKDAY.INTL(Tasks[[#This Row],[_LeafCalcStart]],Tasks[[#This Row],[_AlapShift]],WorkWeek,Holidays)))</f>
        <v/>
      </c>
      <c r="DH83" s="115" t="str">
        <f aca="false">IF(NOT(Tasks[[#This Row],[_IsLeaf]]=1),"",IF(Tasks[[#This Row],[_AlapShift]]=0,Tasks[[#This Row],[_LeafCalcFinish]],WORKDAY.INTL(Tasks[[#This Row],[_LeafCalcFinish]],Tasks[[#This Row],[_AlapShift]],WorkWeek,Holidays)))</f>
        <v/>
      </c>
      <c r="DI83" s="115" t="str">
        <f aca="false">IF(NOT(Tasks[[#This Row],[_IsLeaf]]=1),"",IF(Tasks[[#This Row],[_AlapShift]]=0,Tasks[[#This Row],[_LeafFcstStart]],WORKDAY.INTL(Tasks[[#This Row],[_LeafFcstStart]],Tasks[[#This Row],[_AlapShift]],WorkWeek,Holidays)))</f>
        <v/>
      </c>
      <c r="DJ83" s="115" t="str">
        <f aca="false">IF(NOT(Tasks[[#This Row],[_IsLeaf]]=1),"",IF(Tasks[[#This Row],[_AlapShift]]=0,Tasks[[#This Row],[_LeafFcstFinish]],WORKDAY.INTL(Tasks[[#This Row],[_LeafFcstFinish]],Tasks[[#This Row],[_AlapShift]],WorkWeek,Holidays)))</f>
        <v/>
      </c>
      <c r="DK83" s="115" t="str">
        <f aca="false">IF(Tasks[[#This Row],[Task Name]]="","",IF(Tasks[[#This Row],[_IsSummary]],MIN(INDEX(Tasks[_ShownCalcStart],Tasks[[#This Row],[_Row]]+1):INDEX(Tasks[_ShownCalcStart],Tasks[[#This Row],[_Row]]+Tasks[[#This Row],[_Descendants]])),Tasks[[#This Row],[_ShownCalcStart]]))</f>
        <v/>
      </c>
      <c r="DL83" s="115" t="str">
        <f aca="false">IF(Tasks[[#This Row],[Task Name]]="","",IF(Tasks[[#This Row],[_IsSummary]],MAX(INDEX(Tasks[_ShownCalcFinish],Tasks[[#This Row],[_Row]]+1):INDEX(Tasks[_ShownCalcFinish],Tasks[[#This Row],[_Row]]+Tasks[[#This Row],[_Descendants]])),Tasks[[#This Row],[_ShownCalcFinish]]))</f>
        <v/>
      </c>
      <c r="DM8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3" s="32" t="n">
        <f aca="false">IF(AND(Tasks[[#This Row],[_IsLeaf]]=1,Tasks[[#This Row],[_LeafTotalWork]]&gt;0),NETWORKDAYS.INTL(ProjectStart,Tasks[[#This Row],[_ShownFcstStart]],WorkWeek,Holidays),0)</f>
        <v>0</v>
      </c>
      <c r="DZ83" s="32" t="n">
        <f aca="false">IF(AND(Tasks[[#This Row],[_IsLeaf]]=1,Tasks[[#This Row],[_LeafTotalWork]]&gt;0),MAX(Tasks[[#This Row],[_StartWorkday]],NETWORKDAYS.INTL(ProjectStart,Tasks[[#This Row],[_ShownFcstFinish]],WorkWeek,Holidays)),0)</f>
        <v>0</v>
      </c>
      <c r="EA83" s="32" t="n">
        <f aca="false">IF(AND(Tasks[[#This Row],[_IsLeaf]]=1,Tasks[[#This Row],[_LeafTotalWork]]&gt;0),Tasks[[#This Row],[_LeafWork]]/(Tasks[[#This Row],[_FinishWorkday]]-Tasks[[#This Row],[_StartWorkday]]+1),0)</f>
        <v>0</v>
      </c>
      <c r="EB83" s="32" t="n">
        <f aca="false">Tasks[[#This Row],[_WorkPerWorkday]]*(Tasks[[#This Row],[_StartWorkday]]-1)</f>
        <v>-0</v>
      </c>
      <c r="EC83" s="32" t="n">
        <f aca="false">IF(Tasks[[#This Row],[_IsLeaf]]=1,MAX(N(Tasks[[#This Row],[Duration]]),0.1),0)</f>
        <v>0</v>
      </c>
      <c r="ED83" s="32" t="n">
        <f aca="false">Tasks[[#This Row],[_WeightDur]]*Tasks[[#This Row],[_LeafProgress]]</f>
        <v>0</v>
      </c>
      <c r="EE8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3" s="32" t="str">
        <f aca="false">IF(AND(Tasks[[#This Row],[_IsLeaf]]=1,N(Tasks[[#This Row],[Duration]])=0,Tasks[[#This Row],[_LeafProgress]]&lt;1),Tasks[[#This Row],[_ShownFcstFinish]]+Tasks[[#This Row],[_Row]]/100000,"")</f>
        <v/>
      </c>
      <c r="EG8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3" s="32" t="n">
        <f aca="false">IF(NOT(Tasks[[#This Row],[_IsLeaf]]=1),0,IF(Tasks[[#This Row],[Baseline Cost]]="",Tasks[[#This Row],[_LeafTotalCost]],N(Tasks[[#This Row],[Baseline Cost]])))</f>
        <v>0</v>
      </c>
      <c r="EI83" s="32" t="n">
        <f aca="false">Tasks[[#This Row],[_LeafBudget]]*Tasks[[#This Row],[_PlannedPct]]</f>
        <v>0</v>
      </c>
      <c r="EJ83" s="32" t="n">
        <f aca="false">Tasks[[#This Row],[_LeafBudget]]*Tasks[[#This Row],[_LeafProgress]]</f>
        <v>0</v>
      </c>
      <c r="EK83" s="32" t="n">
        <f aca="false">IF(NOT(Tasks[[#This Row],[_IsLeaf]]=1),0,IF(Tasks[[#This Row],[Actual Cost]]="",Tasks[[#This Row],[_LeafTotalCost]]*Tasks[[#This Row],[_LeafProgress]],N(Tasks[[#This Row],[Actual Cost]])))</f>
        <v>0</v>
      </c>
      <c r="EL83" s="32" t="str">
        <f aca="false">IF(Tasks[[#This Row],[Task Name]]="","",LEFT(Tasks[[#This Row],[WBS]],FIND(".",Tasks[[#This Row],[WBS]]&amp;".")-1))</f>
        <v/>
      </c>
      <c r="EM83" s="32" t="str">
        <f aca="false">IF(AND(Tasks[[#This Row],[Task Name]]&lt;&gt;"",Tasks[[#This Row],[_Level]]=1),Tasks[[#This Row],[_Row]],"")</f>
        <v/>
      </c>
      <c r="EN83" s="32" t="str">
        <f aca="false">IF(AND(Tasks[[#This Row],[_IsLeaf]]=1,N(Tasks[[#This Row],[Duration]])=0),Tasks[[#This Row],[Planned Finish]]+Tasks[[#This Row],[_Row]]/100000,"")</f>
        <v/>
      </c>
      <c r="EO83" s="32" t="str">
        <f aca="false">IF(AND(Tasks[[#This Row],[_IsLeaf]]=1,Tasks[[#This Row],[_LeafProgress]]&lt;1,OR(N(Tasks[[#This Row],[Finish Var]])&gt;0,Tasks[[#This Row],[Status]]="Late Start")),MAX(0,Tasks[[#This Row],[Finish Var]])+1-Tasks[[#This Row],[_Row]]/1000000,"")</f>
        <v/>
      </c>
      <c r="EP83" s="32" t="str">
        <f aca="false">IF(AND(Tasks[[#This Row],[_IsLeaf]]=1,N(Tasks[[#This Row],[Actual Start]])=0,Tasks[[#This Row],[_ShownFcstStart]]&gt;=StatusDate,Tasks[[#This Row],[_ShownFcstStart]]&lt;=LookaheadEnd),Tasks[[#This Row],[_ShownFcstStart]]+Tasks[[#This Row],[_Row]]/100000,"")</f>
        <v/>
      </c>
      <c r="EQ83" s="32" t="str">
        <f aca="false">IF(AND(Tasks[[#This Row],[_IsLeaf]]=1,Tasks[[#This Row],[_LeafProgress]]&lt;1,Tasks[[#This Row],[_ShownFcstFinish]]&gt;=StatusDate,Tasks[[#This Row],[_ShownFcstFinish]]&lt;=LookaheadEnd),Tasks[[#This Row],[_ShownFcstFinish]]+Tasks[[#This Row],[_Row]]/100000,"")</f>
        <v/>
      </c>
      <c r="ER83" s="32" t="str">
        <f aca="false">IF(Tasks[[#This Row],[_LeafCritical]],Tasks[[#This Row],[_ShownFcstStart]]+Tasks[[#This Row],[_Row]]/100000,"")</f>
        <v/>
      </c>
      <c r="ES83" s="32" t="n">
        <f aca="false">Tasks[[#This Row],[_LeafWork]]*Tasks[[#This Row],[_LeafProgress]]</f>
        <v>0</v>
      </c>
      <c r="ET83" s="115" t="str">
        <f aca="false">IF(AND(Tasks[[#This Row],[_IsLeaf]]=1,Tasks[[#This Row],[_LeafProgress]]&gt;=1),IF(N(Tasks[[#This Row],[Actual Finish]])&gt;0,Tasks[[#This Row],[Actual Finish]],Tasks[[#This Row],[_ShownFcstFinish]]),"")</f>
        <v/>
      </c>
      <c r="EU83" s="32" t="n">
        <f aca="false">IF(Tasks[[#This Row],[_IsLeaf]]=1,N(Tasks[[#This Row],[Story Points]]),0)</f>
        <v>0</v>
      </c>
      <c r="EV83" s="32" t="str">
        <f aca="false">IF(AND(Tasks[[#This Row],[_IsLeaf]]=1,CurrentSprint&lt;&gt;"",Tasks[[#This Row],[Sprint]]=CurrentSprint),Tasks[[#This Row],[_Row]],"")</f>
        <v/>
      </c>
    </row>
    <row r="84" customFormat="false" ht="15" hidden="false" customHeight="false" outlineLevel="0" collapsed="false">
      <c r="A84" s="45" t="str">
        <f aca="false">IF(Tasks[[#This Row],[Task Name]]="","",COUNTA(Tasks[[#Headers],[Task Name]]:Tasks[[#This Row],[Task Name]])-1)</f>
        <v/>
      </c>
      <c r="B84" s="46" t="n">
        <v>79</v>
      </c>
      <c r="C8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4" s="46"/>
      <c r="E84" s="45" t="str">
        <f aca="false">IF(Tasks[[#This Row],[Task Name]]="","",IF(Tasks[[#This Row],[_Level]]&lt;=OutlineShowLevel,"Yes","No"))</f>
        <v/>
      </c>
      <c r="F84" s="47"/>
      <c r="G84" s="46"/>
      <c r="H84" s="46"/>
      <c r="I84" s="46"/>
      <c r="J84" s="46"/>
      <c r="K84" s="46"/>
      <c r="L84" s="46"/>
      <c r="M84" s="46"/>
      <c r="N84" s="46"/>
      <c r="O84" s="46"/>
      <c r="P84" s="46"/>
      <c r="Q84" s="46"/>
      <c r="R84" s="46"/>
      <c r="S84" s="46"/>
      <c r="T84" s="46"/>
      <c r="U84" s="47"/>
      <c r="V84" s="88"/>
      <c r="W84" s="88"/>
      <c r="X84" s="25" t="str">
        <f aca="false">IF(Tasks[[#This Row],[Task Name]]="","",IF(N(Tasks[[#This Row],[Baseline Start]])&gt;0,Tasks[[#This Row],[Baseline Start]],Tasks[[#This Row],[_CalcStart]]))</f>
        <v/>
      </c>
      <c r="Y84" s="25" t="str">
        <f aca="false">IF(Tasks[[#This Row],[Task Name]]="","",IF(N(Tasks[[#This Row],[Baseline Finish]])&gt;0,Tasks[[#This Row],[Baseline Finish]],Tasks[[#This Row],[_CalcFinish]]))</f>
        <v/>
      </c>
      <c r="Z84" s="88"/>
      <c r="AA84" s="88"/>
      <c r="AB84" s="25" t="str">
        <f aca="false">IF(Tasks[[#This Row],[Task Name]]="","",IF(Tasks[[#This Row],[_IsSummary]],MIN(INDEX(Tasks[_ShownFcstStart],Tasks[[#This Row],[_Row]]+1):INDEX(Tasks[_ShownFcstStart],Tasks[[#This Row],[_Row]]+Tasks[[#This Row],[_Descendants]])),Tasks[[#This Row],[_ShownFcstStart]]))</f>
        <v/>
      </c>
      <c r="AC84" s="25" t="str">
        <f aca="false">IF(Tasks[[#This Row],[Task Name]]="","",IF(Tasks[[#This Row],[_IsSummary]],MAX(INDEX(Tasks[_ShownFcstFinish],Tasks[[#This Row],[_Row]]+1):INDEX(Tasks[_ShownFcstFinish],Tasks[[#This Row],[_Row]]+Tasks[[#This Row],[_Descendants]])),Tasks[[#This Row],[_ShownFcstFinish]]))</f>
        <v/>
      </c>
      <c r="AD8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4" s="25" t="str">
        <f aca="false">IF(Tasks[[#This Row],[Task Name]]="","",IF(Tasks[[#This Row],[_IsSummary]],MIN(INDEX(Tasks[_LeafLateStart],Tasks[[#This Row],[_Row]]+1):INDEX(Tasks[_LeafLateStart],Tasks[[#This Row],[_Row]]+Tasks[[#This Row],[_Descendants]])),Tasks[[#This Row],[_LeafLateStart]]))</f>
        <v/>
      </c>
      <c r="AG84" s="25" t="str">
        <f aca="false">IF(Tasks[[#This Row],[Task Name]]="","",IF(Tasks[[#This Row],[_IsSummary]],MAX(INDEX(Tasks[_LeafLateFinish],Tasks[[#This Row],[_Row]]+1):INDEX(Tasks[_LeafLateFinish],Tasks[[#This Row],[_Row]]+Tasks[[#This Row],[_Descendants]])),Tasks[[#This Row],[_LeafLateFinish]]))</f>
        <v/>
      </c>
      <c r="AH84" s="56" t="str">
        <f aca="false">IF(Tasks[[#This Row],[Task Name]]="","",IF(Tasks[[#This Row],[_IsSummary]],MIN(INDEX(Tasks[_LeafTotalSlack],Tasks[[#This Row],[_Row]]+1):INDEX(Tasks[_LeafTotalSlack],Tasks[[#This Row],[_Row]]+Tasks[[#This Row],[_Descendants]])),Tasks[[#This Row],[_LeafTotalSlack]]))</f>
        <v/>
      </c>
      <c r="AI8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4" s="45" t="str">
        <f aca="false">IF(Tasks[[#This Row],[Task Name]]="","",IF(IF(Tasks[[#This Row],[_IsSummary]],COUNTIF(INDEX(Tasks[_LeafCritical],Tasks[[#This Row],[_Row]]+1):INDEX(Tasks[_LeafCritical],Tasks[[#This Row],[_Row]]+Tasks[[#This Row],[_Descendants]]),TRUE())&gt;0,Tasks[[#This Row],[_LeafCritical]]),"Yes",""))</f>
        <v/>
      </c>
      <c r="AK8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4" s="102"/>
      <c r="AN8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4" s="45" t="str">
        <f aca="false">IF(Tasks[[#This Row],[Task Name]]="","",IF(Tasks[[#This Row],[Progress]]&gt;=1,"Complete",IF(OR(N(Tasks[[#This Row],[Actual Start]])&gt;0,Tasks[[#This Row],[Progress]]&gt;0),IF(Tasks[[#This Row],[Finish Var]]&gt;0,"Behind","In Progress"),IF(Tasks[[#This Row],[Planned Start]]&lt;StatusDate,"Late Start","Not Started"))))</f>
        <v/>
      </c>
      <c r="AP84" s="47"/>
      <c r="AQ84" s="102"/>
      <c r="AR8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4" s="110" t="str">
        <f aca="false">IF(Tasks[[#This Row],[Task Name]]="","",IF(Tasks[[#This Row],[_IsSummary]],SUM(INDEX(Tasks[_LeafTotalWork],Tasks[[#This Row],[_Row]]+1):INDEX(Tasks[_LeafTotalWork],Tasks[[#This Row],[_Row]]+Tasks[[#This Row],[_Descendants]])),Tasks[[#This Row],[_LeafTotalWork]]))</f>
        <v/>
      </c>
      <c r="AU84" s="111" t="str">
        <f aca="false">IF(Tasks[[#This Row],[Task Name]]="","",IF(Tasks[[#This Row],[_IsSummary]],SUM(INDEX(Tasks[_LeafTotalCost],Tasks[[#This Row],[_Row]]+1):INDEX(Tasks[_LeafTotalCost],Tasks[[#This Row],[_Row]]+Tasks[[#This Row],[_Descendants]])),Tasks[[#This Row],[_LeafTotalCost]]))</f>
        <v/>
      </c>
      <c r="AV84" s="112"/>
      <c r="AW84" s="46"/>
      <c r="AX8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4" s="96"/>
      <c r="AZ8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4" s="47"/>
      <c r="BB84" s="25" t="str">
        <f aca="false">IF(Tasks[[#This Row],[Task Name]]="","",Tasks[[#This Row],[Forecast Start]])</f>
        <v/>
      </c>
      <c r="BC84" s="25" t="str">
        <f aca="false">IF(Tasks[[#This Row],[Task Name]]="","",Tasks[[#This Row],[Forecast Finish]])</f>
        <v/>
      </c>
      <c r="BD84" s="45" t="str">
        <f aca="false">IF(Tasks[[#This Row],[Task Name]]="","",IF(Tasks[[#This Row],[_IsSummary]],NETWORKDAYS.INTL(Tasks[[#This Row],[Forecast Start]],Tasks[[#This Row],[Forecast Finish]],WorkWeek,Holidays),N(Tasks[[#This Row],[Duration]])))</f>
        <v/>
      </c>
      <c r="BE84" s="110" t="str">
        <f aca="false">IF(Tasks[[#This Row],[Task Name]]="","",Tasks[[#This Row],[Work]])</f>
        <v/>
      </c>
      <c r="BF84" s="111" t="str">
        <f aca="false">IF(Tasks[[#This Row],[Task Name]]="","",Tasks[[#This Row],[Cost]])</f>
        <v/>
      </c>
      <c r="BG84" s="88"/>
      <c r="BH84" s="88"/>
      <c r="BI84" s="46"/>
      <c r="BJ84" s="113"/>
      <c r="BK84" s="112"/>
      <c r="BL84" s="45" t="str">
        <f aca="false">IF(OR(Tasks[[#This Row],[Task Name]]="",Tasks[[#This Row],[Baseline Duration]]=""),"",Tasks[[#This Row],[BL Source Duration]]-N(Tasks[[#This Row],[Baseline Duration]]))</f>
        <v/>
      </c>
      <c r="BM84" s="110" t="str">
        <f aca="false">IF(OR(Tasks[[#This Row],[Task Name]]="",Tasks[[#This Row],[Baseline Work]]=""),"",Tasks[[#This Row],[Work]]-N(Tasks[[#This Row],[Baseline Work]]))</f>
        <v/>
      </c>
      <c r="BN84" s="111" t="str">
        <f aca="false">IF(OR(Tasks[[#This Row],[Task Name]]="",Tasks[[#This Row],[Baseline Cost]]=""),"",Tasks[[#This Row],[Cost]]-N(Tasks[[#This Row],[Baseline Cost]]))</f>
        <v/>
      </c>
      <c r="BO84" s="111" t="str">
        <f aca="false">IF(Tasks[[#This Row],[Task Name]]="","",IF(Tasks[[#This Row],[_IsSummary]],SUM(INDEX(Tasks[_LeafBudget],Tasks[[#This Row],[_Row]]+1):INDEX(Tasks[_LeafBudget],Tasks[[#This Row],[_Row]]+Tasks[[#This Row],[_Descendants]])),Tasks[[#This Row],[_LeafBudget]]))</f>
        <v/>
      </c>
      <c r="BP84" s="111" t="str">
        <f aca="false">IF(Tasks[[#This Row],[Task Name]]="","",IF(Tasks[[#This Row],[_IsSummary]],SUM(INDEX(Tasks[_LeafPV],Tasks[[#This Row],[_Row]]+1):INDEX(Tasks[_LeafPV],Tasks[[#This Row],[_Row]]+Tasks[[#This Row],[_Descendants]])),Tasks[[#This Row],[_LeafPV]]))</f>
        <v/>
      </c>
      <c r="BQ84" s="111" t="str">
        <f aca="false">IF(Tasks[[#This Row],[Task Name]]="","",IF(Tasks[[#This Row],[_IsSummary]],SUM(INDEX(Tasks[_LeafEV],Tasks[[#This Row],[_Row]]+1):INDEX(Tasks[_LeafEV],Tasks[[#This Row],[_Row]]+Tasks[[#This Row],[_Descendants]])),Tasks[[#This Row],[_LeafEV]]))</f>
        <v/>
      </c>
      <c r="BR84" s="111" t="str">
        <f aca="false">IF(Tasks[[#This Row],[Task Name]]="","",IF(Tasks[[#This Row],[_IsSummary]],SUM(INDEX(Tasks[_LeafAC],Tasks[[#This Row],[_Row]]+1):INDEX(Tasks[_LeafAC],Tasks[[#This Row],[_Row]]+Tasks[[#This Row],[_Descendants]])),Tasks[[#This Row],[_LeafAC]]))</f>
        <v/>
      </c>
      <c r="BS84" s="32" t="str">
        <f aca="false">IF(Tasks[[#This Row],[Task Name]]="","",MAX(1,N(Tasks[[#This Row],[Level]])))</f>
        <v/>
      </c>
      <c r="BT84" s="32" t="n">
        <f aca="false">ROW()-ROW(Tasks[[#Headers],[ID]])</f>
        <v>79</v>
      </c>
      <c r="BU84" s="32" t="n">
        <f aca="false">IF(OR(Tasks[[#This Row],[Task Name]]="",Tasks[[#This Row],[_Level]]&lt;=1),0,IFERROR(LOOKUP(2,1/(Tasks[[#Headers],[_Level]]:Tasks[[#This Row],[_Level]]=Tasks[[#This Row],[_Level]]-1),ROW(Tasks[[#Headers],[_Level]]:Tasks[[#This Row],[_Level]])),0))</f>
        <v>0</v>
      </c>
      <c r="BV84" s="32" t="n">
        <f aca="false">IFERROR(N(INDEX(Tasks[_Level],Tasks[[#This Row],[_Row]]+1)),0)</f>
        <v>0</v>
      </c>
      <c r="BW84" s="114" t="b">
        <f aca="false">AND(Tasks[[#This Row],[Task Name]]&lt;&gt;"",Tasks[[#This Row],[_NextLevel]]&gt;Tasks[[#This Row],[_Level]])</f>
        <v>0</v>
      </c>
      <c r="BX84" s="32" t="n">
        <f aca="false">IF(Tasks[[#This Row],[_IsSummary]],COUNTIF(Tasks[WBS],Tasks[[#This Row],[WBS]]&amp;".*"),0)</f>
        <v>0</v>
      </c>
      <c r="BY84" s="32" t="n">
        <f aca="false">IF(AND(Tasks[[#This Row],[Task Name]]&lt;&gt;"",NOT(Tasks[[#This Row],[_IsSummary]])),1,0)</f>
        <v>0</v>
      </c>
      <c r="BZ84" s="32" t="n">
        <f aca="false">IF(N(Tasks[[#This Row],[Pred1 UID]])=0,0,IFERROR(MATCH(Tasks[[#This Row],[Pred1 UID]],Tasks[UID],0),-1))</f>
        <v>0</v>
      </c>
      <c r="CA84" s="32" t="n">
        <f aca="false">IF(N(Tasks[[#This Row],[Pred2 UID]])=0,0,IFERROR(MATCH(Tasks[[#This Row],[Pred2 UID]],Tasks[UID],0),-1))</f>
        <v>0</v>
      </c>
      <c r="CB84" s="32" t="n">
        <f aca="false">IF(N(Tasks[[#This Row],[Pred3 UID]])=0,0,IFERROR(MATCH(Tasks[[#This Row],[Pred3 UID]],Tasks[UID],0),-1))</f>
        <v>0</v>
      </c>
      <c r="CC84" s="32" t="n">
        <f aca="false">IF(N(Tasks[[#This Row],[Pred4 UID]])=0,0,IFERROR(MATCH(Tasks[[#This Row],[Pred4 UID]],Tasks[UID],0),-1))</f>
        <v>0</v>
      </c>
      <c r="CD8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4" s="115" t="n">
        <f aca="false">IF(OR(Tasks[[#This Row],[_ConstraintCode]]=2,Tasks[[#This Row],[_ConstraintCode]]=3,Tasks[[#This Row],[_ConstraintCode]]=4,Tasks[[#This Row],[_ConstraintCode]]=6),Tasks[[#This Row],[_ConstraintStart]],0)</f>
        <v>0</v>
      </c>
      <c r="CG84" s="115" t="n">
        <f aca="false">IF(OR(Tasks[[#This Row],[_ConstraintCode]]=2,Tasks[[#This Row],[_ConstraintCode]]=3,Tasks[[#This Row],[_ConstraintCode]]=5,Tasks[[#This Row],[_ConstraintCode]]=7),Tasks[[#This Row],[_ConstraintStart]],2958465)</f>
        <v>2958465</v>
      </c>
      <c r="CH8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4" s="115" t="str">
        <f aca="false">IF(NOT(Tasks[[#This Row],[_IsLeaf]]=1),"",IF(N(Tasks[[#This Row],[Duration]])&lt;=0,Tasks[[#This Row],[_LeafCalcStart]],WORKDAY.INTL(Tasks[[#This Row],[_LeafCalcStart]],Tasks[[#This Row],[Duration]]-1,WorkWeek,Holidays)))</f>
        <v/>
      </c>
      <c r="CJ8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4" s="32" t="n">
        <f aca="false">IF(NOT(Tasks[[#This Row],[_IsLeaf]]=1),0,IF(N(Tasks[[#This Row],[Actual Finish]])&gt;0,1,MIN(1,N(Tasks[[#This Row],[% Complete]]))))</f>
        <v>0</v>
      </c>
      <c r="CM84" s="32" t="n">
        <f aca="false">IF(OR(NOT(Tasks[[#This Row],[_IsLeaf]]=1),Tasks[[#This Row],[Resource]]=""),0,N(Tasks[[#This Row],[Duration]])*HoursPerDay*IF(Tasks[[#This Row],[Units]]="",DefaultUnits,Tasks[[#This Row],[Units]]))</f>
        <v>0</v>
      </c>
      <c r="CN84" s="32" t="n">
        <f aca="false">IF(Tasks[[#This Row],[_LeafWork]]=0,0,Tasks[[#This Row],[_LeafWork]]*IFERROR(INDEX(res_Rate,MATCH(Tasks[[#This Row],[Resource]],res_Name,0)),0))</f>
        <v>0</v>
      </c>
      <c r="CO84" s="32" t="n">
        <f aca="false">Tasks[[#This Row],[_LeafWork]]+IF(Tasks[[#This Row],[_IsLeaf]]=1,SUMIFS(asg_Work,asg_TaskUID,Tasks[[#This Row],[UID]],asg_Valid,1),0)</f>
        <v>0</v>
      </c>
      <c r="CP84" s="32" t="n">
        <f aca="false">Tasks[[#This Row],[_LeafCost]]+IF(Tasks[[#This Row],[_IsLeaf]]=1,SUMIFS(asg_Cost,asg_TaskUID,Tasks[[#This Row],[UID]],asg_Valid,1),0)</f>
        <v>0</v>
      </c>
      <c r="CQ84" s="32" t="n">
        <f aca="false">IF(Tasks[[#This Row],[_LeafTotalCost]]=0,Tasks[[#This Row],[_LeafAC]],Tasks[[#This Row],[_LeafAC]]*Tasks[[#This Row],[_LeafCost]]/Tasks[[#This Row],[_LeafTotalCost]])</f>
        <v>0</v>
      </c>
      <c r="CR8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4" s="32" t="n">
        <f aca="false">IF(NOT(Tasks[[#This Row],[_IsLeaf]]=1),0,MAX(_xlfn.MAXIFS(Tasks[_Row],Tasks[Pred1 UID],Tasks[[#This Row],[UID]]),_xlfn.MAXIFS(Tasks[_Row],Tasks[Pred2 UID],Tasks[[#This Row],[UID]]),_xlfn.MAXIFS(Tasks[_Row],Tasks[Pred3 UID],Tasks[[#This Row],[UID]]),_xlfn.MAXIFS(Tasks[_Row],Tasks[Pred4 UID],Tasks[[#This Row],[UID]])))</f>
        <v>0</v>
      </c>
      <c r="DA8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4" s="115" t="str">
        <f aca="false">IF(NOT(Tasks[[#This Row],[_IsLeaf]]=1),"",IF(N(Tasks[[#This Row],[Duration]])&lt;=0,Tasks[[#This Row],[_LeafLateFinish]],WORKDAY.INTL(Tasks[[#This Row],[_LeafLateFinish]],-(Tasks[[#This Row],[Duration]]-1),WorkWeek,Holidays)))</f>
        <v/>
      </c>
      <c r="DD8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4" s="114" t="b">
        <f aca="false">AND(Tasks[[#This Row],[_IsLeaf]]=1,Tasks[[#This Row],[_LeafProgress]]&lt;1,N(Tasks[[#This Row],[_LeafTotalSlack]])&lt;=CriticalSlackDays)</f>
        <v>0</v>
      </c>
      <c r="DF84" s="32" t="n">
        <f aca="false">IF(AND(Tasks[[#This Row],[_IsLeaf]]=1,Tasks[[#This Row],[_ConstraintCode]]=1,Tasks[[#This Row],[Mode]]&lt;&gt;"Manual",N(Tasks[[#This Row],[Actual Start]])=0),MAX(0,N(Tasks[[#This Row],[Free Slack]])),0)</f>
        <v>0</v>
      </c>
      <c r="DG84" s="115" t="str">
        <f aca="false">IF(NOT(Tasks[[#This Row],[_IsLeaf]]=1),"",IF(Tasks[[#This Row],[_AlapShift]]=0,Tasks[[#This Row],[_LeafCalcStart]],WORKDAY.INTL(Tasks[[#This Row],[_LeafCalcStart]],Tasks[[#This Row],[_AlapShift]],WorkWeek,Holidays)))</f>
        <v/>
      </c>
      <c r="DH84" s="115" t="str">
        <f aca="false">IF(NOT(Tasks[[#This Row],[_IsLeaf]]=1),"",IF(Tasks[[#This Row],[_AlapShift]]=0,Tasks[[#This Row],[_LeafCalcFinish]],WORKDAY.INTL(Tasks[[#This Row],[_LeafCalcFinish]],Tasks[[#This Row],[_AlapShift]],WorkWeek,Holidays)))</f>
        <v/>
      </c>
      <c r="DI84" s="115" t="str">
        <f aca="false">IF(NOT(Tasks[[#This Row],[_IsLeaf]]=1),"",IF(Tasks[[#This Row],[_AlapShift]]=0,Tasks[[#This Row],[_LeafFcstStart]],WORKDAY.INTL(Tasks[[#This Row],[_LeafFcstStart]],Tasks[[#This Row],[_AlapShift]],WorkWeek,Holidays)))</f>
        <v/>
      </c>
      <c r="DJ84" s="115" t="str">
        <f aca="false">IF(NOT(Tasks[[#This Row],[_IsLeaf]]=1),"",IF(Tasks[[#This Row],[_AlapShift]]=0,Tasks[[#This Row],[_LeafFcstFinish]],WORKDAY.INTL(Tasks[[#This Row],[_LeafFcstFinish]],Tasks[[#This Row],[_AlapShift]],WorkWeek,Holidays)))</f>
        <v/>
      </c>
      <c r="DK84" s="115" t="str">
        <f aca="false">IF(Tasks[[#This Row],[Task Name]]="","",IF(Tasks[[#This Row],[_IsSummary]],MIN(INDEX(Tasks[_ShownCalcStart],Tasks[[#This Row],[_Row]]+1):INDEX(Tasks[_ShownCalcStart],Tasks[[#This Row],[_Row]]+Tasks[[#This Row],[_Descendants]])),Tasks[[#This Row],[_ShownCalcStart]]))</f>
        <v/>
      </c>
      <c r="DL84" s="115" t="str">
        <f aca="false">IF(Tasks[[#This Row],[Task Name]]="","",IF(Tasks[[#This Row],[_IsSummary]],MAX(INDEX(Tasks[_ShownCalcFinish],Tasks[[#This Row],[_Row]]+1):INDEX(Tasks[_ShownCalcFinish],Tasks[[#This Row],[_Row]]+Tasks[[#This Row],[_Descendants]])),Tasks[[#This Row],[_ShownCalcFinish]]))</f>
        <v/>
      </c>
      <c r="DM8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4" s="32" t="n">
        <f aca="false">IF(AND(Tasks[[#This Row],[_IsLeaf]]=1,Tasks[[#This Row],[_LeafTotalWork]]&gt;0),NETWORKDAYS.INTL(ProjectStart,Tasks[[#This Row],[_ShownFcstStart]],WorkWeek,Holidays),0)</f>
        <v>0</v>
      </c>
      <c r="DZ84" s="32" t="n">
        <f aca="false">IF(AND(Tasks[[#This Row],[_IsLeaf]]=1,Tasks[[#This Row],[_LeafTotalWork]]&gt;0),MAX(Tasks[[#This Row],[_StartWorkday]],NETWORKDAYS.INTL(ProjectStart,Tasks[[#This Row],[_ShownFcstFinish]],WorkWeek,Holidays)),0)</f>
        <v>0</v>
      </c>
      <c r="EA84" s="32" t="n">
        <f aca="false">IF(AND(Tasks[[#This Row],[_IsLeaf]]=1,Tasks[[#This Row],[_LeafTotalWork]]&gt;0),Tasks[[#This Row],[_LeafWork]]/(Tasks[[#This Row],[_FinishWorkday]]-Tasks[[#This Row],[_StartWorkday]]+1),0)</f>
        <v>0</v>
      </c>
      <c r="EB84" s="32" t="n">
        <f aca="false">Tasks[[#This Row],[_WorkPerWorkday]]*(Tasks[[#This Row],[_StartWorkday]]-1)</f>
        <v>-0</v>
      </c>
      <c r="EC84" s="32" t="n">
        <f aca="false">IF(Tasks[[#This Row],[_IsLeaf]]=1,MAX(N(Tasks[[#This Row],[Duration]]),0.1),0)</f>
        <v>0</v>
      </c>
      <c r="ED84" s="32" t="n">
        <f aca="false">Tasks[[#This Row],[_WeightDur]]*Tasks[[#This Row],[_LeafProgress]]</f>
        <v>0</v>
      </c>
      <c r="EE8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4" s="32" t="str">
        <f aca="false">IF(AND(Tasks[[#This Row],[_IsLeaf]]=1,N(Tasks[[#This Row],[Duration]])=0,Tasks[[#This Row],[_LeafProgress]]&lt;1),Tasks[[#This Row],[_ShownFcstFinish]]+Tasks[[#This Row],[_Row]]/100000,"")</f>
        <v/>
      </c>
      <c r="EG8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4" s="32" t="n">
        <f aca="false">IF(NOT(Tasks[[#This Row],[_IsLeaf]]=1),0,IF(Tasks[[#This Row],[Baseline Cost]]="",Tasks[[#This Row],[_LeafTotalCost]],N(Tasks[[#This Row],[Baseline Cost]])))</f>
        <v>0</v>
      </c>
      <c r="EI84" s="32" t="n">
        <f aca="false">Tasks[[#This Row],[_LeafBudget]]*Tasks[[#This Row],[_PlannedPct]]</f>
        <v>0</v>
      </c>
      <c r="EJ84" s="32" t="n">
        <f aca="false">Tasks[[#This Row],[_LeafBudget]]*Tasks[[#This Row],[_LeafProgress]]</f>
        <v>0</v>
      </c>
      <c r="EK84" s="32" t="n">
        <f aca="false">IF(NOT(Tasks[[#This Row],[_IsLeaf]]=1),0,IF(Tasks[[#This Row],[Actual Cost]]="",Tasks[[#This Row],[_LeafTotalCost]]*Tasks[[#This Row],[_LeafProgress]],N(Tasks[[#This Row],[Actual Cost]])))</f>
        <v>0</v>
      </c>
      <c r="EL84" s="32" t="str">
        <f aca="false">IF(Tasks[[#This Row],[Task Name]]="","",LEFT(Tasks[[#This Row],[WBS]],FIND(".",Tasks[[#This Row],[WBS]]&amp;".")-1))</f>
        <v/>
      </c>
      <c r="EM84" s="32" t="str">
        <f aca="false">IF(AND(Tasks[[#This Row],[Task Name]]&lt;&gt;"",Tasks[[#This Row],[_Level]]=1),Tasks[[#This Row],[_Row]],"")</f>
        <v/>
      </c>
      <c r="EN84" s="32" t="str">
        <f aca="false">IF(AND(Tasks[[#This Row],[_IsLeaf]]=1,N(Tasks[[#This Row],[Duration]])=0),Tasks[[#This Row],[Planned Finish]]+Tasks[[#This Row],[_Row]]/100000,"")</f>
        <v/>
      </c>
      <c r="EO84" s="32" t="str">
        <f aca="false">IF(AND(Tasks[[#This Row],[_IsLeaf]]=1,Tasks[[#This Row],[_LeafProgress]]&lt;1,OR(N(Tasks[[#This Row],[Finish Var]])&gt;0,Tasks[[#This Row],[Status]]="Late Start")),MAX(0,Tasks[[#This Row],[Finish Var]])+1-Tasks[[#This Row],[_Row]]/1000000,"")</f>
        <v/>
      </c>
      <c r="EP84" s="32" t="str">
        <f aca="false">IF(AND(Tasks[[#This Row],[_IsLeaf]]=1,N(Tasks[[#This Row],[Actual Start]])=0,Tasks[[#This Row],[_ShownFcstStart]]&gt;=StatusDate,Tasks[[#This Row],[_ShownFcstStart]]&lt;=LookaheadEnd),Tasks[[#This Row],[_ShownFcstStart]]+Tasks[[#This Row],[_Row]]/100000,"")</f>
        <v/>
      </c>
      <c r="EQ84" s="32" t="str">
        <f aca="false">IF(AND(Tasks[[#This Row],[_IsLeaf]]=1,Tasks[[#This Row],[_LeafProgress]]&lt;1,Tasks[[#This Row],[_ShownFcstFinish]]&gt;=StatusDate,Tasks[[#This Row],[_ShownFcstFinish]]&lt;=LookaheadEnd),Tasks[[#This Row],[_ShownFcstFinish]]+Tasks[[#This Row],[_Row]]/100000,"")</f>
        <v/>
      </c>
      <c r="ER84" s="32" t="str">
        <f aca="false">IF(Tasks[[#This Row],[_LeafCritical]],Tasks[[#This Row],[_ShownFcstStart]]+Tasks[[#This Row],[_Row]]/100000,"")</f>
        <v/>
      </c>
      <c r="ES84" s="32" t="n">
        <f aca="false">Tasks[[#This Row],[_LeafWork]]*Tasks[[#This Row],[_LeafProgress]]</f>
        <v>0</v>
      </c>
      <c r="ET84" s="115" t="str">
        <f aca="false">IF(AND(Tasks[[#This Row],[_IsLeaf]]=1,Tasks[[#This Row],[_LeafProgress]]&gt;=1),IF(N(Tasks[[#This Row],[Actual Finish]])&gt;0,Tasks[[#This Row],[Actual Finish]],Tasks[[#This Row],[_ShownFcstFinish]]),"")</f>
        <v/>
      </c>
      <c r="EU84" s="32" t="n">
        <f aca="false">IF(Tasks[[#This Row],[_IsLeaf]]=1,N(Tasks[[#This Row],[Story Points]]),0)</f>
        <v>0</v>
      </c>
      <c r="EV84" s="32" t="str">
        <f aca="false">IF(AND(Tasks[[#This Row],[_IsLeaf]]=1,CurrentSprint&lt;&gt;"",Tasks[[#This Row],[Sprint]]=CurrentSprint),Tasks[[#This Row],[_Row]],"")</f>
        <v/>
      </c>
    </row>
    <row r="85" customFormat="false" ht="15" hidden="false" customHeight="false" outlineLevel="0" collapsed="false">
      <c r="A85" s="45" t="str">
        <f aca="false">IF(Tasks[[#This Row],[Task Name]]="","",COUNTA(Tasks[[#Headers],[Task Name]]:Tasks[[#This Row],[Task Name]])-1)</f>
        <v/>
      </c>
      <c r="B85" s="46" t="n">
        <v>80</v>
      </c>
      <c r="C8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5" s="46"/>
      <c r="E85" s="45" t="str">
        <f aca="false">IF(Tasks[[#This Row],[Task Name]]="","",IF(Tasks[[#This Row],[_Level]]&lt;=OutlineShowLevel,"Yes","No"))</f>
        <v/>
      </c>
      <c r="F85" s="47"/>
      <c r="G85" s="46"/>
      <c r="H85" s="46"/>
      <c r="I85" s="46"/>
      <c r="J85" s="46"/>
      <c r="K85" s="46"/>
      <c r="L85" s="46"/>
      <c r="M85" s="46"/>
      <c r="N85" s="46"/>
      <c r="O85" s="46"/>
      <c r="P85" s="46"/>
      <c r="Q85" s="46"/>
      <c r="R85" s="46"/>
      <c r="S85" s="46"/>
      <c r="T85" s="46"/>
      <c r="U85" s="47"/>
      <c r="V85" s="88"/>
      <c r="W85" s="88"/>
      <c r="X85" s="25" t="str">
        <f aca="false">IF(Tasks[[#This Row],[Task Name]]="","",IF(N(Tasks[[#This Row],[Baseline Start]])&gt;0,Tasks[[#This Row],[Baseline Start]],Tasks[[#This Row],[_CalcStart]]))</f>
        <v/>
      </c>
      <c r="Y85" s="25" t="str">
        <f aca="false">IF(Tasks[[#This Row],[Task Name]]="","",IF(N(Tasks[[#This Row],[Baseline Finish]])&gt;0,Tasks[[#This Row],[Baseline Finish]],Tasks[[#This Row],[_CalcFinish]]))</f>
        <v/>
      </c>
      <c r="Z85" s="88"/>
      <c r="AA85" s="88"/>
      <c r="AB85" s="25" t="str">
        <f aca="false">IF(Tasks[[#This Row],[Task Name]]="","",IF(Tasks[[#This Row],[_IsSummary]],MIN(INDEX(Tasks[_ShownFcstStart],Tasks[[#This Row],[_Row]]+1):INDEX(Tasks[_ShownFcstStart],Tasks[[#This Row],[_Row]]+Tasks[[#This Row],[_Descendants]])),Tasks[[#This Row],[_ShownFcstStart]]))</f>
        <v/>
      </c>
      <c r="AC85" s="25" t="str">
        <f aca="false">IF(Tasks[[#This Row],[Task Name]]="","",IF(Tasks[[#This Row],[_IsSummary]],MAX(INDEX(Tasks[_ShownFcstFinish],Tasks[[#This Row],[_Row]]+1):INDEX(Tasks[_ShownFcstFinish],Tasks[[#This Row],[_Row]]+Tasks[[#This Row],[_Descendants]])),Tasks[[#This Row],[_ShownFcstFinish]]))</f>
        <v/>
      </c>
      <c r="AD8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5" s="25" t="str">
        <f aca="false">IF(Tasks[[#This Row],[Task Name]]="","",IF(Tasks[[#This Row],[_IsSummary]],MIN(INDEX(Tasks[_LeafLateStart],Tasks[[#This Row],[_Row]]+1):INDEX(Tasks[_LeafLateStart],Tasks[[#This Row],[_Row]]+Tasks[[#This Row],[_Descendants]])),Tasks[[#This Row],[_LeafLateStart]]))</f>
        <v/>
      </c>
      <c r="AG85" s="25" t="str">
        <f aca="false">IF(Tasks[[#This Row],[Task Name]]="","",IF(Tasks[[#This Row],[_IsSummary]],MAX(INDEX(Tasks[_LeafLateFinish],Tasks[[#This Row],[_Row]]+1):INDEX(Tasks[_LeafLateFinish],Tasks[[#This Row],[_Row]]+Tasks[[#This Row],[_Descendants]])),Tasks[[#This Row],[_LeafLateFinish]]))</f>
        <v/>
      </c>
      <c r="AH85" s="56" t="str">
        <f aca="false">IF(Tasks[[#This Row],[Task Name]]="","",IF(Tasks[[#This Row],[_IsSummary]],MIN(INDEX(Tasks[_LeafTotalSlack],Tasks[[#This Row],[_Row]]+1):INDEX(Tasks[_LeafTotalSlack],Tasks[[#This Row],[_Row]]+Tasks[[#This Row],[_Descendants]])),Tasks[[#This Row],[_LeafTotalSlack]]))</f>
        <v/>
      </c>
      <c r="AI8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5" s="45" t="str">
        <f aca="false">IF(Tasks[[#This Row],[Task Name]]="","",IF(IF(Tasks[[#This Row],[_IsSummary]],COUNTIF(INDEX(Tasks[_LeafCritical],Tasks[[#This Row],[_Row]]+1):INDEX(Tasks[_LeafCritical],Tasks[[#This Row],[_Row]]+Tasks[[#This Row],[_Descendants]]),TRUE())&gt;0,Tasks[[#This Row],[_LeafCritical]]),"Yes",""))</f>
        <v/>
      </c>
      <c r="AK8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5" s="102"/>
      <c r="AN8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5" s="45" t="str">
        <f aca="false">IF(Tasks[[#This Row],[Task Name]]="","",IF(Tasks[[#This Row],[Progress]]&gt;=1,"Complete",IF(OR(N(Tasks[[#This Row],[Actual Start]])&gt;0,Tasks[[#This Row],[Progress]]&gt;0),IF(Tasks[[#This Row],[Finish Var]]&gt;0,"Behind","In Progress"),IF(Tasks[[#This Row],[Planned Start]]&lt;StatusDate,"Late Start","Not Started"))))</f>
        <v/>
      </c>
      <c r="AP85" s="47"/>
      <c r="AQ85" s="102"/>
      <c r="AR8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5" s="110" t="str">
        <f aca="false">IF(Tasks[[#This Row],[Task Name]]="","",IF(Tasks[[#This Row],[_IsSummary]],SUM(INDEX(Tasks[_LeafTotalWork],Tasks[[#This Row],[_Row]]+1):INDEX(Tasks[_LeafTotalWork],Tasks[[#This Row],[_Row]]+Tasks[[#This Row],[_Descendants]])),Tasks[[#This Row],[_LeafTotalWork]]))</f>
        <v/>
      </c>
      <c r="AU85" s="111" t="str">
        <f aca="false">IF(Tasks[[#This Row],[Task Name]]="","",IF(Tasks[[#This Row],[_IsSummary]],SUM(INDEX(Tasks[_LeafTotalCost],Tasks[[#This Row],[_Row]]+1):INDEX(Tasks[_LeafTotalCost],Tasks[[#This Row],[_Row]]+Tasks[[#This Row],[_Descendants]])),Tasks[[#This Row],[_LeafTotalCost]]))</f>
        <v/>
      </c>
      <c r="AV85" s="112"/>
      <c r="AW85" s="46"/>
      <c r="AX8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5" s="96"/>
      <c r="AZ8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5" s="47"/>
      <c r="BB85" s="25" t="str">
        <f aca="false">IF(Tasks[[#This Row],[Task Name]]="","",Tasks[[#This Row],[Forecast Start]])</f>
        <v/>
      </c>
      <c r="BC85" s="25" t="str">
        <f aca="false">IF(Tasks[[#This Row],[Task Name]]="","",Tasks[[#This Row],[Forecast Finish]])</f>
        <v/>
      </c>
      <c r="BD85" s="45" t="str">
        <f aca="false">IF(Tasks[[#This Row],[Task Name]]="","",IF(Tasks[[#This Row],[_IsSummary]],NETWORKDAYS.INTL(Tasks[[#This Row],[Forecast Start]],Tasks[[#This Row],[Forecast Finish]],WorkWeek,Holidays),N(Tasks[[#This Row],[Duration]])))</f>
        <v/>
      </c>
      <c r="BE85" s="110" t="str">
        <f aca="false">IF(Tasks[[#This Row],[Task Name]]="","",Tasks[[#This Row],[Work]])</f>
        <v/>
      </c>
      <c r="BF85" s="111" t="str">
        <f aca="false">IF(Tasks[[#This Row],[Task Name]]="","",Tasks[[#This Row],[Cost]])</f>
        <v/>
      </c>
      <c r="BG85" s="88"/>
      <c r="BH85" s="88"/>
      <c r="BI85" s="46"/>
      <c r="BJ85" s="113"/>
      <c r="BK85" s="112"/>
      <c r="BL85" s="45" t="str">
        <f aca="false">IF(OR(Tasks[[#This Row],[Task Name]]="",Tasks[[#This Row],[Baseline Duration]]=""),"",Tasks[[#This Row],[BL Source Duration]]-N(Tasks[[#This Row],[Baseline Duration]]))</f>
        <v/>
      </c>
      <c r="BM85" s="110" t="str">
        <f aca="false">IF(OR(Tasks[[#This Row],[Task Name]]="",Tasks[[#This Row],[Baseline Work]]=""),"",Tasks[[#This Row],[Work]]-N(Tasks[[#This Row],[Baseline Work]]))</f>
        <v/>
      </c>
      <c r="BN85" s="111" t="str">
        <f aca="false">IF(OR(Tasks[[#This Row],[Task Name]]="",Tasks[[#This Row],[Baseline Cost]]=""),"",Tasks[[#This Row],[Cost]]-N(Tasks[[#This Row],[Baseline Cost]]))</f>
        <v/>
      </c>
      <c r="BO85" s="111" t="str">
        <f aca="false">IF(Tasks[[#This Row],[Task Name]]="","",IF(Tasks[[#This Row],[_IsSummary]],SUM(INDEX(Tasks[_LeafBudget],Tasks[[#This Row],[_Row]]+1):INDEX(Tasks[_LeafBudget],Tasks[[#This Row],[_Row]]+Tasks[[#This Row],[_Descendants]])),Tasks[[#This Row],[_LeafBudget]]))</f>
        <v/>
      </c>
      <c r="BP85" s="111" t="str">
        <f aca="false">IF(Tasks[[#This Row],[Task Name]]="","",IF(Tasks[[#This Row],[_IsSummary]],SUM(INDEX(Tasks[_LeafPV],Tasks[[#This Row],[_Row]]+1):INDEX(Tasks[_LeafPV],Tasks[[#This Row],[_Row]]+Tasks[[#This Row],[_Descendants]])),Tasks[[#This Row],[_LeafPV]]))</f>
        <v/>
      </c>
      <c r="BQ85" s="111" t="str">
        <f aca="false">IF(Tasks[[#This Row],[Task Name]]="","",IF(Tasks[[#This Row],[_IsSummary]],SUM(INDEX(Tasks[_LeafEV],Tasks[[#This Row],[_Row]]+1):INDEX(Tasks[_LeafEV],Tasks[[#This Row],[_Row]]+Tasks[[#This Row],[_Descendants]])),Tasks[[#This Row],[_LeafEV]]))</f>
        <v/>
      </c>
      <c r="BR85" s="111" t="str">
        <f aca="false">IF(Tasks[[#This Row],[Task Name]]="","",IF(Tasks[[#This Row],[_IsSummary]],SUM(INDEX(Tasks[_LeafAC],Tasks[[#This Row],[_Row]]+1):INDEX(Tasks[_LeafAC],Tasks[[#This Row],[_Row]]+Tasks[[#This Row],[_Descendants]])),Tasks[[#This Row],[_LeafAC]]))</f>
        <v/>
      </c>
      <c r="BS85" s="32" t="str">
        <f aca="false">IF(Tasks[[#This Row],[Task Name]]="","",MAX(1,N(Tasks[[#This Row],[Level]])))</f>
        <v/>
      </c>
      <c r="BT85" s="32" t="n">
        <f aca="false">ROW()-ROW(Tasks[[#Headers],[ID]])</f>
        <v>80</v>
      </c>
      <c r="BU85" s="32" t="n">
        <f aca="false">IF(OR(Tasks[[#This Row],[Task Name]]="",Tasks[[#This Row],[_Level]]&lt;=1),0,IFERROR(LOOKUP(2,1/(Tasks[[#Headers],[_Level]]:Tasks[[#This Row],[_Level]]=Tasks[[#This Row],[_Level]]-1),ROW(Tasks[[#Headers],[_Level]]:Tasks[[#This Row],[_Level]])),0))</f>
        <v>0</v>
      </c>
      <c r="BV85" s="32" t="n">
        <f aca="false">IFERROR(N(INDEX(Tasks[_Level],Tasks[[#This Row],[_Row]]+1)),0)</f>
        <v>0</v>
      </c>
      <c r="BW85" s="114" t="b">
        <f aca="false">AND(Tasks[[#This Row],[Task Name]]&lt;&gt;"",Tasks[[#This Row],[_NextLevel]]&gt;Tasks[[#This Row],[_Level]])</f>
        <v>0</v>
      </c>
      <c r="BX85" s="32" t="n">
        <f aca="false">IF(Tasks[[#This Row],[_IsSummary]],COUNTIF(Tasks[WBS],Tasks[[#This Row],[WBS]]&amp;".*"),0)</f>
        <v>0</v>
      </c>
      <c r="BY85" s="32" t="n">
        <f aca="false">IF(AND(Tasks[[#This Row],[Task Name]]&lt;&gt;"",NOT(Tasks[[#This Row],[_IsSummary]])),1,0)</f>
        <v>0</v>
      </c>
      <c r="BZ85" s="32" t="n">
        <f aca="false">IF(N(Tasks[[#This Row],[Pred1 UID]])=0,0,IFERROR(MATCH(Tasks[[#This Row],[Pred1 UID]],Tasks[UID],0),-1))</f>
        <v>0</v>
      </c>
      <c r="CA85" s="32" t="n">
        <f aca="false">IF(N(Tasks[[#This Row],[Pred2 UID]])=0,0,IFERROR(MATCH(Tasks[[#This Row],[Pred2 UID]],Tasks[UID],0),-1))</f>
        <v>0</v>
      </c>
      <c r="CB85" s="32" t="n">
        <f aca="false">IF(N(Tasks[[#This Row],[Pred3 UID]])=0,0,IFERROR(MATCH(Tasks[[#This Row],[Pred3 UID]],Tasks[UID],0),-1))</f>
        <v>0</v>
      </c>
      <c r="CC85" s="32" t="n">
        <f aca="false">IF(N(Tasks[[#This Row],[Pred4 UID]])=0,0,IFERROR(MATCH(Tasks[[#This Row],[Pred4 UID]],Tasks[UID],0),-1))</f>
        <v>0</v>
      </c>
      <c r="CD8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5" s="115" t="n">
        <f aca="false">IF(OR(Tasks[[#This Row],[_ConstraintCode]]=2,Tasks[[#This Row],[_ConstraintCode]]=3,Tasks[[#This Row],[_ConstraintCode]]=4,Tasks[[#This Row],[_ConstraintCode]]=6),Tasks[[#This Row],[_ConstraintStart]],0)</f>
        <v>0</v>
      </c>
      <c r="CG85" s="115" t="n">
        <f aca="false">IF(OR(Tasks[[#This Row],[_ConstraintCode]]=2,Tasks[[#This Row],[_ConstraintCode]]=3,Tasks[[#This Row],[_ConstraintCode]]=5,Tasks[[#This Row],[_ConstraintCode]]=7),Tasks[[#This Row],[_ConstraintStart]],2958465)</f>
        <v>2958465</v>
      </c>
      <c r="CH8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5" s="115" t="str">
        <f aca="false">IF(NOT(Tasks[[#This Row],[_IsLeaf]]=1),"",IF(N(Tasks[[#This Row],[Duration]])&lt;=0,Tasks[[#This Row],[_LeafCalcStart]],WORKDAY.INTL(Tasks[[#This Row],[_LeafCalcStart]],Tasks[[#This Row],[Duration]]-1,WorkWeek,Holidays)))</f>
        <v/>
      </c>
      <c r="CJ8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5" s="32" t="n">
        <f aca="false">IF(NOT(Tasks[[#This Row],[_IsLeaf]]=1),0,IF(N(Tasks[[#This Row],[Actual Finish]])&gt;0,1,MIN(1,N(Tasks[[#This Row],[% Complete]]))))</f>
        <v>0</v>
      </c>
      <c r="CM85" s="32" t="n">
        <f aca="false">IF(OR(NOT(Tasks[[#This Row],[_IsLeaf]]=1),Tasks[[#This Row],[Resource]]=""),0,N(Tasks[[#This Row],[Duration]])*HoursPerDay*IF(Tasks[[#This Row],[Units]]="",DefaultUnits,Tasks[[#This Row],[Units]]))</f>
        <v>0</v>
      </c>
      <c r="CN85" s="32" t="n">
        <f aca="false">IF(Tasks[[#This Row],[_LeafWork]]=0,0,Tasks[[#This Row],[_LeafWork]]*IFERROR(INDEX(res_Rate,MATCH(Tasks[[#This Row],[Resource]],res_Name,0)),0))</f>
        <v>0</v>
      </c>
      <c r="CO85" s="32" t="n">
        <f aca="false">Tasks[[#This Row],[_LeafWork]]+IF(Tasks[[#This Row],[_IsLeaf]]=1,SUMIFS(asg_Work,asg_TaskUID,Tasks[[#This Row],[UID]],asg_Valid,1),0)</f>
        <v>0</v>
      </c>
      <c r="CP85" s="32" t="n">
        <f aca="false">Tasks[[#This Row],[_LeafCost]]+IF(Tasks[[#This Row],[_IsLeaf]]=1,SUMIFS(asg_Cost,asg_TaskUID,Tasks[[#This Row],[UID]],asg_Valid,1),0)</f>
        <v>0</v>
      </c>
      <c r="CQ85" s="32" t="n">
        <f aca="false">IF(Tasks[[#This Row],[_LeafTotalCost]]=0,Tasks[[#This Row],[_LeafAC]],Tasks[[#This Row],[_LeafAC]]*Tasks[[#This Row],[_LeafCost]]/Tasks[[#This Row],[_LeafTotalCost]])</f>
        <v>0</v>
      </c>
      <c r="CR8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5" s="32" t="n">
        <f aca="false">IF(NOT(Tasks[[#This Row],[_IsLeaf]]=1),0,MAX(_xlfn.MAXIFS(Tasks[_Row],Tasks[Pred1 UID],Tasks[[#This Row],[UID]]),_xlfn.MAXIFS(Tasks[_Row],Tasks[Pred2 UID],Tasks[[#This Row],[UID]]),_xlfn.MAXIFS(Tasks[_Row],Tasks[Pred3 UID],Tasks[[#This Row],[UID]]),_xlfn.MAXIFS(Tasks[_Row],Tasks[Pred4 UID],Tasks[[#This Row],[UID]])))</f>
        <v>0</v>
      </c>
      <c r="DA8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5" s="115" t="str">
        <f aca="false">IF(NOT(Tasks[[#This Row],[_IsLeaf]]=1),"",IF(N(Tasks[[#This Row],[Duration]])&lt;=0,Tasks[[#This Row],[_LeafLateFinish]],WORKDAY.INTL(Tasks[[#This Row],[_LeafLateFinish]],-(Tasks[[#This Row],[Duration]]-1),WorkWeek,Holidays)))</f>
        <v/>
      </c>
      <c r="DD8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5" s="114" t="b">
        <f aca="false">AND(Tasks[[#This Row],[_IsLeaf]]=1,Tasks[[#This Row],[_LeafProgress]]&lt;1,N(Tasks[[#This Row],[_LeafTotalSlack]])&lt;=CriticalSlackDays)</f>
        <v>0</v>
      </c>
      <c r="DF85" s="32" t="n">
        <f aca="false">IF(AND(Tasks[[#This Row],[_IsLeaf]]=1,Tasks[[#This Row],[_ConstraintCode]]=1,Tasks[[#This Row],[Mode]]&lt;&gt;"Manual",N(Tasks[[#This Row],[Actual Start]])=0),MAX(0,N(Tasks[[#This Row],[Free Slack]])),0)</f>
        <v>0</v>
      </c>
      <c r="DG85" s="115" t="str">
        <f aca="false">IF(NOT(Tasks[[#This Row],[_IsLeaf]]=1),"",IF(Tasks[[#This Row],[_AlapShift]]=0,Tasks[[#This Row],[_LeafCalcStart]],WORKDAY.INTL(Tasks[[#This Row],[_LeafCalcStart]],Tasks[[#This Row],[_AlapShift]],WorkWeek,Holidays)))</f>
        <v/>
      </c>
      <c r="DH85" s="115" t="str">
        <f aca="false">IF(NOT(Tasks[[#This Row],[_IsLeaf]]=1),"",IF(Tasks[[#This Row],[_AlapShift]]=0,Tasks[[#This Row],[_LeafCalcFinish]],WORKDAY.INTL(Tasks[[#This Row],[_LeafCalcFinish]],Tasks[[#This Row],[_AlapShift]],WorkWeek,Holidays)))</f>
        <v/>
      </c>
      <c r="DI85" s="115" t="str">
        <f aca="false">IF(NOT(Tasks[[#This Row],[_IsLeaf]]=1),"",IF(Tasks[[#This Row],[_AlapShift]]=0,Tasks[[#This Row],[_LeafFcstStart]],WORKDAY.INTL(Tasks[[#This Row],[_LeafFcstStart]],Tasks[[#This Row],[_AlapShift]],WorkWeek,Holidays)))</f>
        <v/>
      </c>
      <c r="DJ85" s="115" t="str">
        <f aca="false">IF(NOT(Tasks[[#This Row],[_IsLeaf]]=1),"",IF(Tasks[[#This Row],[_AlapShift]]=0,Tasks[[#This Row],[_LeafFcstFinish]],WORKDAY.INTL(Tasks[[#This Row],[_LeafFcstFinish]],Tasks[[#This Row],[_AlapShift]],WorkWeek,Holidays)))</f>
        <v/>
      </c>
      <c r="DK85" s="115" t="str">
        <f aca="false">IF(Tasks[[#This Row],[Task Name]]="","",IF(Tasks[[#This Row],[_IsSummary]],MIN(INDEX(Tasks[_ShownCalcStart],Tasks[[#This Row],[_Row]]+1):INDEX(Tasks[_ShownCalcStart],Tasks[[#This Row],[_Row]]+Tasks[[#This Row],[_Descendants]])),Tasks[[#This Row],[_ShownCalcStart]]))</f>
        <v/>
      </c>
      <c r="DL85" s="115" t="str">
        <f aca="false">IF(Tasks[[#This Row],[Task Name]]="","",IF(Tasks[[#This Row],[_IsSummary]],MAX(INDEX(Tasks[_ShownCalcFinish],Tasks[[#This Row],[_Row]]+1):INDEX(Tasks[_ShownCalcFinish],Tasks[[#This Row],[_Row]]+Tasks[[#This Row],[_Descendants]])),Tasks[[#This Row],[_ShownCalcFinish]]))</f>
        <v/>
      </c>
      <c r="DM8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5" s="32" t="n">
        <f aca="false">IF(AND(Tasks[[#This Row],[_IsLeaf]]=1,Tasks[[#This Row],[_LeafTotalWork]]&gt;0),NETWORKDAYS.INTL(ProjectStart,Tasks[[#This Row],[_ShownFcstStart]],WorkWeek,Holidays),0)</f>
        <v>0</v>
      </c>
      <c r="DZ85" s="32" t="n">
        <f aca="false">IF(AND(Tasks[[#This Row],[_IsLeaf]]=1,Tasks[[#This Row],[_LeafTotalWork]]&gt;0),MAX(Tasks[[#This Row],[_StartWorkday]],NETWORKDAYS.INTL(ProjectStart,Tasks[[#This Row],[_ShownFcstFinish]],WorkWeek,Holidays)),0)</f>
        <v>0</v>
      </c>
      <c r="EA85" s="32" t="n">
        <f aca="false">IF(AND(Tasks[[#This Row],[_IsLeaf]]=1,Tasks[[#This Row],[_LeafTotalWork]]&gt;0),Tasks[[#This Row],[_LeafWork]]/(Tasks[[#This Row],[_FinishWorkday]]-Tasks[[#This Row],[_StartWorkday]]+1),0)</f>
        <v>0</v>
      </c>
      <c r="EB85" s="32" t="n">
        <f aca="false">Tasks[[#This Row],[_WorkPerWorkday]]*(Tasks[[#This Row],[_StartWorkday]]-1)</f>
        <v>-0</v>
      </c>
      <c r="EC85" s="32" t="n">
        <f aca="false">IF(Tasks[[#This Row],[_IsLeaf]]=1,MAX(N(Tasks[[#This Row],[Duration]]),0.1),0)</f>
        <v>0</v>
      </c>
      <c r="ED85" s="32" t="n">
        <f aca="false">Tasks[[#This Row],[_WeightDur]]*Tasks[[#This Row],[_LeafProgress]]</f>
        <v>0</v>
      </c>
      <c r="EE8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5" s="32" t="str">
        <f aca="false">IF(AND(Tasks[[#This Row],[_IsLeaf]]=1,N(Tasks[[#This Row],[Duration]])=0,Tasks[[#This Row],[_LeafProgress]]&lt;1),Tasks[[#This Row],[_ShownFcstFinish]]+Tasks[[#This Row],[_Row]]/100000,"")</f>
        <v/>
      </c>
      <c r="EG8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5" s="32" t="n">
        <f aca="false">IF(NOT(Tasks[[#This Row],[_IsLeaf]]=1),0,IF(Tasks[[#This Row],[Baseline Cost]]="",Tasks[[#This Row],[_LeafTotalCost]],N(Tasks[[#This Row],[Baseline Cost]])))</f>
        <v>0</v>
      </c>
      <c r="EI85" s="32" t="n">
        <f aca="false">Tasks[[#This Row],[_LeafBudget]]*Tasks[[#This Row],[_PlannedPct]]</f>
        <v>0</v>
      </c>
      <c r="EJ85" s="32" t="n">
        <f aca="false">Tasks[[#This Row],[_LeafBudget]]*Tasks[[#This Row],[_LeafProgress]]</f>
        <v>0</v>
      </c>
      <c r="EK85" s="32" t="n">
        <f aca="false">IF(NOT(Tasks[[#This Row],[_IsLeaf]]=1),0,IF(Tasks[[#This Row],[Actual Cost]]="",Tasks[[#This Row],[_LeafTotalCost]]*Tasks[[#This Row],[_LeafProgress]],N(Tasks[[#This Row],[Actual Cost]])))</f>
        <v>0</v>
      </c>
      <c r="EL85" s="32" t="str">
        <f aca="false">IF(Tasks[[#This Row],[Task Name]]="","",LEFT(Tasks[[#This Row],[WBS]],FIND(".",Tasks[[#This Row],[WBS]]&amp;".")-1))</f>
        <v/>
      </c>
      <c r="EM85" s="32" t="str">
        <f aca="false">IF(AND(Tasks[[#This Row],[Task Name]]&lt;&gt;"",Tasks[[#This Row],[_Level]]=1),Tasks[[#This Row],[_Row]],"")</f>
        <v/>
      </c>
      <c r="EN85" s="32" t="str">
        <f aca="false">IF(AND(Tasks[[#This Row],[_IsLeaf]]=1,N(Tasks[[#This Row],[Duration]])=0),Tasks[[#This Row],[Planned Finish]]+Tasks[[#This Row],[_Row]]/100000,"")</f>
        <v/>
      </c>
      <c r="EO85" s="32" t="str">
        <f aca="false">IF(AND(Tasks[[#This Row],[_IsLeaf]]=1,Tasks[[#This Row],[_LeafProgress]]&lt;1,OR(N(Tasks[[#This Row],[Finish Var]])&gt;0,Tasks[[#This Row],[Status]]="Late Start")),MAX(0,Tasks[[#This Row],[Finish Var]])+1-Tasks[[#This Row],[_Row]]/1000000,"")</f>
        <v/>
      </c>
      <c r="EP85" s="32" t="str">
        <f aca="false">IF(AND(Tasks[[#This Row],[_IsLeaf]]=1,N(Tasks[[#This Row],[Actual Start]])=0,Tasks[[#This Row],[_ShownFcstStart]]&gt;=StatusDate,Tasks[[#This Row],[_ShownFcstStart]]&lt;=LookaheadEnd),Tasks[[#This Row],[_ShownFcstStart]]+Tasks[[#This Row],[_Row]]/100000,"")</f>
        <v/>
      </c>
      <c r="EQ85" s="32" t="str">
        <f aca="false">IF(AND(Tasks[[#This Row],[_IsLeaf]]=1,Tasks[[#This Row],[_LeafProgress]]&lt;1,Tasks[[#This Row],[_ShownFcstFinish]]&gt;=StatusDate,Tasks[[#This Row],[_ShownFcstFinish]]&lt;=LookaheadEnd),Tasks[[#This Row],[_ShownFcstFinish]]+Tasks[[#This Row],[_Row]]/100000,"")</f>
        <v/>
      </c>
      <c r="ER85" s="32" t="str">
        <f aca="false">IF(Tasks[[#This Row],[_LeafCritical]],Tasks[[#This Row],[_ShownFcstStart]]+Tasks[[#This Row],[_Row]]/100000,"")</f>
        <v/>
      </c>
      <c r="ES85" s="32" t="n">
        <f aca="false">Tasks[[#This Row],[_LeafWork]]*Tasks[[#This Row],[_LeafProgress]]</f>
        <v>0</v>
      </c>
      <c r="ET85" s="115" t="str">
        <f aca="false">IF(AND(Tasks[[#This Row],[_IsLeaf]]=1,Tasks[[#This Row],[_LeafProgress]]&gt;=1),IF(N(Tasks[[#This Row],[Actual Finish]])&gt;0,Tasks[[#This Row],[Actual Finish]],Tasks[[#This Row],[_ShownFcstFinish]]),"")</f>
        <v/>
      </c>
      <c r="EU85" s="32" t="n">
        <f aca="false">IF(Tasks[[#This Row],[_IsLeaf]]=1,N(Tasks[[#This Row],[Story Points]]),0)</f>
        <v>0</v>
      </c>
      <c r="EV85" s="32" t="str">
        <f aca="false">IF(AND(Tasks[[#This Row],[_IsLeaf]]=1,CurrentSprint&lt;&gt;"",Tasks[[#This Row],[Sprint]]=CurrentSprint),Tasks[[#This Row],[_Row]],"")</f>
        <v/>
      </c>
    </row>
    <row r="86" customFormat="false" ht="15" hidden="false" customHeight="false" outlineLevel="0" collapsed="false">
      <c r="A86" s="45" t="str">
        <f aca="false">IF(Tasks[[#This Row],[Task Name]]="","",COUNTA(Tasks[[#Headers],[Task Name]]:Tasks[[#This Row],[Task Name]])-1)</f>
        <v/>
      </c>
      <c r="B86" s="46" t="n">
        <v>81</v>
      </c>
      <c r="C8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6" s="46"/>
      <c r="E86" s="45" t="str">
        <f aca="false">IF(Tasks[[#This Row],[Task Name]]="","",IF(Tasks[[#This Row],[_Level]]&lt;=OutlineShowLevel,"Yes","No"))</f>
        <v/>
      </c>
      <c r="F86" s="47"/>
      <c r="G86" s="46"/>
      <c r="H86" s="46"/>
      <c r="I86" s="46"/>
      <c r="J86" s="46"/>
      <c r="K86" s="46"/>
      <c r="L86" s="46"/>
      <c r="M86" s="46"/>
      <c r="N86" s="46"/>
      <c r="O86" s="46"/>
      <c r="P86" s="46"/>
      <c r="Q86" s="46"/>
      <c r="R86" s="46"/>
      <c r="S86" s="46"/>
      <c r="T86" s="46"/>
      <c r="U86" s="47"/>
      <c r="V86" s="88"/>
      <c r="W86" s="88"/>
      <c r="X86" s="25" t="str">
        <f aca="false">IF(Tasks[[#This Row],[Task Name]]="","",IF(N(Tasks[[#This Row],[Baseline Start]])&gt;0,Tasks[[#This Row],[Baseline Start]],Tasks[[#This Row],[_CalcStart]]))</f>
        <v/>
      </c>
      <c r="Y86" s="25" t="str">
        <f aca="false">IF(Tasks[[#This Row],[Task Name]]="","",IF(N(Tasks[[#This Row],[Baseline Finish]])&gt;0,Tasks[[#This Row],[Baseline Finish]],Tasks[[#This Row],[_CalcFinish]]))</f>
        <v/>
      </c>
      <c r="Z86" s="88"/>
      <c r="AA86" s="88"/>
      <c r="AB86" s="25" t="str">
        <f aca="false">IF(Tasks[[#This Row],[Task Name]]="","",IF(Tasks[[#This Row],[_IsSummary]],MIN(INDEX(Tasks[_ShownFcstStart],Tasks[[#This Row],[_Row]]+1):INDEX(Tasks[_ShownFcstStart],Tasks[[#This Row],[_Row]]+Tasks[[#This Row],[_Descendants]])),Tasks[[#This Row],[_ShownFcstStart]]))</f>
        <v/>
      </c>
      <c r="AC86" s="25" t="str">
        <f aca="false">IF(Tasks[[#This Row],[Task Name]]="","",IF(Tasks[[#This Row],[_IsSummary]],MAX(INDEX(Tasks[_ShownFcstFinish],Tasks[[#This Row],[_Row]]+1):INDEX(Tasks[_ShownFcstFinish],Tasks[[#This Row],[_Row]]+Tasks[[#This Row],[_Descendants]])),Tasks[[#This Row],[_ShownFcstFinish]]))</f>
        <v/>
      </c>
      <c r="AD8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6" s="25" t="str">
        <f aca="false">IF(Tasks[[#This Row],[Task Name]]="","",IF(Tasks[[#This Row],[_IsSummary]],MIN(INDEX(Tasks[_LeafLateStart],Tasks[[#This Row],[_Row]]+1):INDEX(Tasks[_LeafLateStart],Tasks[[#This Row],[_Row]]+Tasks[[#This Row],[_Descendants]])),Tasks[[#This Row],[_LeafLateStart]]))</f>
        <v/>
      </c>
      <c r="AG86" s="25" t="str">
        <f aca="false">IF(Tasks[[#This Row],[Task Name]]="","",IF(Tasks[[#This Row],[_IsSummary]],MAX(INDEX(Tasks[_LeafLateFinish],Tasks[[#This Row],[_Row]]+1):INDEX(Tasks[_LeafLateFinish],Tasks[[#This Row],[_Row]]+Tasks[[#This Row],[_Descendants]])),Tasks[[#This Row],[_LeafLateFinish]]))</f>
        <v/>
      </c>
      <c r="AH86" s="56" t="str">
        <f aca="false">IF(Tasks[[#This Row],[Task Name]]="","",IF(Tasks[[#This Row],[_IsSummary]],MIN(INDEX(Tasks[_LeafTotalSlack],Tasks[[#This Row],[_Row]]+1):INDEX(Tasks[_LeafTotalSlack],Tasks[[#This Row],[_Row]]+Tasks[[#This Row],[_Descendants]])),Tasks[[#This Row],[_LeafTotalSlack]]))</f>
        <v/>
      </c>
      <c r="AI8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6" s="45" t="str">
        <f aca="false">IF(Tasks[[#This Row],[Task Name]]="","",IF(IF(Tasks[[#This Row],[_IsSummary]],COUNTIF(INDEX(Tasks[_LeafCritical],Tasks[[#This Row],[_Row]]+1):INDEX(Tasks[_LeafCritical],Tasks[[#This Row],[_Row]]+Tasks[[#This Row],[_Descendants]]),TRUE())&gt;0,Tasks[[#This Row],[_LeafCritical]]),"Yes",""))</f>
        <v/>
      </c>
      <c r="AK8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6" s="102"/>
      <c r="AN8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6" s="45" t="str">
        <f aca="false">IF(Tasks[[#This Row],[Task Name]]="","",IF(Tasks[[#This Row],[Progress]]&gt;=1,"Complete",IF(OR(N(Tasks[[#This Row],[Actual Start]])&gt;0,Tasks[[#This Row],[Progress]]&gt;0),IF(Tasks[[#This Row],[Finish Var]]&gt;0,"Behind","In Progress"),IF(Tasks[[#This Row],[Planned Start]]&lt;StatusDate,"Late Start","Not Started"))))</f>
        <v/>
      </c>
      <c r="AP86" s="47"/>
      <c r="AQ86" s="102"/>
      <c r="AR8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6" s="110" t="str">
        <f aca="false">IF(Tasks[[#This Row],[Task Name]]="","",IF(Tasks[[#This Row],[_IsSummary]],SUM(INDEX(Tasks[_LeafTotalWork],Tasks[[#This Row],[_Row]]+1):INDEX(Tasks[_LeafTotalWork],Tasks[[#This Row],[_Row]]+Tasks[[#This Row],[_Descendants]])),Tasks[[#This Row],[_LeafTotalWork]]))</f>
        <v/>
      </c>
      <c r="AU86" s="111" t="str">
        <f aca="false">IF(Tasks[[#This Row],[Task Name]]="","",IF(Tasks[[#This Row],[_IsSummary]],SUM(INDEX(Tasks[_LeafTotalCost],Tasks[[#This Row],[_Row]]+1):INDEX(Tasks[_LeafTotalCost],Tasks[[#This Row],[_Row]]+Tasks[[#This Row],[_Descendants]])),Tasks[[#This Row],[_LeafTotalCost]]))</f>
        <v/>
      </c>
      <c r="AV86" s="112"/>
      <c r="AW86" s="46"/>
      <c r="AX8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6" s="96"/>
      <c r="AZ8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6" s="47"/>
      <c r="BB86" s="25" t="str">
        <f aca="false">IF(Tasks[[#This Row],[Task Name]]="","",Tasks[[#This Row],[Forecast Start]])</f>
        <v/>
      </c>
      <c r="BC86" s="25" t="str">
        <f aca="false">IF(Tasks[[#This Row],[Task Name]]="","",Tasks[[#This Row],[Forecast Finish]])</f>
        <v/>
      </c>
      <c r="BD86" s="45" t="str">
        <f aca="false">IF(Tasks[[#This Row],[Task Name]]="","",IF(Tasks[[#This Row],[_IsSummary]],NETWORKDAYS.INTL(Tasks[[#This Row],[Forecast Start]],Tasks[[#This Row],[Forecast Finish]],WorkWeek,Holidays),N(Tasks[[#This Row],[Duration]])))</f>
        <v/>
      </c>
      <c r="BE86" s="110" t="str">
        <f aca="false">IF(Tasks[[#This Row],[Task Name]]="","",Tasks[[#This Row],[Work]])</f>
        <v/>
      </c>
      <c r="BF86" s="111" t="str">
        <f aca="false">IF(Tasks[[#This Row],[Task Name]]="","",Tasks[[#This Row],[Cost]])</f>
        <v/>
      </c>
      <c r="BG86" s="88"/>
      <c r="BH86" s="88"/>
      <c r="BI86" s="46"/>
      <c r="BJ86" s="113"/>
      <c r="BK86" s="112"/>
      <c r="BL86" s="45" t="str">
        <f aca="false">IF(OR(Tasks[[#This Row],[Task Name]]="",Tasks[[#This Row],[Baseline Duration]]=""),"",Tasks[[#This Row],[BL Source Duration]]-N(Tasks[[#This Row],[Baseline Duration]]))</f>
        <v/>
      </c>
      <c r="BM86" s="110" t="str">
        <f aca="false">IF(OR(Tasks[[#This Row],[Task Name]]="",Tasks[[#This Row],[Baseline Work]]=""),"",Tasks[[#This Row],[Work]]-N(Tasks[[#This Row],[Baseline Work]]))</f>
        <v/>
      </c>
      <c r="BN86" s="111" t="str">
        <f aca="false">IF(OR(Tasks[[#This Row],[Task Name]]="",Tasks[[#This Row],[Baseline Cost]]=""),"",Tasks[[#This Row],[Cost]]-N(Tasks[[#This Row],[Baseline Cost]]))</f>
        <v/>
      </c>
      <c r="BO86" s="111" t="str">
        <f aca="false">IF(Tasks[[#This Row],[Task Name]]="","",IF(Tasks[[#This Row],[_IsSummary]],SUM(INDEX(Tasks[_LeafBudget],Tasks[[#This Row],[_Row]]+1):INDEX(Tasks[_LeafBudget],Tasks[[#This Row],[_Row]]+Tasks[[#This Row],[_Descendants]])),Tasks[[#This Row],[_LeafBudget]]))</f>
        <v/>
      </c>
      <c r="BP86" s="111" t="str">
        <f aca="false">IF(Tasks[[#This Row],[Task Name]]="","",IF(Tasks[[#This Row],[_IsSummary]],SUM(INDEX(Tasks[_LeafPV],Tasks[[#This Row],[_Row]]+1):INDEX(Tasks[_LeafPV],Tasks[[#This Row],[_Row]]+Tasks[[#This Row],[_Descendants]])),Tasks[[#This Row],[_LeafPV]]))</f>
        <v/>
      </c>
      <c r="BQ86" s="111" t="str">
        <f aca="false">IF(Tasks[[#This Row],[Task Name]]="","",IF(Tasks[[#This Row],[_IsSummary]],SUM(INDEX(Tasks[_LeafEV],Tasks[[#This Row],[_Row]]+1):INDEX(Tasks[_LeafEV],Tasks[[#This Row],[_Row]]+Tasks[[#This Row],[_Descendants]])),Tasks[[#This Row],[_LeafEV]]))</f>
        <v/>
      </c>
      <c r="BR86" s="111" t="str">
        <f aca="false">IF(Tasks[[#This Row],[Task Name]]="","",IF(Tasks[[#This Row],[_IsSummary]],SUM(INDEX(Tasks[_LeafAC],Tasks[[#This Row],[_Row]]+1):INDEX(Tasks[_LeafAC],Tasks[[#This Row],[_Row]]+Tasks[[#This Row],[_Descendants]])),Tasks[[#This Row],[_LeafAC]]))</f>
        <v/>
      </c>
      <c r="BS86" s="32" t="str">
        <f aca="false">IF(Tasks[[#This Row],[Task Name]]="","",MAX(1,N(Tasks[[#This Row],[Level]])))</f>
        <v/>
      </c>
      <c r="BT86" s="32" t="n">
        <f aca="false">ROW()-ROW(Tasks[[#Headers],[ID]])</f>
        <v>81</v>
      </c>
      <c r="BU86" s="32" t="n">
        <f aca="false">IF(OR(Tasks[[#This Row],[Task Name]]="",Tasks[[#This Row],[_Level]]&lt;=1),0,IFERROR(LOOKUP(2,1/(Tasks[[#Headers],[_Level]]:Tasks[[#This Row],[_Level]]=Tasks[[#This Row],[_Level]]-1),ROW(Tasks[[#Headers],[_Level]]:Tasks[[#This Row],[_Level]])),0))</f>
        <v>0</v>
      </c>
      <c r="BV86" s="32" t="n">
        <f aca="false">IFERROR(N(INDEX(Tasks[_Level],Tasks[[#This Row],[_Row]]+1)),0)</f>
        <v>0</v>
      </c>
      <c r="BW86" s="114" t="b">
        <f aca="false">AND(Tasks[[#This Row],[Task Name]]&lt;&gt;"",Tasks[[#This Row],[_NextLevel]]&gt;Tasks[[#This Row],[_Level]])</f>
        <v>0</v>
      </c>
      <c r="BX86" s="32" t="n">
        <f aca="false">IF(Tasks[[#This Row],[_IsSummary]],COUNTIF(Tasks[WBS],Tasks[[#This Row],[WBS]]&amp;".*"),0)</f>
        <v>0</v>
      </c>
      <c r="BY86" s="32" t="n">
        <f aca="false">IF(AND(Tasks[[#This Row],[Task Name]]&lt;&gt;"",NOT(Tasks[[#This Row],[_IsSummary]])),1,0)</f>
        <v>0</v>
      </c>
      <c r="BZ86" s="32" t="n">
        <f aca="false">IF(N(Tasks[[#This Row],[Pred1 UID]])=0,0,IFERROR(MATCH(Tasks[[#This Row],[Pred1 UID]],Tasks[UID],0),-1))</f>
        <v>0</v>
      </c>
      <c r="CA86" s="32" t="n">
        <f aca="false">IF(N(Tasks[[#This Row],[Pred2 UID]])=0,0,IFERROR(MATCH(Tasks[[#This Row],[Pred2 UID]],Tasks[UID],0),-1))</f>
        <v>0</v>
      </c>
      <c r="CB86" s="32" t="n">
        <f aca="false">IF(N(Tasks[[#This Row],[Pred3 UID]])=0,0,IFERROR(MATCH(Tasks[[#This Row],[Pred3 UID]],Tasks[UID],0),-1))</f>
        <v>0</v>
      </c>
      <c r="CC86" s="32" t="n">
        <f aca="false">IF(N(Tasks[[#This Row],[Pred4 UID]])=0,0,IFERROR(MATCH(Tasks[[#This Row],[Pred4 UID]],Tasks[UID],0),-1))</f>
        <v>0</v>
      </c>
      <c r="CD8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6" s="115" t="n">
        <f aca="false">IF(OR(Tasks[[#This Row],[_ConstraintCode]]=2,Tasks[[#This Row],[_ConstraintCode]]=3,Tasks[[#This Row],[_ConstraintCode]]=4,Tasks[[#This Row],[_ConstraintCode]]=6),Tasks[[#This Row],[_ConstraintStart]],0)</f>
        <v>0</v>
      </c>
      <c r="CG86" s="115" t="n">
        <f aca="false">IF(OR(Tasks[[#This Row],[_ConstraintCode]]=2,Tasks[[#This Row],[_ConstraintCode]]=3,Tasks[[#This Row],[_ConstraintCode]]=5,Tasks[[#This Row],[_ConstraintCode]]=7),Tasks[[#This Row],[_ConstraintStart]],2958465)</f>
        <v>2958465</v>
      </c>
      <c r="CH8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6" s="115" t="str">
        <f aca="false">IF(NOT(Tasks[[#This Row],[_IsLeaf]]=1),"",IF(N(Tasks[[#This Row],[Duration]])&lt;=0,Tasks[[#This Row],[_LeafCalcStart]],WORKDAY.INTL(Tasks[[#This Row],[_LeafCalcStart]],Tasks[[#This Row],[Duration]]-1,WorkWeek,Holidays)))</f>
        <v/>
      </c>
      <c r="CJ8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6" s="32" t="n">
        <f aca="false">IF(NOT(Tasks[[#This Row],[_IsLeaf]]=1),0,IF(N(Tasks[[#This Row],[Actual Finish]])&gt;0,1,MIN(1,N(Tasks[[#This Row],[% Complete]]))))</f>
        <v>0</v>
      </c>
      <c r="CM86" s="32" t="n">
        <f aca="false">IF(OR(NOT(Tasks[[#This Row],[_IsLeaf]]=1),Tasks[[#This Row],[Resource]]=""),0,N(Tasks[[#This Row],[Duration]])*HoursPerDay*IF(Tasks[[#This Row],[Units]]="",DefaultUnits,Tasks[[#This Row],[Units]]))</f>
        <v>0</v>
      </c>
      <c r="CN86" s="32" t="n">
        <f aca="false">IF(Tasks[[#This Row],[_LeafWork]]=0,0,Tasks[[#This Row],[_LeafWork]]*IFERROR(INDEX(res_Rate,MATCH(Tasks[[#This Row],[Resource]],res_Name,0)),0))</f>
        <v>0</v>
      </c>
      <c r="CO86" s="32" t="n">
        <f aca="false">Tasks[[#This Row],[_LeafWork]]+IF(Tasks[[#This Row],[_IsLeaf]]=1,SUMIFS(asg_Work,asg_TaskUID,Tasks[[#This Row],[UID]],asg_Valid,1),0)</f>
        <v>0</v>
      </c>
      <c r="CP86" s="32" t="n">
        <f aca="false">Tasks[[#This Row],[_LeafCost]]+IF(Tasks[[#This Row],[_IsLeaf]]=1,SUMIFS(asg_Cost,asg_TaskUID,Tasks[[#This Row],[UID]],asg_Valid,1),0)</f>
        <v>0</v>
      </c>
      <c r="CQ86" s="32" t="n">
        <f aca="false">IF(Tasks[[#This Row],[_LeafTotalCost]]=0,Tasks[[#This Row],[_LeafAC]],Tasks[[#This Row],[_LeafAC]]*Tasks[[#This Row],[_LeafCost]]/Tasks[[#This Row],[_LeafTotalCost]])</f>
        <v>0</v>
      </c>
      <c r="CR8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6" s="32" t="n">
        <f aca="false">IF(NOT(Tasks[[#This Row],[_IsLeaf]]=1),0,MAX(_xlfn.MAXIFS(Tasks[_Row],Tasks[Pred1 UID],Tasks[[#This Row],[UID]]),_xlfn.MAXIFS(Tasks[_Row],Tasks[Pred2 UID],Tasks[[#This Row],[UID]]),_xlfn.MAXIFS(Tasks[_Row],Tasks[Pred3 UID],Tasks[[#This Row],[UID]]),_xlfn.MAXIFS(Tasks[_Row],Tasks[Pred4 UID],Tasks[[#This Row],[UID]])))</f>
        <v>0</v>
      </c>
      <c r="DA8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6" s="115" t="str">
        <f aca="false">IF(NOT(Tasks[[#This Row],[_IsLeaf]]=1),"",IF(N(Tasks[[#This Row],[Duration]])&lt;=0,Tasks[[#This Row],[_LeafLateFinish]],WORKDAY.INTL(Tasks[[#This Row],[_LeafLateFinish]],-(Tasks[[#This Row],[Duration]]-1),WorkWeek,Holidays)))</f>
        <v/>
      </c>
      <c r="DD8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6" s="114" t="b">
        <f aca="false">AND(Tasks[[#This Row],[_IsLeaf]]=1,Tasks[[#This Row],[_LeafProgress]]&lt;1,N(Tasks[[#This Row],[_LeafTotalSlack]])&lt;=CriticalSlackDays)</f>
        <v>0</v>
      </c>
      <c r="DF86" s="32" t="n">
        <f aca="false">IF(AND(Tasks[[#This Row],[_IsLeaf]]=1,Tasks[[#This Row],[_ConstraintCode]]=1,Tasks[[#This Row],[Mode]]&lt;&gt;"Manual",N(Tasks[[#This Row],[Actual Start]])=0),MAX(0,N(Tasks[[#This Row],[Free Slack]])),0)</f>
        <v>0</v>
      </c>
      <c r="DG86" s="115" t="str">
        <f aca="false">IF(NOT(Tasks[[#This Row],[_IsLeaf]]=1),"",IF(Tasks[[#This Row],[_AlapShift]]=0,Tasks[[#This Row],[_LeafCalcStart]],WORKDAY.INTL(Tasks[[#This Row],[_LeafCalcStart]],Tasks[[#This Row],[_AlapShift]],WorkWeek,Holidays)))</f>
        <v/>
      </c>
      <c r="DH86" s="115" t="str">
        <f aca="false">IF(NOT(Tasks[[#This Row],[_IsLeaf]]=1),"",IF(Tasks[[#This Row],[_AlapShift]]=0,Tasks[[#This Row],[_LeafCalcFinish]],WORKDAY.INTL(Tasks[[#This Row],[_LeafCalcFinish]],Tasks[[#This Row],[_AlapShift]],WorkWeek,Holidays)))</f>
        <v/>
      </c>
      <c r="DI86" s="115" t="str">
        <f aca="false">IF(NOT(Tasks[[#This Row],[_IsLeaf]]=1),"",IF(Tasks[[#This Row],[_AlapShift]]=0,Tasks[[#This Row],[_LeafFcstStart]],WORKDAY.INTL(Tasks[[#This Row],[_LeafFcstStart]],Tasks[[#This Row],[_AlapShift]],WorkWeek,Holidays)))</f>
        <v/>
      </c>
      <c r="DJ86" s="115" t="str">
        <f aca="false">IF(NOT(Tasks[[#This Row],[_IsLeaf]]=1),"",IF(Tasks[[#This Row],[_AlapShift]]=0,Tasks[[#This Row],[_LeafFcstFinish]],WORKDAY.INTL(Tasks[[#This Row],[_LeafFcstFinish]],Tasks[[#This Row],[_AlapShift]],WorkWeek,Holidays)))</f>
        <v/>
      </c>
      <c r="DK86" s="115" t="str">
        <f aca="false">IF(Tasks[[#This Row],[Task Name]]="","",IF(Tasks[[#This Row],[_IsSummary]],MIN(INDEX(Tasks[_ShownCalcStart],Tasks[[#This Row],[_Row]]+1):INDEX(Tasks[_ShownCalcStart],Tasks[[#This Row],[_Row]]+Tasks[[#This Row],[_Descendants]])),Tasks[[#This Row],[_ShownCalcStart]]))</f>
        <v/>
      </c>
      <c r="DL86" s="115" t="str">
        <f aca="false">IF(Tasks[[#This Row],[Task Name]]="","",IF(Tasks[[#This Row],[_IsSummary]],MAX(INDEX(Tasks[_ShownCalcFinish],Tasks[[#This Row],[_Row]]+1):INDEX(Tasks[_ShownCalcFinish],Tasks[[#This Row],[_Row]]+Tasks[[#This Row],[_Descendants]])),Tasks[[#This Row],[_ShownCalcFinish]]))</f>
        <v/>
      </c>
      <c r="DM8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6" s="32" t="n">
        <f aca="false">IF(AND(Tasks[[#This Row],[_IsLeaf]]=1,Tasks[[#This Row],[_LeafTotalWork]]&gt;0),NETWORKDAYS.INTL(ProjectStart,Tasks[[#This Row],[_ShownFcstStart]],WorkWeek,Holidays),0)</f>
        <v>0</v>
      </c>
      <c r="DZ86" s="32" t="n">
        <f aca="false">IF(AND(Tasks[[#This Row],[_IsLeaf]]=1,Tasks[[#This Row],[_LeafTotalWork]]&gt;0),MAX(Tasks[[#This Row],[_StartWorkday]],NETWORKDAYS.INTL(ProjectStart,Tasks[[#This Row],[_ShownFcstFinish]],WorkWeek,Holidays)),0)</f>
        <v>0</v>
      </c>
      <c r="EA86" s="32" t="n">
        <f aca="false">IF(AND(Tasks[[#This Row],[_IsLeaf]]=1,Tasks[[#This Row],[_LeafTotalWork]]&gt;0),Tasks[[#This Row],[_LeafWork]]/(Tasks[[#This Row],[_FinishWorkday]]-Tasks[[#This Row],[_StartWorkday]]+1),0)</f>
        <v>0</v>
      </c>
      <c r="EB86" s="32" t="n">
        <f aca="false">Tasks[[#This Row],[_WorkPerWorkday]]*(Tasks[[#This Row],[_StartWorkday]]-1)</f>
        <v>-0</v>
      </c>
      <c r="EC86" s="32" t="n">
        <f aca="false">IF(Tasks[[#This Row],[_IsLeaf]]=1,MAX(N(Tasks[[#This Row],[Duration]]),0.1),0)</f>
        <v>0</v>
      </c>
      <c r="ED86" s="32" t="n">
        <f aca="false">Tasks[[#This Row],[_WeightDur]]*Tasks[[#This Row],[_LeafProgress]]</f>
        <v>0</v>
      </c>
      <c r="EE8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6" s="32" t="str">
        <f aca="false">IF(AND(Tasks[[#This Row],[_IsLeaf]]=1,N(Tasks[[#This Row],[Duration]])=0,Tasks[[#This Row],[_LeafProgress]]&lt;1),Tasks[[#This Row],[_ShownFcstFinish]]+Tasks[[#This Row],[_Row]]/100000,"")</f>
        <v/>
      </c>
      <c r="EG8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6" s="32" t="n">
        <f aca="false">IF(NOT(Tasks[[#This Row],[_IsLeaf]]=1),0,IF(Tasks[[#This Row],[Baseline Cost]]="",Tasks[[#This Row],[_LeafTotalCost]],N(Tasks[[#This Row],[Baseline Cost]])))</f>
        <v>0</v>
      </c>
      <c r="EI86" s="32" t="n">
        <f aca="false">Tasks[[#This Row],[_LeafBudget]]*Tasks[[#This Row],[_PlannedPct]]</f>
        <v>0</v>
      </c>
      <c r="EJ86" s="32" t="n">
        <f aca="false">Tasks[[#This Row],[_LeafBudget]]*Tasks[[#This Row],[_LeafProgress]]</f>
        <v>0</v>
      </c>
      <c r="EK86" s="32" t="n">
        <f aca="false">IF(NOT(Tasks[[#This Row],[_IsLeaf]]=1),0,IF(Tasks[[#This Row],[Actual Cost]]="",Tasks[[#This Row],[_LeafTotalCost]]*Tasks[[#This Row],[_LeafProgress]],N(Tasks[[#This Row],[Actual Cost]])))</f>
        <v>0</v>
      </c>
      <c r="EL86" s="32" t="str">
        <f aca="false">IF(Tasks[[#This Row],[Task Name]]="","",LEFT(Tasks[[#This Row],[WBS]],FIND(".",Tasks[[#This Row],[WBS]]&amp;".")-1))</f>
        <v/>
      </c>
      <c r="EM86" s="32" t="str">
        <f aca="false">IF(AND(Tasks[[#This Row],[Task Name]]&lt;&gt;"",Tasks[[#This Row],[_Level]]=1),Tasks[[#This Row],[_Row]],"")</f>
        <v/>
      </c>
      <c r="EN86" s="32" t="str">
        <f aca="false">IF(AND(Tasks[[#This Row],[_IsLeaf]]=1,N(Tasks[[#This Row],[Duration]])=0),Tasks[[#This Row],[Planned Finish]]+Tasks[[#This Row],[_Row]]/100000,"")</f>
        <v/>
      </c>
      <c r="EO86" s="32" t="str">
        <f aca="false">IF(AND(Tasks[[#This Row],[_IsLeaf]]=1,Tasks[[#This Row],[_LeafProgress]]&lt;1,OR(N(Tasks[[#This Row],[Finish Var]])&gt;0,Tasks[[#This Row],[Status]]="Late Start")),MAX(0,Tasks[[#This Row],[Finish Var]])+1-Tasks[[#This Row],[_Row]]/1000000,"")</f>
        <v/>
      </c>
      <c r="EP86" s="32" t="str">
        <f aca="false">IF(AND(Tasks[[#This Row],[_IsLeaf]]=1,N(Tasks[[#This Row],[Actual Start]])=0,Tasks[[#This Row],[_ShownFcstStart]]&gt;=StatusDate,Tasks[[#This Row],[_ShownFcstStart]]&lt;=LookaheadEnd),Tasks[[#This Row],[_ShownFcstStart]]+Tasks[[#This Row],[_Row]]/100000,"")</f>
        <v/>
      </c>
      <c r="EQ86" s="32" t="str">
        <f aca="false">IF(AND(Tasks[[#This Row],[_IsLeaf]]=1,Tasks[[#This Row],[_LeafProgress]]&lt;1,Tasks[[#This Row],[_ShownFcstFinish]]&gt;=StatusDate,Tasks[[#This Row],[_ShownFcstFinish]]&lt;=LookaheadEnd),Tasks[[#This Row],[_ShownFcstFinish]]+Tasks[[#This Row],[_Row]]/100000,"")</f>
        <v/>
      </c>
      <c r="ER86" s="32" t="str">
        <f aca="false">IF(Tasks[[#This Row],[_LeafCritical]],Tasks[[#This Row],[_ShownFcstStart]]+Tasks[[#This Row],[_Row]]/100000,"")</f>
        <v/>
      </c>
      <c r="ES86" s="32" t="n">
        <f aca="false">Tasks[[#This Row],[_LeafWork]]*Tasks[[#This Row],[_LeafProgress]]</f>
        <v>0</v>
      </c>
      <c r="ET86" s="115" t="str">
        <f aca="false">IF(AND(Tasks[[#This Row],[_IsLeaf]]=1,Tasks[[#This Row],[_LeafProgress]]&gt;=1),IF(N(Tasks[[#This Row],[Actual Finish]])&gt;0,Tasks[[#This Row],[Actual Finish]],Tasks[[#This Row],[_ShownFcstFinish]]),"")</f>
        <v/>
      </c>
      <c r="EU86" s="32" t="n">
        <f aca="false">IF(Tasks[[#This Row],[_IsLeaf]]=1,N(Tasks[[#This Row],[Story Points]]),0)</f>
        <v>0</v>
      </c>
      <c r="EV86" s="32" t="str">
        <f aca="false">IF(AND(Tasks[[#This Row],[_IsLeaf]]=1,CurrentSprint&lt;&gt;"",Tasks[[#This Row],[Sprint]]=CurrentSprint),Tasks[[#This Row],[_Row]],"")</f>
        <v/>
      </c>
    </row>
    <row r="87" customFormat="false" ht="15" hidden="false" customHeight="false" outlineLevel="0" collapsed="false">
      <c r="A87" s="45" t="str">
        <f aca="false">IF(Tasks[[#This Row],[Task Name]]="","",COUNTA(Tasks[[#Headers],[Task Name]]:Tasks[[#This Row],[Task Name]])-1)</f>
        <v/>
      </c>
      <c r="B87" s="46" t="n">
        <v>82</v>
      </c>
      <c r="C8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7" s="46"/>
      <c r="E87" s="45" t="str">
        <f aca="false">IF(Tasks[[#This Row],[Task Name]]="","",IF(Tasks[[#This Row],[_Level]]&lt;=OutlineShowLevel,"Yes","No"))</f>
        <v/>
      </c>
      <c r="F87" s="47"/>
      <c r="G87" s="46"/>
      <c r="H87" s="46"/>
      <c r="I87" s="46"/>
      <c r="J87" s="46"/>
      <c r="K87" s="46"/>
      <c r="L87" s="46"/>
      <c r="M87" s="46"/>
      <c r="N87" s="46"/>
      <c r="O87" s="46"/>
      <c r="P87" s="46"/>
      <c r="Q87" s="46"/>
      <c r="R87" s="46"/>
      <c r="S87" s="46"/>
      <c r="T87" s="46"/>
      <c r="U87" s="47"/>
      <c r="V87" s="88"/>
      <c r="W87" s="88"/>
      <c r="X87" s="25" t="str">
        <f aca="false">IF(Tasks[[#This Row],[Task Name]]="","",IF(N(Tasks[[#This Row],[Baseline Start]])&gt;0,Tasks[[#This Row],[Baseline Start]],Tasks[[#This Row],[_CalcStart]]))</f>
        <v/>
      </c>
      <c r="Y87" s="25" t="str">
        <f aca="false">IF(Tasks[[#This Row],[Task Name]]="","",IF(N(Tasks[[#This Row],[Baseline Finish]])&gt;0,Tasks[[#This Row],[Baseline Finish]],Tasks[[#This Row],[_CalcFinish]]))</f>
        <v/>
      </c>
      <c r="Z87" s="88"/>
      <c r="AA87" s="88"/>
      <c r="AB87" s="25" t="str">
        <f aca="false">IF(Tasks[[#This Row],[Task Name]]="","",IF(Tasks[[#This Row],[_IsSummary]],MIN(INDEX(Tasks[_ShownFcstStart],Tasks[[#This Row],[_Row]]+1):INDEX(Tasks[_ShownFcstStart],Tasks[[#This Row],[_Row]]+Tasks[[#This Row],[_Descendants]])),Tasks[[#This Row],[_ShownFcstStart]]))</f>
        <v/>
      </c>
      <c r="AC87" s="25" t="str">
        <f aca="false">IF(Tasks[[#This Row],[Task Name]]="","",IF(Tasks[[#This Row],[_IsSummary]],MAX(INDEX(Tasks[_ShownFcstFinish],Tasks[[#This Row],[_Row]]+1):INDEX(Tasks[_ShownFcstFinish],Tasks[[#This Row],[_Row]]+Tasks[[#This Row],[_Descendants]])),Tasks[[#This Row],[_ShownFcstFinish]]))</f>
        <v/>
      </c>
      <c r="AD8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7" s="25" t="str">
        <f aca="false">IF(Tasks[[#This Row],[Task Name]]="","",IF(Tasks[[#This Row],[_IsSummary]],MIN(INDEX(Tasks[_LeafLateStart],Tasks[[#This Row],[_Row]]+1):INDEX(Tasks[_LeafLateStart],Tasks[[#This Row],[_Row]]+Tasks[[#This Row],[_Descendants]])),Tasks[[#This Row],[_LeafLateStart]]))</f>
        <v/>
      </c>
      <c r="AG87" s="25" t="str">
        <f aca="false">IF(Tasks[[#This Row],[Task Name]]="","",IF(Tasks[[#This Row],[_IsSummary]],MAX(INDEX(Tasks[_LeafLateFinish],Tasks[[#This Row],[_Row]]+1):INDEX(Tasks[_LeafLateFinish],Tasks[[#This Row],[_Row]]+Tasks[[#This Row],[_Descendants]])),Tasks[[#This Row],[_LeafLateFinish]]))</f>
        <v/>
      </c>
      <c r="AH87" s="56" t="str">
        <f aca="false">IF(Tasks[[#This Row],[Task Name]]="","",IF(Tasks[[#This Row],[_IsSummary]],MIN(INDEX(Tasks[_LeafTotalSlack],Tasks[[#This Row],[_Row]]+1):INDEX(Tasks[_LeafTotalSlack],Tasks[[#This Row],[_Row]]+Tasks[[#This Row],[_Descendants]])),Tasks[[#This Row],[_LeafTotalSlack]]))</f>
        <v/>
      </c>
      <c r="AI8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7" s="45" t="str">
        <f aca="false">IF(Tasks[[#This Row],[Task Name]]="","",IF(IF(Tasks[[#This Row],[_IsSummary]],COUNTIF(INDEX(Tasks[_LeafCritical],Tasks[[#This Row],[_Row]]+1):INDEX(Tasks[_LeafCritical],Tasks[[#This Row],[_Row]]+Tasks[[#This Row],[_Descendants]]),TRUE())&gt;0,Tasks[[#This Row],[_LeafCritical]]),"Yes",""))</f>
        <v/>
      </c>
      <c r="AK8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7" s="102"/>
      <c r="AN8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7" s="45" t="str">
        <f aca="false">IF(Tasks[[#This Row],[Task Name]]="","",IF(Tasks[[#This Row],[Progress]]&gt;=1,"Complete",IF(OR(N(Tasks[[#This Row],[Actual Start]])&gt;0,Tasks[[#This Row],[Progress]]&gt;0),IF(Tasks[[#This Row],[Finish Var]]&gt;0,"Behind","In Progress"),IF(Tasks[[#This Row],[Planned Start]]&lt;StatusDate,"Late Start","Not Started"))))</f>
        <v/>
      </c>
      <c r="AP87" s="47"/>
      <c r="AQ87" s="102"/>
      <c r="AR8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7" s="110" t="str">
        <f aca="false">IF(Tasks[[#This Row],[Task Name]]="","",IF(Tasks[[#This Row],[_IsSummary]],SUM(INDEX(Tasks[_LeafTotalWork],Tasks[[#This Row],[_Row]]+1):INDEX(Tasks[_LeafTotalWork],Tasks[[#This Row],[_Row]]+Tasks[[#This Row],[_Descendants]])),Tasks[[#This Row],[_LeafTotalWork]]))</f>
        <v/>
      </c>
      <c r="AU87" s="111" t="str">
        <f aca="false">IF(Tasks[[#This Row],[Task Name]]="","",IF(Tasks[[#This Row],[_IsSummary]],SUM(INDEX(Tasks[_LeafTotalCost],Tasks[[#This Row],[_Row]]+1):INDEX(Tasks[_LeafTotalCost],Tasks[[#This Row],[_Row]]+Tasks[[#This Row],[_Descendants]])),Tasks[[#This Row],[_LeafTotalCost]]))</f>
        <v/>
      </c>
      <c r="AV87" s="112"/>
      <c r="AW87" s="46"/>
      <c r="AX8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7" s="96"/>
      <c r="AZ8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7" s="47"/>
      <c r="BB87" s="25" t="str">
        <f aca="false">IF(Tasks[[#This Row],[Task Name]]="","",Tasks[[#This Row],[Forecast Start]])</f>
        <v/>
      </c>
      <c r="BC87" s="25" t="str">
        <f aca="false">IF(Tasks[[#This Row],[Task Name]]="","",Tasks[[#This Row],[Forecast Finish]])</f>
        <v/>
      </c>
      <c r="BD87" s="45" t="str">
        <f aca="false">IF(Tasks[[#This Row],[Task Name]]="","",IF(Tasks[[#This Row],[_IsSummary]],NETWORKDAYS.INTL(Tasks[[#This Row],[Forecast Start]],Tasks[[#This Row],[Forecast Finish]],WorkWeek,Holidays),N(Tasks[[#This Row],[Duration]])))</f>
        <v/>
      </c>
      <c r="BE87" s="110" t="str">
        <f aca="false">IF(Tasks[[#This Row],[Task Name]]="","",Tasks[[#This Row],[Work]])</f>
        <v/>
      </c>
      <c r="BF87" s="111" t="str">
        <f aca="false">IF(Tasks[[#This Row],[Task Name]]="","",Tasks[[#This Row],[Cost]])</f>
        <v/>
      </c>
      <c r="BG87" s="88"/>
      <c r="BH87" s="88"/>
      <c r="BI87" s="46"/>
      <c r="BJ87" s="113"/>
      <c r="BK87" s="112"/>
      <c r="BL87" s="45" t="str">
        <f aca="false">IF(OR(Tasks[[#This Row],[Task Name]]="",Tasks[[#This Row],[Baseline Duration]]=""),"",Tasks[[#This Row],[BL Source Duration]]-N(Tasks[[#This Row],[Baseline Duration]]))</f>
        <v/>
      </c>
      <c r="BM87" s="110" t="str">
        <f aca="false">IF(OR(Tasks[[#This Row],[Task Name]]="",Tasks[[#This Row],[Baseline Work]]=""),"",Tasks[[#This Row],[Work]]-N(Tasks[[#This Row],[Baseline Work]]))</f>
        <v/>
      </c>
      <c r="BN87" s="111" t="str">
        <f aca="false">IF(OR(Tasks[[#This Row],[Task Name]]="",Tasks[[#This Row],[Baseline Cost]]=""),"",Tasks[[#This Row],[Cost]]-N(Tasks[[#This Row],[Baseline Cost]]))</f>
        <v/>
      </c>
      <c r="BO87" s="111" t="str">
        <f aca="false">IF(Tasks[[#This Row],[Task Name]]="","",IF(Tasks[[#This Row],[_IsSummary]],SUM(INDEX(Tasks[_LeafBudget],Tasks[[#This Row],[_Row]]+1):INDEX(Tasks[_LeafBudget],Tasks[[#This Row],[_Row]]+Tasks[[#This Row],[_Descendants]])),Tasks[[#This Row],[_LeafBudget]]))</f>
        <v/>
      </c>
      <c r="BP87" s="111" t="str">
        <f aca="false">IF(Tasks[[#This Row],[Task Name]]="","",IF(Tasks[[#This Row],[_IsSummary]],SUM(INDEX(Tasks[_LeafPV],Tasks[[#This Row],[_Row]]+1):INDEX(Tasks[_LeafPV],Tasks[[#This Row],[_Row]]+Tasks[[#This Row],[_Descendants]])),Tasks[[#This Row],[_LeafPV]]))</f>
        <v/>
      </c>
      <c r="BQ87" s="111" t="str">
        <f aca="false">IF(Tasks[[#This Row],[Task Name]]="","",IF(Tasks[[#This Row],[_IsSummary]],SUM(INDEX(Tasks[_LeafEV],Tasks[[#This Row],[_Row]]+1):INDEX(Tasks[_LeafEV],Tasks[[#This Row],[_Row]]+Tasks[[#This Row],[_Descendants]])),Tasks[[#This Row],[_LeafEV]]))</f>
        <v/>
      </c>
      <c r="BR87" s="111" t="str">
        <f aca="false">IF(Tasks[[#This Row],[Task Name]]="","",IF(Tasks[[#This Row],[_IsSummary]],SUM(INDEX(Tasks[_LeafAC],Tasks[[#This Row],[_Row]]+1):INDEX(Tasks[_LeafAC],Tasks[[#This Row],[_Row]]+Tasks[[#This Row],[_Descendants]])),Tasks[[#This Row],[_LeafAC]]))</f>
        <v/>
      </c>
      <c r="BS87" s="32" t="str">
        <f aca="false">IF(Tasks[[#This Row],[Task Name]]="","",MAX(1,N(Tasks[[#This Row],[Level]])))</f>
        <v/>
      </c>
      <c r="BT87" s="32" t="n">
        <f aca="false">ROW()-ROW(Tasks[[#Headers],[ID]])</f>
        <v>82</v>
      </c>
      <c r="BU87" s="32" t="n">
        <f aca="false">IF(OR(Tasks[[#This Row],[Task Name]]="",Tasks[[#This Row],[_Level]]&lt;=1),0,IFERROR(LOOKUP(2,1/(Tasks[[#Headers],[_Level]]:Tasks[[#This Row],[_Level]]=Tasks[[#This Row],[_Level]]-1),ROW(Tasks[[#Headers],[_Level]]:Tasks[[#This Row],[_Level]])),0))</f>
        <v>0</v>
      </c>
      <c r="BV87" s="32" t="n">
        <f aca="false">IFERROR(N(INDEX(Tasks[_Level],Tasks[[#This Row],[_Row]]+1)),0)</f>
        <v>0</v>
      </c>
      <c r="BW87" s="114" t="b">
        <f aca="false">AND(Tasks[[#This Row],[Task Name]]&lt;&gt;"",Tasks[[#This Row],[_NextLevel]]&gt;Tasks[[#This Row],[_Level]])</f>
        <v>0</v>
      </c>
      <c r="BX87" s="32" t="n">
        <f aca="false">IF(Tasks[[#This Row],[_IsSummary]],COUNTIF(Tasks[WBS],Tasks[[#This Row],[WBS]]&amp;".*"),0)</f>
        <v>0</v>
      </c>
      <c r="BY87" s="32" t="n">
        <f aca="false">IF(AND(Tasks[[#This Row],[Task Name]]&lt;&gt;"",NOT(Tasks[[#This Row],[_IsSummary]])),1,0)</f>
        <v>0</v>
      </c>
      <c r="BZ87" s="32" t="n">
        <f aca="false">IF(N(Tasks[[#This Row],[Pred1 UID]])=0,0,IFERROR(MATCH(Tasks[[#This Row],[Pred1 UID]],Tasks[UID],0),-1))</f>
        <v>0</v>
      </c>
      <c r="CA87" s="32" t="n">
        <f aca="false">IF(N(Tasks[[#This Row],[Pred2 UID]])=0,0,IFERROR(MATCH(Tasks[[#This Row],[Pred2 UID]],Tasks[UID],0),-1))</f>
        <v>0</v>
      </c>
      <c r="CB87" s="32" t="n">
        <f aca="false">IF(N(Tasks[[#This Row],[Pred3 UID]])=0,0,IFERROR(MATCH(Tasks[[#This Row],[Pred3 UID]],Tasks[UID],0),-1))</f>
        <v>0</v>
      </c>
      <c r="CC87" s="32" t="n">
        <f aca="false">IF(N(Tasks[[#This Row],[Pred4 UID]])=0,0,IFERROR(MATCH(Tasks[[#This Row],[Pred4 UID]],Tasks[UID],0),-1))</f>
        <v>0</v>
      </c>
      <c r="CD8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7" s="115" t="n">
        <f aca="false">IF(OR(Tasks[[#This Row],[_ConstraintCode]]=2,Tasks[[#This Row],[_ConstraintCode]]=3,Tasks[[#This Row],[_ConstraintCode]]=4,Tasks[[#This Row],[_ConstraintCode]]=6),Tasks[[#This Row],[_ConstraintStart]],0)</f>
        <v>0</v>
      </c>
      <c r="CG87" s="115" t="n">
        <f aca="false">IF(OR(Tasks[[#This Row],[_ConstraintCode]]=2,Tasks[[#This Row],[_ConstraintCode]]=3,Tasks[[#This Row],[_ConstraintCode]]=5,Tasks[[#This Row],[_ConstraintCode]]=7),Tasks[[#This Row],[_ConstraintStart]],2958465)</f>
        <v>2958465</v>
      </c>
      <c r="CH8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7" s="115" t="str">
        <f aca="false">IF(NOT(Tasks[[#This Row],[_IsLeaf]]=1),"",IF(N(Tasks[[#This Row],[Duration]])&lt;=0,Tasks[[#This Row],[_LeafCalcStart]],WORKDAY.INTL(Tasks[[#This Row],[_LeafCalcStart]],Tasks[[#This Row],[Duration]]-1,WorkWeek,Holidays)))</f>
        <v/>
      </c>
      <c r="CJ8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7" s="32" t="n">
        <f aca="false">IF(NOT(Tasks[[#This Row],[_IsLeaf]]=1),0,IF(N(Tasks[[#This Row],[Actual Finish]])&gt;0,1,MIN(1,N(Tasks[[#This Row],[% Complete]]))))</f>
        <v>0</v>
      </c>
      <c r="CM87" s="32" t="n">
        <f aca="false">IF(OR(NOT(Tasks[[#This Row],[_IsLeaf]]=1),Tasks[[#This Row],[Resource]]=""),0,N(Tasks[[#This Row],[Duration]])*HoursPerDay*IF(Tasks[[#This Row],[Units]]="",DefaultUnits,Tasks[[#This Row],[Units]]))</f>
        <v>0</v>
      </c>
      <c r="CN87" s="32" t="n">
        <f aca="false">IF(Tasks[[#This Row],[_LeafWork]]=0,0,Tasks[[#This Row],[_LeafWork]]*IFERROR(INDEX(res_Rate,MATCH(Tasks[[#This Row],[Resource]],res_Name,0)),0))</f>
        <v>0</v>
      </c>
      <c r="CO87" s="32" t="n">
        <f aca="false">Tasks[[#This Row],[_LeafWork]]+IF(Tasks[[#This Row],[_IsLeaf]]=1,SUMIFS(asg_Work,asg_TaskUID,Tasks[[#This Row],[UID]],asg_Valid,1),0)</f>
        <v>0</v>
      </c>
      <c r="CP87" s="32" t="n">
        <f aca="false">Tasks[[#This Row],[_LeafCost]]+IF(Tasks[[#This Row],[_IsLeaf]]=1,SUMIFS(asg_Cost,asg_TaskUID,Tasks[[#This Row],[UID]],asg_Valid,1),0)</f>
        <v>0</v>
      </c>
      <c r="CQ87" s="32" t="n">
        <f aca="false">IF(Tasks[[#This Row],[_LeafTotalCost]]=0,Tasks[[#This Row],[_LeafAC]],Tasks[[#This Row],[_LeafAC]]*Tasks[[#This Row],[_LeafCost]]/Tasks[[#This Row],[_LeafTotalCost]])</f>
        <v>0</v>
      </c>
      <c r="CR8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7" s="32" t="n">
        <f aca="false">IF(NOT(Tasks[[#This Row],[_IsLeaf]]=1),0,MAX(_xlfn.MAXIFS(Tasks[_Row],Tasks[Pred1 UID],Tasks[[#This Row],[UID]]),_xlfn.MAXIFS(Tasks[_Row],Tasks[Pred2 UID],Tasks[[#This Row],[UID]]),_xlfn.MAXIFS(Tasks[_Row],Tasks[Pred3 UID],Tasks[[#This Row],[UID]]),_xlfn.MAXIFS(Tasks[_Row],Tasks[Pred4 UID],Tasks[[#This Row],[UID]])))</f>
        <v>0</v>
      </c>
      <c r="DA8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7" s="115" t="str">
        <f aca="false">IF(NOT(Tasks[[#This Row],[_IsLeaf]]=1),"",IF(N(Tasks[[#This Row],[Duration]])&lt;=0,Tasks[[#This Row],[_LeafLateFinish]],WORKDAY.INTL(Tasks[[#This Row],[_LeafLateFinish]],-(Tasks[[#This Row],[Duration]]-1),WorkWeek,Holidays)))</f>
        <v/>
      </c>
      <c r="DD8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7" s="114" t="b">
        <f aca="false">AND(Tasks[[#This Row],[_IsLeaf]]=1,Tasks[[#This Row],[_LeafProgress]]&lt;1,N(Tasks[[#This Row],[_LeafTotalSlack]])&lt;=CriticalSlackDays)</f>
        <v>0</v>
      </c>
      <c r="DF87" s="32" t="n">
        <f aca="false">IF(AND(Tasks[[#This Row],[_IsLeaf]]=1,Tasks[[#This Row],[_ConstraintCode]]=1,Tasks[[#This Row],[Mode]]&lt;&gt;"Manual",N(Tasks[[#This Row],[Actual Start]])=0),MAX(0,N(Tasks[[#This Row],[Free Slack]])),0)</f>
        <v>0</v>
      </c>
      <c r="DG87" s="115" t="str">
        <f aca="false">IF(NOT(Tasks[[#This Row],[_IsLeaf]]=1),"",IF(Tasks[[#This Row],[_AlapShift]]=0,Tasks[[#This Row],[_LeafCalcStart]],WORKDAY.INTL(Tasks[[#This Row],[_LeafCalcStart]],Tasks[[#This Row],[_AlapShift]],WorkWeek,Holidays)))</f>
        <v/>
      </c>
      <c r="DH87" s="115" t="str">
        <f aca="false">IF(NOT(Tasks[[#This Row],[_IsLeaf]]=1),"",IF(Tasks[[#This Row],[_AlapShift]]=0,Tasks[[#This Row],[_LeafCalcFinish]],WORKDAY.INTL(Tasks[[#This Row],[_LeafCalcFinish]],Tasks[[#This Row],[_AlapShift]],WorkWeek,Holidays)))</f>
        <v/>
      </c>
      <c r="DI87" s="115" t="str">
        <f aca="false">IF(NOT(Tasks[[#This Row],[_IsLeaf]]=1),"",IF(Tasks[[#This Row],[_AlapShift]]=0,Tasks[[#This Row],[_LeafFcstStart]],WORKDAY.INTL(Tasks[[#This Row],[_LeafFcstStart]],Tasks[[#This Row],[_AlapShift]],WorkWeek,Holidays)))</f>
        <v/>
      </c>
      <c r="DJ87" s="115" t="str">
        <f aca="false">IF(NOT(Tasks[[#This Row],[_IsLeaf]]=1),"",IF(Tasks[[#This Row],[_AlapShift]]=0,Tasks[[#This Row],[_LeafFcstFinish]],WORKDAY.INTL(Tasks[[#This Row],[_LeafFcstFinish]],Tasks[[#This Row],[_AlapShift]],WorkWeek,Holidays)))</f>
        <v/>
      </c>
      <c r="DK87" s="115" t="str">
        <f aca="false">IF(Tasks[[#This Row],[Task Name]]="","",IF(Tasks[[#This Row],[_IsSummary]],MIN(INDEX(Tasks[_ShownCalcStart],Tasks[[#This Row],[_Row]]+1):INDEX(Tasks[_ShownCalcStart],Tasks[[#This Row],[_Row]]+Tasks[[#This Row],[_Descendants]])),Tasks[[#This Row],[_ShownCalcStart]]))</f>
        <v/>
      </c>
      <c r="DL87" s="115" t="str">
        <f aca="false">IF(Tasks[[#This Row],[Task Name]]="","",IF(Tasks[[#This Row],[_IsSummary]],MAX(INDEX(Tasks[_ShownCalcFinish],Tasks[[#This Row],[_Row]]+1):INDEX(Tasks[_ShownCalcFinish],Tasks[[#This Row],[_Row]]+Tasks[[#This Row],[_Descendants]])),Tasks[[#This Row],[_ShownCalcFinish]]))</f>
        <v/>
      </c>
      <c r="DM8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7" s="32" t="n">
        <f aca="false">IF(AND(Tasks[[#This Row],[_IsLeaf]]=1,Tasks[[#This Row],[_LeafTotalWork]]&gt;0),NETWORKDAYS.INTL(ProjectStart,Tasks[[#This Row],[_ShownFcstStart]],WorkWeek,Holidays),0)</f>
        <v>0</v>
      </c>
      <c r="DZ87" s="32" t="n">
        <f aca="false">IF(AND(Tasks[[#This Row],[_IsLeaf]]=1,Tasks[[#This Row],[_LeafTotalWork]]&gt;0),MAX(Tasks[[#This Row],[_StartWorkday]],NETWORKDAYS.INTL(ProjectStart,Tasks[[#This Row],[_ShownFcstFinish]],WorkWeek,Holidays)),0)</f>
        <v>0</v>
      </c>
      <c r="EA87" s="32" t="n">
        <f aca="false">IF(AND(Tasks[[#This Row],[_IsLeaf]]=1,Tasks[[#This Row],[_LeafTotalWork]]&gt;0),Tasks[[#This Row],[_LeafWork]]/(Tasks[[#This Row],[_FinishWorkday]]-Tasks[[#This Row],[_StartWorkday]]+1),0)</f>
        <v>0</v>
      </c>
      <c r="EB87" s="32" t="n">
        <f aca="false">Tasks[[#This Row],[_WorkPerWorkday]]*(Tasks[[#This Row],[_StartWorkday]]-1)</f>
        <v>-0</v>
      </c>
      <c r="EC87" s="32" t="n">
        <f aca="false">IF(Tasks[[#This Row],[_IsLeaf]]=1,MAX(N(Tasks[[#This Row],[Duration]]),0.1),0)</f>
        <v>0</v>
      </c>
      <c r="ED87" s="32" t="n">
        <f aca="false">Tasks[[#This Row],[_WeightDur]]*Tasks[[#This Row],[_LeafProgress]]</f>
        <v>0</v>
      </c>
      <c r="EE8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7" s="32" t="str">
        <f aca="false">IF(AND(Tasks[[#This Row],[_IsLeaf]]=1,N(Tasks[[#This Row],[Duration]])=0,Tasks[[#This Row],[_LeafProgress]]&lt;1),Tasks[[#This Row],[_ShownFcstFinish]]+Tasks[[#This Row],[_Row]]/100000,"")</f>
        <v/>
      </c>
      <c r="EG8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7" s="32" t="n">
        <f aca="false">IF(NOT(Tasks[[#This Row],[_IsLeaf]]=1),0,IF(Tasks[[#This Row],[Baseline Cost]]="",Tasks[[#This Row],[_LeafTotalCost]],N(Tasks[[#This Row],[Baseline Cost]])))</f>
        <v>0</v>
      </c>
      <c r="EI87" s="32" t="n">
        <f aca="false">Tasks[[#This Row],[_LeafBudget]]*Tasks[[#This Row],[_PlannedPct]]</f>
        <v>0</v>
      </c>
      <c r="EJ87" s="32" t="n">
        <f aca="false">Tasks[[#This Row],[_LeafBudget]]*Tasks[[#This Row],[_LeafProgress]]</f>
        <v>0</v>
      </c>
      <c r="EK87" s="32" t="n">
        <f aca="false">IF(NOT(Tasks[[#This Row],[_IsLeaf]]=1),0,IF(Tasks[[#This Row],[Actual Cost]]="",Tasks[[#This Row],[_LeafTotalCost]]*Tasks[[#This Row],[_LeafProgress]],N(Tasks[[#This Row],[Actual Cost]])))</f>
        <v>0</v>
      </c>
      <c r="EL87" s="32" t="str">
        <f aca="false">IF(Tasks[[#This Row],[Task Name]]="","",LEFT(Tasks[[#This Row],[WBS]],FIND(".",Tasks[[#This Row],[WBS]]&amp;".")-1))</f>
        <v/>
      </c>
      <c r="EM87" s="32" t="str">
        <f aca="false">IF(AND(Tasks[[#This Row],[Task Name]]&lt;&gt;"",Tasks[[#This Row],[_Level]]=1),Tasks[[#This Row],[_Row]],"")</f>
        <v/>
      </c>
      <c r="EN87" s="32" t="str">
        <f aca="false">IF(AND(Tasks[[#This Row],[_IsLeaf]]=1,N(Tasks[[#This Row],[Duration]])=0),Tasks[[#This Row],[Planned Finish]]+Tasks[[#This Row],[_Row]]/100000,"")</f>
        <v/>
      </c>
      <c r="EO87" s="32" t="str">
        <f aca="false">IF(AND(Tasks[[#This Row],[_IsLeaf]]=1,Tasks[[#This Row],[_LeafProgress]]&lt;1,OR(N(Tasks[[#This Row],[Finish Var]])&gt;0,Tasks[[#This Row],[Status]]="Late Start")),MAX(0,Tasks[[#This Row],[Finish Var]])+1-Tasks[[#This Row],[_Row]]/1000000,"")</f>
        <v/>
      </c>
      <c r="EP87" s="32" t="str">
        <f aca="false">IF(AND(Tasks[[#This Row],[_IsLeaf]]=1,N(Tasks[[#This Row],[Actual Start]])=0,Tasks[[#This Row],[_ShownFcstStart]]&gt;=StatusDate,Tasks[[#This Row],[_ShownFcstStart]]&lt;=LookaheadEnd),Tasks[[#This Row],[_ShownFcstStart]]+Tasks[[#This Row],[_Row]]/100000,"")</f>
        <v/>
      </c>
      <c r="EQ87" s="32" t="str">
        <f aca="false">IF(AND(Tasks[[#This Row],[_IsLeaf]]=1,Tasks[[#This Row],[_LeafProgress]]&lt;1,Tasks[[#This Row],[_ShownFcstFinish]]&gt;=StatusDate,Tasks[[#This Row],[_ShownFcstFinish]]&lt;=LookaheadEnd),Tasks[[#This Row],[_ShownFcstFinish]]+Tasks[[#This Row],[_Row]]/100000,"")</f>
        <v/>
      </c>
      <c r="ER87" s="32" t="str">
        <f aca="false">IF(Tasks[[#This Row],[_LeafCritical]],Tasks[[#This Row],[_ShownFcstStart]]+Tasks[[#This Row],[_Row]]/100000,"")</f>
        <v/>
      </c>
      <c r="ES87" s="32" t="n">
        <f aca="false">Tasks[[#This Row],[_LeafWork]]*Tasks[[#This Row],[_LeafProgress]]</f>
        <v>0</v>
      </c>
      <c r="ET87" s="115" t="str">
        <f aca="false">IF(AND(Tasks[[#This Row],[_IsLeaf]]=1,Tasks[[#This Row],[_LeafProgress]]&gt;=1),IF(N(Tasks[[#This Row],[Actual Finish]])&gt;0,Tasks[[#This Row],[Actual Finish]],Tasks[[#This Row],[_ShownFcstFinish]]),"")</f>
        <v/>
      </c>
      <c r="EU87" s="32" t="n">
        <f aca="false">IF(Tasks[[#This Row],[_IsLeaf]]=1,N(Tasks[[#This Row],[Story Points]]),0)</f>
        <v>0</v>
      </c>
      <c r="EV87" s="32" t="str">
        <f aca="false">IF(AND(Tasks[[#This Row],[_IsLeaf]]=1,CurrentSprint&lt;&gt;"",Tasks[[#This Row],[Sprint]]=CurrentSprint),Tasks[[#This Row],[_Row]],"")</f>
        <v/>
      </c>
    </row>
    <row r="88" customFormat="false" ht="15" hidden="false" customHeight="false" outlineLevel="0" collapsed="false">
      <c r="A88" s="45" t="str">
        <f aca="false">IF(Tasks[[#This Row],[Task Name]]="","",COUNTA(Tasks[[#Headers],[Task Name]]:Tasks[[#This Row],[Task Name]])-1)</f>
        <v/>
      </c>
      <c r="B88" s="46" t="n">
        <v>83</v>
      </c>
      <c r="C8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8" s="46"/>
      <c r="E88" s="45" t="str">
        <f aca="false">IF(Tasks[[#This Row],[Task Name]]="","",IF(Tasks[[#This Row],[_Level]]&lt;=OutlineShowLevel,"Yes","No"))</f>
        <v/>
      </c>
      <c r="F88" s="47"/>
      <c r="G88" s="46"/>
      <c r="H88" s="46"/>
      <c r="I88" s="46"/>
      <c r="J88" s="46"/>
      <c r="K88" s="46"/>
      <c r="L88" s="46"/>
      <c r="M88" s="46"/>
      <c r="N88" s="46"/>
      <c r="O88" s="46"/>
      <c r="P88" s="46"/>
      <c r="Q88" s="46"/>
      <c r="R88" s="46"/>
      <c r="S88" s="46"/>
      <c r="T88" s="46"/>
      <c r="U88" s="47"/>
      <c r="V88" s="88"/>
      <c r="W88" s="88"/>
      <c r="X88" s="25" t="str">
        <f aca="false">IF(Tasks[[#This Row],[Task Name]]="","",IF(N(Tasks[[#This Row],[Baseline Start]])&gt;0,Tasks[[#This Row],[Baseline Start]],Tasks[[#This Row],[_CalcStart]]))</f>
        <v/>
      </c>
      <c r="Y88" s="25" t="str">
        <f aca="false">IF(Tasks[[#This Row],[Task Name]]="","",IF(N(Tasks[[#This Row],[Baseline Finish]])&gt;0,Tasks[[#This Row],[Baseline Finish]],Tasks[[#This Row],[_CalcFinish]]))</f>
        <v/>
      </c>
      <c r="Z88" s="88"/>
      <c r="AA88" s="88"/>
      <c r="AB88" s="25" t="str">
        <f aca="false">IF(Tasks[[#This Row],[Task Name]]="","",IF(Tasks[[#This Row],[_IsSummary]],MIN(INDEX(Tasks[_ShownFcstStart],Tasks[[#This Row],[_Row]]+1):INDEX(Tasks[_ShownFcstStart],Tasks[[#This Row],[_Row]]+Tasks[[#This Row],[_Descendants]])),Tasks[[#This Row],[_ShownFcstStart]]))</f>
        <v/>
      </c>
      <c r="AC88" s="25" t="str">
        <f aca="false">IF(Tasks[[#This Row],[Task Name]]="","",IF(Tasks[[#This Row],[_IsSummary]],MAX(INDEX(Tasks[_ShownFcstFinish],Tasks[[#This Row],[_Row]]+1):INDEX(Tasks[_ShownFcstFinish],Tasks[[#This Row],[_Row]]+Tasks[[#This Row],[_Descendants]])),Tasks[[#This Row],[_ShownFcstFinish]]))</f>
        <v/>
      </c>
      <c r="AD8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8" s="25" t="str">
        <f aca="false">IF(Tasks[[#This Row],[Task Name]]="","",IF(Tasks[[#This Row],[_IsSummary]],MIN(INDEX(Tasks[_LeafLateStart],Tasks[[#This Row],[_Row]]+1):INDEX(Tasks[_LeafLateStart],Tasks[[#This Row],[_Row]]+Tasks[[#This Row],[_Descendants]])),Tasks[[#This Row],[_LeafLateStart]]))</f>
        <v/>
      </c>
      <c r="AG88" s="25" t="str">
        <f aca="false">IF(Tasks[[#This Row],[Task Name]]="","",IF(Tasks[[#This Row],[_IsSummary]],MAX(INDEX(Tasks[_LeafLateFinish],Tasks[[#This Row],[_Row]]+1):INDEX(Tasks[_LeafLateFinish],Tasks[[#This Row],[_Row]]+Tasks[[#This Row],[_Descendants]])),Tasks[[#This Row],[_LeafLateFinish]]))</f>
        <v/>
      </c>
      <c r="AH88" s="56" t="str">
        <f aca="false">IF(Tasks[[#This Row],[Task Name]]="","",IF(Tasks[[#This Row],[_IsSummary]],MIN(INDEX(Tasks[_LeafTotalSlack],Tasks[[#This Row],[_Row]]+1):INDEX(Tasks[_LeafTotalSlack],Tasks[[#This Row],[_Row]]+Tasks[[#This Row],[_Descendants]])),Tasks[[#This Row],[_LeafTotalSlack]]))</f>
        <v/>
      </c>
      <c r="AI8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8" s="45" t="str">
        <f aca="false">IF(Tasks[[#This Row],[Task Name]]="","",IF(IF(Tasks[[#This Row],[_IsSummary]],COUNTIF(INDEX(Tasks[_LeafCritical],Tasks[[#This Row],[_Row]]+1):INDEX(Tasks[_LeafCritical],Tasks[[#This Row],[_Row]]+Tasks[[#This Row],[_Descendants]]),TRUE())&gt;0,Tasks[[#This Row],[_LeafCritical]]),"Yes",""))</f>
        <v/>
      </c>
      <c r="AK8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8" s="102"/>
      <c r="AN8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8" s="45" t="str">
        <f aca="false">IF(Tasks[[#This Row],[Task Name]]="","",IF(Tasks[[#This Row],[Progress]]&gt;=1,"Complete",IF(OR(N(Tasks[[#This Row],[Actual Start]])&gt;0,Tasks[[#This Row],[Progress]]&gt;0),IF(Tasks[[#This Row],[Finish Var]]&gt;0,"Behind","In Progress"),IF(Tasks[[#This Row],[Planned Start]]&lt;StatusDate,"Late Start","Not Started"))))</f>
        <v/>
      </c>
      <c r="AP88" s="47"/>
      <c r="AQ88" s="102"/>
      <c r="AR8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8" s="110" t="str">
        <f aca="false">IF(Tasks[[#This Row],[Task Name]]="","",IF(Tasks[[#This Row],[_IsSummary]],SUM(INDEX(Tasks[_LeafTotalWork],Tasks[[#This Row],[_Row]]+1):INDEX(Tasks[_LeafTotalWork],Tasks[[#This Row],[_Row]]+Tasks[[#This Row],[_Descendants]])),Tasks[[#This Row],[_LeafTotalWork]]))</f>
        <v/>
      </c>
      <c r="AU88" s="111" t="str">
        <f aca="false">IF(Tasks[[#This Row],[Task Name]]="","",IF(Tasks[[#This Row],[_IsSummary]],SUM(INDEX(Tasks[_LeafTotalCost],Tasks[[#This Row],[_Row]]+1):INDEX(Tasks[_LeafTotalCost],Tasks[[#This Row],[_Row]]+Tasks[[#This Row],[_Descendants]])),Tasks[[#This Row],[_LeafTotalCost]]))</f>
        <v/>
      </c>
      <c r="AV88" s="112"/>
      <c r="AW88" s="46"/>
      <c r="AX8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8" s="96"/>
      <c r="AZ8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8" s="47"/>
      <c r="BB88" s="25" t="str">
        <f aca="false">IF(Tasks[[#This Row],[Task Name]]="","",Tasks[[#This Row],[Forecast Start]])</f>
        <v/>
      </c>
      <c r="BC88" s="25" t="str">
        <f aca="false">IF(Tasks[[#This Row],[Task Name]]="","",Tasks[[#This Row],[Forecast Finish]])</f>
        <v/>
      </c>
      <c r="BD88" s="45" t="str">
        <f aca="false">IF(Tasks[[#This Row],[Task Name]]="","",IF(Tasks[[#This Row],[_IsSummary]],NETWORKDAYS.INTL(Tasks[[#This Row],[Forecast Start]],Tasks[[#This Row],[Forecast Finish]],WorkWeek,Holidays),N(Tasks[[#This Row],[Duration]])))</f>
        <v/>
      </c>
      <c r="BE88" s="110" t="str">
        <f aca="false">IF(Tasks[[#This Row],[Task Name]]="","",Tasks[[#This Row],[Work]])</f>
        <v/>
      </c>
      <c r="BF88" s="111" t="str">
        <f aca="false">IF(Tasks[[#This Row],[Task Name]]="","",Tasks[[#This Row],[Cost]])</f>
        <v/>
      </c>
      <c r="BG88" s="88"/>
      <c r="BH88" s="88"/>
      <c r="BI88" s="46"/>
      <c r="BJ88" s="113"/>
      <c r="BK88" s="112"/>
      <c r="BL88" s="45" t="str">
        <f aca="false">IF(OR(Tasks[[#This Row],[Task Name]]="",Tasks[[#This Row],[Baseline Duration]]=""),"",Tasks[[#This Row],[BL Source Duration]]-N(Tasks[[#This Row],[Baseline Duration]]))</f>
        <v/>
      </c>
      <c r="BM88" s="110" t="str">
        <f aca="false">IF(OR(Tasks[[#This Row],[Task Name]]="",Tasks[[#This Row],[Baseline Work]]=""),"",Tasks[[#This Row],[Work]]-N(Tasks[[#This Row],[Baseline Work]]))</f>
        <v/>
      </c>
      <c r="BN88" s="111" t="str">
        <f aca="false">IF(OR(Tasks[[#This Row],[Task Name]]="",Tasks[[#This Row],[Baseline Cost]]=""),"",Tasks[[#This Row],[Cost]]-N(Tasks[[#This Row],[Baseline Cost]]))</f>
        <v/>
      </c>
      <c r="BO88" s="111" t="str">
        <f aca="false">IF(Tasks[[#This Row],[Task Name]]="","",IF(Tasks[[#This Row],[_IsSummary]],SUM(INDEX(Tasks[_LeafBudget],Tasks[[#This Row],[_Row]]+1):INDEX(Tasks[_LeafBudget],Tasks[[#This Row],[_Row]]+Tasks[[#This Row],[_Descendants]])),Tasks[[#This Row],[_LeafBudget]]))</f>
        <v/>
      </c>
      <c r="BP88" s="111" t="str">
        <f aca="false">IF(Tasks[[#This Row],[Task Name]]="","",IF(Tasks[[#This Row],[_IsSummary]],SUM(INDEX(Tasks[_LeafPV],Tasks[[#This Row],[_Row]]+1):INDEX(Tasks[_LeafPV],Tasks[[#This Row],[_Row]]+Tasks[[#This Row],[_Descendants]])),Tasks[[#This Row],[_LeafPV]]))</f>
        <v/>
      </c>
      <c r="BQ88" s="111" t="str">
        <f aca="false">IF(Tasks[[#This Row],[Task Name]]="","",IF(Tasks[[#This Row],[_IsSummary]],SUM(INDEX(Tasks[_LeafEV],Tasks[[#This Row],[_Row]]+1):INDEX(Tasks[_LeafEV],Tasks[[#This Row],[_Row]]+Tasks[[#This Row],[_Descendants]])),Tasks[[#This Row],[_LeafEV]]))</f>
        <v/>
      </c>
      <c r="BR88" s="111" t="str">
        <f aca="false">IF(Tasks[[#This Row],[Task Name]]="","",IF(Tasks[[#This Row],[_IsSummary]],SUM(INDEX(Tasks[_LeafAC],Tasks[[#This Row],[_Row]]+1):INDEX(Tasks[_LeafAC],Tasks[[#This Row],[_Row]]+Tasks[[#This Row],[_Descendants]])),Tasks[[#This Row],[_LeafAC]]))</f>
        <v/>
      </c>
      <c r="BS88" s="32" t="str">
        <f aca="false">IF(Tasks[[#This Row],[Task Name]]="","",MAX(1,N(Tasks[[#This Row],[Level]])))</f>
        <v/>
      </c>
      <c r="BT88" s="32" t="n">
        <f aca="false">ROW()-ROW(Tasks[[#Headers],[ID]])</f>
        <v>83</v>
      </c>
      <c r="BU88" s="32" t="n">
        <f aca="false">IF(OR(Tasks[[#This Row],[Task Name]]="",Tasks[[#This Row],[_Level]]&lt;=1),0,IFERROR(LOOKUP(2,1/(Tasks[[#Headers],[_Level]]:Tasks[[#This Row],[_Level]]=Tasks[[#This Row],[_Level]]-1),ROW(Tasks[[#Headers],[_Level]]:Tasks[[#This Row],[_Level]])),0))</f>
        <v>0</v>
      </c>
      <c r="BV88" s="32" t="n">
        <f aca="false">IFERROR(N(INDEX(Tasks[_Level],Tasks[[#This Row],[_Row]]+1)),0)</f>
        <v>0</v>
      </c>
      <c r="BW88" s="114" t="b">
        <f aca="false">AND(Tasks[[#This Row],[Task Name]]&lt;&gt;"",Tasks[[#This Row],[_NextLevel]]&gt;Tasks[[#This Row],[_Level]])</f>
        <v>0</v>
      </c>
      <c r="BX88" s="32" t="n">
        <f aca="false">IF(Tasks[[#This Row],[_IsSummary]],COUNTIF(Tasks[WBS],Tasks[[#This Row],[WBS]]&amp;".*"),0)</f>
        <v>0</v>
      </c>
      <c r="BY88" s="32" t="n">
        <f aca="false">IF(AND(Tasks[[#This Row],[Task Name]]&lt;&gt;"",NOT(Tasks[[#This Row],[_IsSummary]])),1,0)</f>
        <v>0</v>
      </c>
      <c r="BZ88" s="32" t="n">
        <f aca="false">IF(N(Tasks[[#This Row],[Pred1 UID]])=0,0,IFERROR(MATCH(Tasks[[#This Row],[Pred1 UID]],Tasks[UID],0),-1))</f>
        <v>0</v>
      </c>
      <c r="CA88" s="32" t="n">
        <f aca="false">IF(N(Tasks[[#This Row],[Pred2 UID]])=0,0,IFERROR(MATCH(Tasks[[#This Row],[Pred2 UID]],Tasks[UID],0),-1))</f>
        <v>0</v>
      </c>
      <c r="CB88" s="32" t="n">
        <f aca="false">IF(N(Tasks[[#This Row],[Pred3 UID]])=0,0,IFERROR(MATCH(Tasks[[#This Row],[Pred3 UID]],Tasks[UID],0),-1))</f>
        <v>0</v>
      </c>
      <c r="CC88" s="32" t="n">
        <f aca="false">IF(N(Tasks[[#This Row],[Pred4 UID]])=0,0,IFERROR(MATCH(Tasks[[#This Row],[Pred4 UID]],Tasks[UID],0),-1))</f>
        <v>0</v>
      </c>
      <c r="CD8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8" s="115" t="n">
        <f aca="false">IF(OR(Tasks[[#This Row],[_ConstraintCode]]=2,Tasks[[#This Row],[_ConstraintCode]]=3,Tasks[[#This Row],[_ConstraintCode]]=4,Tasks[[#This Row],[_ConstraintCode]]=6),Tasks[[#This Row],[_ConstraintStart]],0)</f>
        <v>0</v>
      </c>
      <c r="CG88" s="115" t="n">
        <f aca="false">IF(OR(Tasks[[#This Row],[_ConstraintCode]]=2,Tasks[[#This Row],[_ConstraintCode]]=3,Tasks[[#This Row],[_ConstraintCode]]=5,Tasks[[#This Row],[_ConstraintCode]]=7),Tasks[[#This Row],[_ConstraintStart]],2958465)</f>
        <v>2958465</v>
      </c>
      <c r="CH8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8" s="115" t="str">
        <f aca="false">IF(NOT(Tasks[[#This Row],[_IsLeaf]]=1),"",IF(N(Tasks[[#This Row],[Duration]])&lt;=0,Tasks[[#This Row],[_LeafCalcStart]],WORKDAY.INTL(Tasks[[#This Row],[_LeafCalcStart]],Tasks[[#This Row],[Duration]]-1,WorkWeek,Holidays)))</f>
        <v/>
      </c>
      <c r="CJ8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8" s="32" t="n">
        <f aca="false">IF(NOT(Tasks[[#This Row],[_IsLeaf]]=1),0,IF(N(Tasks[[#This Row],[Actual Finish]])&gt;0,1,MIN(1,N(Tasks[[#This Row],[% Complete]]))))</f>
        <v>0</v>
      </c>
      <c r="CM88" s="32" t="n">
        <f aca="false">IF(OR(NOT(Tasks[[#This Row],[_IsLeaf]]=1),Tasks[[#This Row],[Resource]]=""),0,N(Tasks[[#This Row],[Duration]])*HoursPerDay*IF(Tasks[[#This Row],[Units]]="",DefaultUnits,Tasks[[#This Row],[Units]]))</f>
        <v>0</v>
      </c>
      <c r="CN88" s="32" t="n">
        <f aca="false">IF(Tasks[[#This Row],[_LeafWork]]=0,0,Tasks[[#This Row],[_LeafWork]]*IFERROR(INDEX(res_Rate,MATCH(Tasks[[#This Row],[Resource]],res_Name,0)),0))</f>
        <v>0</v>
      </c>
      <c r="CO88" s="32" t="n">
        <f aca="false">Tasks[[#This Row],[_LeafWork]]+IF(Tasks[[#This Row],[_IsLeaf]]=1,SUMIFS(asg_Work,asg_TaskUID,Tasks[[#This Row],[UID]],asg_Valid,1),0)</f>
        <v>0</v>
      </c>
      <c r="CP88" s="32" t="n">
        <f aca="false">Tasks[[#This Row],[_LeafCost]]+IF(Tasks[[#This Row],[_IsLeaf]]=1,SUMIFS(asg_Cost,asg_TaskUID,Tasks[[#This Row],[UID]],asg_Valid,1),0)</f>
        <v>0</v>
      </c>
      <c r="CQ88" s="32" t="n">
        <f aca="false">IF(Tasks[[#This Row],[_LeafTotalCost]]=0,Tasks[[#This Row],[_LeafAC]],Tasks[[#This Row],[_LeafAC]]*Tasks[[#This Row],[_LeafCost]]/Tasks[[#This Row],[_LeafTotalCost]])</f>
        <v>0</v>
      </c>
      <c r="CR8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8" s="32" t="n">
        <f aca="false">IF(NOT(Tasks[[#This Row],[_IsLeaf]]=1),0,MAX(_xlfn.MAXIFS(Tasks[_Row],Tasks[Pred1 UID],Tasks[[#This Row],[UID]]),_xlfn.MAXIFS(Tasks[_Row],Tasks[Pred2 UID],Tasks[[#This Row],[UID]]),_xlfn.MAXIFS(Tasks[_Row],Tasks[Pred3 UID],Tasks[[#This Row],[UID]]),_xlfn.MAXIFS(Tasks[_Row],Tasks[Pred4 UID],Tasks[[#This Row],[UID]])))</f>
        <v>0</v>
      </c>
      <c r="DA8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8" s="115" t="str">
        <f aca="false">IF(NOT(Tasks[[#This Row],[_IsLeaf]]=1),"",IF(N(Tasks[[#This Row],[Duration]])&lt;=0,Tasks[[#This Row],[_LeafLateFinish]],WORKDAY.INTL(Tasks[[#This Row],[_LeafLateFinish]],-(Tasks[[#This Row],[Duration]]-1),WorkWeek,Holidays)))</f>
        <v/>
      </c>
      <c r="DD8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8" s="114" t="b">
        <f aca="false">AND(Tasks[[#This Row],[_IsLeaf]]=1,Tasks[[#This Row],[_LeafProgress]]&lt;1,N(Tasks[[#This Row],[_LeafTotalSlack]])&lt;=CriticalSlackDays)</f>
        <v>0</v>
      </c>
      <c r="DF88" s="32" t="n">
        <f aca="false">IF(AND(Tasks[[#This Row],[_IsLeaf]]=1,Tasks[[#This Row],[_ConstraintCode]]=1,Tasks[[#This Row],[Mode]]&lt;&gt;"Manual",N(Tasks[[#This Row],[Actual Start]])=0),MAX(0,N(Tasks[[#This Row],[Free Slack]])),0)</f>
        <v>0</v>
      </c>
      <c r="DG88" s="115" t="str">
        <f aca="false">IF(NOT(Tasks[[#This Row],[_IsLeaf]]=1),"",IF(Tasks[[#This Row],[_AlapShift]]=0,Tasks[[#This Row],[_LeafCalcStart]],WORKDAY.INTL(Tasks[[#This Row],[_LeafCalcStart]],Tasks[[#This Row],[_AlapShift]],WorkWeek,Holidays)))</f>
        <v/>
      </c>
      <c r="DH88" s="115" t="str">
        <f aca="false">IF(NOT(Tasks[[#This Row],[_IsLeaf]]=1),"",IF(Tasks[[#This Row],[_AlapShift]]=0,Tasks[[#This Row],[_LeafCalcFinish]],WORKDAY.INTL(Tasks[[#This Row],[_LeafCalcFinish]],Tasks[[#This Row],[_AlapShift]],WorkWeek,Holidays)))</f>
        <v/>
      </c>
      <c r="DI88" s="115" t="str">
        <f aca="false">IF(NOT(Tasks[[#This Row],[_IsLeaf]]=1),"",IF(Tasks[[#This Row],[_AlapShift]]=0,Tasks[[#This Row],[_LeafFcstStart]],WORKDAY.INTL(Tasks[[#This Row],[_LeafFcstStart]],Tasks[[#This Row],[_AlapShift]],WorkWeek,Holidays)))</f>
        <v/>
      </c>
      <c r="DJ88" s="115" t="str">
        <f aca="false">IF(NOT(Tasks[[#This Row],[_IsLeaf]]=1),"",IF(Tasks[[#This Row],[_AlapShift]]=0,Tasks[[#This Row],[_LeafFcstFinish]],WORKDAY.INTL(Tasks[[#This Row],[_LeafFcstFinish]],Tasks[[#This Row],[_AlapShift]],WorkWeek,Holidays)))</f>
        <v/>
      </c>
      <c r="DK88" s="115" t="str">
        <f aca="false">IF(Tasks[[#This Row],[Task Name]]="","",IF(Tasks[[#This Row],[_IsSummary]],MIN(INDEX(Tasks[_ShownCalcStart],Tasks[[#This Row],[_Row]]+1):INDEX(Tasks[_ShownCalcStart],Tasks[[#This Row],[_Row]]+Tasks[[#This Row],[_Descendants]])),Tasks[[#This Row],[_ShownCalcStart]]))</f>
        <v/>
      </c>
      <c r="DL88" s="115" t="str">
        <f aca="false">IF(Tasks[[#This Row],[Task Name]]="","",IF(Tasks[[#This Row],[_IsSummary]],MAX(INDEX(Tasks[_ShownCalcFinish],Tasks[[#This Row],[_Row]]+1):INDEX(Tasks[_ShownCalcFinish],Tasks[[#This Row],[_Row]]+Tasks[[#This Row],[_Descendants]])),Tasks[[#This Row],[_ShownCalcFinish]]))</f>
        <v/>
      </c>
      <c r="DM8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8" s="32" t="n">
        <f aca="false">IF(AND(Tasks[[#This Row],[_IsLeaf]]=1,Tasks[[#This Row],[_LeafTotalWork]]&gt;0),NETWORKDAYS.INTL(ProjectStart,Tasks[[#This Row],[_ShownFcstStart]],WorkWeek,Holidays),0)</f>
        <v>0</v>
      </c>
      <c r="DZ88" s="32" t="n">
        <f aca="false">IF(AND(Tasks[[#This Row],[_IsLeaf]]=1,Tasks[[#This Row],[_LeafTotalWork]]&gt;0),MAX(Tasks[[#This Row],[_StartWorkday]],NETWORKDAYS.INTL(ProjectStart,Tasks[[#This Row],[_ShownFcstFinish]],WorkWeek,Holidays)),0)</f>
        <v>0</v>
      </c>
      <c r="EA88" s="32" t="n">
        <f aca="false">IF(AND(Tasks[[#This Row],[_IsLeaf]]=1,Tasks[[#This Row],[_LeafTotalWork]]&gt;0),Tasks[[#This Row],[_LeafWork]]/(Tasks[[#This Row],[_FinishWorkday]]-Tasks[[#This Row],[_StartWorkday]]+1),0)</f>
        <v>0</v>
      </c>
      <c r="EB88" s="32" t="n">
        <f aca="false">Tasks[[#This Row],[_WorkPerWorkday]]*(Tasks[[#This Row],[_StartWorkday]]-1)</f>
        <v>-0</v>
      </c>
      <c r="EC88" s="32" t="n">
        <f aca="false">IF(Tasks[[#This Row],[_IsLeaf]]=1,MAX(N(Tasks[[#This Row],[Duration]]),0.1),0)</f>
        <v>0</v>
      </c>
      <c r="ED88" s="32" t="n">
        <f aca="false">Tasks[[#This Row],[_WeightDur]]*Tasks[[#This Row],[_LeafProgress]]</f>
        <v>0</v>
      </c>
      <c r="EE8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8" s="32" t="str">
        <f aca="false">IF(AND(Tasks[[#This Row],[_IsLeaf]]=1,N(Tasks[[#This Row],[Duration]])=0,Tasks[[#This Row],[_LeafProgress]]&lt;1),Tasks[[#This Row],[_ShownFcstFinish]]+Tasks[[#This Row],[_Row]]/100000,"")</f>
        <v/>
      </c>
      <c r="EG8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8" s="32" t="n">
        <f aca="false">IF(NOT(Tasks[[#This Row],[_IsLeaf]]=1),0,IF(Tasks[[#This Row],[Baseline Cost]]="",Tasks[[#This Row],[_LeafTotalCost]],N(Tasks[[#This Row],[Baseline Cost]])))</f>
        <v>0</v>
      </c>
      <c r="EI88" s="32" t="n">
        <f aca="false">Tasks[[#This Row],[_LeafBudget]]*Tasks[[#This Row],[_PlannedPct]]</f>
        <v>0</v>
      </c>
      <c r="EJ88" s="32" t="n">
        <f aca="false">Tasks[[#This Row],[_LeafBudget]]*Tasks[[#This Row],[_LeafProgress]]</f>
        <v>0</v>
      </c>
      <c r="EK88" s="32" t="n">
        <f aca="false">IF(NOT(Tasks[[#This Row],[_IsLeaf]]=1),0,IF(Tasks[[#This Row],[Actual Cost]]="",Tasks[[#This Row],[_LeafTotalCost]]*Tasks[[#This Row],[_LeafProgress]],N(Tasks[[#This Row],[Actual Cost]])))</f>
        <v>0</v>
      </c>
      <c r="EL88" s="32" t="str">
        <f aca="false">IF(Tasks[[#This Row],[Task Name]]="","",LEFT(Tasks[[#This Row],[WBS]],FIND(".",Tasks[[#This Row],[WBS]]&amp;".")-1))</f>
        <v/>
      </c>
      <c r="EM88" s="32" t="str">
        <f aca="false">IF(AND(Tasks[[#This Row],[Task Name]]&lt;&gt;"",Tasks[[#This Row],[_Level]]=1),Tasks[[#This Row],[_Row]],"")</f>
        <v/>
      </c>
      <c r="EN88" s="32" t="str">
        <f aca="false">IF(AND(Tasks[[#This Row],[_IsLeaf]]=1,N(Tasks[[#This Row],[Duration]])=0),Tasks[[#This Row],[Planned Finish]]+Tasks[[#This Row],[_Row]]/100000,"")</f>
        <v/>
      </c>
      <c r="EO88" s="32" t="str">
        <f aca="false">IF(AND(Tasks[[#This Row],[_IsLeaf]]=1,Tasks[[#This Row],[_LeafProgress]]&lt;1,OR(N(Tasks[[#This Row],[Finish Var]])&gt;0,Tasks[[#This Row],[Status]]="Late Start")),MAX(0,Tasks[[#This Row],[Finish Var]])+1-Tasks[[#This Row],[_Row]]/1000000,"")</f>
        <v/>
      </c>
      <c r="EP88" s="32" t="str">
        <f aca="false">IF(AND(Tasks[[#This Row],[_IsLeaf]]=1,N(Tasks[[#This Row],[Actual Start]])=0,Tasks[[#This Row],[_ShownFcstStart]]&gt;=StatusDate,Tasks[[#This Row],[_ShownFcstStart]]&lt;=LookaheadEnd),Tasks[[#This Row],[_ShownFcstStart]]+Tasks[[#This Row],[_Row]]/100000,"")</f>
        <v/>
      </c>
      <c r="EQ88" s="32" t="str">
        <f aca="false">IF(AND(Tasks[[#This Row],[_IsLeaf]]=1,Tasks[[#This Row],[_LeafProgress]]&lt;1,Tasks[[#This Row],[_ShownFcstFinish]]&gt;=StatusDate,Tasks[[#This Row],[_ShownFcstFinish]]&lt;=LookaheadEnd),Tasks[[#This Row],[_ShownFcstFinish]]+Tasks[[#This Row],[_Row]]/100000,"")</f>
        <v/>
      </c>
      <c r="ER88" s="32" t="str">
        <f aca="false">IF(Tasks[[#This Row],[_LeafCritical]],Tasks[[#This Row],[_ShownFcstStart]]+Tasks[[#This Row],[_Row]]/100000,"")</f>
        <v/>
      </c>
      <c r="ES88" s="32" t="n">
        <f aca="false">Tasks[[#This Row],[_LeafWork]]*Tasks[[#This Row],[_LeafProgress]]</f>
        <v>0</v>
      </c>
      <c r="ET88" s="115" t="str">
        <f aca="false">IF(AND(Tasks[[#This Row],[_IsLeaf]]=1,Tasks[[#This Row],[_LeafProgress]]&gt;=1),IF(N(Tasks[[#This Row],[Actual Finish]])&gt;0,Tasks[[#This Row],[Actual Finish]],Tasks[[#This Row],[_ShownFcstFinish]]),"")</f>
        <v/>
      </c>
      <c r="EU88" s="32" t="n">
        <f aca="false">IF(Tasks[[#This Row],[_IsLeaf]]=1,N(Tasks[[#This Row],[Story Points]]),0)</f>
        <v>0</v>
      </c>
      <c r="EV88" s="32" t="str">
        <f aca="false">IF(AND(Tasks[[#This Row],[_IsLeaf]]=1,CurrentSprint&lt;&gt;"",Tasks[[#This Row],[Sprint]]=CurrentSprint),Tasks[[#This Row],[_Row]],"")</f>
        <v/>
      </c>
    </row>
    <row r="89" customFormat="false" ht="15" hidden="false" customHeight="false" outlineLevel="0" collapsed="false">
      <c r="A89" s="45" t="str">
        <f aca="false">IF(Tasks[[#This Row],[Task Name]]="","",COUNTA(Tasks[[#Headers],[Task Name]]:Tasks[[#This Row],[Task Name]])-1)</f>
        <v/>
      </c>
      <c r="B89" s="46" t="n">
        <v>84</v>
      </c>
      <c r="C8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89" s="46"/>
      <c r="E89" s="45" t="str">
        <f aca="false">IF(Tasks[[#This Row],[Task Name]]="","",IF(Tasks[[#This Row],[_Level]]&lt;=OutlineShowLevel,"Yes","No"))</f>
        <v/>
      </c>
      <c r="F89" s="47"/>
      <c r="G89" s="46"/>
      <c r="H89" s="46"/>
      <c r="I89" s="46"/>
      <c r="J89" s="46"/>
      <c r="K89" s="46"/>
      <c r="L89" s="46"/>
      <c r="M89" s="46"/>
      <c r="N89" s="46"/>
      <c r="O89" s="46"/>
      <c r="P89" s="46"/>
      <c r="Q89" s="46"/>
      <c r="R89" s="46"/>
      <c r="S89" s="46"/>
      <c r="T89" s="46"/>
      <c r="U89" s="47"/>
      <c r="V89" s="88"/>
      <c r="W89" s="88"/>
      <c r="X89" s="25" t="str">
        <f aca="false">IF(Tasks[[#This Row],[Task Name]]="","",IF(N(Tasks[[#This Row],[Baseline Start]])&gt;0,Tasks[[#This Row],[Baseline Start]],Tasks[[#This Row],[_CalcStart]]))</f>
        <v/>
      </c>
      <c r="Y89" s="25" t="str">
        <f aca="false">IF(Tasks[[#This Row],[Task Name]]="","",IF(N(Tasks[[#This Row],[Baseline Finish]])&gt;0,Tasks[[#This Row],[Baseline Finish]],Tasks[[#This Row],[_CalcFinish]]))</f>
        <v/>
      </c>
      <c r="Z89" s="88"/>
      <c r="AA89" s="88"/>
      <c r="AB89" s="25" t="str">
        <f aca="false">IF(Tasks[[#This Row],[Task Name]]="","",IF(Tasks[[#This Row],[_IsSummary]],MIN(INDEX(Tasks[_ShownFcstStart],Tasks[[#This Row],[_Row]]+1):INDEX(Tasks[_ShownFcstStart],Tasks[[#This Row],[_Row]]+Tasks[[#This Row],[_Descendants]])),Tasks[[#This Row],[_ShownFcstStart]]))</f>
        <v/>
      </c>
      <c r="AC89" s="25" t="str">
        <f aca="false">IF(Tasks[[#This Row],[Task Name]]="","",IF(Tasks[[#This Row],[_IsSummary]],MAX(INDEX(Tasks[_ShownFcstFinish],Tasks[[#This Row],[_Row]]+1):INDEX(Tasks[_ShownFcstFinish],Tasks[[#This Row],[_Row]]+Tasks[[#This Row],[_Descendants]])),Tasks[[#This Row],[_ShownFcstFinish]]))</f>
        <v/>
      </c>
      <c r="AD8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8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89" s="25" t="str">
        <f aca="false">IF(Tasks[[#This Row],[Task Name]]="","",IF(Tasks[[#This Row],[_IsSummary]],MIN(INDEX(Tasks[_LeafLateStart],Tasks[[#This Row],[_Row]]+1):INDEX(Tasks[_LeafLateStart],Tasks[[#This Row],[_Row]]+Tasks[[#This Row],[_Descendants]])),Tasks[[#This Row],[_LeafLateStart]]))</f>
        <v/>
      </c>
      <c r="AG89" s="25" t="str">
        <f aca="false">IF(Tasks[[#This Row],[Task Name]]="","",IF(Tasks[[#This Row],[_IsSummary]],MAX(INDEX(Tasks[_LeafLateFinish],Tasks[[#This Row],[_Row]]+1):INDEX(Tasks[_LeafLateFinish],Tasks[[#This Row],[_Row]]+Tasks[[#This Row],[_Descendants]])),Tasks[[#This Row],[_LeafLateFinish]]))</f>
        <v/>
      </c>
      <c r="AH89" s="56" t="str">
        <f aca="false">IF(Tasks[[#This Row],[Task Name]]="","",IF(Tasks[[#This Row],[_IsSummary]],MIN(INDEX(Tasks[_LeafTotalSlack],Tasks[[#This Row],[_Row]]+1):INDEX(Tasks[_LeafTotalSlack],Tasks[[#This Row],[_Row]]+Tasks[[#This Row],[_Descendants]])),Tasks[[#This Row],[_LeafTotalSlack]]))</f>
        <v/>
      </c>
      <c r="AI8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89" s="45" t="str">
        <f aca="false">IF(Tasks[[#This Row],[Task Name]]="","",IF(IF(Tasks[[#This Row],[_IsSummary]],COUNTIF(INDEX(Tasks[_LeafCritical],Tasks[[#This Row],[_Row]]+1):INDEX(Tasks[_LeafCritical],Tasks[[#This Row],[_Row]]+Tasks[[#This Row],[_Descendants]]),TRUE())&gt;0,Tasks[[#This Row],[_LeafCritical]]),"Yes",""))</f>
        <v/>
      </c>
      <c r="AK8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8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89" s="102"/>
      <c r="AN8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89" s="45" t="str">
        <f aca="false">IF(Tasks[[#This Row],[Task Name]]="","",IF(Tasks[[#This Row],[Progress]]&gt;=1,"Complete",IF(OR(N(Tasks[[#This Row],[Actual Start]])&gt;0,Tasks[[#This Row],[Progress]]&gt;0),IF(Tasks[[#This Row],[Finish Var]]&gt;0,"Behind","In Progress"),IF(Tasks[[#This Row],[Planned Start]]&lt;StatusDate,"Late Start","Not Started"))))</f>
        <v/>
      </c>
      <c r="AP89" s="47"/>
      <c r="AQ89" s="102"/>
      <c r="AR8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8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89" s="110" t="str">
        <f aca="false">IF(Tasks[[#This Row],[Task Name]]="","",IF(Tasks[[#This Row],[_IsSummary]],SUM(INDEX(Tasks[_LeafTotalWork],Tasks[[#This Row],[_Row]]+1):INDEX(Tasks[_LeafTotalWork],Tasks[[#This Row],[_Row]]+Tasks[[#This Row],[_Descendants]])),Tasks[[#This Row],[_LeafTotalWork]]))</f>
        <v/>
      </c>
      <c r="AU89" s="111" t="str">
        <f aca="false">IF(Tasks[[#This Row],[Task Name]]="","",IF(Tasks[[#This Row],[_IsSummary]],SUM(INDEX(Tasks[_LeafTotalCost],Tasks[[#This Row],[_Row]]+1):INDEX(Tasks[_LeafTotalCost],Tasks[[#This Row],[_Row]]+Tasks[[#This Row],[_Descendants]])),Tasks[[#This Row],[_LeafTotalCost]]))</f>
        <v/>
      </c>
      <c r="AV89" s="112"/>
      <c r="AW89" s="46"/>
      <c r="AX8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89" s="96"/>
      <c r="AZ8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89" s="47"/>
      <c r="BB89" s="25" t="str">
        <f aca="false">IF(Tasks[[#This Row],[Task Name]]="","",Tasks[[#This Row],[Forecast Start]])</f>
        <v/>
      </c>
      <c r="BC89" s="25" t="str">
        <f aca="false">IF(Tasks[[#This Row],[Task Name]]="","",Tasks[[#This Row],[Forecast Finish]])</f>
        <v/>
      </c>
      <c r="BD89" s="45" t="str">
        <f aca="false">IF(Tasks[[#This Row],[Task Name]]="","",IF(Tasks[[#This Row],[_IsSummary]],NETWORKDAYS.INTL(Tasks[[#This Row],[Forecast Start]],Tasks[[#This Row],[Forecast Finish]],WorkWeek,Holidays),N(Tasks[[#This Row],[Duration]])))</f>
        <v/>
      </c>
      <c r="BE89" s="110" t="str">
        <f aca="false">IF(Tasks[[#This Row],[Task Name]]="","",Tasks[[#This Row],[Work]])</f>
        <v/>
      </c>
      <c r="BF89" s="111" t="str">
        <f aca="false">IF(Tasks[[#This Row],[Task Name]]="","",Tasks[[#This Row],[Cost]])</f>
        <v/>
      </c>
      <c r="BG89" s="88"/>
      <c r="BH89" s="88"/>
      <c r="BI89" s="46"/>
      <c r="BJ89" s="113"/>
      <c r="BK89" s="112"/>
      <c r="BL89" s="45" t="str">
        <f aca="false">IF(OR(Tasks[[#This Row],[Task Name]]="",Tasks[[#This Row],[Baseline Duration]]=""),"",Tasks[[#This Row],[BL Source Duration]]-N(Tasks[[#This Row],[Baseline Duration]]))</f>
        <v/>
      </c>
      <c r="BM89" s="110" t="str">
        <f aca="false">IF(OR(Tasks[[#This Row],[Task Name]]="",Tasks[[#This Row],[Baseline Work]]=""),"",Tasks[[#This Row],[Work]]-N(Tasks[[#This Row],[Baseline Work]]))</f>
        <v/>
      </c>
      <c r="BN89" s="111" t="str">
        <f aca="false">IF(OR(Tasks[[#This Row],[Task Name]]="",Tasks[[#This Row],[Baseline Cost]]=""),"",Tasks[[#This Row],[Cost]]-N(Tasks[[#This Row],[Baseline Cost]]))</f>
        <v/>
      </c>
      <c r="BO89" s="111" t="str">
        <f aca="false">IF(Tasks[[#This Row],[Task Name]]="","",IF(Tasks[[#This Row],[_IsSummary]],SUM(INDEX(Tasks[_LeafBudget],Tasks[[#This Row],[_Row]]+1):INDEX(Tasks[_LeafBudget],Tasks[[#This Row],[_Row]]+Tasks[[#This Row],[_Descendants]])),Tasks[[#This Row],[_LeafBudget]]))</f>
        <v/>
      </c>
      <c r="BP89" s="111" t="str">
        <f aca="false">IF(Tasks[[#This Row],[Task Name]]="","",IF(Tasks[[#This Row],[_IsSummary]],SUM(INDEX(Tasks[_LeafPV],Tasks[[#This Row],[_Row]]+1):INDEX(Tasks[_LeafPV],Tasks[[#This Row],[_Row]]+Tasks[[#This Row],[_Descendants]])),Tasks[[#This Row],[_LeafPV]]))</f>
        <v/>
      </c>
      <c r="BQ89" s="111" t="str">
        <f aca="false">IF(Tasks[[#This Row],[Task Name]]="","",IF(Tasks[[#This Row],[_IsSummary]],SUM(INDEX(Tasks[_LeafEV],Tasks[[#This Row],[_Row]]+1):INDEX(Tasks[_LeafEV],Tasks[[#This Row],[_Row]]+Tasks[[#This Row],[_Descendants]])),Tasks[[#This Row],[_LeafEV]]))</f>
        <v/>
      </c>
      <c r="BR89" s="111" t="str">
        <f aca="false">IF(Tasks[[#This Row],[Task Name]]="","",IF(Tasks[[#This Row],[_IsSummary]],SUM(INDEX(Tasks[_LeafAC],Tasks[[#This Row],[_Row]]+1):INDEX(Tasks[_LeafAC],Tasks[[#This Row],[_Row]]+Tasks[[#This Row],[_Descendants]])),Tasks[[#This Row],[_LeafAC]]))</f>
        <v/>
      </c>
      <c r="BS89" s="32" t="str">
        <f aca="false">IF(Tasks[[#This Row],[Task Name]]="","",MAX(1,N(Tasks[[#This Row],[Level]])))</f>
        <v/>
      </c>
      <c r="BT89" s="32" t="n">
        <f aca="false">ROW()-ROW(Tasks[[#Headers],[ID]])</f>
        <v>84</v>
      </c>
      <c r="BU89" s="32" t="n">
        <f aca="false">IF(OR(Tasks[[#This Row],[Task Name]]="",Tasks[[#This Row],[_Level]]&lt;=1),0,IFERROR(LOOKUP(2,1/(Tasks[[#Headers],[_Level]]:Tasks[[#This Row],[_Level]]=Tasks[[#This Row],[_Level]]-1),ROW(Tasks[[#Headers],[_Level]]:Tasks[[#This Row],[_Level]])),0))</f>
        <v>0</v>
      </c>
      <c r="BV89" s="32" t="n">
        <f aca="false">IFERROR(N(INDEX(Tasks[_Level],Tasks[[#This Row],[_Row]]+1)),0)</f>
        <v>0</v>
      </c>
      <c r="BW89" s="114" t="b">
        <f aca="false">AND(Tasks[[#This Row],[Task Name]]&lt;&gt;"",Tasks[[#This Row],[_NextLevel]]&gt;Tasks[[#This Row],[_Level]])</f>
        <v>0</v>
      </c>
      <c r="BX89" s="32" t="n">
        <f aca="false">IF(Tasks[[#This Row],[_IsSummary]],COUNTIF(Tasks[WBS],Tasks[[#This Row],[WBS]]&amp;".*"),0)</f>
        <v>0</v>
      </c>
      <c r="BY89" s="32" t="n">
        <f aca="false">IF(AND(Tasks[[#This Row],[Task Name]]&lt;&gt;"",NOT(Tasks[[#This Row],[_IsSummary]])),1,0)</f>
        <v>0</v>
      </c>
      <c r="BZ89" s="32" t="n">
        <f aca="false">IF(N(Tasks[[#This Row],[Pred1 UID]])=0,0,IFERROR(MATCH(Tasks[[#This Row],[Pred1 UID]],Tasks[UID],0),-1))</f>
        <v>0</v>
      </c>
      <c r="CA89" s="32" t="n">
        <f aca="false">IF(N(Tasks[[#This Row],[Pred2 UID]])=0,0,IFERROR(MATCH(Tasks[[#This Row],[Pred2 UID]],Tasks[UID],0),-1))</f>
        <v>0</v>
      </c>
      <c r="CB89" s="32" t="n">
        <f aca="false">IF(N(Tasks[[#This Row],[Pred3 UID]])=0,0,IFERROR(MATCH(Tasks[[#This Row],[Pred3 UID]],Tasks[UID],0),-1))</f>
        <v>0</v>
      </c>
      <c r="CC89" s="32" t="n">
        <f aca="false">IF(N(Tasks[[#This Row],[Pred4 UID]])=0,0,IFERROR(MATCH(Tasks[[#This Row],[Pred4 UID]],Tasks[UID],0),-1))</f>
        <v>0</v>
      </c>
      <c r="CD8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8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89" s="115" t="n">
        <f aca="false">IF(OR(Tasks[[#This Row],[_ConstraintCode]]=2,Tasks[[#This Row],[_ConstraintCode]]=3,Tasks[[#This Row],[_ConstraintCode]]=4,Tasks[[#This Row],[_ConstraintCode]]=6),Tasks[[#This Row],[_ConstraintStart]],0)</f>
        <v>0</v>
      </c>
      <c r="CG89" s="115" t="n">
        <f aca="false">IF(OR(Tasks[[#This Row],[_ConstraintCode]]=2,Tasks[[#This Row],[_ConstraintCode]]=3,Tasks[[#This Row],[_ConstraintCode]]=5,Tasks[[#This Row],[_ConstraintCode]]=7),Tasks[[#This Row],[_ConstraintStart]],2958465)</f>
        <v>2958465</v>
      </c>
      <c r="CH8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89" s="115" t="str">
        <f aca="false">IF(NOT(Tasks[[#This Row],[_IsLeaf]]=1),"",IF(N(Tasks[[#This Row],[Duration]])&lt;=0,Tasks[[#This Row],[_LeafCalcStart]],WORKDAY.INTL(Tasks[[#This Row],[_LeafCalcStart]],Tasks[[#This Row],[Duration]]-1,WorkWeek,Holidays)))</f>
        <v/>
      </c>
      <c r="CJ8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8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89" s="32" t="n">
        <f aca="false">IF(NOT(Tasks[[#This Row],[_IsLeaf]]=1),0,IF(N(Tasks[[#This Row],[Actual Finish]])&gt;0,1,MIN(1,N(Tasks[[#This Row],[% Complete]]))))</f>
        <v>0</v>
      </c>
      <c r="CM89" s="32" t="n">
        <f aca="false">IF(OR(NOT(Tasks[[#This Row],[_IsLeaf]]=1),Tasks[[#This Row],[Resource]]=""),0,N(Tasks[[#This Row],[Duration]])*HoursPerDay*IF(Tasks[[#This Row],[Units]]="",DefaultUnits,Tasks[[#This Row],[Units]]))</f>
        <v>0</v>
      </c>
      <c r="CN89" s="32" t="n">
        <f aca="false">IF(Tasks[[#This Row],[_LeafWork]]=0,0,Tasks[[#This Row],[_LeafWork]]*IFERROR(INDEX(res_Rate,MATCH(Tasks[[#This Row],[Resource]],res_Name,0)),0))</f>
        <v>0</v>
      </c>
      <c r="CO89" s="32" t="n">
        <f aca="false">Tasks[[#This Row],[_LeafWork]]+IF(Tasks[[#This Row],[_IsLeaf]]=1,SUMIFS(asg_Work,asg_TaskUID,Tasks[[#This Row],[UID]],asg_Valid,1),0)</f>
        <v>0</v>
      </c>
      <c r="CP89" s="32" t="n">
        <f aca="false">Tasks[[#This Row],[_LeafCost]]+IF(Tasks[[#This Row],[_IsLeaf]]=1,SUMIFS(asg_Cost,asg_TaskUID,Tasks[[#This Row],[UID]],asg_Valid,1),0)</f>
        <v>0</v>
      </c>
      <c r="CQ89" s="32" t="n">
        <f aca="false">IF(Tasks[[#This Row],[_LeafTotalCost]]=0,Tasks[[#This Row],[_LeafAC]],Tasks[[#This Row],[_LeafAC]]*Tasks[[#This Row],[_LeafCost]]/Tasks[[#This Row],[_LeafTotalCost]])</f>
        <v>0</v>
      </c>
      <c r="CR8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8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8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8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8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8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8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8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89" s="32" t="n">
        <f aca="false">IF(NOT(Tasks[[#This Row],[_IsLeaf]]=1),0,MAX(_xlfn.MAXIFS(Tasks[_Row],Tasks[Pred1 UID],Tasks[[#This Row],[UID]]),_xlfn.MAXIFS(Tasks[_Row],Tasks[Pred2 UID],Tasks[[#This Row],[UID]]),_xlfn.MAXIFS(Tasks[_Row],Tasks[Pred3 UID],Tasks[[#This Row],[UID]]),_xlfn.MAXIFS(Tasks[_Row],Tasks[Pred4 UID],Tasks[[#This Row],[UID]])))</f>
        <v>0</v>
      </c>
      <c r="DA8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8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89" s="115" t="str">
        <f aca="false">IF(NOT(Tasks[[#This Row],[_IsLeaf]]=1),"",IF(N(Tasks[[#This Row],[Duration]])&lt;=0,Tasks[[#This Row],[_LeafLateFinish]],WORKDAY.INTL(Tasks[[#This Row],[_LeafLateFinish]],-(Tasks[[#This Row],[Duration]]-1),WorkWeek,Holidays)))</f>
        <v/>
      </c>
      <c r="DD8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89" s="114" t="b">
        <f aca="false">AND(Tasks[[#This Row],[_IsLeaf]]=1,Tasks[[#This Row],[_LeafProgress]]&lt;1,N(Tasks[[#This Row],[_LeafTotalSlack]])&lt;=CriticalSlackDays)</f>
        <v>0</v>
      </c>
      <c r="DF89" s="32" t="n">
        <f aca="false">IF(AND(Tasks[[#This Row],[_IsLeaf]]=1,Tasks[[#This Row],[_ConstraintCode]]=1,Tasks[[#This Row],[Mode]]&lt;&gt;"Manual",N(Tasks[[#This Row],[Actual Start]])=0),MAX(0,N(Tasks[[#This Row],[Free Slack]])),0)</f>
        <v>0</v>
      </c>
      <c r="DG89" s="115" t="str">
        <f aca="false">IF(NOT(Tasks[[#This Row],[_IsLeaf]]=1),"",IF(Tasks[[#This Row],[_AlapShift]]=0,Tasks[[#This Row],[_LeafCalcStart]],WORKDAY.INTL(Tasks[[#This Row],[_LeafCalcStart]],Tasks[[#This Row],[_AlapShift]],WorkWeek,Holidays)))</f>
        <v/>
      </c>
      <c r="DH89" s="115" t="str">
        <f aca="false">IF(NOT(Tasks[[#This Row],[_IsLeaf]]=1),"",IF(Tasks[[#This Row],[_AlapShift]]=0,Tasks[[#This Row],[_LeafCalcFinish]],WORKDAY.INTL(Tasks[[#This Row],[_LeafCalcFinish]],Tasks[[#This Row],[_AlapShift]],WorkWeek,Holidays)))</f>
        <v/>
      </c>
      <c r="DI89" s="115" t="str">
        <f aca="false">IF(NOT(Tasks[[#This Row],[_IsLeaf]]=1),"",IF(Tasks[[#This Row],[_AlapShift]]=0,Tasks[[#This Row],[_LeafFcstStart]],WORKDAY.INTL(Tasks[[#This Row],[_LeafFcstStart]],Tasks[[#This Row],[_AlapShift]],WorkWeek,Holidays)))</f>
        <v/>
      </c>
      <c r="DJ89" s="115" t="str">
        <f aca="false">IF(NOT(Tasks[[#This Row],[_IsLeaf]]=1),"",IF(Tasks[[#This Row],[_AlapShift]]=0,Tasks[[#This Row],[_LeafFcstFinish]],WORKDAY.INTL(Tasks[[#This Row],[_LeafFcstFinish]],Tasks[[#This Row],[_AlapShift]],WorkWeek,Holidays)))</f>
        <v/>
      </c>
      <c r="DK89" s="115" t="str">
        <f aca="false">IF(Tasks[[#This Row],[Task Name]]="","",IF(Tasks[[#This Row],[_IsSummary]],MIN(INDEX(Tasks[_ShownCalcStart],Tasks[[#This Row],[_Row]]+1):INDEX(Tasks[_ShownCalcStart],Tasks[[#This Row],[_Row]]+Tasks[[#This Row],[_Descendants]])),Tasks[[#This Row],[_ShownCalcStart]]))</f>
        <v/>
      </c>
      <c r="DL89" s="115" t="str">
        <f aca="false">IF(Tasks[[#This Row],[Task Name]]="","",IF(Tasks[[#This Row],[_IsSummary]],MAX(INDEX(Tasks[_ShownCalcFinish],Tasks[[#This Row],[_Row]]+1):INDEX(Tasks[_ShownCalcFinish],Tasks[[#This Row],[_Row]]+Tasks[[#This Row],[_Descendants]])),Tasks[[#This Row],[_ShownCalcFinish]]))</f>
        <v/>
      </c>
      <c r="DM8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8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8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8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8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8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8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8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8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8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8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8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89" s="32" t="n">
        <f aca="false">IF(AND(Tasks[[#This Row],[_IsLeaf]]=1,Tasks[[#This Row],[_LeafTotalWork]]&gt;0),NETWORKDAYS.INTL(ProjectStart,Tasks[[#This Row],[_ShownFcstStart]],WorkWeek,Holidays),0)</f>
        <v>0</v>
      </c>
      <c r="DZ89" s="32" t="n">
        <f aca="false">IF(AND(Tasks[[#This Row],[_IsLeaf]]=1,Tasks[[#This Row],[_LeafTotalWork]]&gt;0),MAX(Tasks[[#This Row],[_StartWorkday]],NETWORKDAYS.INTL(ProjectStart,Tasks[[#This Row],[_ShownFcstFinish]],WorkWeek,Holidays)),0)</f>
        <v>0</v>
      </c>
      <c r="EA89" s="32" t="n">
        <f aca="false">IF(AND(Tasks[[#This Row],[_IsLeaf]]=1,Tasks[[#This Row],[_LeafTotalWork]]&gt;0),Tasks[[#This Row],[_LeafWork]]/(Tasks[[#This Row],[_FinishWorkday]]-Tasks[[#This Row],[_StartWorkday]]+1),0)</f>
        <v>0</v>
      </c>
      <c r="EB89" s="32" t="n">
        <f aca="false">Tasks[[#This Row],[_WorkPerWorkday]]*(Tasks[[#This Row],[_StartWorkday]]-1)</f>
        <v>-0</v>
      </c>
      <c r="EC89" s="32" t="n">
        <f aca="false">IF(Tasks[[#This Row],[_IsLeaf]]=1,MAX(N(Tasks[[#This Row],[Duration]]),0.1),0)</f>
        <v>0</v>
      </c>
      <c r="ED89" s="32" t="n">
        <f aca="false">Tasks[[#This Row],[_WeightDur]]*Tasks[[#This Row],[_LeafProgress]]</f>
        <v>0</v>
      </c>
      <c r="EE8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89" s="32" t="str">
        <f aca="false">IF(AND(Tasks[[#This Row],[_IsLeaf]]=1,N(Tasks[[#This Row],[Duration]])=0,Tasks[[#This Row],[_LeafProgress]]&lt;1),Tasks[[#This Row],[_ShownFcstFinish]]+Tasks[[#This Row],[_Row]]/100000,"")</f>
        <v/>
      </c>
      <c r="EG8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89" s="32" t="n">
        <f aca="false">IF(NOT(Tasks[[#This Row],[_IsLeaf]]=1),0,IF(Tasks[[#This Row],[Baseline Cost]]="",Tasks[[#This Row],[_LeafTotalCost]],N(Tasks[[#This Row],[Baseline Cost]])))</f>
        <v>0</v>
      </c>
      <c r="EI89" s="32" t="n">
        <f aca="false">Tasks[[#This Row],[_LeafBudget]]*Tasks[[#This Row],[_PlannedPct]]</f>
        <v>0</v>
      </c>
      <c r="EJ89" s="32" t="n">
        <f aca="false">Tasks[[#This Row],[_LeafBudget]]*Tasks[[#This Row],[_LeafProgress]]</f>
        <v>0</v>
      </c>
      <c r="EK89" s="32" t="n">
        <f aca="false">IF(NOT(Tasks[[#This Row],[_IsLeaf]]=1),0,IF(Tasks[[#This Row],[Actual Cost]]="",Tasks[[#This Row],[_LeafTotalCost]]*Tasks[[#This Row],[_LeafProgress]],N(Tasks[[#This Row],[Actual Cost]])))</f>
        <v>0</v>
      </c>
      <c r="EL89" s="32" t="str">
        <f aca="false">IF(Tasks[[#This Row],[Task Name]]="","",LEFT(Tasks[[#This Row],[WBS]],FIND(".",Tasks[[#This Row],[WBS]]&amp;".")-1))</f>
        <v/>
      </c>
      <c r="EM89" s="32" t="str">
        <f aca="false">IF(AND(Tasks[[#This Row],[Task Name]]&lt;&gt;"",Tasks[[#This Row],[_Level]]=1),Tasks[[#This Row],[_Row]],"")</f>
        <v/>
      </c>
      <c r="EN89" s="32" t="str">
        <f aca="false">IF(AND(Tasks[[#This Row],[_IsLeaf]]=1,N(Tasks[[#This Row],[Duration]])=0),Tasks[[#This Row],[Planned Finish]]+Tasks[[#This Row],[_Row]]/100000,"")</f>
        <v/>
      </c>
      <c r="EO89" s="32" t="str">
        <f aca="false">IF(AND(Tasks[[#This Row],[_IsLeaf]]=1,Tasks[[#This Row],[_LeafProgress]]&lt;1,OR(N(Tasks[[#This Row],[Finish Var]])&gt;0,Tasks[[#This Row],[Status]]="Late Start")),MAX(0,Tasks[[#This Row],[Finish Var]])+1-Tasks[[#This Row],[_Row]]/1000000,"")</f>
        <v/>
      </c>
      <c r="EP89" s="32" t="str">
        <f aca="false">IF(AND(Tasks[[#This Row],[_IsLeaf]]=1,N(Tasks[[#This Row],[Actual Start]])=0,Tasks[[#This Row],[_ShownFcstStart]]&gt;=StatusDate,Tasks[[#This Row],[_ShownFcstStart]]&lt;=LookaheadEnd),Tasks[[#This Row],[_ShownFcstStart]]+Tasks[[#This Row],[_Row]]/100000,"")</f>
        <v/>
      </c>
      <c r="EQ89" s="32" t="str">
        <f aca="false">IF(AND(Tasks[[#This Row],[_IsLeaf]]=1,Tasks[[#This Row],[_LeafProgress]]&lt;1,Tasks[[#This Row],[_ShownFcstFinish]]&gt;=StatusDate,Tasks[[#This Row],[_ShownFcstFinish]]&lt;=LookaheadEnd),Tasks[[#This Row],[_ShownFcstFinish]]+Tasks[[#This Row],[_Row]]/100000,"")</f>
        <v/>
      </c>
      <c r="ER89" s="32" t="str">
        <f aca="false">IF(Tasks[[#This Row],[_LeafCritical]],Tasks[[#This Row],[_ShownFcstStart]]+Tasks[[#This Row],[_Row]]/100000,"")</f>
        <v/>
      </c>
      <c r="ES89" s="32" t="n">
        <f aca="false">Tasks[[#This Row],[_LeafWork]]*Tasks[[#This Row],[_LeafProgress]]</f>
        <v>0</v>
      </c>
      <c r="ET89" s="115" t="str">
        <f aca="false">IF(AND(Tasks[[#This Row],[_IsLeaf]]=1,Tasks[[#This Row],[_LeafProgress]]&gt;=1),IF(N(Tasks[[#This Row],[Actual Finish]])&gt;0,Tasks[[#This Row],[Actual Finish]],Tasks[[#This Row],[_ShownFcstFinish]]),"")</f>
        <v/>
      </c>
      <c r="EU89" s="32" t="n">
        <f aca="false">IF(Tasks[[#This Row],[_IsLeaf]]=1,N(Tasks[[#This Row],[Story Points]]),0)</f>
        <v>0</v>
      </c>
      <c r="EV89" s="32" t="str">
        <f aca="false">IF(AND(Tasks[[#This Row],[_IsLeaf]]=1,CurrentSprint&lt;&gt;"",Tasks[[#This Row],[Sprint]]=CurrentSprint),Tasks[[#This Row],[_Row]],"")</f>
        <v/>
      </c>
    </row>
    <row r="90" customFormat="false" ht="15" hidden="false" customHeight="false" outlineLevel="0" collapsed="false">
      <c r="A90" s="45" t="str">
        <f aca="false">IF(Tasks[[#This Row],[Task Name]]="","",COUNTA(Tasks[[#Headers],[Task Name]]:Tasks[[#This Row],[Task Name]])-1)</f>
        <v/>
      </c>
      <c r="B90" s="46" t="n">
        <v>85</v>
      </c>
      <c r="C9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0" s="46"/>
      <c r="E90" s="45" t="str">
        <f aca="false">IF(Tasks[[#This Row],[Task Name]]="","",IF(Tasks[[#This Row],[_Level]]&lt;=OutlineShowLevel,"Yes","No"))</f>
        <v/>
      </c>
      <c r="F90" s="47"/>
      <c r="G90" s="46"/>
      <c r="H90" s="46"/>
      <c r="I90" s="46"/>
      <c r="J90" s="46"/>
      <c r="K90" s="46"/>
      <c r="L90" s="46"/>
      <c r="M90" s="46"/>
      <c r="N90" s="46"/>
      <c r="O90" s="46"/>
      <c r="P90" s="46"/>
      <c r="Q90" s="46"/>
      <c r="R90" s="46"/>
      <c r="S90" s="46"/>
      <c r="T90" s="46"/>
      <c r="U90" s="47"/>
      <c r="V90" s="88"/>
      <c r="W90" s="88"/>
      <c r="X90" s="25" t="str">
        <f aca="false">IF(Tasks[[#This Row],[Task Name]]="","",IF(N(Tasks[[#This Row],[Baseline Start]])&gt;0,Tasks[[#This Row],[Baseline Start]],Tasks[[#This Row],[_CalcStart]]))</f>
        <v/>
      </c>
      <c r="Y90" s="25" t="str">
        <f aca="false">IF(Tasks[[#This Row],[Task Name]]="","",IF(N(Tasks[[#This Row],[Baseline Finish]])&gt;0,Tasks[[#This Row],[Baseline Finish]],Tasks[[#This Row],[_CalcFinish]]))</f>
        <v/>
      </c>
      <c r="Z90" s="88"/>
      <c r="AA90" s="88"/>
      <c r="AB90" s="25" t="str">
        <f aca="false">IF(Tasks[[#This Row],[Task Name]]="","",IF(Tasks[[#This Row],[_IsSummary]],MIN(INDEX(Tasks[_ShownFcstStart],Tasks[[#This Row],[_Row]]+1):INDEX(Tasks[_ShownFcstStart],Tasks[[#This Row],[_Row]]+Tasks[[#This Row],[_Descendants]])),Tasks[[#This Row],[_ShownFcstStart]]))</f>
        <v/>
      </c>
      <c r="AC90" s="25" t="str">
        <f aca="false">IF(Tasks[[#This Row],[Task Name]]="","",IF(Tasks[[#This Row],[_IsSummary]],MAX(INDEX(Tasks[_ShownFcstFinish],Tasks[[#This Row],[_Row]]+1):INDEX(Tasks[_ShownFcstFinish],Tasks[[#This Row],[_Row]]+Tasks[[#This Row],[_Descendants]])),Tasks[[#This Row],[_ShownFcstFinish]]))</f>
        <v/>
      </c>
      <c r="AD9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0" s="25" t="str">
        <f aca="false">IF(Tasks[[#This Row],[Task Name]]="","",IF(Tasks[[#This Row],[_IsSummary]],MIN(INDEX(Tasks[_LeafLateStart],Tasks[[#This Row],[_Row]]+1):INDEX(Tasks[_LeafLateStart],Tasks[[#This Row],[_Row]]+Tasks[[#This Row],[_Descendants]])),Tasks[[#This Row],[_LeafLateStart]]))</f>
        <v/>
      </c>
      <c r="AG90" s="25" t="str">
        <f aca="false">IF(Tasks[[#This Row],[Task Name]]="","",IF(Tasks[[#This Row],[_IsSummary]],MAX(INDEX(Tasks[_LeafLateFinish],Tasks[[#This Row],[_Row]]+1):INDEX(Tasks[_LeafLateFinish],Tasks[[#This Row],[_Row]]+Tasks[[#This Row],[_Descendants]])),Tasks[[#This Row],[_LeafLateFinish]]))</f>
        <v/>
      </c>
      <c r="AH90" s="56" t="str">
        <f aca="false">IF(Tasks[[#This Row],[Task Name]]="","",IF(Tasks[[#This Row],[_IsSummary]],MIN(INDEX(Tasks[_LeafTotalSlack],Tasks[[#This Row],[_Row]]+1):INDEX(Tasks[_LeafTotalSlack],Tasks[[#This Row],[_Row]]+Tasks[[#This Row],[_Descendants]])),Tasks[[#This Row],[_LeafTotalSlack]]))</f>
        <v/>
      </c>
      <c r="AI9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0" s="45" t="str">
        <f aca="false">IF(Tasks[[#This Row],[Task Name]]="","",IF(IF(Tasks[[#This Row],[_IsSummary]],COUNTIF(INDEX(Tasks[_LeafCritical],Tasks[[#This Row],[_Row]]+1):INDEX(Tasks[_LeafCritical],Tasks[[#This Row],[_Row]]+Tasks[[#This Row],[_Descendants]]),TRUE())&gt;0,Tasks[[#This Row],[_LeafCritical]]),"Yes",""))</f>
        <v/>
      </c>
      <c r="AK9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0" s="102"/>
      <c r="AN9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0" s="45" t="str">
        <f aca="false">IF(Tasks[[#This Row],[Task Name]]="","",IF(Tasks[[#This Row],[Progress]]&gt;=1,"Complete",IF(OR(N(Tasks[[#This Row],[Actual Start]])&gt;0,Tasks[[#This Row],[Progress]]&gt;0),IF(Tasks[[#This Row],[Finish Var]]&gt;0,"Behind","In Progress"),IF(Tasks[[#This Row],[Planned Start]]&lt;StatusDate,"Late Start","Not Started"))))</f>
        <v/>
      </c>
      <c r="AP90" s="47"/>
      <c r="AQ90" s="102"/>
      <c r="AR9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0" s="110" t="str">
        <f aca="false">IF(Tasks[[#This Row],[Task Name]]="","",IF(Tasks[[#This Row],[_IsSummary]],SUM(INDEX(Tasks[_LeafTotalWork],Tasks[[#This Row],[_Row]]+1):INDEX(Tasks[_LeafTotalWork],Tasks[[#This Row],[_Row]]+Tasks[[#This Row],[_Descendants]])),Tasks[[#This Row],[_LeafTotalWork]]))</f>
        <v/>
      </c>
      <c r="AU90" s="111" t="str">
        <f aca="false">IF(Tasks[[#This Row],[Task Name]]="","",IF(Tasks[[#This Row],[_IsSummary]],SUM(INDEX(Tasks[_LeafTotalCost],Tasks[[#This Row],[_Row]]+1):INDEX(Tasks[_LeafTotalCost],Tasks[[#This Row],[_Row]]+Tasks[[#This Row],[_Descendants]])),Tasks[[#This Row],[_LeafTotalCost]]))</f>
        <v/>
      </c>
      <c r="AV90" s="112"/>
      <c r="AW90" s="46"/>
      <c r="AX9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0" s="96"/>
      <c r="AZ9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0" s="47"/>
      <c r="BB90" s="25" t="str">
        <f aca="false">IF(Tasks[[#This Row],[Task Name]]="","",Tasks[[#This Row],[Forecast Start]])</f>
        <v/>
      </c>
      <c r="BC90" s="25" t="str">
        <f aca="false">IF(Tasks[[#This Row],[Task Name]]="","",Tasks[[#This Row],[Forecast Finish]])</f>
        <v/>
      </c>
      <c r="BD90" s="45" t="str">
        <f aca="false">IF(Tasks[[#This Row],[Task Name]]="","",IF(Tasks[[#This Row],[_IsSummary]],NETWORKDAYS.INTL(Tasks[[#This Row],[Forecast Start]],Tasks[[#This Row],[Forecast Finish]],WorkWeek,Holidays),N(Tasks[[#This Row],[Duration]])))</f>
        <v/>
      </c>
      <c r="BE90" s="110" t="str">
        <f aca="false">IF(Tasks[[#This Row],[Task Name]]="","",Tasks[[#This Row],[Work]])</f>
        <v/>
      </c>
      <c r="BF90" s="111" t="str">
        <f aca="false">IF(Tasks[[#This Row],[Task Name]]="","",Tasks[[#This Row],[Cost]])</f>
        <v/>
      </c>
      <c r="BG90" s="88"/>
      <c r="BH90" s="88"/>
      <c r="BI90" s="46"/>
      <c r="BJ90" s="113"/>
      <c r="BK90" s="112"/>
      <c r="BL90" s="45" t="str">
        <f aca="false">IF(OR(Tasks[[#This Row],[Task Name]]="",Tasks[[#This Row],[Baseline Duration]]=""),"",Tasks[[#This Row],[BL Source Duration]]-N(Tasks[[#This Row],[Baseline Duration]]))</f>
        <v/>
      </c>
      <c r="BM90" s="110" t="str">
        <f aca="false">IF(OR(Tasks[[#This Row],[Task Name]]="",Tasks[[#This Row],[Baseline Work]]=""),"",Tasks[[#This Row],[Work]]-N(Tasks[[#This Row],[Baseline Work]]))</f>
        <v/>
      </c>
      <c r="BN90" s="111" t="str">
        <f aca="false">IF(OR(Tasks[[#This Row],[Task Name]]="",Tasks[[#This Row],[Baseline Cost]]=""),"",Tasks[[#This Row],[Cost]]-N(Tasks[[#This Row],[Baseline Cost]]))</f>
        <v/>
      </c>
      <c r="BO90" s="111" t="str">
        <f aca="false">IF(Tasks[[#This Row],[Task Name]]="","",IF(Tasks[[#This Row],[_IsSummary]],SUM(INDEX(Tasks[_LeafBudget],Tasks[[#This Row],[_Row]]+1):INDEX(Tasks[_LeafBudget],Tasks[[#This Row],[_Row]]+Tasks[[#This Row],[_Descendants]])),Tasks[[#This Row],[_LeafBudget]]))</f>
        <v/>
      </c>
      <c r="BP90" s="111" t="str">
        <f aca="false">IF(Tasks[[#This Row],[Task Name]]="","",IF(Tasks[[#This Row],[_IsSummary]],SUM(INDEX(Tasks[_LeafPV],Tasks[[#This Row],[_Row]]+1):INDEX(Tasks[_LeafPV],Tasks[[#This Row],[_Row]]+Tasks[[#This Row],[_Descendants]])),Tasks[[#This Row],[_LeafPV]]))</f>
        <v/>
      </c>
      <c r="BQ90" s="111" t="str">
        <f aca="false">IF(Tasks[[#This Row],[Task Name]]="","",IF(Tasks[[#This Row],[_IsSummary]],SUM(INDEX(Tasks[_LeafEV],Tasks[[#This Row],[_Row]]+1):INDEX(Tasks[_LeafEV],Tasks[[#This Row],[_Row]]+Tasks[[#This Row],[_Descendants]])),Tasks[[#This Row],[_LeafEV]]))</f>
        <v/>
      </c>
      <c r="BR90" s="111" t="str">
        <f aca="false">IF(Tasks[[#This Row],[Task Name]]="","",IF(Tasks[[#This Row],[_IsSummary]],SUM(INDEX(Tasks[_LeafAC],Tasks[[#This Row],[_Row]]+1):INDEX(Tasks[_LeafAC],Tasks[[#This Row],[_Row]]+Tasks[[#This Row],[_Descendants]])),Tasks[[#This Row],[_LeafAC]]))</f>
        <v/>
      </c>
      <c r="BS90" s="32" t="str">
        <f aca="false">IF(Tasks[[#This Row],[Task Name]]="","",MAX(1,N(Tasks[[#This Row],[Level]])))</f>
        <v/>
      </c>
      <c r="BT90" s="32" t="n">
        <f aca="false">ROW()-ROW(Tasks[[#Headers],[ID]])</f>
        <v>85</v>
      </c>
      <c r="BU90" s="32" t="n">
        <f aca="false">IF(OR(Tasks[[#This Row],[Task Name]]="",Tasks[[#This Row],[_Level]]&lt;=1),0,IFERROR(LOOKUP(2,1/(Tasks[[#Headers],[_Level]]:Tasks[[#This Row],[_Level]]=Tasks[[#This Row],[_Level]]-1),ROW(Tasks[[#Headers],[_Level]]:Tasks[[#This Row],[_Level]])),0))</f>
        <v>0</v>
      </c>
      <c r="BV90" s="32" t="n">
        <f aca="false">IFERROR(N(INDEX(Tasks[_Level],Tasks[[#This Row],[_Row]]+1)),0)</f>
        <v>0</v>
      </c>
      <c r="BW90" s="114" t="b">
        <f aca="false">AND(Tasks[[#This Row],[Task Name]]&lt;&gt;"",Tasks[[#This Row],[_NextLevel]]&gt;Tasks[[#This Row],[_Level]])</f>
        <v>0</v>
      </c>
      <c r="BX90" s="32" t="n">
        <f aca="false">IF(Tasks[[#This Row],[_IsSummary]],COUNTIF(Tasks[WBS],Tasks[[#This Row],[WBS]]&amp;".*"),0)</f>
        <v>0</v>
      </c>
      <c r="BY90" s="32" t="n">
        <f aca="false">IF(AND(Tasks[[#This Row],[Task Name]]&lt;&gt;"",NOT(Tasks[[#This Row],[_IsSummary]])),1,0)</f>
        <v>0</v>
      </c>
      <c r="BZ90" s="32" t="n">
        <f aca="false">IF(N(Tasks[[#This Row],[Pred1 UID]])=0,0,IFERROR(MATCH(Tasks[[#This Row],[Pred1 UID]],Tasks[UID],0),-1))</f>
        <v>0</v>
      </c>
      <c r="CA90" s="32" t="n">
        <f aca="false">IF(N(Tasks[[#This Row],[Pred2 UID]])=0,0,IFERROR(MATCH(Tasks[[#This Row],[Pred2 UID]],Tasks[UID],0),-1))</f>
        <v>0</v>
      </c>
      <c r="CB90" s="32" t="n">
        <f aca="false">IF(N(Tasks[[#This Row],[Pred3 UID]])=0,0,IFERROR(MATCH(Tasks[[#This Row],[Pred3 UID]],Tasks[UID],0),-1))</f>
        <v>0</v>
      </c>
      <c r="CC90" s="32" t="n">
        <f aca="false">IF(N(Tasks[[#This Row],[Pred4 UID]])=0,0,IFERROR(MATCH(Tasks[[#This Row],[Pred4 UID]],Tasks[UID],0),-1))</f>
        <v>0</v>
      </c>
      <c r="CD9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0" s="115" t="n">
        <f aca="false">IF(OR(Tasks[[#This Row],[_ConstraintCode]]=2,Tasks[[#This Row],[_ConstraintCode]]=3,Tasks[[#This Row],[_ConstraintCode]]=4,Tasks[[#This Row],[_ConstraintCode]]=6),Tasks[[#This Row],[_ConstraintStart]],0)</f>
        <v>0</v>
      </c>
      <c r="CG90" s="115" t="n">
        <f aca="false">IF(OR(Tasks[[#This Row],[_ConstraintCode]]=2,Tasks[[#This Row],[_ConstraintCode]]=3,Tasks[[#This Row],[_ConstraintCode]]=5,Tasks[[#This Row],[_ConstraintCode]]=7),Tasks[[#This Row],[_ConstraintStart]],2958465)</f>
        <v>2958465</v>
      </c>
      <c r="CH9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0" s="115" t="str">
        <f aca="false">IF(NOT(Tasks[[#This Row],[_IsLeaf]]=1),"",IF(N(Tasks[[#This Row],[Duration]])&lt;=0,Tasks[[#This Row],[_LeafCalcStart]],WORKDAY.INTL(Tasks[[#This Row],[_LeafCalcStart]],Tasks[[#This Row],[Duration]]-1,WorkWeek,Holidays)))</f>
        <v/>
      </c>
      <c r="CJ9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0" s="32" t="n">
        <f aca="false">IF(NOT(Tasks[[#This Row],[_IsLeaf]]=1),0,IF(N(Tasks[[#This Row],[Actual Finish]])&gt;0,1,MIN(1,N(Tasks[[#This Row],[% Complete]]))))</f>
        <v>0</v>
      </c>
      <c r="CM90" s="32" t="n">
        <f aca="false">IF(OR(NOT(Tasks[[#This Row],[_IsLeaf]]=1),Tasks[[#This Row],[Resource]]=""),0,N(Tasks[[#This Row],[Duration]])*HoursPerDay*IF(Tasks[[#This Row],[Units]]="",DefaultUnits,Tasks[[#This Row],[Units]]))</f>
        <v>0</v>
      </c>
      <c r="CN90" s="32" t="n">
        <f aca="false">IF(Tasks[[#This Row],[_LeafWork]]=0,0,Tasks[[#This Row],[_LeafWork]]*IFERROR(INDEX(res_Rate,MATCH(Tasks[[#This Row],[Resource]],res_Name,0)),0))</f>
        <v>0</v>
      </c>
      <c r="CO90" s="32" t="n">
        <f aca="false">Tasks[[#This Row],[_LeafWork]]+IF(Tasks[[#This Row],[_IsLeaf]]=1,SUMIFS(asg_Work,asg_TaskUID,Tasks[[#This Row],[UID]],asg_Valid,1),0)</f>
        <v>0</v>
      </c>
      <c r="CP90" s="32" t="n">
        <f aca="false">Tasks[[#This Row],[_LeafCost]]+IF(Tasks[[#This Row],[_IsLeaf]]=1,SUMIFS(asg_Cost,asg_TaskUID,Tasks[[#This Row],[UID]],asg_Valid,1),0)</f>
        <v>0</v>
      </c>
      <c r="CQ90" s="32" t="n">
        <f aca="false">IF(Tasks[[#This Row],[_LeafTotalCost]]=0,Tasks[[#This Row],[_LeafAC]],Tasks[[#This Row],[_LeafAC]]*Tasks[[#This Row],[_LeafCost]]/Tasks[[#This Row],[_LeafTotalCost]])</f>
        <v>0</v>
      </c>
      <c r="CR9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0" s="32" t="n">
        <f aca="false">IF(NOT(Tasks[[#This Row],[_IsLeaf]]=1),0,MAX(_xlfn.MAXIFS(Tasks[_Row],Tasks[Pred1 UID],Tasks[[#This Row],[UID]]),_xlfn.MAXIFS(Tasks[_Row],Tasks[Pred2 UID],Tasks[[#This Row],[UID]]),_xlfn.MAXIFS(Tasks[_Row],Tasks[Pred3 UID],Tasks[[#This Row],[UID]]),_xlfn.MAXIFS(Tasks[_Row],Tasks[Pred4 UID],Tasks[[#This Row],[UID]])))</f>
        <v>0</v>
      </c>
      <c r="DA9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0" s="115" t="str">
        <f aca="false">IF(NOT(Tasks[[#This Row],[_IsLeaf]]=1),"",IF(N(Tasks[[#This Row],[Duration]])&lt;=0,Tasks[[#This Row],[_LeafLateFinish]],WORKDAY.INTL(Tasks[[#This Row],[_LeafLateFinish]],-(Tasks[[#This Row],[Duration]]-1),WorkWeek,Holidays)))</f>
        <v/>
      </c>
      <c r="DD9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0" s="114" t="b">
        <f aca="false">AND(Tasks[[#This Row],[_IsLeaf]]=1,Tasks[[#This Row],[_LeafProgress]]&lt;1,N(Tasks[[#This Row],[_LeafTotalSlack]])&lt;=CriticalSlackDays)</f>
        <v>0</v>
      </c>
      <c r="DF90" s="32" t="n">
        <f aca="false">IF(AND(Tasks[[#This Row],[_IsLeaf]]=1,Tasks[[#This Row],[_ConstraintCode]]=1,Tasks[[#This Row],[Mode]]&lt;&gt;"Manual",N(Tasks[[#This Row],[Actual Start]])=0),MAX(0,N(Tasks[[#This Row],[Free Slack]])),0)</f>
        <v>0</v>
      </c>
      <c r="DG90" s="115" t="str">
        <f aca="false">IF(NOT(Tasks[[#This Row],[_IsLeaf]]=1),"",IF(Tasks[[#This Row],[_AlapShift]]=0,Tasks[[#This Row],[_LeafCalcStart]],WORKDAY.INTL(Tasks[[#This Row],[_LeafCalcStart]],Tasks[[#This Row],[_AlapShift]],WorkWeek,Holidays)))</f>
        <v/>
      </c>
      <c r="DH90" s="115" t="str">
        <f aca="false">IF(NOT(Tasks[[#This Row],[_IsLeaf]]=1),"",IF(Tasks[[#This Row],[_AlapShift]]=0,Tasks[[#This Row],[_LeafCalcFinish]],WORKDAY.INTL(Tasks[[#This Row],[_LeafCalcFinish]],Tasks[[#This Row],[_AlapShift]],WorkWeek,Holidays)))</f>
        <v/>
      </c>
      <c r="DI90" s="115" t="str">
        <f aca="false">IF(NOT(Tasks[[#This Row],[_IsLeaf]]=1),"",IF(Tasks[[#This Row],[_AlapShift]]=0,Tasks[[#This Row],[_LeafFcstStart]],WORKDAY.INTL(Tasks[[#This Row],[_LeafFcstStart]],Tasks[[#This Row],[_AlapShift]],WorkWeek,Holidays)))</f>
        <v/>
      </c>
      <c r="DJ90" s="115" t="str">
        <f aca="false">IF(NOT(Tasks[[#This Row],[_IsLeaf]]=1),"",IF(Tasks[[#This Row],[_AlapShift]]=0,Tasks[[#This Row],[_LeafFcstFinish]],WORKDAY.INTL(Tasks[[#This Row],[_LeafFcstFinish]],Tasks[[#This Row],[_AlapShift]],WorkWeek,Holidays)))</f>
        <v/>
      </c>
      <c r="DK90" s="115" t="str">
        <f aca="false">IF(Tasks[[#This Row],[Task Name]]="","",IF(Tasks[[#This Row],[_IsSummary]],MIN(INDEX(Tasks[_ShownCalcStart],Tasks[[#This Row],[_Row]]+1):INDEX(Tasks[_ShownCalcStart],Tasks[[#This Row],[_Row]]+Tasks[[#This Row],[_Descendants]])),Tasks[[#This Row],[_ShownCalcStart]]))</f>
        <v/>
      </c>
      <c r="DL90" s="115" t="str">
        <f aca="false">IF(Tasks[[#This Row],[Task Name]]="","",IF(Tasks[[#This Row],[_IsSummary]],MAX(INDEX(Tasks[_ShownCalcFinish],Tasks[[#This Row],[_Row]]+1):INDEX(Tasks[_ShownCalcFinish],Tasks[[#This Row],[_Row]]+Tasks[[#This Row],[_Descendants]])),Tasks[[#This Row],[_ShownCalcFinish]]))</f>
        <v/>
      </c>
      <c r="DM9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0" s="32" t="n">
        <f aca="false">IF(AND(Tasks[[#This Row],[_IsLeaf]]=1,Tasks[[#This Row],[_LeafTotalWork]]&gt;0),NETWORKDAYS.INTL(ProjectStart,Tasks[[#This Row],[_ShownFcstStart]],WorkWeek,Holidays),0)</f>
        <v>0</v>
      </c>
      <c r="DZ90" s="32" t="n">
        <f aca="false">IF(AND(Tasks[[#This Row],[_IsLeaf]]=1,Tasks[[#This Row],[_LeafTotalWork]]&gt;0),MAX(Tasks[[#This Row],[_StartWorkday]],NETWORKDAYS.INTL(ProjectStart,Tasks[[#This Row],[_ShownFcstFinish]],WorkWeek,Holidays)),0)</f>
        <v>0</v>
      </c>
      <c r="EA90" s="32" t="n">
        <f aca="false">IF(AND(Tasks[[#This Row],[_IsLeaf]]=1,Tasks[[#This Row],[_LeafTotalWork]]&gt;0),Tasks[[#This Row],[_LeafWork]]/(Tasks[[#This Row],[_FinishWorkday]]-Tasks[[#This Row],[_StartWorkday]]+1),0)</f>
        <v>0</v>
      </c>
      <c r="EB90" s="32" t="n">
        <f aca="false">Tasks[[#This Row],[_WorkPerWorkday]]*(Tasks[[#This Row],[_StartWorkday]]-1)</f>
        <v>-0</v>
      </c>
      <c r="EC90" s="32" t="n">
        <f aca="false">IF(Tasks[[#This Row],[_IsLeaf]]=1,MAX(N(Tasks[[#This Row],[Duration]]),0.1),0)</f>
        <v>0</v>
      </c>
      <c r="ED90" s="32" t="n">
        <f aca="false">Tasks[[#This Row],[_WeightDur]]*Tasks[[#This Row],[_LeafProgress]]</f>
        <v>0</v>
      </c>
      <c r="EE9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0" s="32" t="str">
        <f aca="false">IF(AND(Tasks[[#This Row],[_IsLeaf]]=1,N(Tasks[[#This Row],[Duration]])=0,Tasks[[#This Row],[_LeafProgress]]&lt;1),Tasks[[#This Row],[_ShownFcstFinish]]+Tasks[[#This Row],[_Row]]/100000,"")</f>
        <v/>
      </c>
      <c r="EG9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0" s="32" t="n">
        <f aca="false">IF(NOT(Tasks[[#This Row],[_IsLeaf]]=1),0,IF(Tasks[[#This Row],[Baseline Cost]]="",Tasks[[#This Row],[_LeafTotalCost]],N(Tasks[[#This Row],[Baseline Cost]])))</f>
        <v>0</v>
      </c>
      <c r="EI90" s="32" t="n">
        <f aca="false">Tasks[[#This Row],[_LeafBudget]]*Tasks[[#This Row],[_PlannedPct]]</f>
        <v>0</v>
      </c>
      <c r="EJ90" s="32" t="n">
        <f aca="false">Tasks[[#This Row],[_LeafBudget]]*Tasks[[#This Row],[_LeafProgress]]</f>
        <v>0</v>
      </c>
      <c r="EK90" s="32" t="n">
        <f aca="false">IF(NOT(Tasks[[#This Row],[_IsLeaf]]=1),0,IF(Tasks[[#This Row],[Actual Cost]]="",Tasks[[#This Row],[_LeafTotalCost]]*Tasks[[#This Row],[_LeafProgress]],N(Tasks[[#This Row],[Actual Cost]])))</f>
        <v>0</v>
      </c>
      <c r="EL90" s="32" t="str">
        <f aca="false">IF(Tasks[[#This Row],[Task Name]]="","",LEFT(Tasks[[#This Row],[WBS]],FIND(".",Tasks[[#This Row],[WBS]]&amp;".")-1))</f>
        <v/>
      </c>
      <c r="EM90" s="32" t="str">
        <f aca="false">IF(AND(Tasks[[#This Row],[Task Name]]&lt;&gt;"",Tasks[[#This Row],[_Level]]=1),Tasks[[#This Row],[_Row]],"")</f>
        <v/>
      </c>
      <c r="EN90" s="32" t="str">
        <f aca="false">IF(AND(Tasks[[#This Row],[_IsLeaf]]=1,N(Tasks[[#This Row],[Duration]])=0),Tasks[[#This Row],[Planned Finish]]+Tasks[[#This Row],[_Row]]/100000,"")</f>
        <v/>
      </c>
      <c r="EO90" s="32" t="str">
        <f aca="false">IF(AND(Tasks[[#This Row],[_IsLeaf]]=1,Tasks[[#This Row],[_LeafProgress]]&lt;1,OR(N(Tasks[[#This Row],[Finish Var]])&gt;0,Tasks[[#This Row],[Status]]="Late Start")),MAX(0,Tasks[[#This Row],[Finish Var]])+1-Tasks[[#This Row],[_Row]]/1000000,"")</f>
        <v/>
      </c>
      <c r="EP90" s="32" t="str">
        <f aca="false">IF(AND(Tasks[[#This Row],[_IsLeaf]]=1,N(Tasks[[#This Row],[Actual Start]])=0,Tasks[[#This Row],[_ShownFcstStart]]&gt;=StatusDate,Tasks[[#This Row],[_ShownFcstStart]]&lt;=LookaheadEnd),Tasks[[#This Row],[_ShownFcstStart]]+Tasks[[#This Row],[_Row]]/100000,"")</f>
        <v/>
      </c>
      <c r="EQ90" s="32" t="str">
        <f aca="false">IF(AND(Tasks[[#This Row],[_IsLeaf]]=1,Tasks[[#This Row],[_LeafProgress]]&lt;1,Tasks[[#This Row],[_ShownFcstFinish]]&gt;=StatusDate,Tasks[[#This Row],[_ShownFcstFinish]]&lt;=LookaheadEnd),Tasks[[#This Row],[_ShownFcstFinish]]+Tasks[[#This Row],[_Row]]/100000,"")</f>
        <v/>
      </c>
      <c r="ER90" s="32" t="str">
        <f aca="false">IF(Tasks[[#This Row],[_LeafCritical]],Tasks[[#This Row],[_ShownFcstStart]]+Tasks[[#This Row],[_Row]]/100000,"")</f>
        <v/>
      </c>
      <c r="ES90" s="32" t="n">
        <f aca="false">Tasks[[#This Row],[_LeafWork]]*Tasks[[#This Row],[_LeafProgress]]</f>
        <v>0</v>
      </c>
      <c r="ET90" s="115" t="str">
        <f aca="false">IF(AND(Tasks[[#This Row],[_IsLeaf]]=1,Tasks[[#This Row],[_LeafProgress]]&gt;=1),IF(N(Tasks[[#This Row],[Actual Finish]])&gt;0,Tasks[[#This Row],[Actual Finish]],Tasks[[#This Row],[_ShownFcstFinish]]),"")</f>
        <v/>
      </c>
      <c r="EU90" s="32" t="n">
        <f aca="false">IF(Tasks[[#This Row],[_IsLeaf]]=1,N(Tasks[[#This Row],[Story Points]]),0)</f>
        <v>0</v>
      </c>
      <c r="EV90" s="32" t="str">
        <f aca="false">IF(AND(Tasks[[#This Row],[_IsLeaf]]=1,CurrentSprint&lt;&gt;"",Tasks[[#This Row],[Sprint]]=CurrentSprint),Tasks[[#This Row],[_Row]],"")</f>
        <v/>
      </c>
    </row>
    <row r="91" customFormat="false" ht="15" hidden="false" customHeight="false" outlineLevel="0" collapsed="false">
      <c r="A91" s="45" t="str">
        <f aca="false">IF(Tasks[[#This Row],[Task Name]]="","",COUNTA(Tasks[[#Headers],[Task Name]]:Tasks[[#This Row],[Task Name]])-1)</f>
        <v/>
      </c>
      <c r="B91" s="46" t="n">
        <v>86</v>
      </c>
      <c r="C9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1" s="46"/>
      <c r="E91" s="45" t="str">
        <f aca="false">IF(Tasks[[#This Row],[Task Name]]="","",IF(Tasks[[#This Row],[_Level]]&lt;=OutlineShowLevel,"Yes","No"))</f>
        <v/>
      </c>
      <c r="F91" s="47"/>
      <c r="G91" s="46"/>
      <c r="H91" s="46"/>
      <c r="I91" s="46"/>
      <c r="J91" s="46"/>
      <c r="K91" s="46"/>
      <c r="L91" s="46"/>
      <c r="M91" s="46"/>
      <c r="N91" s="46"/>
      <c r="O91" s="46"/>
      <c r="P91" s="46"/>
      <c r="Q91" s="46"/>
      <c r="R91" s="46"/>
      <c r="S91" s="46"/>
      <c r="T91" s="46"/>
      <c r="U91" s="47"/>
      <c r="V91" s="88"/>
      <c r="W91" s="88"/>
      <c r="X91" s="25" t="str">
        <f aca="false">IF(Tasks[[#This Row],[Task Name]]="","",IF(N(Tasks[[#This Row],[Baseline Start]])&gt;0,Tasks[[#This Row],[Baseline Start]],Tasks[[#This Row],[_CalcStart]]))</f>
        <v/>
      </c>
      <c r="Y91" s="25" t="str">
        <f aca="false">IF(Tasks[[#This Row],[Task Name]]="","",IF(N(Tasks[[#This Row],[Baseline Finish]])&gt;0,Tasks[[#This Row],[Baseline Finish]],Tasks[[#This Row],[_CalcFinish]]))</f>
        <v/>
      </c>
      <c r="Z91" s="88"/>
      <c r="AA91" s="88"/>
      <c r="AB91" s="25" t="str">
        <f aca="false">IF(Tasks[[#This Row],[Task Name]]="","",IF(Tasks[[#This Row],[_IsSummary]],MIN(INDEX(Tasks[_ShownFcstStart],Tasks[[#This Row],[_Row]]+1):INDEX(Tasks[_ShownFcstStart],Tasks[[#This Row],[_Row]]+Tasks[[#This Row],[_Descendants]])),Tasks[[#This Row],[_ShownFcstStart]]))</f>
        <v/>
      </c>
      <c r="AC91" s="25" t="str">
        <f aca="false">IF(Tasks[[#This Row],[Task Name]]="","",IF(Tasks[[#This Row],[_IsSummary]],MAX(INDEX(Tasks[_ShownFcstFinish],Tasks[[#This Row],[_Row]]+1):INDEX(Tasks[_ShownFcstFinish],Tasks[[#This Row],[_Row]]+Tasks[[#This Row],[_Descendants]])),Tasks[[#This Row],[_ShownFcstFinish]]))</f>
        <v/>
      </c>
      <c r="AD9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1" s="25" t="str">
        <f aca="false">IF(Tasks[[#This Row],[Task Name]]="","",IF(Tasks[[#This Row],[_IsSummary]],MIN(INDEX(Tasks[_LeafLateStart],Tasks[[#This Row],[_Row]]+1):INDEX(Tasks[_LeafLateStart],Tasks[[#This Row],[_Row]]+Tasks[[#This Row],[_Descendants]])),Tasks[[#This Row],[_LeafLateStart]]))</f>
        <v/>
      </c>
      <c r="AG91" s="25" t="str">
        <f aca="false">IF(Tasks[[#This Row],[Task Name]]="","",IF(Tasks[[#This Row],[_IsSummary]],MAX(INDEX(Tasks[_LeafLateFinish],Tasks[[#This Row],[_Row]]+1):INDEX(Tasks[_LeafLateFinish],Tasks[[#This Row],[_Row]]+Tasks[[#This Row],[_Descendants]])),Tasks[[#This Row],[_LeafLateFinish]]))</f>
        <v/>
      </c>
      <c r="AH91" s="56" t="str">
        <f aca="false">IF(Tasks[[#This Row],[Task Name]]="","",IF(Tasks[[#This Row],[_IsSummary]],MIN(INDEX(Tasks[_LeafTotalSlack],Tasks[[#This Row],[_Row]]+1):INDEX(Tasks[_LeafTotalSlack],Tasks[[#This Row],[_Row]]+Tasks[[#This Row],[_Descendants]])),Tasks[[#This Row],[_LeafTotalSlack]]))</f>
        <v/>
      </c>
      <c r="AI9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1" s="45" t="str">
        <f aca="false">IF(Tasks[[#This Row],[Task Name]]="","",IF(IF(Tasks[[#This Row],[_IsSummary]],COUNTIF(INDEX(Tasks[_LeafCritical],Tasks[[#This Row],[_Row]]+1):INDEX(Tasks[_LeafCritical],Tasks[[#This Row],[_Row]]+Tasks[[#This Row],[_Descendants]]),TRUE())&gt;0,Tasks[[#This Row],[_LeafCritical]]),"Yes",""))</f>
        <v/>
      </c>
      <c r="AK9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1" s="102"/>
      <c r="AN9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1" s="45" t="str">
        <f aca="false">IF(Tasks[[#This Row],[Task Name]]="","",IF(Tasks[[#This Row],[Progress]]&gt;=1,"Complete",IF(OR(N(Tasks[[#This Row],[Actual Start]])&gt;0,Tasks[[#This Row],[Progress]]&gt;0),IF(Tasks[[#This Row],[Finish Var]]&gt;0,"Behind","In Progress"),IF(Tasks[[#This Row],[Planned Start]]&lt;StatusDate,"Late Start","Not Started"))))</f>
        <v/>
      </c>
      <c r="AP91" s="47"/>
      <c r="AQ91" s="102"/>
      <c r="AR9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1" s="110" t="str">
        <f aca="false">IF(Tasks[[#This Row],[Task Name]]="","",IF(Tasks[[#This Row],[_IsSummary]],SUM(INDEX(Tasks[_LeafTotalWork],Tasks[[#This Row],[_Row]]+1):INDEX(Tasks[_LeafTotalWork],Tasks[[#This Row],[_Row]]+Tasks[[#This Row],[_Descendants]])),Tasks[[#This Row],[_LeafTotalWork]]))</f>
        <v/>
      </c>
      <c r="AU91" s="111" t="str">
        <f aca="false">IF(Tasks[[#This Row],[Task Name]]="","",IF(Tasks[[#This Row],[_IsSummary]],SUM(INDEX(Tasks[_LeafTotalCost],Tasks[[#This Row],[_Row]]+1):INDEX(Tasks[_LeafTotalCost],Tasks[[#This Row],[_Row]]+Tasks[[#This Row],[_Descendants]])),Tasks[[#This Row],[_LeafTotalCost]]))</f>
        <v/>
      </c>
      <c r="AV91" s="112"/>
      <c r="AW91" s="46"/>
      <c r="AX9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1" s="96"/>
      <c r="AZ9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1" s="47"/>
      <c r="BB91" s="25" t="str">
        <f aca="false">IF(Tasks[[#This Row],[Task Name]]="","",Tasks[[#This Row],[Forecast Start]])</f>
        <v/>
      </c>
      <c r="BC91" s="25" t="str">
        <f aca="false">IF(Tasks[[#This Row],[Task Name]]="","",Tasks[[#This Row],[Forecast Finish]])</f>
        <v/>
      </c>
      <c r="BD91" s="45" t="str">
        <f aca="false">IF(Tasks[[#This Row],[Task Name]]="","",IF(Tasks[[#This Row],[_IsSummary]],NETWORKDAYS.INTL(Tasks[[#This Row],[Forecast Start]],Tasks[[#This Row],[Forecast Finish]],WorkWeek,Holidays),N(Tasks[[#This Row],[Duration]])))</f>
        <v/>
      </c>
      <c r="BE91" s="110" t="str">
        <f aca="false">IF(Tasks[[#This Row],[Task Name]]="","",Tasks[[#This Row],[Work]])</f>
        <v/>
      </c>
      <c r="BF91" s="111" t="str">
        <f aca="false">IF(Tasks[[#This Row],[Task Name]]="","",Tasks[[#This Row],[Cost]])</f>
        <v/>
      </c>
      <c r="BG91" s="88"/>
      <c r="BH91" s="88"/>
      <c r="BI91" s="46"/>
      <c r="BJ91" s="113"/>
      <c r="BK91" s="112"/>
      <c r="BL91" s="45" t="str">
        <f aca="false">IF(OR(Tasks[[#This Row],[Task Name]]="",Tasks[[#This Row],[Baseline Duration]]=""),"",Tasks[[#This Row],[BL Source Duration]]-N(Tasks[[#This Row],[Baseline Duration]]))</f>
        <v/>
      </c>
      <c r="BM91" s="110" t="str">
        <f aca="false">IF(OR(Tasks[[#This Row],[Task Name]]="",Tasks[[#This Row],[Baseline Work]]=""),"",Tasks[[#This Row],[Work]]-N(Tasks[[#This Row],[Baseline Work]]))</f>
        <v/>
      </c>
      <c r="BN91" s="111" t="str">
        <f aca="false">IF(OR(Tasks[[#This Row],[Task Name]]="",Tasks[[#This Row],[Baseline Cost]]=""),"",Tasks[[#This Row],[Cost]]-N(Tasks[[#This Row],[Baseline Cost]]))</f>
        <v/>
      </c>
      <c r="BO91" s="111" t="str">
        <f aca="false">IF(Tasks[[#This Row],[Task Name]]="","",IF(Tasks[[#This Row],[_IsSummary]],SUM(INDEX(Tasks[_LeafBudget],Tasks[[#This Row],[_Row]]+1):INDEX(Tasks[_LeafBudget],Tasks[[#This Row],[_Row]]+Tasks[[#This Row],[_Descendants]])),Tasks[[#This Row],[_LeafBudget]]))</f>
        <v/>
      </c>
      <c r="BP91" s="111" t="str">
        <f aca="false">IF(Tasks[[#This Row],[Task Name]]="","",IF(Tasks[[#This Row],[_IsSummary]],SUM(INDEX(Tasks[_LeafPV],Tasks[[#This Row],[_Row]]+1):INDEX(Tasks[_LeafPV],Tasks[[#This Row],[_Row]]+Tasks[[#This Row],[_Descendants]])),Tasks[[#This Row],[_LeafPV]]))</f>
        <v/>
      </c>
      <c r="BQ91" s="111" t="str">
        <f aca="false">IF(Tasks[[#This Row],[Task Name]]="","",IF(Tasks[[#This Row],[_IsSummary]],SUM(INDEX(Tasks[_LeafEV],Tasks[[#This Row],[_Row]]+1):INDEX(Tasks[_LeafEV],Tasks[[#This Row],[_Row]]+Tasks[[#This Row],[_Descendants]])),Tasks[[#This Row],[_LeafEV]]))</f>
        <v/>
      </c>
      <c r="BR91" s="111" t="str">
        <f aca="false">IF(Tasks[[#This Row],[Task Name]]="","",IF(Tasks[[#This Row],[_IsSummary]],SUM(INDEX(Tasks[_LeafAC],Tasks[[#This Row],[_Row]]+1):INDEX(Tasks[_LeafAC],Tasks[[#This Row],[_Row]]+Tasks[[#This Row],[_Descendants]])),Tasks[[#This Row],[_LeafAC]]))</f>
        <v/>
      </c>
      <c r="BS91" s="32" t="str">
        <f aca="false">IF(Tasks[[#This Row],[Task Name]]="","",MAX(1,N(Tasks[[#This Row],[Level]])))</f>
        <v/>
      </c>
      <c r="BT91" s="32" t="n">
        <f aca="false">ROW()-ROW(Tasks[[#Headers],[ID]])</f>
        <v>86</v>
      </c>
      <c r="BU91" s="32" t="n">
        <f aca="false">IF(OR(Tasks[[#This Row],[Task Name]]="",Tasks[[#This Row],[_Level]]&lt;=1),0,IFERROR(LOOKUP(2,1/(Tasks[[#Headers],[_Level]]:Tasks[[#This Row],[_Level]]=Tasks[[#This Row],[_Level]]-1),ROW(Tasks[[#Headers],[_Level]]:Tasks[[#This Row],[_Level]])),0))</f>
        <v>0</v>
      </c>
      <c r="BV91" s="32" t="n">
        <f aca="false">IFERROR(N(INDEX(Tasks[_Level],Tasks[[#This Row],[_Row]]+1)),0)</f>
        <v>0</v>
      </c>
      <c r="BW91" s="114" t="b">
        <f aca="false">AND(Tasks[[#This Row],[Task Name]]&lt;&gt;"",Tasks[[#This Row],[_NextLevel]]&gt;Tasks[[#This Row],[_Level]])</f>
        <v>0</v>
      </c>
      <c r="BX91" s="32" t="n">
        <f aca="false">IF(Tasks[[#This Row],[_IsSummary]],COUNTIF(Tasks[WBS],Tasks[[#This Row],[WBS]]&amp;".*"),0)</f>
        <v>0</v>
      </c>
      <c r="BY91" s="32" t="n">
        <f aca="false">IF(AND(Tasks[[#This Row],[Task Name]]&lt;&gt;"",NOT(Tasks[[#This Row],[_IsSummary]])),1,0)</f>
        <v>0</v>
      </c>
      <c r="BZ91" s="32" t="n">
        <f aca="false">IF(N(Tasks[[#This Row],[Pred1 UID]])=0,0,IFERROR(MATCH(Tasks[[#This Row],[Pred1 UID]],Tasks[UID],0),-1))</f>
        <v>0</v>
      </c>
      <c r="CA91" s="32" t="n">
        <f aca="false">IF(N(Tasks[[#This Row],[Pred2 UID]])=0,0,IFERROR(MATCH(Tasks[[#This Row],[Pred2 UID]],Tasks[UID],0),-1))</f>
        <v>0</v>
      </c>
      <c r="CB91" s="32" t="n">
        <f aca="false">IF(N(Tasks[[#This Row],[Pred3 UID]])=0,0,IFERROR(MATCH(Tasks[[#This Row],[Pred3 UID]],Tasks[UID],0),-1))</f>
        <v>0</v>
      </c>
      <c r="CC91" s="32" t="n">
        <f aca="false">IF(N(Tasks[[#This Row],[Pred4 UID]])=0,0,IFERROR(MATCH(Tasks[[#This Row],[Pred4 UID]],Tasks[UID],0),-1))</f>
        <v>0</v>
      </c>
      <c r="CD9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1" s="115" t="n">
        <f aca="false">IF(OR(Tasks[[#This Row],[_ConstraintCode]]=2,Tasks[[#This Row],[_ConstraintCode]]=3,Tasks[[#This Row],[_ConstraintCode]]=4,Tasks[[#This Row],[_ConstraintCode]]=6),Tasks[[#This Row],[_ConstraintStart]],0)</f>
        <v>0</v>
      </c>
      <c r="CG91" s="115" t="n">
        <f aca="false">IF(OR(Tasks[[#This Row],[_ConstraintCode]]=2,Tasks[[#This Row],[_ConstraintCode]]=3,Tasks[[#This Row],[_ConstraintCode]]=5,Tasks[[#This Row],[_ConstraintCode]]=7),Tasks[[#This Row],[_ConstraintStart]],2958465)</f>
        <v>2958465</v>
      </c>
      <c r="CH9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1" s="115" t="str">
        <f aca="false">IF(NOT(Tasks[[#This Row],[_IsLeaf]]=1),"",IF(N(Tasks[[#This Row],[Duration]])&lt;=0,Tasks[[#This Row],[_LeafCalcStart]],WORKDAY.INTL(Tasks[[#This Row],[_LeafCalcStart]],Tasks[[#This Row],[Duration]]-1,WorkWeek,Holidays)))</f>
        <v/>
      </c>
      <c r="CJ9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1" s="32" t="n">
        <f aca="false">IF(NOT(Tasks[[#This Row],[_IsLeaf]]=1),0,IF(N(Tasks[[#This Row],[Actual Finish]])&gt;0,1,MIN(1,N(Tasks[[#This Row],[% Complete]]))))</f>
        <v>0</v>
      </c>
      <c r="CM91" s="32" t="n">
        <f aca="false">IF(OR(NOT(Tasks[[#This Row],[_IsLeaf]]=1),Tasks[[#This Row],[Resource]]=""),0,N(Tasks[[#This Row],[Duration]])*HoursPerDay*IF(Tasks[[#This Row],[Units]]="",DefaultUnits,Tasks[[#This Row],[Units]]))</f>
        <v>0</v>
      </c>
      <c r="CN91" s="32" t="n">
        <f aca="false">IF(Tasks[[#This Row],[_LeafWork]]=0,0,Tasks[[#This Row],[_LeafWork]]*IFERROR(INDEX(res_Rate,MATCH(Tasks[[#This Row],[Resource]],res_Name,0)),0))</f>
        <v>0</v>
      </c>
      <c r="CO91" s="32" t="n">
        <f aca="false">Tasks[[#This Row],[_LeafWork]]+IF(Tasks[[#This Row],[_IsLeaf]]=1,SUMIFS(asg_Work,asg_TaskUID,Tasks[[#This Row],[UID]],asg_Valid,1),0)</f>
        <v>0</v>
      </c>
      <c r="CP91" s="32" t="n">
        <f aca="false">Tasks[[#This Row],[_LeafCost]]+IF(Tasks[[#This Row],[_IsLeaf]]=1,SUMIFS(asg_Cost,asg_TaskUID,Tasks[[#This Row],[UID]],asg_Valid,1),0)</f>
        <v>0</v>
      </c>
      <c r="CQ91" s="32" t="n">
        <f aca="false">IF(Tasks[[#This Row],[_LeafTotalCost]]=0,Tasks[[#This Row],[_LeafAC]],Tasks[[#This Row],[_LeafAC]]*Tasks[[#This Row],[_LeafCost]]/Tasks[[#This Row],[_LeafTotalCost]])</f>
        <v>0</v>
      </c>
      <c r="CR9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1" s="32" t="n">
        <f aca="false">IF(NOT(Tasks[[#This Row],[_IsLeaf]]=1),0,MAX(_xlfn.MAXIFS(Tasks[_Row],Tasks[Pred1 UID],Tasks[[#This Row],[UID]]),_xlfn.MAXIFS(Tasks[_Row],Tasks[Pred2 UID],Tasks[[#This Row],[UID]]),_xlfn.MAXIFS(Tasks[_Row],Tasks[Pred3 UID],Tasks[[#This Row],[UID]]),_xlfn.MAXIFS(Tasks[_Row],Tasks[Pred4 UID],Tasks[[#This Row],[UID]])))</f>
        <v>0</v>
      </c>
      <c r="DA9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1" s="115" t="str">
        <f aca="false">IF(NOT(Tasks[[#This Row],[_IsLeaf]]=1),"",IF(N(Tasks[[#This Row],[Duration]])&lt;=0,Tasks[[#This Row],[_LeafLateFinish]],WORKDAY.INTL(Tasks[[#This Row],[_LeafLateFinish]],-(Tasks[[#This Row],[Duration]]-1),WorkWeek,Holidays)))</f>
        <v/>
      </c>
      <c r="DD9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1" s="114" t="b">
        <f aca="false">AND(Tasks[[#This Row],[_IsLeaf]]=1,Tasks[[#This Row],[_LeafProgress]]&lt;1,N(Tasks[[#This Row],[_LeafTotalSlack]])&lt;=CriticalSlackDays)</f>
        <v>0</v>
      </c>
      <c r="DF91" s="32" t="n">
        <f aca="false">IF(AND(Tasks[[#This Row],[_IsLeaf]]=1,Tasks[[#This Row],[_ConstraintCode]]=1,Tasks[[#This Row],[Mode]]&lt;&gt;"Manual",N(Tasks[[#This Row],[Actual Start]])=0),MAX(0,N(Tasks[[#This Row],[Free Slack]])),0)</f>
        <v>0</v>
      </c>
      <c r="DG91" s="115" t="str">
        <f aca="false">IF(NOT(Tasks[[#This Row],[_IsLeaf]]=1),"",IF(Tasks[[#This Row],[_AlapShift]]=0,Tasks[[#This Row],[_LeafCalcStart]],WORKDAY.INTL(Tasks[[#This Row],[_LeafCalcStart]],Tasks[[#This Row],[_AlapShift]],WorkWeek,Holidays)))</f>
        <v/>
      </c>
      <c r="DH91" s="115" t="str">
        <f aca="false">IF(NOT(Tasks[[#This Row],[_IsLeaf]]=1),"",IF(Tasks[[#This Row],[_AlapShift]]=0,Tasks[[#This Row],[_LeafCalcFinish]],WORKDAY.INTL(Tasks[[#This Row],[_LeafCalcFinish]],Tasks[[#This Row],[_AlapShift]],WorkWeek,Holidays)))</f>
        <v/>
      </c>
      <c r="DI91" s="115" t="str">
        <f aca="false">IF(NOT(Tasks[[#This Row],[_IsLeaf]]=1),"",IF(Tasks[[#This Row],[_AlapShift]]=0,Tasks[[#This Row],[_LeafFcstStart]],WORKDAY.INTL(Tasks[[#This Row],[_LeafFcstStart]],Tasks[[#This Row],[_AlapShift]],WorkWeek,Holidays)))</f>
        <v/>
      </c>
      <c r="DJ91" s="115" t="str">
        <f aca="false">IF(NOT(Tasks[[#This Row],[_IsLeaf]]=1),"",IF(Tasks[[#This Row],[_AlapShift]]=0,Tasks[[#This Row],[_LeafFcstFinish]],WORKDAY.INTL(Tasks[[#This Row],[_LeafFcstFinish]],Tasks[[#This Row],[_AlapShift]],WorkWeek,Holidays)))</f>
        <v/>
      </c>
      <c r="DK91" s="115" t="str">
        <f aca="false">IF(Tasks[[#This Row],[Task Name]]="","",IF(Tasks[[#This Row],[_IsSummary]],MIN(INDEX(Tasks[_ShownCalcStart],Tasks[[#This Row],[_Row]]+1):INDEX(Tasks[_ShownCalcStart],Tasks[[#This Row],[_Row]]+Tasks[[#This Row],[_Descendants]])),Tasks[[#This Row],[_ShownCalcStart]]))</f>
        <v/>
      </c>
      <c r="DL91" s="115" t="str">
        <f aca="false">IF(Tasks[[#This Row],[Task Name]]="","",IF(Tasks[[#This Row],[_IsSummary]],MAX(INDEX(Tasks[_ShownCalcFinish],Tasks[[#This Row],[_Row]]+1):INDEX(Tasks[_ShownCalcFinish],Tasks[[#This Row],[_Row]]+Tasks[[#This Row],[_Descendants]])),Tasks[[#This Row],[_ShownCalcFinish]]))</f>
        <v/>
      </c>
      <c r="DM9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1" s="32" t="n">
        <f aca="false">IF(AND(Tasks[[#This Row],[_IsLeaf]]=1,Tasks[[#This Row],[_LeafTotalWork]]&gt;0),NETWORKDAYS.INTL(ProjectStart,Tasks[[#This Row],[_ShownFcstStart]],WorkWeek,Holidays),0)</f>
        <v>0</v>
      </c>
      <c r="DZ91" s="32" t="n">
        <f aca="false">IF(AND(Tasks[[#This Row],[_IsLeaf]]=1,Tasks[[#This Row],[_LeafTotalWork]]&gt;0),MAX(Tasks[[#This Row],[_StartWorkday]],NETWORKDAYS.INTL(ProjectStart,Tasks[[#This Row],[_ShownFcstFinish]],WorkWeek,Holidays)),0)</f>
        <v>0</v>
      </c>
      <c r="EA91" s="32" t="n">
        <f aca="false">IF(AND(Tasks[[#This Row],[_IsLeaf]]=1,Tasks[[#This Row],[_LeafTotalWork]]&gt;0),Tasks[[#This Row],[_LeafWork]]/(Tasks[[#This Row],[_FinishWorkday]]-Tasks[[#This Row],[_StartWorkday]]+1),0)</f>
        <v>0</v>
      </c>
      <c r="EB91" s="32" t="n">
        <f aca="false">Tasks[[#This Row],[_WorkPerWorkday]]*(Tasks[[#This Row],[_StartWorkday]]-1)</f>
        <v>-0</v>
      </c>
      <c r="EC91" s="32" t="n">
        <f aca="false">IF(Tasks[[#This Row],[_IsLeaf]]=1,MAX(N(Tasks[[#This Row],[Duration]]),0.1),0)</f>
        <v>0</v>
      </c>
      <c r="ED91" s="32" t="n">
        <f aca="false">Tasks[[#This Row],[_WeightDur]]*Tasks[[#This Row],[_LeafProgress]]</f>
        <v>0</v>
      </c>
      <c r="EE9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1" s="32" t="str">
        <f aca="false">IF(AND(Tasks[[#This Row],[_IsLeaf]]=1,N(Tasks[[#This Row],[Duration]])=0,Tasks[[#This Row],[_LeafProgress]]&lt;1),Tasks[[#This Row],[_ShownFcstFinish]]+Tasks[[#This Row],[_Row]]/100000,"")</f>
        <v/>
      </c>
      <c r="EG9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1" s="32" t="n">
        <f aca="false">IF(NOT(Tasks[[#This Row],[_IsLeaf]]=1),0,IF(Tasks[[#This Row],[Baseline Cost]]="",Tasks[[#This Row],[_LeafTotalCost]],N(Tasks[[#This Row],[Baseline Cost]])))</f>
        <v>0</v>
      </c>
      <c r="EI91" s="32" t="n">
        <f aca="false">Tasks[[#This Row],[_LeafBudget]]*Tasks[[#This Row],[_PlannedPct]]</f>
        <v>0</v>
      </c>
      <c r="EJ91" s="32" t="n">
        <f aca="false">Tasks[[#This Row],[_LeafBudget]]*Tasks[[#This Row],[_LeafProgress]]</f>
        <v>0</v>
      </c>
      <c r="EK91" s="32" t="n">
        <f aca="false">IF(NOT(Tasks[[#This Row],[_IsLeaf]]=1),0,IF(Tasks[[#This Row],[Actual Cost]]="",Tasks[[#This Row],[_LeafTotalCost]]*Tasks[[#This Row],[_LeafProgress]],N(Tasks[[#This Row],[Actual Cost]])))</f>
        <v>0</v>
      </c>
      <c r="EL91" s="32" t="str">
        <f aca="false">IF(Tasks[[#This Row],[Task Name]]="","",LEFT(Tasks[[#This Row],[WBS]],FIND(".",Tasks[[#This Row],[WBS]]&amp;".")-1))</f>
        <v/>
      </c>
      <c r="EM91" s="32" t="str">
        <f aca="false">IF(AND(Tasks[[#This Row],[Task Name]]&lt;&gt;"",Tasks[[#This Row],[_Level]]=1),Tasks[[#This Row],[_Row]],"")</f>
        <v/>
      </c>
      <c r="EN91" s="32" t="str">
        <f aca="false">IF(AND(Tasks[[#This Row],[_IsLeaf]]=1,N(Tasks[[#This Row],[Duration]])=0),Tasks[[#This Row],[Planned Finish]]+Tasks[[#This Row],[_Row]]/100000,"")</f>
        <v/>
      </c>
      <c r="EO91" s="32" t="str">
        <f aca="false">IF(AND(Tasks[[#This Row],[_IsLeaf]]=1,Tasks[[#This Row],[_LeafProgress]]&lt;1,OR(N(Tasks[[#This Row],[Finish Var]])&gt;0,Tasks[[#This Row],[Status]]="Late Start")),MAX(0,Tasks[[#This Row],[Finish Var]])+1-Tasks[[#This Row],[_Row]]/1000000,"")</f>
        <v/>
      </c>
      <c r="EP91" s="32" t="str">
        <f aca="false">IF(AND(Tasks[[#This Row],[_IsLeaf]]=1,N(Tasks[[#This Row],[Actual Start]])=0,Tasks[[#This Row],[_ShownFcstStart]]&gt;=StatusDate,Tasks[[#This Row],[_ShownFcstStart]]&lt;=LookaheadEnd),Tasks[[#This Row],[_ShownFcstStart]]+Tasks[[#This Row],[_Row]]/100000,"")</f>
        <v/>
      </c>
      <c r="EQ91" s="32" t="str">
        <f aca="false">IF(AND(Tasks[[#This Row],[_IsLeaf]]=1,Tasks[[#This Row],[_LeafProgress]]&lt;1,Tasks[[#This Row],[_ShownFcstFinish]]&gt;=StatusDate,Tasks[[#This Row],[_ShownFcstFinish]]&lt;=LookaheadEnd),Tasks[[#This Row],[_ShownFcstFinish]]+Tasks[[#This Row],[_Row]]/100000,"")</f>
        <v/>
      </c>
      <c r="ER91" s="32" t="str">
        <f aca="false">IF(Tasks[[#This Row],[_LeafCritical]],Tasks[[#This Row],[_ShownFcstStart]]+Tasks[[#This Row],[_Row]]/100000,"")</f>
        <v/>
      </c>
      <c r="ES91" s="32" t="n">
        <f aca="false">Tasks[[#This Row],[_LeafWork]]*Tasks[[#This Row],[_LeafProgress]]</f>
        <v>0</v>
      </c>
      <c r="ET91" s="115" t="str">
        <f aca="false">IF(AND(Tasks[[#This Row],[_IsLeaf]]=1,Tasks[[#This Row],[_LeafProgress]]&gt;=1),IF(N(Tasks[[#This Row],[Actual Finish]])&gt;0,Tasks[[#This Row],[Actual Finish]],Tasks[[#This Row],[_ShownFcstFinish]]),"")</f>
        <v/>
      </c>
      <c r="EU91" s="32" t="n">
        <f aca="false">IF(Tasks[[#This Row],[_IsLeaf]]=1,N(Tasks[[#This Row],[Story Points]]),0)</f>
        <v>0</v>
      </c>
      <c r="EV91" s="32" t="str">
        <f aca="false">IF(AND(Tasks[[#This Row],[_IsLeaf]]=1,CurrentSprint&lt;&gt;"",Tasks[[#This Row],[Sprint]]=CurrentSprint),Tasks[[#This Row],[_Row]],"")</f>
        <v/>
      </c>
    </row>
    <row r="92" customFormat="false" ht="15" hidden="false" customHeight="false" outlineLevel="0" collapsed="false">
      <c r="A92" s="45" t="str">
        <f aca="false">IF(Tasks[[#This Row],[Task Name]]="","",COUNTA(Tasks[[#Headers],[Task Name]]:Tasks[[#This Row],[Task Name]])-1)</f>
        <v/>
      </c>
      <c r="B92" s="46" t="n">
        <v>87</v>
      </c>
      <c r="C9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2" s="46"/>
      <c r="E92" s="45" t="str">
        <f aca="false">IF(Tasks[[#This Row],[Task Name]]="","",IF(Tasks[[#This Row],[_Level]]&lt;=OutlineShowLevel,"Yes","No"))</f>
        <v/>
      </c>
      <c r="F92" s="47"/>
      <c r="G92" s="46"/>
      <c r="H92" s="46"/>
      <c r="I92" s="46"/>
      <c r="J92" s="46"/>
      <c r="K92" s="46"/>
      <c r="L92" s="46"/>
      <c r="M92" s="46"/>
      <c r="N92" s="46"/>
      <c r="O92" s="46"/>
      <c r="P92" s="46"/>
      <c r="Q92" s="46"/>
      <c r="R92" s="46"/>
      <c r="S92" s="46"/>
      <c r="T92" s="46"/>
      <c r="U92" s="47"/>
      <c r="V92" s="88"/>
      <c r="W92" s="88"/>
      <c r="X92" s="25" t="str">
        <f aca="false">IF(Tasks[[#This Row],[Task Name]]="","",IF(N(Tasks[[#This Row],[Baseline Start]])&gt;0,Tasks[[#This Row],[Baseline Start]],Tasks[[#This Row],[_CalcStart]]))</f>
        <v/>
      </c>
      <c r="Y92" s="25" t="str">
        <f aca="false">IF(Tasks[[#This Row],[Task Name]]="","",IF(N(Tasks[[#This Row],[Baseline Finish]])&gt;0,Tasks[[#This Row],[Baseline Finish]],Tasks[[#This Row],[_CalcFinish]]))</f>
        <v/>
      </c>
      <c r="Z92" s="88"/>
      <c r="AA92" s="88"/>
      <c r="AB92" s="25" t="str">
        <f aca="false">IF(Tasks[[#This Row],[Task Name]]="","",IF(Tasks[[#This Row],[_IsSummary]],MIN(INDEX(Tasks[_ShownFcstStart],Tasks[[#This Row],[_Row]]+1):INDEX(Tasks[_ShownFcstStart],Tasks[[#This Row],[_Row]]+Tasks[[#This Row],[_Descendants]])),Tasks[[#This Row],[_ShownFcstStart]]))</f>
        <v/>
      </c>
      <c r="AC92" s="25" t="str">
        <f aca="false">IF(Tasks[[#This Row],[Task Name]]="","",IF(Tasks[[#This Row],[_IsSummary]],MAX(INDEX(Tasks[_ShownFcstFinish],Tasks[[#This Row],[_Row]]+1):INDEX(Tasks[_ShownFcstFinish],Tasks[[#This Row],[_Row]]+Tasks[[#This Row],[_Descendants]])),Tasks[[#This Row],[_ShownFcstFinish]]))</f>
        <v/>
      </c>
      <c r="AD9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2" s="25" t="str">
        <f aca="false">IF(Tasks[[#This Row],[Task Name]]="","",IF(Tasks[[#This Row],[_IsSummary]],MIN(INDEX(Tasks[_LeafLateStart],Tasks[[#This Row],[_Row]]+1):INDEX(Tasks[_LeafLateStart],Tasks[[#This Row],[_Row]]+Tasks[[#This Row],[_Descendants]])),Tasks[[#This Row],[_LeafLateStart]]))</f>
        <v/>
      </c>
      <c r="AG92" s="25" t="str">
        <f aca="false">IF(Tasks[[#This Row],[Task Name]]="","",IF(Tasks[[#This Row],[_IsSummary]],MAX(INDEX(Tasks[_LeafLateFinish],Tasks[[#This Row],[_Row]]+1):INDEX(Tasks[_LeafLateFinish],Tasks[[#This Row],[_Row]]+Tasks[[#This Row],[_Descendants]])),Tasks[[#This Row],[_LeafLateFinish]]))</f>
        <v/>
      </c>
      <c r="AH92" s="56" t="str">
        <f aca="false">IF(Tasks[[#This Row],[Task Name]]="","",IF(Tasks[[#This Row],[_IsSummary]],MIN(INDEX(Tasks[_LeafTotalSlack],Tasks[[#This Row],[_Row]]+1):INDEX(Tasks[_LeafTotalSlack],Tasks[[#This Row],[_Row]]+Tasks[[#This Row],[_Descendants]])),Tasks[[#This Row],[_LeafTotalSlack]]))</f>
        <v/>
      </c>
      <c r="AI9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2" s="45" t="str">
        <f aca="false">IF(Tasks[[#This Row],[Task Name]]="","",IF(IF(Tasks[[#This Row],[_IsSummary]],COUNTIF(INDEX(Tasks[_LeafCritical],Tasks[[#This Row],[_Row]]+1):INDEX(Tasks[_LeafCritical],Tasks[[#This Row],[_Row]]+Tasks[[#This Row],[_Descendants]]),TRUE())&gt;0,Tasks[[#This Row],[_LeafCritical]]),"Yes",""))</f>
        <v/>
      </c>
      <c r="AK9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2" s="102"/>
      <c r="AN9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2" s="45" t="str">
        <f aca="false">IF(Tasks[[#This Row],[Task Name]]="","",IF(Tasks[[#This Row],[Progress]]&gt;=1,"Complete",IF(OR(N(Tasks[[#This Row],[Actual Start]])&gt;0,Tasks[[#This Row],[Progress]]&gt;0),IF(Tasks[[#This Row],[Finish Var]]&gt;0,"Behind","In Progress"),IF(Tasks[[#This Row],[Planned Start]]&lt;StatusDate,"Late Start","Not Started"))))</f>
        <v/>
      </c>
      <c r="AP92" s="47"/>
      <c r="AQ92" s="102"/>
      <c r="AR9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2" s="110" t="str">
        <f aca="false">IF(Tasks[[#This Row],[Task Name]]="","",IF(Tasks[[#This Row],[_IsSummary]],SUM(INDEX(Tasks[_LeafTotalWork],Tasks[[#This Row],[_Row]]+1):INDEX(Tasks[_LeafTotalWork],Tasks[[#This Row],[_Row]]+Tasks[[#This Row],[_Descendants]])),Tasks[[#This Row],[_LeafTotalWork]]))</f>
        <v/>
      </c>
      <c r="AU92" s="111" t="str">
        <f aca="false">IF(Tasks[[#This Row],[Task Name]]="","",IF(Tasks[[#This Row],[_IsSummary]],SUM(INDEX(Tasks[_LeafTotalCost],Tasks[[#This Row],[_Row]]+1):INDEX(Tasks[_LeafTotalCost],Tasks[[#This Row],[_Row]]+Tasks[[#This Row],[_Descendants]])),Tasks[[#This Row],[_LeafTotalCost]]))</f>
        <v/>
      </c>
      <c r="AV92" s="112"/>
      <c r="AW92" s="46"/>
      <c r="AX9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2" s="96"/>
      <c r="AZ9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2" s="47"/>
      <c r="BB92" s="25" t="str">
        <f aca="false">IF(Tasks[[#This Row],[Task Name]]="","",Tasks[[#This Row],[Forecast Start]])</f>
        <v/>
      </c>
      <c r="BC92" s="25" t="str">
        <f aca="false">IF(Tasks[[#This Row],[Task Name]]="","",Tasks[[#This Row],[Forecast Finish]])</f>
        <v/>
      </c>
      <c r="BD92" s="45" t="str">
        <f aca="false">IF(Tasks[[#This Row],[Task Name]]="","",IF(Tasks[[#This Row],[_IsSummary]],NETWORKDAYS.INTL(Tasks[[#This Row],[Forecast Start]],Tasks[[#This Row],[Forecast Finish]],WorkWeek,Holidays),N(Tasks[[#This Row],[Duration]])))</f>
        <v/>
      </c>
      <c r="BE92" s="110" t="str">
        <f aca="false">IF(Tasks[[#This Row],[Task Name]]="","",Tasks[[#This Row],[Work]])</f>
        <v/>
      </c>
      <c r="BF92" s="111" t="str">
        <f aca="false">IF(Tasks[[#This Row],[Task Name]]="","",Tasks[[#This Row],[Cost]])</f>
        <v/>
      </c>
      <c r="BG92" s="88"/>
      <c r="BH92" s="88"/>
      <c r="BI92" s="46"/>
      <c r="BJ92" s="113"/>
      <c r="BK92" s="112"/>
      <c r="BL92" s="45" t="str">
        <f aca="false">IF(OR(Tasks[[#This Row],[Task Name]]="",Tasks[[#This Row],[Baseline Duration]]=""),"",Tasks[[#This Row],[BL Source Duration]]-N(Tasks[[#This Row],[Baseline Duration]]))</f>
        <v/>
      </c>
      <c r="BM92" s="110" t="str">
        <f aca="false">IF(OR(Tasks[[#This Row],[Task Name]]="",Tasks[[#This Row],[Baseline Work]]=""),"",Tasks[[#This Row],[Work]]-N(Tasks[[#This Row],[Baseline Work]]))</f>
        <v/>
      </c>
      <c r="BN92" s="111" t="str">
        <f aca="false">IF(OR(Tasks[[#This Row],[Task Name]]="",Tasks[[#This Row],[Baseline Cost]]=""),"",Tasks[[#This Row],[Cost]]-N(Tasks[[#This Row],[Baseline Cost]]))</f>
        <v/>
      </c>
      <c r="BO92" s="111" t="str">
        <f aca="false">IF(Tasks[[#This Row],[Task Name]]="","",IF(Tasks[[#This Row],[_IsSummary]],SUM(INDEX(Tasks[_LeafBudget],Tasks[[#This Row],[_Row]]+1):INDEX(Tasks[_LeafBudget],Tasks[[#This Row],[_Row]]+Tasks[[#This Row],[_Descendants]])),Tasks[[#This Row],[_LeafBudget]]))</f>
        <v/>
      </c>
      <c r="BP92" s="111" t="str">
        <f aca="false">IF(Tasks[[#This Row],[Task Name]]="","",IF(Tasks[[#This Row],[_IsSummary]],SUM(INDEX(Tasks[_LeafPV],Tasks[[#This Row],[_Row]]+1):INDEX(Tasks[_LeafPV],Tasks[[#This Row],[_Row]]+Tasks[[#This Row],[_Descendants]])),Tasks[[#This Row],[_LeafPV]]))</f>
        <v/>
      </c>
      <c r="BQ92" s="111" t="str">
        <f aca="false">IF(Tasks[[#This Row],[Task Name]]="","",IF(Tasks[[#This Row],[_IsSummary]],SUM(INDEX(Tasks[_LeafEV],Tasks[[#This Row],[_Row]]+1):INDEX(Tasks[_LeafEV],Tasks[[#This Row],[_Row]]+Tasks[[#This Row],[_Descendants]])),Tasks[[#This Row],[_LeafEV]]))</f>
        <v/>
      </c>
      <c r="BR92" s="111" t="str">
        <f aca="false">IF(Tasks[[#This Row],[Task Name]]="","",IF(Tasks[[#This Row],[_IsSummary]],SUM(INDEX(Tasks[_LeafAC],Tasks[[#This Row],[_Row]]+1):INDEX(Tasks[_LeafAC],Tasks[[#This Row],[_Row]]+Tasks[[#This Row],[_Descendants]])),Tasks[[#This Row],[_LeafAC]]))</f>
        <v/>
      </c>
      <c r="BS92" s="32" t="str">
        <f aca="false">IF(Tasks[[#This Row],[Task Name]]="","",MAX(1,N(Tasks[[#This Row],[Level]])))</f>
        <v/>
      </c>
      <c r="BT92" s="32" t="n">
        <f aca="false">ROW()-ROW(Tasks[[#Headers],[ID]])</f>
        <v>87</v>
      </c>
      <c r="BU92" s="32" t="n">
        <f aca="false">IF(OR(Tasks[[#This Row],[Task Name]]="",Tasks[[#This Row],[_Level]]&lt;=1),0,IFERROR(LOOKUP(2,1/(Tasks[[#Headers],[_Level]]:Tasks[[#This Row],[_Level]]=Tasks[[#This Row],[_Level]]-1),ROW(Tasks[[#Headers],[_Level]]:Tasks[[#This Row],[_Level]])),0))</f>
        <v>0</v>
      </c>
      <c r="BV92" s="32" t="n">
        <f aca="false">IFERROR(N(INDEX(Tasks[_Level],Tasks[[#This Row],[_Row]]+1)),0)</f>
        <v>0</v>
      </c>
      <c r="BW92" s="114" t="b">
        <f aca="false">AND(Tasks[[#This Row],[Task Name]]&lt;&gt;"",Tasks[[#This Row],[_NextLevel]]&gt;Tasks[[#This Row],[_Level]])</f>
        <v>0</v>
      </c>
      <c r="BX92" s="32" t="n">
        <f aca="false">IF(Tasks[[#This Row],[_IsSummary]],COUNTIF(Tasks[WBS],Tasks[[#This Row],[WBS]]&amp;".*"),0)</f>
        <v>0</v>
      </c>
      <c r="BY92" s="32" t="n">
        <f aca="false">IF(AND(Tasks[[#This Row],[Task Name]]&lt;&gt;"",NOT(Tasks[[#This Row],[_IsSummary]])),1,0)</f>
        <v>0</v>
      </c>
      <c r="BZ92" s="32" t="n">
        <f aca="false">IF(N(Tasks[[#This Row],[Pred1 UID]])=0,0,IFERROR(MATCH(Tasks[[#This Row],[Pred1 UID]],Tasks[UID],0),-1))</f>
        <v>0</v>
      </c>
      <c r="CA92" s="32" t="n">
        <f aca="false">IF(N(Tasks[[#This Row],[Pred2 UID]])=0,0,IFERROR(MATCH(Tasks[[#This Row],[Pred2 UID]],Tasks[UID],0),-1))</f>
        <v>0</v>
      </c>
      <c r="CB92" s="32" t="n">
        <f aca="false">IF(N(Tasks[[#This Row],[Pred3 UID]])=0,0,IFERROR(MATCH(Tasks[[#This Row],[Pred3 UID]],Tasks[UID],0),-1))</f>
        <v>0</v>
      </c>
      <c r="CC92" s="32" t="n">
        <f aca="false">IF(N(Tasks[[#This Row],[Pred4 UID]])=0,0,IFERROR(MATCH(Tasks[[#This Row],[Pred4 UID]],Tasks[UID],0),-1))</f>
        <v>0</v>
      </c>
      <c r="CD9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2" s="115" t="n">
        <f aca="false">IF(OR(Tasks[[#This Row],[_ConstraintCode]]=2,Tasks[[#This Row],[_ConstraintCode]]=3,Tasks[[#This Row],[_ConstraintCode]]=4,Tasks[[#This Row],[_ConstraintCode]]=6),Tasks[[#This Row],[_ConstraintStart]],0)</f>
        <v>0</v>
      </c>
      <c r="CG92" s="115" t="n">
        <f aca="false">IF(OR(Tasks[[#This Row],[_ConstraintCode]]=2,Tasks[[#This Row],[_ConstraintCode]]=3,Tasks[[#This Row],[_ConstraintCode]]=5,Tasks[[#This Row],[_ConstraintCode]]=7),Tasks[[#This Row],[_ConstraintStart]],2958465)</f>
        <v>2958465</v>
      </c>
      <c r="CH9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2" s="115" t="str">
        <f aca="false">IF(NOT(Tasks[[#This Row],[_IsLeaf]]=1),"",IF(N(Tasks[[#This Row],[Duration]])&lt;=0,Tasks[[#This Row],[_LeafCalcStart]],WORKDAY.INTL(Tasks[[#This Row],[_LeafCalcStart]],Tasks[[#This Row],[Duration]]-1,WorkWeek,Holidays)))</f>
        <v/>
      </c>
      <c r="CJ9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2" s="32" t="n">
        <f aca="false">IF(NOT(Tasks[[#This Row],[_IsLeaf]]=1),0,IF(N(Tasks[[#This Row],[Actual Finish]])&gt;0,1,MIN(1,N(Tasks[[#This Row],[% Complete]]))))</f>
        <v>0</v>
      </c>
      <c r="CM92" s="32" t="n">
        <f aca="false">IF(OR(NOT(Tasks[[#This Row],[_IsLeaf]]=1),Tasks[[#This Row],[Resource]]=""),0,N(Tasks[[#This Row],[Duration]])*HoursPerDay*IF(Tasks[[#This Row],[Units]]="",DefaultUnits,Tasks[[#This Row],[Units]]))</f>
        <v>0</v>
      </c>
      <c r="CN92" s="32" t="n">
        <f aca="false">IF(Tasks[[#This Row],[_LeafWork]]=0,0,Tasks[[#This Row],[_LeafWork]]*IFERROR(INDEX(res_Rate,MATCH(Tasks[[#This Row],[Resource]],res_Name,0)),0))</f>
        <v>0</v>
      </c>
      <c r="CO92" s="32" t="n">
        <f aca="false">Tasks[[#This Row],[_LeafWork]]+IF(Tasks[[#This Row],[_IsLeaf]]=1,SUMIFS(asg_Work,asg_TaskUID,Tasks[[#This Row],[UID]],asg_Valid,1),0)</f>
        <v>0</v>
      </c>
      <c r="CP92" s="32" t="n">
        <f aca="false">Tasks[[#This Row],[_LeafCost]]+IF(Tasks[[#This Row],[_IsLeaf]]=1,SUMIFS(asg_Cost,asg_TaskUID,Tasks[[#This Row],[UID]],asg_Valid,1),0)</f>
        <v>0</v>
      </c>
      <c r="CQ92" s="32" t="n">
        <f aca="false">IF(Tasks[[#This Row],[_LeafTotalCost]]=0,Tasks[[#This Row],[_LeafAC]],Tasks[[#This Row],[_LeafAC]]*Tasks[[#This Row],[_LeafCost]]/Tasks[[#This Row],[_LeafTotalCost]])</f>
        <v>0</v>
      </c>
      <c r="CR9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2" s="32" t="n">
        <f aca="false">IF(NOT(Tasks[[#This Row],[_IsLeaf]]=1),0,MAX(_xlfn.MAXIFS(Tasks[_Row],Tasks[Pred1 UID],Tasks[[#This Row],[UID]]),_xlfn.MAXIFS(Tasks[_Row],Tasks[Pred2 UID],Tasks[[#This Row],[UID]]),_xlfn.MAXIFS(Tasks[_Row],Tasks[Pred3 UID],Tasks[[#This Row],[UID]]),_xlfn.MAXIFS(Tasks[_Row],Tasks[Pred4 UID],Tasks[[#This Row],[UID]])))</f>
        <v>0</v>
      </c>
      <c r="DA9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2" s="115" t="str">
        <f aca="false">IF(NOT(Tasks[[#This Row],[_IsLeaf]]=1),"",IF(N(Tasks[[#This Row],[Duration]])&lt;=0,Tasks[[#This Row],[_LeafLateFinish]],WORKDAY.INTL(Tasks[[#This Row],[_LeafLateFinish]],-(Tasks[[#This Row],[Duration]]-1),WorkWeek,Holidays)))</f>
        <v/>
      </c>
      <c r="DD9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2" s="114" t="b">
        <f aca="false">AND(Tasks[[#This Row],[_IsLeaf]]=1,Tasks[[#This Row],[_LeafProgress]]&lt;1,N(Tasks[[#This Row],[_LeafTotalSlack]])&lt;=CriticalSlackDays)</f>
        <v>0</v>
      </c>
      <c r="DF92" s="32" t="n">
        <f aca="false">IF(AND(Tasks[[#This Row],[_IsLeaf]]=1,Tasks[[#This Row],[_ConstraintCode]]=1,Tasks[[#This Row],[Mode]]&lt;&gt;"Manual",N(Tasks[[#This Row],[Actual Start]])=0),MAX(0,N(Tasks[[#This Row],[Free Slack]])),0)</f>
        <v>0</v>
      </c>
      <c r="DG92" s="115" t="str">
        <f aca="false">IF(NOT(Tasks[[#This Row],[_IsLeaf]]=1),"",IF(Tasks[[#This Row],[_AlapShift]]=0,Tasks[[#This Row],[_LeafCalcStart]],WORKDAY.INTL(Tasks[[#This Row],[_LeafCalcStart]],Tasks[[#This Row],[_AlapShift]],WorkWeek,Holidays)))</f>
        <v/>
      </c>
      <c r="DH92" s="115" t="str">
        <f aca="false">IF(NOT(Tasks[[#This Row],[_IsLeaf]]=1),"",IF(Tasks[[#This Row],[_AlapShift]]=0,Tasks[[#This Row],[_LeafCalcFinish]],WORKDAY.INTL(Tasks[[#This Row],[_LeafCalcFinish]],Tasks[[#This Row],[_AlapShift]],WorkWeek,Holidays)))</f>
        <v/>
      </c>
      <c r="DI92" s="115" t="str">
        <f aca="false">IF(NOT(Tasks[[#This Row],[_IsLeaf]]=1),"",IF(Tasks[[#This Row],[_AlapShift]]=0,Tasks[[#This Row],[_LeafFcstStart]],WORKDAY.INTL(Tasks[[#This Row],[_LeafFcstStart]],Tasks[[#This Row],[_AlapShift]],WorkWeek,Holidays)))</f>
        <v/>
      </c>
      <c r="DJ92" s="115" t="str">
        <f aca="false">IF(NOT(Tasks[[#This Row],[_IsLeaf]]=1),"",IF(Tasks[[#This Row],[_AlapShift]]=0,Tasks[[#This Row],[_LeafFcstFinish]],WORKDAY.INTL(Tasks[[#This Row],[_LeafFcstFinish]],Tasks[[#This Row],[_AlapShift]],WorkWeek,Holidays)))</f>
        <v/>
      </c>
      <c r="DK92" s="115" t="str">
        <f aca="false">IF(Tasks[[#This Row],[Task Name]]="","",IF(Tasks[[#This Row],[_IsSummary]],MIN(INDEX(Tasks[_ShownCalcStart],Tasks[[#This Row],[_Row]]+1):INDEX(Tasks[_ShownCalcStart],Tasks[[#This Row],[_Row]]+Tasks[[#This Row],[_Descendants]])),Tasks[[#This Row],[_ShownCalcStart]]))</f>
        <v/>
      </c>
      <c r="DL92" s="115" t="str">
        <f aca="false">IF(Tasks[[#This Row],[Task Name]]="","",IF(Tasks[[#This Row],[_IsSummary]],MAX(INDEX(Tasks[_ShownCalcFinish],Tasks[[#This Row],[_Row]]+1):INDEX(Tasks[_ShownCalcFinish],Tasks[[#This Row],[_Row]]+Tasks[[#This Row],[_Descendants]])),Tasks[[#This Row],[_ShownCalcFinish]]))</f>
        <v/>
      </c>
      <c r="DM9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2" s="32" t="n">
        <f aca="false">IF(AND(Tasks[[#This Row],[_IsLeaf]]=1,Tasks[[#This Row],[_LeafTotalWork]]&gt;0),NETWORKDAYS.INTL(ProjectStart,Tasks[[#This Row],[_ShownFcstStart]],WorkWeek,Holidays),0)</f>
        <v>0</v>
      </c>
      <c r="DZ92" s="32" t="n">
        <f aca="false">IF(AND(Tasks[[#This Row],[_IsLeaf]]=1,Tasks[[#This Row],[_LeafTotalWork]]&gt;0),MAX(Tasks[[#This Row],[_StartWorkday]],NETWORKDAYS.INTL(ProjectStart,Tasks[[#This Row],[_ShownFcstFinish]],WorkWeek,Holidays)),0)</f>
        <v>0</v>
      </c>
      <c r="EA92" s="32" t="n">
        <f aca="false">IF(AND(Tasks[[#This Row],[_IsLeaf]]=1,Tasks[[#This Row],[_LeafTotalWork]]&gt;0),Tasks[[#This Row],[_LeafWork]]/(Tasks[[#This Row],[_FinishWorkday]]-Tasks[[#This Row],[_StartWorkday]]+1),0)</f>
        <v>0</v>
      </c>
      <c r="EB92" s="32" t="n">
        <f aca="false">Tasks[[#This Row],[_WorkPerWorkday]]*(Tasks[[#This Row],[_StartWorkday]]-1)</f>
        <v>-0</v>
      </c>
      <c r="EC92" s="32" t="n">
        <f aca="false">IF(Tasks[[#This Row],[_IsLeaf]]=1,MAX(N(Tasks[[#This Row],[Duration]]),0.1),0)</f>
        <v>0</v>
      </c>
      <c r="ED92" s="32" t="n">
        <f aca="false">Tasks[[#This Row],[_WeightDur]]*Tasks[[#This Row],[_LeafProgress]]</f>
        <v>0</v>
      </c>
      <c r="EE9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2" s="32" t="str">
        <f aca="false">IF(AND(Tasks[[#This Row],[_IsLeaf]]=1,N(Tasks[[#This Row],[Duration]])=0,Tasks[[#This Row],[_LeafProgress]]&lt;1),Tasks[[#This Row],[_ShownFcstFinish]]+Tasks[[#This Row],[_Row]]/100000,"")</f>
        <v/>
      </c>
      <c r="EG9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2" s="32" t="n">
        <f aca="false">IF(NOT(Tasks[[#This Row],[_IsLeaf]]=1),0,IF(Tasks[[#This Row],[Baseline Cost]]="",Tasks[[#This Row],[_LeafTotalCost]],N(Tasks[[#This Row],[Baseline Cost]])))</f>
        <v>0</v>
      </c>
      <c r="EI92" s="32" t="n">
        <f aca="false">Tasks[[#This Row],[_LeafBudget]]*Tasks[[#This Row],[_PlannedPct]]</f>
        <v>0</v>
      </c>
      <c r="EJ92" s="32" t="n">
        <f aca="false">Tasks[[#This Row],[_LeafBudget]]*Tasks[[#This Row],[_LeafProgress]]</f>
        <v>0</v>
      </c>
      <c r="EK92" s="32" t="n">
        <f aca="false">IF(NOT(Tasks[[#This Row],[_IsLeaf]]=1),0,IF(Tasks[[#This Row],[Actual Cost]]="",Tasks[[#This Row],[_LeafTotalCost]]*Tasks[[#This Row],[_LeafProgress]],N(Tasks[[#This Row],[Actual Cost]])))</f>
        <v>0</v>
      </c>
      <c r="EL92" s="32" t="str">
        <f aca="false">IF(Tasks[[#This Row],[Task Name]]="","",LEFT(Tasks[[#This Row],[WBS]],FIND(".",Tasks[[#This Row],[WBS]]&amp;".")-1))</f>
        <v/>
      </c>
      <c r="EM92" s="32" t="str">
        <f aca="false">IF(AND(Tasks[[#This Row],[Task Name]]&lt;&gt;"",Tasks[[#This Row],[_Level]]=1),Tasks[[#This Row],[_Row]],"")</f>
        <v/>
      </c>
      <c r="EN92" s="32" t="str">
        <f aca="false">IF(AND(Tasks[[#This Row],[_IsLeaf]]=1,N(Tasks[[#This Row],[Duration]])=0),Tasks[[#This Row],[Planned Finish]]+Tasks[[#This Row],[_Row]]/100000,"")</f>
        <v/>
      </c>
      <c r="EO92" s="32" t="str">
        <f aca="false">IF(AND(Tasks[[#This Row],[_IsLeaf]]=1,Tasks[[#This Row],[_LeafProgress]]&lt;1,OR(N(Tasks[[#This Row],[Finish Var]])&gt;0,Tasks[[#This Row],[Status]]="Late Start")),MAX(0,Tasks[[#This Row],[Finish Var]])+1-Tasks[[#This Row],[_Row]]/1000000,"")</f>
        <v/>
      </c>
      <c r="EP92" s="32" t="str">
        <f aca="false">IF(AND(Tasks[[#This Row],[_IsLeaf]]=1,N(Tasks[[#This Row],[Actual Start]])=0,Tasks[[#This Row],[_ShownFcstStart]]&gt;=StatusDate,Tasks[[#This Row],[_ShownFcstStart]]&lt;=LookaheadEnd),Tasks[[#This Row],[_ShownFcstStart]]+Tasks[[#This Row],[_Row]]/100000,"")</f>
        <v/>
      </c>
      <c r="EQ92" s="32" t="str">
        <f aca="false">IF(AND(Tasks[[#This Row],[_IsLeaf]]=1,Tasks[[#This Row],[_LeafProgress]]&lt;1,Tasks[[#This Row],[_ShownFcstFinish]]&gt;=StatusDate,Tasks[[#This Row],[_ShownFcstFinish]]&lt;=LookaheadEnd),Tasks[[#This Row],[_ShownFcstFinish]]+Tasks[[#This Row],[_Row]]/100000,"")</f>
        <v/>
      </c>
      <c r="ER92" s="32" t="str">
        <f aca="false">IF(Tasks[[#This Row],[_LeafCritical]],Tasks[[#This Row],[_ShownFcstStart]]+Tasks[[#This Row],[_Row]]/100000,"")</f>
        <v/>
      </c>
      <c r="ES92" s="32" t="n">
        <f aca="false">Tasks[[#This Row],[_LeafWork]]*Tasks[[#This Row],[_LeafProgress]]</f>
        <v>0</v>
      </c>
      <c r="ET92" s="115" t="str">
        <f aca="false">IF(AND(Tasks[[#This Row],[_IsLeaf]]=1,Tasks[[#This Row],[_LeafProgress]]&gt;=1),IF(N(Tasks[[#This Row],[Actual Finish]])&gt;0,Tasks[[#This Row],[Actual Finish]],Tasks[[#This Row],[_ShownFcstFinish]]),"")</f>
        <v/>
      </c>
      <c r="EU92" s="32" t="n">
        <f aca="false">IF(Tasks[[#This Row],[_IsLeaf]]=1,N(Tasks[[#This Row],[Story Points]]),0)</f>
        <v>0</v>
      </c>
      <c r="EV92" s="32" t="str">
        <f aca="false">IF(AND(Tasks[[#This Row],[_IsLeaf]]=1,CurrentSprint&lt;&gt;"",Tasks[[#This Row],[Sprint]]=CurrentSprint),Tasks[[#This Row],[_Row]],"")</f>
        <v/>
      </c>
    </row>
    <row r="93" customFormat="false" ht="15" hidden="false" customHeight="false" outlineLevel="0" collapsed="false">
      <c r="A93" s="45" t="str">
        <f aca="false">IF(Tasks[[#This Row],[Task Name]]="","",COUNTA(Tasks[[#Headers],[Task Name]]:Tasks[[#This Row],[Task Name]])-1)</f>
        <v/>
      </c>
      <c r="B93" s="46" t="n">
        <v>88</v>
      </c>
      <c r="C9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3" s="46"/>
      <c r="E93" s="45" t="str">
        <f aca="false">IF(Tasks[[#This Row],[Task Name]]="","",IF(Tasks[[#This Row],[_Level]]&lt;=OutlineShowLevel,"Yes","No"))</f>
        <v/>
      </c>
      <c r="F93" s="47"/>
      <c r="G93" s="46"/>
      <c r="H93" s="46"/>
      <c r="I93" s="46"/>
      <c r="J93" s="46"/>
      <c r="K93" s="46"/>
      <c r="L93" s="46"/>
      <c r="M93" s="46"/>
      <c r="N93" s="46"/>
      <c r="O93" s="46"/>
      <c r="P93" s="46"/>
      <c r="Q93" s="46"/>
      <c r="R93" s="46"/>
      <c r="S93" s="46"/>
      <c r="T93" s="46"/>
      <c r="U93" s="47"/>
      <c r="V93" s="88"/>
      <c r="W93" s="88"/>
      <c r="X93" s="25" t="str">
        <f aca="false">IF(Tasks[[#This Row],[Task Name]]="","",IF(N(Tasks[[#This Row],[Baseline Start]])&gt;0,Tasks[[#This Row],[Baseline Start]],Tasks[[#This Row],[_CalcStart]]))</f>
        <v/>
      </c>
      <c r="Y93" s="25" t="str">
        <f aca="false">IF(Tasks[[#This Row],[Task Name]]="","",IF(N(Tasks[[#This Row],[Baseline Finish]])&gt;0,Tasks[[#This Row],[Baseline Finish]],Tasks[[#This Row],[_CalcFinish]]))</f>
        <v/>
      </c>
      <c r="Z93" s="88"/>
      <c r="AA93" s="88"/>
      <c r="AB93" s="25" t="str">
        <f aca="false">IF(Tasks[[#This Row],[Task Name]]="","",IF(Tasks[[#This Row],[_IsSummary]],MIN(INDEX(Tasks[_ShownFcstStart],Tasks[[#This Row],[_Row]]+1):INDEX(Tasks[_ShownFcstStart],Tasks[[#This Row],[_Row]]+Tasks[[#This Row],[_Descendants]])),Tasks[[#This Row],[_ShownFcstStart]]))</f>
        <v/>
      </c>
      <c r="AC93" s="25" t="str">
        <f aca="false">IF(Tasks[[#This Row],[Task Name]]="","",IF(Tasks[[#This Row],[_IsSummary]],MAX(INDEX(Tasks[_ShownFcstFinish],Tasks[[#This Row],[_Row]]+1):INDEX(Tasks[_ShownFcstFinish],Tasks[[#This Row],[_Row]]+Tasks[[#This Row],[_Descendants]])),Tasks[[#This Row],[_ShownFcstFinish]]))</f>
        <v/>
      </c>
      <c r="AD9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3" s="25" t="str">
        <f aca="false">IF(Tasks[[#This Row],[Task Name]]="","",IF(Tasks[[#This Row],[_IsSummary]],MIN(INDEX(Tasks[_LeafLateStart],Tasks[[#This Row],[_Row]]+1):INDEX(Tasks[_LeafLateStart],Tasks[[#This Row],[_Row]]+Tasks[[#This Row],[_Descendants]])),Tasks[[#This Row],[_LeafLateStart]]))</f>
        <v/>
      </c>
      <c r="AG93" s="25" t="str">
        <f aca="false">IF(Tasks[[#This Row],[Task Name]]="","",IF(Tasks[[#This Row],[_IsSummary]],MAX(INDEX(Tasks[_LeafLateFinish],Tasks[[#This Row],[_Row]]+1):INDEX(Tasks[_LeafLateFinish],Tasks[[#This Row],[_Row]]+Tasks[[#This Row],[_Descendants]])),Tasks[[#This Row],[_LeafLateFinish]]))</f>
        <v/>
      </c>
      <c r="AH93" s="56" t="str">
        <f aca="false">IF(Tasks[[#This Row],[Task Name]]="","",IF(Tasks[[#This Row],[_IsSummary]],MIN(INDEX(Tasks[_LeafTotalSlack],Tasks[[#This Row],[_Row]]+1):INDEX(Tasks[_LeafTotalSlack],Tasks[[#This Row],[_Row]]+Tasks[[#This Row],[_Descendants]])),Tasks[[#This Row],[_LeafTotalSlack]]))</f>
        <v/>
      </c>
      <c r="AI9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3" s="45" t="str">
        <f aca="false">IF(Tasks[[#This Row],[Task Name]]="","",IF(IF(Tasks[[#This Row],[_IsSummary]],COUNTIF(INDEX(Tasks[_LeafCritical],Tasks[[#This Row],[_Row]]+1):INDEX(Tasks[_LeafCritical],Tasks[[#This Row],[_Row]]+Tasks[[#This Row],[_Descendants]]),TRUE())&gt;0,Tasks[[#This Row],[_LeafCritical]]),"Yes",""))</f>
        <v/>
      </c>
      <c r="AK9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3" s="102"/>
      <c r="AN9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3" s="45" t="str">
        <f aca="false">IF(Tasks[[#This Row],[Task Name]]="","",IF(Tasks[[#This Row],[Progress]]&gt;=1,"Complete",IF(OR(N(Tasks[[#This Row],[Actual Start]])&gt;0,Tasks[[#This Row],[Progress]]&gt;0),IF(Tasks[[#This Row],[Finish Var]]&gt;0,"Behind","In Progress"),IF(Tasks[[#This Row],[Planned Start]]&lt;StatusDate,"Late Start","Not Started"))))</f>
        <v/>
      </c>
      <c r="AP93" s="47"/>
      <c r="AQ93" s="102"/>
      <c r="AR9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3" s="110" t="str">
        <f aca="false">IF(Tasks[[#This Row],[Task Name]]="","",IF(Tasks[[#This Row],[_IsSummary]],SUM(INDEX(Tasks[_LeafTotalWork],Tasks[[#This Row],[_Row]]+1):INDEX(Tasks[_LeafTotalWork],Tasks[[#This Row],[_Row]]+Tasks[[#This Row],[_Descendants]])),Tasks[[#This Row],[_LeafTotalWork]]))</f>
        <v/>
      </c>
      <c r="AU93" s="111" t="str">
        <f aca="false">IF(Tasks[[#This Row],[Task Name]]="","",IF(Tasks[[#This Row],[_IsSummary]],SUM(INDEX(Tasks[_LeafTotalCost],Tasks[[#This Row],[_Row]]+1):INDEX(Tasks[_LeafTotalCost],Tasks[[#This Row],[_Row]]+Tasks[[#This Row],[_Descendants]])),Tasks[[#This Row],[_LeafTotalCost]]))</f>
        <v/>
      </c>
      <c r="AV93" s="112"/>
      <c r="AW93" s="46"/>
      <c r="AX9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3" s="96"/>
      <c r="AZ9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3" s="47"/>
      <c r="BB93" s="25" t="str">
        <f aca="false">IF(Tasks[[#This Row],[Task Name]]="","",Tasks[[#This Row],[Forecast Start]])</f>
        <v/>
      </c>
      <c r="BC93" s="25" t="str">
        <f aca="false">IF(Tasks[[#This Row],[Task Name]]="","",Tasks[[#This Row],[Forecast Finish]])</f>
        <v/>
      </c>
      <c r="BD93" s="45" t="str">
        <f aca="false">IF(Tasks[[#This Row],[Task Name]]="","",IF(Tasks[[#This Row],[_IsSummary]],NETWORKDAYS.INTL(Tasks[[#This Row],[Forecast Start]],Tasks[[#This Row],[Forecast Finish]],WorkWeek,Holidays),N(Tasks[[#This Row],[Duration]])))</f>
        <v/>
      </c>
      <c r="BE93" s="110" t="str">
        <f aca="false">IF(Tasks[[#This Row],[Task Name]]="","",Tasks[[#This Row],[Work]])</f>
        <v/>
      </c>
      <c r="BF93" s="111" t="str">
        <f aca="false">IF(Tasks[[#This Row],[Task Name]]="","",Tasks[[#This Row],[Cost]])</f>
        <v/>
      </c>
      <c r="BG93" s="88"/>
      <c r="BH93" s="88"/>
      <c r="BI93" s="46"/>
      <c r="BJ93" s="113"/>
      <c r="BK93" s="112"/>
      <c r="BL93" s="45" t="str">
        <f aca="false">IF(OR(Tasks[[#This Row],[Task Name]]="",Tasks[[#This Row],[Baseline Duration]]=""),"",Tasks[[#This Row],[BL Source Duration]]-N(Tasks[[#This Row],[Baseline Duration]]))</f>
        <v/>
      </c>
      <c r="BM93" s="110" t="str">
        <f aca="false">IF(OR(Tasks[[#This Row],[Task Name]]="",Tasks[[#This Row],[Baseline Work]]=""),"",Tasks[[#This Row],[Work]]-N(Tasks[[#This Row],[Baseline Work]]))</f>
        <v/>
      </c>
      <c r="BN93" s="111" t="str">
        <f aca="false">IF(OR(Tasks[[#This Row],[Task Name]]="",Tasks[[#This Row],[Baseline Cost]]=""),"",Tasks[[#This Row],[Cost]]-N(Tasks[[#This Row],[Baseline Cost]]))</f>
        <v/>
      </c>
      <c r="BO93" s="111" t="str">
        <f aca="false">IF(Tasks[[#This Row],[Task Name]]="","",IF(Tasks[[#This Row],[_IsSummary]],SUM(INDEX(Tasks[_LeafBudget],Tasks[[#This Row],[_Row]]+1):INDEX(Tasks[_LeafBudget],Tasks[[#This Row],[_Row]]+Tasks[[#This Row],[_Descendants]])),Tasks[[#This Row],[_LeafBudget]]))</f>
        <v/>
      </c>
      <c r="BP93" s="111" t="str">
        <f aca="false">IF(Tasks[[#This Row],[Task Name]]="","",IF(Tasks[[#This Row],[_IsSummary]],SUM(INDEX(Tasks[_LeafPV],Tasks[[#This Row],[_Row]]+1):INDEX(Tasks[_LeafPV],Tasks[[#This Row],[_Row]]+Tasks[[#This Row],[_Descendants]])),Tasks[[#This Row],[_LeafPV]]))</f>
        <v/>
      </c>
      <c r="BQ93" s="111" t="str">
        <f aca="false">IF(Tasks[[#This Row],[Task Name]]="","",IF(Tasks[[#This Row],[_IsSummary]],SUM(INDEX(Tasks[_LeafEV],Tasks[[#This Row],[_Row]]+1):INDEX(Tasks[_LeafEV],Tasks[[#This Row],[_Row]]+Tasks[[#This Row],[_Descendants]])),Tasks[[#This Row],[_LeafEV]]))</f>
        <v/>
      </c>
      <c r="BR93" s="111" t="str">
        <f aca="false">IF(Tasks[[#This Row],[Task Name]]="","",IF(Tasks[[#This Row],[_IsSummary]],SUM(INDEX(Tasks[_LeafAC],Tasks[[#This Row],[_Row]]+1):INDEX(Tasks[_LeafAC],Tasks[[#This Row],[_Row]]+Tasks[[#This Row],[_Descendants]])),Tasks[[#This Row],[_LeafAC]]))</f>
        <v/>
      </c>
      <c r="BS93" s="32" t="str">
        <f aca="false">IF(Tasks[[#This Row],[Task Name]]="","",MAX(1,N(Tasks[[#This Row],[Level]])))</f>
        <v/>
      </c>
      <c r="BT93" s="32" t="n">
        <f aca="false">ROW()-ROW(Tasks[[#Headers],[ID]])</f>
        <v>88</v>
      </c>
      <c r="BU93" s="32" t="n">
        <f aca="false">IF(OR(Tasks[[#This Row],[Task Name]]="",Tasks[[#This Row],[_Level]]&lt;=1),0,IFERROR(LOOKUP(2,1/(Tasks[[#Headers],[_Level]]:Tasks[[#This Row],[_Level]]=Tasks[[#This Row],[_Level]]-1),ROW(Tasks[[#Headers],[_Level]]:Tasks[[#This Row],[_Level]])),0))</f>
        <v>0</v>
      </c>
      <c r="BV93" s="32" t="n">
        <f aca="false">IFERROR(N(INDEX(Tasks[_Level],Tasks[[#This Row],[_Row]]+1)),0)</f>
        <v>0</v>
      </c>
      <c r="BW93" s="114" t="b">
        <f aca="false">AND(Tasks[[#This Row],[Task Name]]&lt;&gt;"",Tasks[[#This Row],[_NextLevel]]&gt;Tasks[[#This Row],[_Level]])</f>
        <v>0</v>
      </c>
      <c r="BX93" s="32" t="n">
        <f aca="false">IF(Tasks[[#This Row],[_IsSummary]],COUNTIF(Tasks[WBS],Tasks[[#This Row],[WBS]]&amp;".*"),0)</f>
        <v>0</v>
      </c>
      <c r="BY93" s="32" t="n">
        <f aca="false">IF(AND(Tasks[[#This Row],[Task Name]]&lt;&gt;"",NOT(Tasks[[#This Row],[_IsSummary]])),1,0)</f>
        <v>0</v>
      </c>
      <c r="BZ93" s="32" t="n">
        <f aca="false">IF(N(Tasks[[#This Row],[Pred1 UID]])=0,0,IFERROR(MATCH(Tasks[[#This Row],[Pred1 UID]],Tasks[UID],0),-1))</f>
        <v>0</v>
      </c>
      <c r="CA93" s="32" t="n">
        <f aca="false">IF(N(Tasks[[#This Row],[Pred2 UID]])=0,0,IFERROR(MATCH(Tasks[[#This Row],[Pred2 UID]],Tasks[UID],0),-1))</f>
        <v>0</v>
      </c>
      <c r="CB93" s="32" t="n">
        <f aca="false">IF(N(Tasks[[#This Row],[Pred3 UID]])=0,0,IFERROR(MATCH(Tasks[[#This Row],[Pred3 UID]],Tasks[UID],0),-1))</f>
        <v>0</v>
      </c>
      <c r="CC93" s="32" t="n">
        <f aca="false">IF(N(Tasks[[#This Row],[Pred4 UID]])=0,0,IFERROR(MATCH(Tasks[[#This Row],[Pred4 UID]],Tasks[UID],0),-1))</f>
        <v>0</v>
      </c>
      <c r="CD9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3" s="115" t="n">
        <f aca="false">IF(OR(Tasks[[#This Row],[_ConstraintCode]]=2,Tasks[[#This Row],[_ConstraintCode]]=3,Tasks[[#This Row],[_ConstraintCode]]=4,Tasks[[#This Row],[_ConstraintCode]]=6),Tasks[[#This Row],[_ConstraintStart]],0)</f>
        <v>0</v>
      </c>
      <c r="CG93" s="115" t="n">
        <f aca="false">IF(OR(Tasks[[#This Row],[_ConstraintCode]]=2,Tasks[[#This Row],[_ConstraintCode]]=3,Tasks[[#This Row],[_ConstraintCode]]=5,Tasks[[#This Row],[_ConstraintCode]]=7),Tasks[[#This Row],[_ConstraintStart]],2958465)</f>
        <v>2958465</v>
      </c>
      <c r="CH9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3" s="115" t="str">
        <f aca="false">IF(NOT(Tasks[[#This Row],[_IsLeaf]]=1),"",IF(N(Tasks[[#This Row],[Duration]])&lt;=0,Tasks[[#This Row],[_LeafCalcStart]],WORKDAY.INTL(Tasks[[#This Row],[_LeafCalcStart]],Tasks[[#This Row],[Duration]]-1,WorkWeek,Holidays)))</f>
        <v/>
      </c>
      <c r="CJ9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3" s="32" t="n">
        <f aca="false">IF(NOT(Tasks[[#This Row],[_IsLeaf]]=1),0,IF(N(Tasks[[#This Row],[Actual Finish]])&gt;0,1,MIN(1,N(Tasks[[#This Row],[% Complete]]))))</f>
        <v>0</v>
      </c>
      <c r="CM93" s="32" t="n">
        <f aca="false">IF(OR(NOT(Tasks[[#This Row],[_IsLeaf]]=1),Tasks[[#This Row],[Resource]]=""),0,N(Tasks[[#This Row],[Duration]])*HoursPerDay*IF(Tasks[[#This Row],[Units]]="",DefaultUnits,Tasks[[#This Row],[Units]]))</f>
        <v>0</v>
      </c>
      <c r="CN93" s="32" t="n">
        <f aca="false">IF(Tasks[[#This Row],[_LeafWork]]=0,0,Tasks[[#This Row],[_LeafWork]]*IFERROR(INDEX(res_Rate,MATCH(Tasks[[#This Row],[Resource]],res_Name,0)),0))</f>
        <v>0</v>
      </c>
      <c r="CO93" s="32" t="n">
        <f aca="false">Tasks[[#This Row],[_LeafWork]]+IF(Tasks[[#This Row],[_IsLeaf]]=1,SUMIFS(asg_Work,asg_TaskUID,Tasks[[#This Row],[UID]],asg_Valid,1),0)</f>
        <v>0</v>
      </c>
      <c r="CP93" s="32" t="n">
        <f aca="false">Tasks[[#This Row],[_LeafCost]]+IF(Tasks[[#This Row],[_IsLeaf]]=1,SUMIFS(asg_Cost,asg_TaskUID,Tasks[[#This Row],[UID]],asg_Valid,1),0)</f>
        <v>0</v>
      </c>
      <c r="CQ93" s="32" t="n">
        <f aca="false">IF(Tasks[[#This Row],[_LeafTotalCost]]=0,Tasks[[#This Row],[_LeafAC]],Tasks[[#This Row],[_LeafAC]]*Tasks[[#This Row],[_LeafCost]]/Tasks[[#This Row],[_LeafTotalCost]])</f>
        <v>0</v>
      </c>
      <c r="CR9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3" s="32" t="n">
        <f aca="false">IF(NOT(Tasks[[#This Row],[_IsLeaf]]=1),0,MAX(_xlfn.MAXIFS(Tasks[_Row],Tasks[Pred1 UID],Tasks[[#This Row],[UID]]),_xlfn.MAXIFS(Tasks[_Row],Tasks[Pred2 UID],Tasks[[#This Row],[UID]]),_xlfn.MAXIFS(Tasks[_Row],Tasks[Pred3 UID],Tasks[[#This Row],[UID]]),_xlfn.MAXIFS(Tasks[_Row],Tasks[Pred4 UID],Tasks[[#This Row],[UID]])))</f>
        <v>0</v>
      </c>
      <c r="DA9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3" s="115" t="str">
        <f aca="false">IF(NOT(Tasks[[#This Row],[_IsLeaf]]=1),"",IF(N(Tasks[[#This Row],[Duration]])&lt;=0,Tasks[[#This Row],[_LeafLateFinish]],WORKDAY.INTL(Tasks[[#This Row],[_LeafLateFinish]],-(Tasks[[#This Row],[Duration]]-1),WorkWeek,Holidays)))</f>
        <v/>
      </c>
      <c r="DD9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3" s="114" t="b">
        <f aca="false">AND(Tasks[[#This Row],[_IsLeaf]]=1,Tasks[[#This Row],[_LeafProgress]]&lt;1,N(Tasks[[#This Row],[_LeafTotalSlack]])&lt;=CriticalSlackDays)</f>
        <v>0</v>
      </c>
      <c r="DF93" s="32" t="n">
        <f aca="false">IF(AND(Tasks[[#This Row],[_IsLeaf]]=1,Tasks[[#This Row],[_ConstraintCode]]=1,Tasks[[#This Row],[Mode]]&lt;&gt;"Manual",N(Tasks[[#This Row],[Actual Start]])=0),MAX(0,N(Tasks[[#This Row],[Free Slack]])),0)</f>
        <v>0</v>
      </c>
      <c r="DG93" s="115" t="str">
        <f aca="false">IF(NOT(Tasks[[#This Row],[_IsLeaf]]=1),"",IF(Tasks[[#This Row],[_AlapShift]]=0,Tasks[[#This Row],[_LeafCalcStart]],WORKDAY.INTL(Tasks[[#This Row],[_LeafCalcStart]],Tasks[[#This Row],[_AlapShift]],WorkWeek,Holidays)))</f>
        <v/>
      </c>
      <c r="DH93" s="115" t="str">
        <f aca="false">IF(NOT(Tasks[[#This Row],[_IsLeaf]]=1),"",IF(Tasks[[#This Row],[_AlapShift]]=0,Tasks[[#This Row],[_LeafCalcFinish]],WORKDAY.INTL(Tasks[[#This Row],[_LeafCalcFinish]],Tasks[[#This Row],[_AlapShift]],WorkWeek,Holidays)))</f>
        <v/>
      </c>
      <c r="DI93" s="115" t="str">
        <f aca="false">IF(NOT(Tasks[[#This Row],[_IsLeaf]]=1),"",IF(Tasks[[#This Row],[_AlapShift]]=0,Tasks[[#This Row],[_LeafFcstStart]],WORKDAY.INTL(Tasks[[#This Row],[_LeafFcstStart]],Tasks[[#This Row],[_AlapShift]],WorkWeek,Holidays)))</f>
        <v/>
      </c>
      <c r="DJ93" s="115" t="str">
        <f aca="false">IF(NOT(Tasks[[#This Row],[_IsLeaf]]=1),"",IF(Tasks[[#This Row],[_AlapShift]]=0,Tasks[[#This Row],[_LeafFcstFinish]],WORKDAY.INTL(Tasks[[#This Row],[_LeafFcstFinish]],Tasks[[#This Row],[_AlapShift]],WorkWeek,Holidays)))</f>
        <v/>
      </c>
      <c r="DK93" s="115" t="str">
        <f aca="false">IF(Tasks[[#This Row],[Task Name]]="","",IF(Tasks[[#This Row],[_IsSummary]],MIN(INDEX(Tasks[_ShownCalcStart],Tasks[[#This Row],[_Row]]+1):INDEX(Tasks[_ShownCalcStart],Tasks[[#This Row],[_Row]]+Tasks[[#This Row],[_Descendants]])),Tasks[[#This Row],[_ShownCalcStart]]))</f>
        <v/>
      </c>
      <c r="DL93" s="115" t="str">
        <f aca="false">IF(Tasks[[#This Row],[Task Name]]="","",IF(Tasks[[#This Row],[_IsSummary]],MAX(INDEX(Tasks[_ShownCalcFinish],Tasks[[#This Row],[_Row]]+1):INDEX(Tasks[_ShownCalcFinish],Tasks[[#This Row],[_Row]]+Tasks[[#This Row],[_Descendants]])),Tasks[[#This Row],[_ShownCalcFinish]]))</f>
        <v/>
      </c>
      <c r="DM9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3" s="32" t="n">
        <f aca="false">IF(AND(Tasks[[#This Row],[_IsLeaf]]=1,Tasks[[#This Row],[_LeafTotalWork]]&gt;0),NETWORKDAYS.INTL(ProjectStart,Tasks[[#This Row],[_ShownFcstStart]],WorkWeek,Holidays),0)</f>
        <v>0</v>
      </c>
      <c r="DZ93" s="32" t="n">
        <f aca="false">IF(AND(Tasks[[#This Row],[_IsLeaf]]=1,Tasks[[#This Row],[_LeafTotalWork]]&gt;0),MAX(Tasks[[#This Row],[_StartWorkday]],NETWORKDAYS.INTL(ProjectStart,Tasks[[#This Row],[_ShownFcstFinish]],WorkWeek,Holidays)),0)</f>
        <v>0</v>
      </c>
      <c r="EA93" s="32" t="n">
        <f aca="false">IF(AND(Tasks[[#This Row],[_IsLeaf]]=1,Tasks[[#This Row],[_LeafTotalWork]]&gt;0),Tasks[[#This Row],[_LeafWork]]/(Tasks[[#This Row],[_FinishWorkday]]-Tasks[[#This Row],[_StartWorkday]]+1),0)</f>
        <v>0</v>
      </c>
      <c r="EB93" s="32" t="n">
        <f aca="false">Tasks[[#This Row],[_WorkPerWorkday]]*(Tasks[[#This Row],[_StartWorkday]]-1)</f>
        <v>-0</v>
      </c>
      <c r="EC93" s="32" t="n">
        <f aca="false">IF(Tasks[[#This Row],[_IsLeaf]]=1,MAX(N(Tasks[[#This Row],[Duration]]),0.1),0)</f>
        <v>0</v>
      </c>
      <c r="ED93" s="32" t="n">
        <f aca="false">Tasks[[#This Row],[_WeightDur]]*Tasks[[#This Row],[_LeafProgress]]</f>
        <v>0</v>
      </c>
      <c r="EE9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3" s="32" t="str">
        <f aca="false">IF(AND(Tasks[[#This Row],[_IsLeaf]]=1,N(Tasks[[#This Row],[Duration]])=0,Tasks[[#This Row],[_LeafProgress]]&lt;1),Tasks[[#This Row],[_ShownFcstFinish]]+Tasks[[#This Row],[_Row]]/100000,"")</f>
        <v/>
      </c>
      <c r="EG9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3" s="32" t="n">
        <f aca="false">IF(NOT(Tasks[[#This Row],[_IsLeaf]]=1),0,IF(Tasks[[#This Row],[Baseline Cost]]="",Tasks[[#This Row],[_LeafTotalCost]],N(Tasks[[#This Row],[Baseline Cost]])))</f>
        <v>0</v>
      </c>
      <c r="EI93" s="32" t="n">
        <f aca="false">Tasks[[#This Row],[_LeafBudget]]*Tasks[[#This Row],[_PlannedPct]]</f>
        <v>0</v>
      </c>
      <c r="EJ93" s="32" t="n">
        <f aca="false">Tasks[[#This Row],[_LeafBudget]]*Tasks[[#This Row],[_LeafProgress]]</f>
        <v>0</v>
      </c>
      <c r="EK93" s="32" t="n">
        <f aca="false">IF(NOT(Tasks[[#This Row],[_IsLeaf]]=1),0,IF(Tasks[[#This Row],[Actual Cost]]="",Tasks[[#This Row],[_LeafTotalCost]]*Tasks[[#This Row],[_LeafProgress]],N(Tasks[[#This Row],[Actual Cost]])))</f>
        <v>0</v>
      </c>
      <c r="EL93" s="32" t="str">
        <f aca="false">IF(Tasks[[#This Row],[Task Name]]="","",LEFT(Tasks[[#This Row],[WBS]],FIND(".",Tasks[[#This Row],[WBS]]&amp;".")-1))</f>
        <v/>
      </c>
      <c r="EM93" s="32" t="str">
        <f aca="false">IF(AND(Tasks[[#This Row],[Task Name]]&lt;&gt;"",Tasks[[#This Row],[_Level]]=1),Tasks[[#This Row],[_Row]],"")</f>
        <v/>
      </c>
      <c r="EN93" s="32" t="str">
        <f aca="false">IF(AND(Tasks[[#This Row],[_IsLeaf]]=1,N(Tasks[[#This Row],[Duration]])=0),Tasks[[#This Row],[Planned Finish]]+Tasks[[#This Row],[_Row]]/100000,"")</f>
        <v/>
      </c>
      <c r="EO93" s="32" t="str">
        <f aca="false">IF(AND(Tasks[[#This Row],[_IsLeaf]]=1,Tasks[[#This Row],[_LeafProgress]]&lt;1,OR(N(Tasks[[#This Row],[Finish Var]])&gt;0,Tasks[[#This Row],[Status]]="Late Start")),MAX(0,Tasks[[#This Row],[Finish Var]])+1-Tasks[[#This Row],[_Row]]/1000000,"")</f>
        <v/>
      </c>
      <c r="EP93" s="32" t="str">
        <f aca="false">IF(AND(Tasks[[#This Row],[_IsLeaf]]=1,N(Tasks[[#This Row],[Actual Start]])=0,Tasks[[#This Row],[_ShownFcstStart]]&gt;=StatusDate,Tasks[[#This Row],[_ShownFcstStart]]&lt;=LookaheadEnd),Tasks[[#This Row],[_ShownFcstStart]]+Tasks[[#This Row],[_Row]]/100000,"")</f>
        <v/>
      </c>
      <c r="EQ93" s="32" t="str">
        <f aca="false">IF(AND(Tasks[[#This Row],[_IsLeaf]]=1,Tasks[[#This Row],[_LeafProgress]]&lt;1,Tasks[[#This Row],[_ShownFcstFinish]]&gt;=StatusDate,Tasks[[#This Row],[_ShownFcstFinish]]&lt;=LookaheadEnd),Tasks[[#This Row],[_ShownFcstFinish]]+Tasks[[#This Row],[_Row]]/100000,"")</f>
        <v/>
      </c>
      <c r="ER93" s="32" t="str">
        <f aca="false">IF(Tasks[[#This Row],[_LeafCritical]],Tasks[[#This Row],[_ShownFcstStart]]+Tasks[[#This Row],[_Row]]/100000,"")</f>
        <v/>
      </c>
      <c r="ES93" s="32" t="n">
        <f aca="false">Tasks[[#This Row],[_LeafWork]]*Tasks[[#This Row],[_LeafProgress]]</f>
        <v>0</v>
      </c>
      <c r="ET93" s="115" t="str">
        <f aca="false">IF(AND(Tasks[[#This Row],[_IsLeaf]]=1,Tasks[[#This Row],[_LeafProgress]]&gt;=1),IF(N(Tasks[[#This Row],[Actual Finish]])&gt;0,Tasks[[#This Row],[Actual Finish]],Tasks[[#This Row],[_ShownFcstFinish]]),"")</f>
        <v/>
      </c>
      <c r="EU93" s="32" t="n">
        <f aca="false">IF(Tasks[[#This Row],[_IsLeaf]]=1,N(Tasks[[#This Row],[Story Points]]),0)</f>
        <v>0</v>
      </c>
      <c r="EV93" s="32" t="str">
        <f aca="false">IF(AND(Tasks[[#This Row],[_IsLeaf]]=1,CurrentSprint&lt;&gt;"",Tasks[[#This Row],[Sprint]]=CurrentSprint),Tasks[[#This Row],[_Row]],"")</f>
        <v/>
      </c>
    </row>
    <row r="94" customFormat="false" ht="15" hidden="false" customHeight="false" outlineLevel="0" collapsed="false">
      <c r="A94" s="45" t="str">
        <f aca="false">IF(Tasks[[#This Row],[Task Name]]="","",COUNTA(Tasks[[#Headers],[Task Name]]:Tasks[[#This Row],[Task Name]])-1)</f>
        <v/>
      </c>
      <c r="B94" s="46" t="n">
        <v>89</v>
      </c>
      <c r="C9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4" s="46"/>
      <c r="E94" s="45" t="str">
        <f aca="false">IF(Tasks[[#This Row],[Task Name]]="","",IF(Tasks[[#This Row],[_Level]]&lt;=OutlineShowLevel,"Yes","No"))</f>
        <v/>
      </c>
      <c r="F94" s="47"/>
      <c r="G94" s="46"/>
      <c r="H94" s="46"/>
      <c r="I94" s="46"/>
      <c r="J94" s="46"/>
      <c r="K94" s="46"/>
      <c r="L94" s="46"/>
      <c r="M94" s="46"/>
      <c r="N94" s="46"/>
      <c r="O94" s="46"/>
      <c r="P94" s="46"/>
      <c r="Q94" s="46"/>
      <c r="R94" s="46"/>
      <c r="S94" s="46"/>
      <c r="T94" s="46"/>
      <c r="U94" s="47"/>
      <c r="V94" s="88"/>
      <c r="W94" s="88"/>
      <c r="X94" s="25" t="str">
        <f aca="false">IF(Tasks[[#This Row],[Task Name]]="","",IF(N(Tasks[[#This Row],[Baseline Start]])&gt;0,Tasks[[#This Row],[Baseline Start]],Tasks[[#This Row],[_CalcStart]]))</f>
        <v/>
      </c>
      <c r="Y94" s="25" t="str">
        <f aca="false">IF(Tasks[[#This Row],[Task Name]]="","",IF(N(Tasks[[#This Row],[Baseline Finish]])&gt;0,Tasks[[#This Row],[Baseline Finish]],Tasks[[#This Row],[_CalcFinish]]))</f>
        <v/>
      </c>
      <c r="Z94" s="88"/>
      <c r="AA94" s="88"/>
      <c r="AB94" s="25" t="str">
        <f aca="false">IF(Tasks[[#This Row],[Task Name]]="","",IF(Tasks[[#This Row],[_IsSummary]],MIN(INDEX(Tasks[_ShownFcstStart],Tasks[[#This Row],[_Row]]+1):INDEX(Tasks[_ShownFcstStart],Tasks[[#This Row],[_Row]]+Tasks[[#This Row],[_Descendants]])),Tasks[[#This Row],[_ShownFcstStart]]))</f>
        <v/>
      </c>
      <c r="AC94" s="25" t="str">
        <f aca="false">IF(Tasks[[#This Row],[Task Name]]="","",IF(Tasks[[#This Row],[_IsSummary]],MAX(INDEX(Tasks[_ShownFcstFinish],Tasks[[#This Row],[_Row]]+1):INDEX(Tasks[_ShownFcstFinish],Tasks[[#This Row],[_Row]]+Tasks[[#This Row],[_Descendants]])),Tasks[[#This Row],[_ShownFcstFinish]]))</f>
        <v/>
      </c>
      <c r="AD9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4" s="25" t="str">
        <f aca="false">IF(Tasks[[#This Row],[Task Name]]="","",IF(Tasks[[#This Row],[_IsSummary]],MIN(INDEX(Tasks[_LeafLateStart],Tasks[[#This Row],[_Row]]+1):INDEX(Tasks[_LeafLateStart],Tasks[[#This Row],[_Row]]+Tasks[[#This Row],[_Descendants]])),Tasks[[#This Row],[_LeafLateStart]]))</f>
        <v/>
      </c>
      <c r="AG94" s="25" t="str">
        <f aca="false">IF(Tasks[[#This Row],[Task Name]]="","",IF(Tasks[[#This Row],[_IsSummary]],MAX(INDEX(Tasks[_LeafLateFinish],Tasks[[#This Row],[_Row]]+1):INDEX(Tasks[_LeafLateFinish],Tasks[[#This Row],[_Row]]+Tasks[[#This Row],[_Descendants]])),Tasks[[#This Row],[_LeafLateFinish]]))</f>
        <v/>
      </c>
      <c r="AH94" s="56" t="str">
        <f aca="false">IF(Tasks[[#This Row],[Task Name]]="","",IF(Tasks[[#This Row],[_IsSummary]],MIN(INDEX(Tasks[_LeafTotalSlack],Tasks[[#This Row],[_Row]]+1):INDEX(Tasks[_LeafTotalSlack],Tasks[[#This Row],[_Row]]+Tasks[[#This Row],[_Descendants]])),Tasks[[#This Row],[_LeafTotalSlack]]))</f>
        <v/>
      </c>
      <c r="AI9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4" s="45" t="str">
        <f aca="false">IF(Tasks[[#This Row],[Task Name]]="","",IF(IF(Tasks[[#This Row],[_IsSummary]],COUNTIF(INDEX(Tasks[_LeafCritical],Tasks[[#This Row],[_Row]]+1):INDEX(Tasks[_LeafCritical],Tasks[[#This Row],[_Row]]+Tasks[[#This Row],[_Descendants]]),TRUE())&gt;0,Tasks[[#This Row],[_LeafCritical]]),"Yes",""))</f>
        <v/>
      </c>
      <c r="AK9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4" s="102"/>
      <c r="AN9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4" s="45" t="str">
        <f aca="false">IF(Tasks[[#This Row],[Task Name]]="","",IF(Tasks[[#This Row],[Progress]]&gt;=1,"Complete",IF(OR(N(Tasks[[#This Row],[Actual Start]])&gt;0,Tasks[[#This Row],[Progress]]&gt;0),IF(Tasks[[#This Row],[Finish Var]]&gt;0,"Behind","In Progress"),IF(Tasks[[#This Row],[Planned Start]]&lt;StatusDate,"Late Start","Not Started"))))</f>
        <v/>
      </c>
      <c r="AP94" s="47"/>
      <c r="AQ94" s="102"/>
      <c r="AR9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4" s="110" t="str">
        <f aca="false">IF(Tasks[[#This Row],[Task Name]]="","",IF(Tasks[[#This Row],[_IsSummary]],SUM(INDEX(Tasks[_LeafTotalWork],Tasks[[#This Row],[_Row]]+1):INDEX(Tasks[_LeafTotalWork],Tasks[[#This Row],[_Row]]+Tasks[[#This Row],[_Descendants]])),Tasks[[#This Row],[_LeafTotalWork]]))</f>
        <v/>
      </c>
      <c r="AU94" s="111" t="str">
        <f aca="false">IF(Tasks[[#This Row],[Task Name]]="","",IF(Tasks[[#This Row],[_IsSummary]],SUM(INDEX(Tasks[_LeafTotalCost],Tasks[[#This Row],[_Row]]+1):INDEX(Tasks[_LeafTotalCost],Tasks[[#This Row],[_Row]]+Tasks[[#This Row],[_Descendants]])),Tasks[[#This Row],[_LeafTotalCost]]))</f>
        <v/>
      </c>
      <c r="AV94" s="112"/>
      <c r="AW94" s="46"/>
      <c r="AX9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4" s="96"/>
      <c r="AZ9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4" s="47"/>
      <c r="BB94" s="25" t="str">
        <f aca="false">IF(Tasks[[#This Row],[Task Name]]="","",Tasks[[#This Row],[Forecast Start]])</f>
        <v/>
      </c>
      <c r="BC94" s="25" t="str">
        <f aca="false">IF(Tasks[[#This Row],[Task Name]]="","",Tasks[[#This Row],[Forecast Finish]])</f>
        <v/>
      </c>
      <c r="BD94" s="45" t="str">
        <f aca="false">IF(Tasks[[#This Row],[Task Name]]="","",IF(Tasks[[#This Row],[_IsSummary]],NETWORKDAYS.INTL(Tasks[[#This Row],[Forecast Start]],Tasks[[#This Row],[Forecast Finish]],WorkWeek,Holidays),N(Tasks[[#This Row],[Duration]])))</f>
        <v/>
      </c>
      <c r="BE94" s="110" t="str">
        <f aca="false">IF(Tasks[[#This Row],[Task Name]]="","",Tasks[[#This Row],[Work]])</f>
        <v/>
      </c>
      <c r="BF94" s="111" t="str">
        <f aca="false">IF(Tasks[[#This Row],[Task Name]]="","",Tasks[[#This Row],[Cost]])</f>
        <v/>
      </c>
      <c r="BG94" s="88"/>
      <c r="BH94" s="88"/>
      <c r="BI94" s="46"/>
      <c r="BJ94" s="113"/>
      <c r="BK94" s="112"/>
      <c r="BL94" s="45" t="str">
        <f aca="false">IF(OR(Tasks[[#This Row],[Task Name]]="",Tasks[[#This Row],[Baseline Duration]]=""),"",Tasks[[#This Row],[BL Source Duration]]-N(Tasks[[#This Row],[Baseline Duration]]))</f>
        <v/>
      </c>
      <c r="BM94" s="110" t="str">
        <f aca="false">IF(OR(Tasks[[#This Row],[Task Name]]="",Tasks[[#This Row],[Baseline Work]]=""),"",Tasks[[#This Row],[Work]]-N(Tasks[[#This Row],[Baseline Work]]))</f>
        <v/>
      </c>
      <c r="BN94" s="111" t="str">
        <f aca="false">IF(OR(Tasks[[#This Row],[Task Name]]="",Tasks[[#This Row],[Baseline Cost]]=""),"",Tasks[[#This Row],[Cost]]-N(Tasks[[#This Row],[Baseline Cost]]))</f>
        <v/>
      </c>
      <c r="BO94" s="111" t="str">
        <f aca="false">IF(Tasks[[#This Row],[Task Name]]="","",IF(Tasks[[#This Row],[_IsSummary]],SUM(INDEX(Tasks[_LeafBudget],Tasks[[#This Row],[_Row]]+1):INDEX(Tasks[_LeafBudget],Tasks[[#This Row],[_Row]]+Tasks[[#This Row],[_Descendants]])),Tasks[[#This Row],[_LeafBudget]]))</f>
        <v/>
      </c>
      <c r="BP94" s="111" t="str">
        <f aca="false">IF(Tasks[[#This Row],[Task Name]]="","",IF(Tasks[[#This Row],[_IsSummary]],SUM(INDEX(Tasks[_LeafPV],Tasks[[#This Row],[_Row]]+1):INDEX(Tasks[_LeafPV],Tasks[[#This Row],[_Row]]+Tasks[[#This Row],[_Descendants]])),Tasks[[#This Row],[_LeafPV]]))</f>
        <v/>
      </c>
      <c r="BQ94" s="111" t="str">
        <f aca="false">IF(Tasks[[#This Row],[Task Name]]="","",IF(Tasks[[#This Row],[_IsSummary]],SUM(INDEX(Tasks[_LeafEV],Tasks[[#This Row],[_Row]]+1):INDEX(Tasks[_LeafEV],Tasks[[#This Row],[_Row]]+Tasks[[#This Row],[_Descendants]])),Tasks[[#This Row],[_LeafEV]]))</f>
        <v/>
      </c>
      <c r="BR94" s="111" t="str">
        <f aca="false">IF(Tasks[[#This Row],[Task Name]]="","",IF(Tasks[[#This Row],[_IsSummary]],SUM(INDEX(Tasks[_LeafAC],Tasks[[#This Row],[_Row]]+1):INDEX(Tasks[_LeafAC],Tasks[[#This Row],[_Row]]+Tasks[[#This Row],[_Descendants]])),Tasks[[#This Row],[_LeafAC]]))</f>
        <v/>
      </c>
      <c r="BS94" s="32" t="str">
        <f aca="false">IF(Tasks[[#This Row],[Task Name]]="","",MAX(1,N(Tasks[[#This Row],[Level]])))</f>
        <v/>
      </c>
      <c r="BT94" s="32" t="n">
        <f aca="false">ROW()-ROW(Tasks[[#Headers],[ID]])</f>
        <v>89</v>
      </c>
      <c r="BU94" s="32" t="n">
        <f aca="false">IF(OR(Tasks[[#This Row],[Task Name]]="",Tasks[[#This Row],[_Level]]&lt;=1),0,IFERROR(LOOKUP(2,1/(Tasks[[#Headers],[_Level]]:Tasks[[#This Row],[_Level]]=Tasks[[#This Row],[_Level]]-1),ROW(Tasks[[#Headers],[_Level]]:Tasks[[#This Row],[_Level]])),0))</f>
        <v>0</v>
      </c>
      <c r="BV94" s="32" t="n">
        <f aca="false">IFERROR(N(INDEX(Tasks[_Level],Tasks[[#This Row],[_Row]]+1)),0)</f>
        <v>0</v>
      </c>
      <c r="BW94" s="114" t="b">
        <f aca="false">AND(Tasks[[#This Row],[Task Name]]&lt;&gt;"",Tasks[[#This Row],[_NextLevel]]&gt;Tasks[[#This Row],[_Level]])</f>
        <v>0</v>
      </c>
      <c r="BX94" s="32" t="n">
        <f aca="false">IF(Tasks[[#This Row],[_IsSummary]],COUNTIF(Tasks[WBS],Tasks[[#This Row],[WBS]]&amp;".*"),0)</f>
        <v>0</v>
      </c>
      <c r="BY94" s="32" t="n">
        <f aca="false">IF(AND(Tasks[[#This Row],[Task Name]]&lt;&gt;"",NOT(Tasks[[#This Row],[_IsSummary]])),1,0)</f>
        <v>0</v>
      </c>
      <c r="BZ94" s="32" t="n">
        <f aca="false">IF(N(Tasks[[#This Row],[Pred1 UID]])=0,0,IFERROR(MATCH(Tasks[[#This Row],[Pred1 UID]],Tasks[UID],0),-1))</f>
        <v>0</v>
      </c>
      <c r="CA94" s="32" t="n">
        <f aca="false">IF(N(Tasks[[#This Row],[Pred2 UID]])=0,0,IFERROR(MATCH(Tasks[[#This Row],[Pred2 UID]],Tasks[UID],0),-1))</f>
        <v>0</v>
      </c>
      <c r="CB94" s="32" t="n">
        <f aca="false">IF(N(Tasks[[#This Row],[Pred3 UID]])=0,0,IFERROR(MATCH(Tasks[[#This Row],[Pred3 UID]],Tasks[UID],0),-1))</f>
        <v>0</v>
      </c>
      <c r="CC94" s="32" t="n">
        <f aca="false">IF(N(Tasks[[#This Row],[Pred4 UID]])=0,0,IFERROR(MATCH(Tasks[[#This Row],[Pred4 UID]],Tasks[UID],0),-1))</f>
        <v>0</v>
      </c>
      <c r="CD9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4" s="115" t="n">
        <f aca="false">IF(OR(Tasks[[#This Row],[_ConstraintCode]]=2,Tasks[[#This Row],[_ConstraintCode]]=3,Tasks[[#This Row],[_ConstraintCode]]=4,Tasks[[#This Row],[_ConstraintCode]]=6),Tasks[[#This Row],[_ConstraintStart]],0)</f>
        <v>0</v>
      </c>
      <c r="CG94" s="115" t="n">
        <f aca="false">IF(OR(Tasks[[#This Row],[_ConstraintCode]]=2,Tasks[[#This Row],[_ConstraintCode]]=3,Tasks[[#This Row],[_ConstraintCode]]=5,Tasks[[#This Row],[_ConstraintCode]]=7),Tasks[[#This Row],[_ConstraintStart]],2958465)</f>
        <v>2958465</v>
      </c>
      <c r="CH9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4" s="115" t="str">
        <f aca="false">IF(NOT(Tasks[[#This Row],[_IsLeaf]]=1),"",IF(N(Tasks[[#This Row],[Duration]])&lt;=0,Tasks[[#This Row],[_LeafCalcStart]],WORKDAY.INTL(Tasks[[#This Row],[_LeafCalcStart]],Tasks[[#This Row],[Duration]]-1,WorkWeek,Holidays)))</f>
        <v/>
      </c>
      <c r="CJ9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4" s="32" t="n">
        <f aca="false">IF(NOT(Tasks[[#This Row],[_IsLeaf]]=1),0,IF(N(Tasks[[#This Row],[Actual Finish]])&gt;0,1,MIN(1,N(Tasks[[#This Row],[% Complete]]))))</f>
        <v>0</v>
      </c>
      <c r="CM94" s="32" t="n">
        <f aca="false">IF(OR(NOT(Tasks[[#This Row],[_IsLeaf]]=1),Tasks[[#This Row],[Resource]]=""),0,N(Tasks[[#This Row],[Duration]])*HoursPerDay*IF(Tasks[[#This Row],[Units]]="",DefaultUnits,Tasks[[#This Row],[Units]]))</f>
        <v>0</v>
      </c>
      <c r="CN94" s="32" t="n">
        <f aca="false">IF(Tasks[[#This Row],[_LeafWork]]=0,0,Tasks[[#This Row],[_LeafWork]]*IFERROR(INDEX(res_Rate,MATCH(Tasks[[#This Row],[Resource]],res_Name,0)),0))</f>
        <v>0</v>
      </c>
      <c r="CO94" s="32" t="n">
        <f aca="false">Tasks[[#This Row],[_LeafWork]]+IF(Tasks[[#This Row],[_IsLeaf]]=1,SUMIFS(asg_Work,asg_TaskUID,Tasks[[#This Row],[UID]],asg_Valid,1),0)</f>
        <v>0</v>
      </c>
      <c r="CP94" s="32" t="n">
        <f aca="false">Tasks[[#This Row],[_LeafCost]]+IF(Tasks[[#This Row],[_IsLeaf]]=1,SUMIFS(asg_Cost,asg_TaskUID,Tasks[[#This Row],[UID]],asg_Valid,1),0)</f>
        <v>0</v>
      </c>
      <c r="CQ94" s="32" t="n">
        <f aca="false">IF(Tasks[[#This Row],[_LeafTotalCost]]=0,Tasks[[#This Row],[_LeafAC]],Tasks[[#This Row],[_LeafAC]]*Tasks[[#This Row],[_LeafCost]]/Tasks[[#This Row],[_LeafTotalCost]])</f>
        <v>0</v>
      </c>
      <c r="CR9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4" s="32" t="n">
        <f aca="false">IF(NOT(Tasks[[#This Row],[_IsLeaf]]=1),0,MAX(_xlfn.MAXIFS(Tasks[_Row],Tasks[Pred1 UID],Tasks[[#This Row],[UID]]),_xlfn.MAXIFS(Tasks[_Row],Tasks[Pred2 UID],Tasks[[#This Row],[UID]]),_xlfn.MAXIFS(Tasks[_Row],Tasks[Pred3 UID],Tasks[[#This Row],[UID]]),_xlfn.MAXIFS(Tasks[_Row],Tasks[Pred4 UID],Tasks[[#This Row],[UID]])))</f>
        <v>0</v>
      </c>
      <c r="DA9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4" s="115" t="str">
        <f aca="false">IF(NOT(Tasks[[#This Row],[_IsLeaf]]=1),"",IF(N(Tasks[[#This Row],[Duration]])&lt;=0,Tasks[[#This Row],[_LeafLateFinish]],WORKDAY.INTL(Tasks[[#This Row],[_LeafLateFinish]],-(Tasks[[#This Row],[Duration]]-1),WorkWeek,Holidays)))</f>
        <v/>
      </c>
      <c r="DD9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4" s="114" t="b">
        <f aca="false">AND(Tasks[[#This Row],[_IsLeaf]]=1,Tasks[[#This Row],[_LeafProgress]]&lt;1,N(Tasks[[#This Row],[_LeafTotalSlack]])&lt;=CriticalSlackDays)</f>
        <v>0</v>
      </c>
      <c r="DF94" s="32" t="n">
        <f aca="false">IF(AND(Tasks[[#This Row],[_IsLeaf]]=1,Tasks[[#This Row],[_ConstraintCode]]=1,Tasks[[#This Row],[Mode]]&lt;&gt;"Manual",N(Tasks[[#This Row],[Actual Start]])=0),MAX(0,N(Tasks[[#This Row],[Free Slack]])),0)</f>
        <v>0</v>
      </c>
      <c r="DG94" s="115" t="str">
        <f aca="false">IF(NOT(Tasks[[#This Row],[_IsLeaf]]=1),"",IF(Tasks[[#This Row],[_AlapShift]]=0,Tasks[[#This Row],[_LeafCalcStart]],WORKDAY.INTL(Tasks[[#This Row],[_LeafCalcStart]],Tasks[[#This Row],[_AlapShift]],WorkWeek,Holidays)))</f>
        <v/>
      </c>
      <c r="DH94" s="115" t="str">
        <f aca="false">IF(NOT(Tasks[[#This Row],[_IsLeaf]]=1),"",IF(Tasks[[#This Row],[_AlapShift]]=0,Tasks[[#This Row],[_LeafCalcFinish]],WORKDAY.INTL(Tasks[[#This Row],[_LeafCalcFinish]],Tasks[[#This Row],[_AlapShift]],WorkWeek,Holidays)))</f>
        <v/>
      </c>
      <c r="DI94" s="115" t="str">
        <f aca="false">IF(NOT(Tasks[[#This Row],[_IsLeaf]]=1),"",IF(Tasks[[#This Row],[_AlapShift]]=0,Tasks[[#This Row],[_LeafFcstStart]],WORKDAY.INTL(Tasks[[#This Row],[_LeafFcstStart]],Tasks[[#This Row],[_AlapShift]],WorkWeek,Holidays)))</f>
        <v/>
      </c>
      <c r="DJ94" s="115" t="str">
        <f aca="false">IF(NOT(Tasks[[#This Row],[_IsLeaf]]=1),"",IF(Tasks[[#This Row],[_AlapShift]]=0,Tasks[[#This Row],[_LeafFcstFinish]],WORKDAY.INTL(Tasks[[#This Row],[_LeafFcstFinish]],Tasks[[#This Row],[_AlapShift]],WorkWeek,Holidays)))</f>
        <v/>
      </c>
      <c r="DK94" s="115" t="str">
        <f aca="false">IF(Tasks[[#This Row],[Task Name]]="","",IF(Tasks[[#This Row],[_IsSummary]],MIN(INDEX(Tasks[_ShownCalcStart],Tasks[[#This Row],[_Row]]+1):INDEX(Tasks[_ShownCalcStart],Tasks[[#This Row],[_Row]]+Tasks[[#This Row],[_Descendants]])),Tasks[[#This Row],[_ShownCalcStart]]))</f>
        <v/>
      </c>
      <c r="DL94" s="115" t="str">
        <f aca="false">IF(Tasks[[#This Row],[Task Name]]="","",IF(Tasks[[#This Row],[_IsSummary]],MAX(INDEX(Tasks[_ShownCalcFinish],Tasks[[#This Row],[_Row]]+1):INDEX(Tasks[_ShownCalcFinish],Tasks[[#This Row],[_Row]]+Tasks[[#This Row],[_Descendants]])),Tasks[[#This Row],[_ShownCalcFinish]]))</f>
        <v/>
      </c>
      <c r="DM9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4" s="32" t="n">
        <f aca="false">IF(AND(Tasks[[#This Row],[_IsLeaf]]=1,Tasks[[#This Row],[_LeafTotalWork]]&gt;0),NETWORKDAYS.INTL(ProjectStart,Tasks[[#This Row],[_ShownFcstStart]],WorkWeek,Holidays),0)</f>
        <v>0</v>
      </c>
      <c r="DZ94" s="32" t="n">
        <f aca="false">IF(AND(Tasks[[#This Row],[_IsLeaf]]=1,Tasks[[#This Row],[_LeafTotalWork]]&gt;0),MAX(Tasks[[#This Row],[_StartWorkday]],NETWORKDAYS.INTL(ProjectStart,Tasks[[#This Row],[_ShownFcstFinish]],WorkWeek,Holidays)),0)</f>
        <v>0</v>
      </c>
      <c r="EA94" s="32" t="n">
        <f aca="false">IF(AND(Tasks[[#This Row],[_IsLeaf]]=1,Tasks[[#This Row],[_LeafTotalWork]]&gt;0),Tasks[[#This Row],[_LeafWork]]/(Tasks[[#This Row],[_FinishWorkday]]-Tasks[[#This Row],[_StartWorkday]]+1),0)</f>
        <v>0</v>
      </c>
      <c r="EB94" s="32" t="n">
        <f aca="false">Tasks[[#This Row],[_WorkPerWorkday]]*(Tasks[[#This Row],[_StartWorkday]]-1)</f>
        <v>-0</v>
      </c>
      <c r="EC94" s="32" t="n">
        <f aca="false">IF(Tasks[[#This Row],[_IsLeaf]]=1,MAX(N(Tasks[[#This Row],[Duration]]),0.1),0)</f>
        <v>0</v>
      </c>
      <c r="ED94" s="32" t="n">
        <f aca="false">Tasks[[#This Row],[_WeightDur]]*Tasks[[#This Row],[_LeafProgress]]</f>
        <v>0</v>
      </c>
      <c r="EE9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4" s="32" t="str">
        <f aca="false">IF(AND(Tasks[[#This Row],[_IsLeaf]]=1,N(Tasks[[#This Row],[Duration]])=0,Tasks[[#This Row],[_LeafProgress]]&lt;1),Tasks[[#This Row],[_ShownFcstFinish]]+Tasks[[#This Row],[_Row]]/100000,"")</f>
        <v/>
      </c>
      <c r="EG9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4" s="32" t="n">
        <f aca="false">IF(NOT(Tasks[[#This Row],[_IsLeaf]]=1),0,IF(Tasks[[#This Row],[Baseline Cost]]="",Tasks[[#This Row],[_LeafTotalCost]],N(Tasks[[#This Row],[Baseline Cost]])))</f>
        <v>0</v>
      </c>
      <c r="EI94" s="32" t="n">
        <f aca="false">Tasks[[#This Row],[_LeafBudget]]*Tasks[[#This Row],[_PlannedPct]]</f>
        <v>0</v>
      </c>
      <c r="EJ94" s="32" t="n">
        <f aca="false">Tasks[[#This Row],[_LeafBudget]]*Tasks[[#This Row],[_LeafProgress]]</f>
        <v>0</v>
      </c>
      <c r="EK94" s="32" t="n">
        <f aca="false">IF(NOT(Tasks[[#This Row],[_IsLeaf]]=1),0,IF(Tasks[[#This Row],[Actual Cost]]="",Tasks[[#This Row],[_LeafTotalCost]]*Tasks[[#This Row],[_LeafProgress]],N(Tasks[[#This Row],[Actual Cost]])))</f>
        <v>0</v>
      </c>
      <c r="EL94" s="32" t="str">
        <f aca="false">IF(Tasks[[#This Row],[Task Name]]="","",LEFT(Tasks[[#This Row],[WBS]],FIND(".",Tasks[[#This Row],[WBS]]&amp;".")-1))</f>
        <v/>
      </c>
      <c r="EM94" s="32" t="str">
        <f aca="false">IF(AND(Tasks[[#This Row],[Task Name]]&lt;&gt;"",Tasks[[#This Row],[_Level]]=1),Tasks[[#This Row],[_Row]],"")</f>
        <v/>
      </c>
      <c r="EN94" s="32" t="str">
        <f aca="false">IF(AND(Tasks[[#This Row],[_IsLeaf]]=1,N(Tasks[[#This Row],[Duration]])=0),Tasks[[#This Row],[Planned Finish]]+Tasks[[#This Row],[_Row]]/100000,"")</f>
        <v/>
      </c>
      <c r="EO94" s="32" t="str">
        <f aca="false">IF(AND(Tasks[[#This Row],[_IsLeaf]]=1,Tasks[[#This Row],[_LeafProgress]]&lt;1,OR(N(Tasks[[#This Row],[Finish Var]])&gt;0,Tasks[[#This Row],[Status]]="Late Start")),MAX(0,Tasks[[#This Row],[Finish Var]])+1-Tasks[[#This Row],[_Row]]/1000000,"")</f>
        <v/>
      </c>
      <c r="EP94" s="32" t="str">
        <f aca="false">IF(AND(Tasks[[#This Row],[_IsLeaf]]=1,N(Tasks[[#This Row],[Actual Start]])=0,Tasks[[#This Row],[_ShownFcstStart]]&gt;=StatusDate,Tasks[[#This Row],[_ShownFcstStart]]&lt;=LookaheadEnd),Tasks[[#This Row],[_ShownFcstStart]]+Tasks[[#This Row],[_Row]]/100000,"")</f>
        <v/>
      </c>
      <c r="EQ94" s="32" t="str">
        <f aca="false">IF(AND(Tasks[[#This Row],[_IsLeaf]]=1,Tasks[[#This Row],[_LeafProgress]]&lt;1,Tasks[[#This Row],[_ShownFcstFinish]]&gt;=StatusDate,Tasks[[#This Row],[_ShownFcstFinish]]&lt;=LookaheadEnd),Tasks[[#This Row],[_ShownFcstFinish]]+Tasks[[#This Row],[_Row]]/100000,"")</f>
        <v/>
      </c>
      <c r="ER94" s="32" t="str">
        <f aca="false">IF(Tasks[[#This Row],[_LeafCritical]],Tasks[[#This Row],[_ShownFcstStart]]+Tasks[[#This Row],[_Row]]/100000,"")</f>
        <v/>
      </c>
      <c r="ES94" s="32" t="n">
        <f aca="false">Tasks[[#This Row],[_LeafWork]]*Tasks[[#This Row],[_LeafProgress]]</f>
        <v>0</v>
      </c>
      <c r="ET94" s="115" t="str">
        <f aca="false">IF(AND(Tasks[[#This Row],[_IsLeaf]]=1,Tasks[[#This Row],[_LeafProgress]]&gt;=1),IF(N(Tasks[[#This Row],[Actual Finish]])&gt;0,Tasks[[#This Row],[Actual Finish]],Tasks[[#This Row],[_ShownFcstFinish]]),"")</f>
        <v/>
      </c>
      <c r="EU94" s="32" t="n">
        <f aca="false">IF(Tasks[[#This Row],[_IsLeaf]]=1,N(Tasks[[#This Row],[Story Points]]),0)</f>
        <v>0</v>
      </c>
      <c r="EV94" s="32" t="str">
        <f aca="false">IF(AND(Tasks[[#This Row],[_IsLeaf]]=1,CurrentSprint&lt;&gt;"",Tasks[[#This Row],[Sprint]]=CurrentSprint),Tasks[[#This Row],[_Row]],"")</f>
        <v/>
      </c>
    </row>
    <row r="95" customFormat="false" ht="15" hidden="false" customHeight="false" outlineLevel="0" collapsed="false">
      <c r="A95" s="45" t="str">
        <f aca="false">IF(Tasks[[#This Row],[Task Name]]="","",COUNTA(Tasks[[#Headers],[Task Name]]:Tasks[[#This Row],[Task Name]])-1)</f>
        <v/>
      </c>
      <c r="B95" s="46" t="n">
        <v>90</v>
      </c>
      <c r="C9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5" s="46"/>
      <c r="E95" s="45" t="str">
        <f aca="false">IF(Tasks[[#This Row],[Task Name]]="","",IF(Tasks[[#This Row],[_Level]]&lt;=OutlineShowLevel,"Yes","No"))</f>
        <v/>
      </c>
      <c r="F95" s="47"/>
      <c r="G95" s="46"/>
      <c r="H95" s="46"/>
      <c r="I95" s="46"/>
      <c r="J95" s="46"/>
      <c r="K95" s="46"/>
      <c r="L95" s="46"/>
      <c r="M95" s="46"/>
      <c r="N95" s="46"/>
      <c r="O95" s="46"/>
      <c r="P95" s="46"/>
      <c r="Q95" s="46"/>
      <c r="R95" s="46"/>
      <c r="S95" s="46"/>
      <c r="T95" s="46"/>
      <c r="U95" s="47"/>
      <c r="V95" s="88"/>
      <c r="W95" s="88"/>
      <c r="X95" s="25" t="str">
        <f aca="false">IF(Tasks[[#This Row],[Task Name]]="","",IF(N(Tasks[[#This Row],[Baseline Start]])&gt;0,Tasks[[#This Row],[Baseline Start]],Tasks[[#This Row],[_CalcStart]]))</f>
        <v/>
      </c>
      <c r="Y95" s="25" t="str">
        <f aca="false">IF(Tasks[[#This Row],[Task Name]]="","",IF(N(Tasks[[#This Row],[Baseline Finish]])&gt;0,Tasks[[#This Row],[Baseline Finish]],Tasks[[#This Row],[_CalcFinish]]))</f>
        <v/>
      </c>
      <c r="Z95" s="88"/>
      <c r="AA95" s="88"/>
      <c r="AB95" s="25" t="str">
        <f aca="false">IF(Tasks[[#This Row],[Task Name]]="","",IF(Tasks[[#This Row],[_IsSummary]],MIN(INDEX(Tasks[_ShownFcstStart],Tasks[[#This Row],[_Row]]+1):INDEX(Tasks[_ShownFcstStart],Tasks[[#This Row],[_Row]]+Tasks[[#This Row],[_Descendants]])),Tasks[[#This Row],[_ShownFcstStart]]))</f>
        <v/>
      </c>
      <c r="AC95" s="25" t="str">
        <f aca="false">IF(Tasks[[#This Row],[Task Name]]="","",IF(Tasks[[#This Row],[_IsSummary]],MAX(INDEX(Tasks[_ShownFcstFinish],Tasks[[#This Row],[_Row]]+1):INDEX(Tasks[_ShownFcstFinish],Tasks[[#This Row],[_Row]]+Tasks[[#This Row],[_Descendants]])),Tasks[[#This Row],[_ShownFcstFinish]]))</f>
        <v/>
      </c>
      <c r="AD9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5" s="25" t="str">
        <f aca="false">IF(Tasks[[#This Row],[Task Name]]="","",IF(Tasks[[#This Row],[_IsSummary]],MIN(INDEX(Tasks[_LeafLateStart],Tasks[[#This Row],[_Row]]+1):INDEX(Tasks[_LeafLateStart],Tasks[[#This Row],[_Row]]+Tasks[[#This Row],[_Descendants]])),Tasks[[#This Row],[_LeafLateStart]]))</f>
        <v/>
      </c>
      <c r="AG95" s="25" t="str">
        <f aca="false">IF(Tasks[[#This Row],[Task Name]]="","",IF(Tasks[[#This Row],[_IsSummary]],MAX(INDEX(Tasks[_LeafLateFinish],Tasks[[#This Row],[_Row]]+1):INDEX(Tasks[_LeafLateFinish],Tasks[[#This Row],[_Row]]+Tasks[[#This Row],[_Descendants]])),Tasks[[#This Row],[_LeafLateFinish]]))</f>
        <v/>
      </c>
      <c r="AH95" s="56" t="str">
        <f aca="false">IF(Tasks[[#This Row],[Task Name]]="","",IF(Tasks[[#This Row],[_IsSummary]],MIN(INDEX(Tasks[_LeafTotalSlack],Tasks[[#This Row],[_Row]]+1):INDEX(Tasks[_LeafTotalSlack],Tasks[[#This Row],[_Row]]+Tasks[[#This Row],[_Descendants]])),Tasks[[#This Row],[_LeafTotalSlack]]))</f>
        <v/>
      </c>
      <c r="AI9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5" s="45" t="str">
        <f aca="false">IF(Tasks[[#This Row],[Task Name]]="","",IF(IF(Tasks[[#This Row],[_IsSummary]],COUNTIF(INDEX(Tasks[_LeafCritical],Tasks[[#This Row],[_Row]]+1):INDEX(Tasks[_LeafCritical],Tasks[[#This Row],[_Row]]+Tasks[[#This Row],[_Descendants]]),TRUE())&gt;0,Tasks[[#This Row],[_LeafCritical]]),"Yes",""))</f>
        <v/>
      </c>
      <c r="AK9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5" s="102"/>
      <c r="AN9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5" s="45" t="str">
        <f aca="false">IF(Tasks[[#This Row],[Task Name]]="","",IF(Tasks[[#This Row],[Progress]]&gt;=1,"Complete",IF(OR(N(Tasks[[#This Row],[Actual Start]])&gt;0,Tasks[[#This Row],[Progress]]&gt;0),IF(Tasks[[#This Row],[Finish Var]]&gt;0,"Behind","In Progress"),IF(Tasks[[#This Row],[Planned Start]]&lt;StatusDate,"Late Start","Not Started"))))</f>
        <v/>
      </c>
      <c r="AP95" s="47"/>
      <c r="AQ95" s="102"/>
      <c r="AR9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5" s="110" t="str">
        <f aca="false">IF(Tasks[[#This Row],[Task Name]]="","",IF(Tasks[[#This Row],[_IsSummary]],SUM(INDEX(Tasks[_LeafTotalWork],Tasks[[#This Row],[_Row]]+1):INDEX(Tasks[_LeafTotalWork],Tasks[[#This Row],[_Row]]+Tasks[[#This Row],[_Descendants]])),Tasks[[#This Row],[_LeafTotalWork]]))</f>
        <v/>
      </c>
      <c r="AU95" s="111" t="str">
        <f aca="false">IF(Tasks[[#This Row],[Task Name]]="","",IF(Tasks[[#This Row],[_IsSummary]],SUM(INDEX(Tasks[_LeafTotalCost],Tasks[[#This Row],[_Row]]+1):INDEX(Tasks[_LeafTotalCost],Tasks[[#This Row],[_Row]]+Tasks[[#This Row],[_Descendants]])),Tasks[[#This Row],[_LeafTotalCost]]))</f>
        <v/>
      </c>
      <c r="AV95" s="112"/>
      <c r="AW95" s="46"/>
      <c r="AX9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5" s="96"/>
      <c r="AZ9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5" s="47"/>
      <c r="BB95" s="25" t="str">
        <f aca="false">IF(Tasks[[#This Row],[Task Name]]="","",Tasks[[#This Row],[Forecast Start]])</f>
        <v/>
      </c>
      <c r="BC95" s="25" t="str">
        <f aca="false">IF(Tasks[[#This Row],[Task Name]]="","",Tasks[[#This Row],[Forecast Finish]])</f>
        <v/>
      </c>
      <c r="BD95" s="45" t="str">
        <f aca="false">IF(Tasks[[#This Row],[Task Name]]="","",IF(Tasks[[#This Row],[_IsSummary]],NETWORKDAYS.INTL(Tasks[[#This Row],[Forecast Start]],Tasks[[#This Row],[Forecast Finish]],WorkWeek,Holidays),N(Tasks[[#This Row],[Duration]])))</f>
        <v/>
      </c>
      <c r="BE95" s="110" t="str">
        <f aca="false">IF(Tasks[[#This Row],[Task Name]]="","",Tasks[[#This Row],[Work]])</f>
        <v/>
      </c>
      <c r="BF95" s="111" t="str">
        <f aca="false">IF(Tasks[[#This Row],[Task Name]]="","",Tasks[[#This Row],[Cost]])</f>
        <v/>
      </c>
      <c r="BG95" s="88"/>
      <c r="BH95" s="88"/>
      <c r="BI95" s="46"/>
      <c r="BJ95" s="113"/>
      <c r="BK95" s="112"/>
      <c r="BL95" s="45" t="str">
        <f aca="false">IF(OR(Tasks[[#This Row],[Task Name]]="",Tasks[[#This Row],[Baseline Duration]]=""),"",Tasks[[#This Row],[BL Source Duration]]-N(Tasks[[#This Row],[Baseline Duration]]))</f>
        <v/>
      </c>
      <c r="BM95" s="110" t="str">
        <f aca="false">IF(OR(Tasks[[#This Row],[Task Name]]="",Tasks[[#This Row],[Baseline Work]]=""),"",Tasks[[#This Row],[Work]]-N(Tasks[[#This Row],[Baseline Work]]))</f>
        <v/>
      </c>
      <c r="BN95" s="111" t="str">
        <f aca="false">IF(OR(Tasks[[#This Row],[Task Name]]="",Tasks[[#This Row],[Baseline Cost]]=""),"",Tasks[[#This Row],[Cost]]-N(Tasks[[#This Row],[Baseline Cost]]))</f>
        <v/>
      </c>
      <c r="BO95" s="111" t="str">
        <f aca="false">IF(Tasks[[#This Row],[Task Name]]="","",IF(Tasks[[#This Row],[_IsSummary]],SUM(INDEX(Tasks[_LeafBudget],Tasks[[#This Row],[_Row]]+1):INDEX(Tasks[_LeafBudget],Tasks[[#This Row],[_Row]]+Tasks[[#This Row],[_Descendants]])),Tasks[[#This Row],[_LeafBudget]]))</f>
        <v/>
      </c>
      <c r="BP95" s="111" t="str">
        <f aca="false">IF(Tasks[[#This Row],[Task Name]]="","",IF(Tasks[[#This Row],[_IsSummary]],SUM(INDEX(Tasks[_LeafPV],Tasks[[#This Row],[_Row]]+1):INDEX(Tasks[_LeafPV],Tasks[[#This Row],[_Row]]+Tasks[[#This Row],[_Descendants]])),Tasks[[#This Row],[_LeafPV]]))</f>
        <v/>
      </c>
      <c r="BQ95" s="111" t="str">
        <f aca="false">IF(Tasks[[#This Row],[Task Name]]="","",IF(Tasks[[#This Row],[_IsSummary]],SUM(INDEX(Tasks[_LeafEV],Tasks[[#This Row],[_Row]]+1):INDEX(Tasks[_LeafEV],Tasks[[#This Row],[_Row]]+Tasks[[#This Row],[_Descendants]])),Tasks[[#This Row],[_LeafEV]]))</f>
        <v/>
      </c>
      <c r="BR95" s="111" t="str">
        <f aca="false">IF(Tasks[[#This Row],[Task Name]]="","",IF(Tasks[[#This Row],[_IsSummary]],SUM(INDEX(Tasks[_LeafAC],Tasks[[#This Row],[_Row]]+1):INDEX(Tasks[_LeafAC],Tasks[[#This Row],[_Row]]+Tasks[[#This Row],[_Descendants]])),Tasks[[#This Row],[_LeafAC]]))</f>
        <v/>
      </c>
      <c r="BS95" s="32" t="str">
        <f aca="false">IF(Tasks[[#This Row],[Task Name]]="","",MAX(1,N(Tasks[[#This Row],[Level]])))</f>
        <v/>
      </c>
      <c r="BT95" s="32" t="n">
        <f aca="false">ROW()-ROW(Tasks[[#Headers],[ID]])</f>
        <v>90</v>
      </c>
      <c r="BU95" s="32" t="n">
        <f aca="false">IF(OR(Tasks[[#This Row],[Task Name]]="",Tasks[[#This Row],[_Level]]&lt;=1),0,IFERROR(LOOKUP(2,1/(Tasks[[#Headers],[_Level]]:Tasks[[#This Row],[_Level]]=Tasks[[#This Row],[_Level]]-1),ROW(Tasks[[#Headers],[_Level]]:Tasks[[#This Row],[_Level]])),0))</f>
        <v>0</v>
      </c>
      <c r="BV95" s="32" t="n">
        <f aca="false">IFERROR(N(INDEX(Tasks[_Level],Tasks[[#This Row],[_Row]]+1)),0)</f>
        <v>0</v>
      </c>
      <c r="BW95" s="114" t="b">
        <f aca="false">AND(Tasks[[#This Row],[Task Name]]&lt;&gt;"",Tasks[[#This Row],[_NextLevel]]&gt;Tasks[[#This Row],[_Level]])</f>
        <v>0</v>
      </c>
      <c r="BX95" s="32" t="n">
        <f aca="false">IF(Tasks[[#This Row],[_IsSummary]],COUNTIF(Tasks[WBS],Tasks[[#This Row],[WBS]]&amp;".*"),0)</f>
        <v>0</v>
      </c>
      <c r="BY95" s="32" t="n">
        <f aca="false">IF(AND(Tasks[[#This Row],[Task Name]]&lt;&gt;"",NOT(Tasks[[#This Row],[_IsSummary]])),1,0)</f>
        <v>0</v>
      </c>
      <c r="BZ95" s="32" t="n">
        <f aca="false">IF(N(Tasks[[#This Row],[Pred1 UID]])=0,0,IFERROR(MATCH(Tasks[[#This Row],[Pred1 UID]],Tasks[UID],0),-1))</f>
        <v>0</v>
      </c>
      <c r="CA95" s="32" t="n">
        <f aca="false">IF(N(Tasks[[#This Row],[Pred2 UID]])=0,0,IFERROR(MATCH(Tasks[[#This Row],[Pred2 UID]],Tasks[UID],0),-1))</f>
        <v>0</v>
      </c>
      <c r="CB95" s="32" t="n">
        <f aca="false">IF(N(Tasks[[#This Row],[Pred3 UID]])=0,0,IFERROR(MATCH(Tasks[[#This Row],[Pred3 UID]],Tasks[UID],0),-1))</f>
        <v>0</v>
      </c>
      <c r="CC95" s="32" t="n">
        <f aca="false">IF(N(Tasks[[#This Row],[Pred4 UID]])=0,0,IFERROR(MATCH(Tasks[[#This Row],[Pred4 UID]],Tasks[UID],0),-1))</f>
        <v>0</v>
      </c>
      <c r="CD9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5" s="115" t="n">
        <f aca="false">IF(OR(Tasks[[#This Row],[_ConstraintCode]]=2,Tasks[[#This Row],[_ConstraintCode]]=3,Tasks[[#This Row],[_ConstraintCode]]=4,Tasks[[#This Row],[_ConstraintCode]]=6),Tasks[[#This Row],[_ConstraintStart]],0)</f>
        <v>0</v>
      </c>
      <c r="CG95" s="115" t="n">
        <f aca="false">IF(OR(Tasks[[#This Row],[_ConstraintCode]]=2,Tasks[[#This Row],[_ConstraintCode]]=3,Tasks[[#This Row],[_ConstraintCode]]=5,Tasks[[#This Row],[_ConstraintCode]]=7),Tasks[[#This Row],[_ConstraintStart]],2958465)</f>
        <v>2958465</v>
      </c>
      <c r="CH9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5" s="115" t="str">
        <f aca="false">IF(NOT(Tasks[[#This Row],[_IsLeaf]]=1),"",IF(N(Tasks[[#This Row],[Duration]])&lt;=0,Tasks[[#This Row],[_LeafCalcStart]],WORKDAY.INTL(Tasks[[#This Row],[_LeafCalcStart]],Tasks[[#This Row],[Duration]]-1,WorkWeek,Holidays)))</f>
        <v/>
      </c>
      <c r="CJ9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5" s="32" t="n">
        <f aca="false">IF(NOT(Tasks[[#This Row],[_IsLeaf]]=1),0,IF(N(Tasks[[#This Row],[Actual Finish]])&gt;0,1,MIN(1,N(Tasks[[#This Row],[% Complete]]))))</f>
        <v>0</v>
      </c>
      <c r="CM95" s="32" t="n">
        <f aca="false">IF(OR(NOT(Tasks[[#This Row],[_IsLeaf]]=1),Tasks[[#This Row],[Resource]]=""),0,N(Tasks[[#This Row],[Duration]])*HoursPerDay*IF(Tasks[[#This Row],[Units]]="",DefaultUnits,Tasks[[#This Row],[Units]]))</f>
        <v>0</v>
      </c>
      <c r="CN95" s="32" t="n">
        <f aca="false">IF(Tasks[[#This Row],[_LeafWork]]=0,0,Tasks[[#This Row],[_LeafWork]]*IFERROR(INDEX(res_Rate,MATCH(Tasks[[#This Row],[Resource]],res_Name,0)),0))</f>
        <v>0</v>
      </c>
      <c r="CO95" s="32" t="n">
        <f aca="false">Tasks[[#This Row],[_LeafWork]]+IF(Tasks[[#This Row],[_IsLeaf]]=1,SUMIFS(asg_Work,asg_TaskUID,Tasks[[#This Row],[UID]],asg_Valid,1),0)</f>
        <v>0</v>
      </c>
      <c r="CP95" s="32" t="n">
        <f aca="false">Tasks[[#This Row],[_LeafCost]]+IF(Tasks[[#This Row],[_IsLeaf]]=1,SUMIFS(asg_Cost,asg_TaskUID,Tasks[[#This Row],[UID]],asg_Valid,1),0)</f>
        <v>0</v>
      </c>
      <c r="CQ95" s="32" t="n">
        <f aca="false">IF(Tasks[[#This Row],[_LeafTotalCost]]=0,Tasks[[#This Row],[_LeafAC]],Tasks[[#This Row],[_LeafAC]]*Tasks[[#This Row],[_LeafCost]]/Tasks[[#This Row],[_LeafTotalCost]])</f>
        <v>0</v>
      </c>
      <c r="CR9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5" s="32" t="n">
        <f aca="false">IF(NOT(Tasks[[#This Row],[_IsLeaf]]=1),0,MAX(_xlfn.MAXIFS(Tasks[_Row],Tasks[Pred1 UID],Tasks[[#This Row],[UID]]),_xlfn.MAXIFS(Tasks[_Row],Tasks[Pred2 UID],Tasks[[#This Row],[UID]]),_xlfn.MAXIFS(Tasks[_Row],Tasks[Pred3 UID],Tasks[[#This Row],[UID]]),_xlfn.MAXIFS(Tasks[_Row],Tasks[Pred4 UID],Tasks[[#This Row],[UID]])))</f>
        <v>0</v>
      </c>
      <c r="DA9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5" s="115" t="str">
        <f aca="false">IF(NOT(Tasks[[#This Row],[_IsLeaf]]=1),"",IF(N(Tasks[[#This Row],[Duration]])&lt;=0,Tasks[[#This Row],[_LeafLateFinish]],WORKDAY.INTL(Tasks[[#This Row],[_LeafLateFinish]],-(Tasks[[#This Row],[Duration]]-1),WorkWeek,Holidays)))</f>
        <v/>
      </c>
      <c r="DD9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5" s="114" t="b">
        <f aca="false">AND(Tasks[[#This Row],[_IsLeaf]]=1,Tasks[[#This Row],[_LeafProgress]]&lt;1,N(Tasks[[#This Row],[_LeafTotalSlack]])&lt;=CriticalSlackDays)</f>
        <v>0</v>
      </c>
      <c r="DF95" s="32" t="n">
        <f aca="false">IF(AND(Tasks[[#This Row],[_IsLeaf]]=1,Tasks[[#This Row],[_ConstraintCode]]=1,Tasks[[#This Row],[Mode]]&lt;&gt;"Manual",N(Tasks[[#This Row],[Actual Start]])=0),MAX(0,N(Tasks[[#This Row],[Free Slack]])),0)</f>
        <v>0</v>
      </c>
      <c r="DG95" s="115" t="str">
        <f aca="false">IF(NOT(Tasks[[#This Row],[_IsLeaf]]=1),"",IF(Tasks[[#This Row],[_AlapShift]]=0,Tasks[[#This Row],[_LeafCalcStart]],WORKDAY.INTL(Tasks[[#This Row],[_LeafCalcStart]],Tasks[[#This Row],[_AlapShift]],WorkWeek,Holidays)))</f>
        <v/>
      </c>
      <c r="DH95" s="115" t="str">
        <f aca="false">IF(NOT(Tasks[[#This Row],[_IsLeaf]]=1),"",IF(Tasks[[#This Row],[_AlapShift]]=0,Tasks[[#This Row],[_LeafCalcFinish]],WORKDAY.INTL(Tasks[[#This Row],[_LeafCalcFinish]],Tasks[[#This Row],[_AlapShift]],WorkWeek,Holidays)))</f>
        <v/>
      </c>
      <c r="DI95" s="115" t="str">
        <f aca="false">IF(NOT(Tasks[[#This Row],[_IsLeaf]]=1),"",IF(Tasks[[#This Row],[_AlapShift]]=0,Tasks[[#This Row],[_LeafFcstStart]],WORKDAY.INTL(Tasks[[#This Row],[_LeafFcstStart]],Tasks[[#This Row],[_AlapShift]],WorkWeek,Holidays)))</f>
        <v/>
      </c>
      <c r="DJ95" s="115" t="str">
        <f aca="false">IF(NOT(Tasks[[#This Row],[_IsLeaf]]=1),"",IF(Tasks[[#This Row],[_AlapShift]]=0,Tasks[[#This Row],[_LeafFcstFinish]],WORKDAY.INTL(Tasks[[#This Row],[_LeafFcstFinish]],Tasks[[#This Row],[_AlapShift]],WorkWeek,Holidays)))</f>
        <v/>
      </c>
      <c r="DK95" s="115" t="str">
        <f aca="false">IF(Tasks[[#This Row],[Task Name]]="","",IF(Tasks[[#This Row],[_IsSummary]],MIN(INDEX(Tasks[_ShownCalcStart],Tasks[[#This Row],[_Row]]+1):INDEX(Tasks[_ShownCalcStart],Tasks[[#This Row],[_Row]]+Tasks[[#This Row],[_Descendants]])),Tasks[[#This Row],[_ShownCalcStart]]))</f>
        <v/>
      </c>
      <c r="DL95" s="115" t="str">
        <f aca="false">IF(Tasks[[#This Row],[Task Name]]="","",IF(Tasks[[#This Row],[_IsSummary]],MAX(INDEX(Tasks[_ShownCalcFinish],Tasks[[#This Row],[_Row]]+1):INDEX(Tasks[_ShownCalcFinish],Tasks[[#This Row],[_Row]]+Tasks[[#This Row],[_Descendants]])),Tasks[[#This Row],[_ShownCalcFinish]]))</f>
        <v/>
      </c>
      <c r="DM9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5" s="32" t="n">
        <f aca="false">IF(AND(Tasks[[#This Row],[_IsLeaf]]=1,Tasks[[#This Row],[_LeafTotalWork]]&gt;0),NETWORKDAYS.INTL(ProjectStart,Tasks[[#This Row],[_ShownFcstStart]],WorkWeek,Holidays),0)</f>
        <v>0</v>
      </c>
      <c r="DZ95" s="32" t="n">
        <f aca="false">IF(AND(Tasks[[#This Row],[_IsLeaf]]=1,Tasks[[#This Row],[_LeafTotalWork]]&gt;0),MAX(Tasks[[#This Row],[_StartWorkday]],NETWORKDAYS.INTL(ProjectStart,Tasks[[#This Row],[_ShownFcstFinish]],WorkWeek,Holidays)),0)</f>
        <v>0</v>
      </c>
      <c r="EA95" s="32" t="n">
        <f aca="false">IF(AND(Tasks[[#This Row],[_IsLeaf]]=1,Tasks[[#This Row],[_LeafTotalWork]]&gt;0),Tasks[[#This Row],[_LeafWork]]/(Tasks[[#This Row],[_FinishWorkday]]-Tasks[[#This Row],[_StartWorkday]]+1),0)</f>
        <v>0</v>
      </c>
      <c r="EB95" s="32" t="n">
        <f aca="false">Tasks[[#This Row],[_WorkPerWorkday]]*(Tasks[[#This Row],[_StartWorkday]]-1)</f>
        <v>-0</v>
      </c>
      <c r="EC95" s="32" t="n">
        <f aca="false">IF(Tasks[[#This Row],[_IsLeaf]]=1,MAX(N(Tasks[[#This Row],[Duration]]),0.1),0)</f>
        <v>0</v>
      </c>
      <c r="ED95" s="32" t="n">
        <f aca="false">Tasks[[#This Row],[_WeightDur]]*Tasks[[#This Row],[_LeafProgress]]</f>
        <v>0</v>
      </c>
      <c r="EE9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5" s="32" t="str">
        <f aca="false">IF(AND(Tasks[[#This Row],[_IsLeaf]]=1,N(Tasks[[#This Row],[Duration]])=0,Tasks[[#This Row],[_LeafProgress]]&lt;1),Tasks[[#This Row],[_ShownFcstFinish]]+Tasks[[#This Row],[_Row]]/100000,"")</f>
        <v/>
      </c>
      <c r="EG9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5" s="32" t="n">
        <f aca="false">IF(NOT(Tasks[[#This Row],[_IsLeaf]]=1),0,IF(Tasks[[#This Row],[Baseline Cost]]="",Tasks[[#This Row],[_LeafTotalCost]],N(Tasks[[#This Row],[Baseline Cost]])))</f>
        <v>0</v>
      </c>
      <c r="EI95" s="32" t="n">
        <f aca="false">Tasks[[#This Row],[_LeafBudget]]*Tasks[[#This Row],[_PlannedPct]]</f>
        <v>0</v>
      </c>
      <c r="EJ95" s="32" t="n">
        <f aca="false">Tasks[[#This Row],[_LeafBudget]]*Tasks[[#This Row],[_LeafProgress]]</f>
        <v>0</v>
      </c>
      <c r="EK95" s="32" t="n">
        <f aca="false">IF(NOT(Tasks[[#This Row],[_IsLeaf]]=1),0,IF(Tasks[[#This Row],[Actual Cost]]="",Tasks[[#This Row],[_LeafTotalCost]]*Tasks[[#This Row],[_LeafProgress]],N(Tasks[[#This Row],[Actual Cost]])))</f>
        <v>0</v>
      </c>
      <c r="EL95" s="32" t="str">
        <f aca="false">IF(Tasks[[#This Row],[Task Name]]="","",LEFT(Tasks[[#This Row],[WBS]],FIND(".",Tasks[[#This Row],[WBS]]&amp;".")-1))</f>
        <v/>
      </c>
      <c r="EM95" s="32" t="str">
        <f aca="false">IF(AND(Tasks[[#This Row],[Task Name]]&lt;&gt;"",Tasks[[#This Row],[_Level]]=1),Tasks[[#This Row],[_Row]],"")</f>
        <v/>
      </c>
      <c r="EN95" s="32" t="str">
        <f aca="false">IF(AND(Tasks[[#This Row],[_IsLeaf]]=1,N(Tasks[[#This Row],[Duration]])=0),Tasks[[#This Row],[Planned Finish]]+Tasks[[#This Row],[_Row]]/100000,"")</f>
        <v/>
      </c>
      <c r="EO95" s="32" t="str">
        <f aca="false">IF(AND(Tasks[[#This Row],[_IsLeaf]]=1,Tasks[[#This Row],[_LeafProgress]]&lt;1,OR(N(Tasks[[#This Row],[Finish Var]])&gt;0,Tasks[[#This Row],[Status]]="Late Start")),MAX(0,Tasks[[#This Row],[Finish Var]])+1-Tasks[[#This Row],[_Row]]/1000000,"")</f>
        <v/>
      </c>
      <c r="EP95" s="32" t="str">
        <f aca="false">IF(AND(Tasks[[#This Row],[_IsLeaf]]=1,N(Tasks[[#This Row],[Actual Start]])=0,Tasks[[#This Row],[_ShownFcstStart]]&gt;=StatusDate,Tasks[[#This Row],[_ShownFcstStart]]&lt;=LookaheadEnd),Tasks[[#This Row],[_ShownFcstStart]]+Tasks[[#This Row],[_Row]]/100000,"")</f>
        <v/>
      </c>
      <c r="EQ95" s="32" t="str">
        <f aca="false">IF(AND(Tasks[[#This Row],[_IsLeaf]]=1,Tasks[[#This Row],[_LeafProgress]]&lt;1,Tasks[[#This Row],[_ShownFcstFinish]]&gt;=StatusDate,Tasks[[#This Row],[_ShownFcstFinish]]&lt;=LookaheadEnd),Tasks[[#This Row],[_ShownFcstFinish]]+Tasks[[#This Row],[_Row]]/100000,"")</f>
        <v/>
      </c>
      <c r="ER95" s="32" t="str">
        <f aca="false">IF(Tasks[[#This Row],[_LeafCritical]],Tasks[[#This Row],[_ShownFcstStart]]+Tasks[[#This Row],[_Row]]/100000,"")</f>
        <v/>
      </c>
      <c r="ES95" s="32" t="n">
        <f aca="false">Tasks[[#This Row],[_LeafWork]]*Tasks[[#This Row],[_LeafProgress]]</f>
        <v>0</v>
      </c>
      <c r="ET95" s="115" t="str">
        <f aca="false">IF(AND(Tasks[[#This Row],[_IsLeaf]]=1,Tasks[[#This Row],[_LeafProgress]]&gt;=1),IF(N(Tasks[[#This Row],[Actual Finish]])&gt;0,Tasks[[#This Row],[Actual Finish]],Tasks[[#This Row],[_ShownFcstFinish]]),"")</f>
        <v/>
      </c>
      <c r="EU95" s="32" t="n">
        <f aca="false">IF(Tasks[[#This Row],[_IsLeaf]]=1,N(Tasks[[#This Row],[Story Points]]),0)</f>
        <v>0</v>
      </c>
      <c r="EV95" s="32" t="str">
        <f aca="false">IF(AND(Tasks[[#This Row],[_IsLeaf]]=1,CurrentSprint&lt;&gt;"",Tasks[[#This Row],[Sprint]]=CurrentSprint),Tasks[[#This Row],[_Row]],"")</f>
        <v/>
      </c>
    </row>
    <row r="96" customFormat="false" ht="15" hidden="false" customHeight="false" outlineLevel="0" collapsed="false">
      <c r="A96" s="45" t="str">
        <f aca="false">IF(Tasks[[#This Row],[Task Name]]="","",COUNTA(Tasks[[#Headers],[Task Name]]:Tasks[[#This Row],[Task Name]])-1)</f>
        <v/>
      </c>
      <c r="B96" s="46" t="n">
        <v>91</v>
      </c>
      <c r="C9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6" s="46"/>
      <c r="E96" s="45" t="str">
        <f aca="false">IF(Tasks[[#This Row],[Task Name]]="","",IF(Tasks[[#This Row],[_Level]]&lt;=OutlineShowLevel,"Yes","No"))</f>
        <v/>
      </c>
      <c r="F96" s="47"/>
      <c r="G96" s="46"/>
      <c r="H96" s="46"/>
      <c r="I96" s="46"/>
      <c r="J96" s="46"/>
      <c r="K96" s="46"/>
      <c r="L96" s="46"/>
      <c r="M96" s="46"/>
      <c r="N96" s="46"/>
      <c r="O96" s="46"/>
      <c r="P96" s="46"/>
      <c r="Q96" s="46"/>
      <c r="R96" s="46"/>
      <c r="S96" s="46"/>
      <c r="T96" s="46"/>
      <c r="U96" s="47"/>
      <c r="V96" s="88"/>
      <c r="W96" s="88"/>
      <c r="X96" s="25" t="str">
        <f aca="false">IF(Tasks[[#This Row],[Task Name]]="","",IF(N(Tasks[[#This Row],[Baseline Start]])&gt;0,Tasks[[#This Row],[Baseline Start]],Tasks[[#This Row],[_CalcStart]]))</f>
        <v/>
      </c>
      <c r="Y96" s="25" t="str">
        <f aca="false">IF(Tasks[[#This Row],[Task Name]]="","",IF(N(Tasks[[#This Row],[Baseline Finish]])&gt;0,Tasks[[#This Row],[Baseline Finish]],Tasks[[#This Row],[_CalcFinish]]))</f>
        <v/>
      </c>
      <c r="Z96" s="88"/>
      <c r="AA96" s="88"/>
      <c r="AB96" s="25" t="str">
        <f aca="false">IF(Tasks[[#This Row],[Task Name]]="","",IF(Tasks[[#This Row],[_IsSummary]],MIN(INDEX(Tasks[_ShownFcstStart],Tasks[[#This Row],[_Row]]+1):INDEX(Tasks[_ShownFcstStart],Tasks[[#This Row],[_Row]]+Tasks[[#This Row],[_Descendants]])),Tasks[[#This Row],[_ShownFcstStart]]))</f>
        <v/>
      </c>
      <c r="AC96" s="25" t="str">
        <f aca="false">IF(Tasks[[#This Row],[Task Name]]="","",IF(Tasks[[#This Row],[_IsSummary]],MAX(INDEX(Tasks[_ShownFcstFinish],Tasks[[#This Row],[_Row]]+1):INDEX(Tasks[_ShownFcstFinish],Tasks[[#This Row],[_Row]]+Tasks[[#This Row],[_Descendants]])),Tasks[[#This Row],[_ShownFcstFinish]]))</f>
        <v/>
      </c>
      <c r="AD9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6" s="25" t="str">
        <f aca="false">IF(Tasks[[#This Row],[Task Name]]="","",IF(Tasks[[#This Row],[_IsSummary]],MIN(INDEX(Tasks[_LeafLateStart],Tasks[[#This Row],[_Row]]+1):INDEX(Tasks[_LeafLateStart],Tasks[[#This Row],[_Row]]+Tasks[[#This Row],[_Descendants]])),Tasks[[#This Row],[_LeafLateStart]]))</f>
        <v/>
      </c>
      <c r="AG96" s="25" t="str">
        <f aca="false">IF(Tasks[[#This Row],[Task Name]]="","",IF(Tasks[[#This Row],[_IsSummary]],MAX(INDEX(Tasks[_LeafLateFinish],Tasks[[#This Row],[_Row]]+1):INDEX(Tasks[_LeafLateFinish],Tasks[[#This Row],[_Row]]+Tasks[[#This Row],[_Descendants]])),Tasks[[#This Row],[_LeafLateFinish]]))</f>
        <v/>
      </c>
      <c r="AH96" s="56" t="str">
        <f aca="false">IF(Tasks[[#This Row],[Task Name]]="","",IF(Tasks[[#This Row],[_IsSummary]],MIN(INDEX(Tasks[_LeafTotalSlack],Tasks[[#This Row],[_Row]]+1):INDEX(Tasks[_LeafTotalSlack],Tasks[[#This Row],[_Row]]+Tasks[[#This Row],[_Descendants]])),Tasks[[#This Row],[_LeafTotalSlack]]))</f>
        <v/>
      </c>
      <c r="AI9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6" s="45" t="str">
        <f aca="false">IF(Tasks[[#This Row],[Task Name]]="","",IF(IF(Tasks[[#This Row],[_IsSummary]],COUNTIF(INDEX(Tasks[_LeafCritical],Tasks[[#This Row],[_Row]]+1):INDEX(Tasks[_LeafCritical],Tasks[[#This Row],[_Row]]+Tasks[[#This Row],[_Descendants]]),TRUE())&gt;0,Tasks[[#This Row],[_LeafCritical]]),"Yes",""))</f>
        <v/>
      </c>
      <c r="AK9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6" s="102"/>
      <c r="AN9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6" s="45" t="str">
        <f aca="false">IF(Tasks[[#This Row],[Task Name]]="","",IF(Tasks[[#This Row],[Progress]]&gt;=1,"Complete",IF(OR(N(Tasks[[#This Row],[Actual Start]])&gt;0,Tasks[[#This Row],[Progress]]&gt;0),IF(Tasks[[#This Row],[Finish Var]]&gt;0,"Behind","In Progress"),IF(Tasks[[#This Row],[Planned Start]]&lt;StatusDate,"Late Start","Not Started"))))</f>
        <v/>
      </c>
      <c r="AP96" s="47"/>
      <c r="AQ96" s="102"/>
      <c r="AR9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6" s="110" t="str">
        <f aca="false">IF(Tasks[[#This Row],[Task Name]]="","",IF(Tasks[[#This Row],[_IsSummary]],SUM(INDEX(Tasks[_LeafTotalWork],Tasks[[#This Row],[_Row]]+1):INDEX(Tasks[_LeafTotalWork],Tasks[[#This Row],[_Row]]+Tasks[[#This Row],[_Descendants]])),Tasks[[#This Row],[_LeafTotalWork]]))</f>
        <v/>
      </c>
      <c r="AU96" s="111" t="str">
        <f aca="false">IF(Tasks[[#This Row],[Task Name]]="","",IF(Tasks[[#This Row],[_IsSummary]],SUM(INDEX(Tasks[_LeafTotalCost],Tasks[[#This Row],[_Row]]+1):INDEX(Tasks[_LeafTotalCost],Tasks[[#This Row],[_Row]]+Tasks[[#This Row],[_Descendants]])),Tasks[[#This Row],[_LeafTotalCost]]))</f>
        <v/>
      </c>
      <c r="AV96" s="112"/>
      <c r="AW96" s="46"/>
      <c r="AX9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6" s="96"/>
      <c r="AZ9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6" s="47"/>
      <c r="BB96" s="25" t="str">
        <f aca="false">IF(Tasks[[#This Row],[Task Name]]="","",Tasks[[#This Row],[Forecast Start]])</f>
        <v/>
      </c>
      <c r="BC96" s="25" t="str">
        <f aca="false">IF(Tasks[[#This Row],[Task Name]]="","",Tasks[[#This Row],[Forecast Finish]])</f>
        <v/>
      </c>
      <c r="BD96" s="45" t="str">
        <f aca="false">IF(Tasks[[#This Row],[Task Name]]="","",IF(Tasks[[#This Row],[_IsSummary]],NETWORKDAYS.INTL(Tasks[[#This Row],[Forecast Start]],Tasks[[#This Row],[Forecast Finish]],WorkWeek,Holidays),N(Tasks[[#This Row],[Duration]])))</f>
        <v/>
      </c>
      <c r="BE96" s="110" t="str">
        <f aca="false">IF(Tasks[[#This Row],[Task Name]]="","",Tasks[[#This Row],[Work]])</f>
        <v/>
      </c>
      <c r="BF96" s="111" t="str">
        <f aca="false">IF(Tasks[[#This Row],[Task Name]]="","",Tasks[[#This Row],[Cost]])</f>
        <v/>
      </c>
      <c r="BG96" s="88"/>
      <c r="BH96" s="88"/>
      <c r="BI96" s="46"/>
      <c r="BJ96" s="113"/>
      <c r="BK96" s="112"/>
      <c r="BL96" s="45" t="str">
        <f aca="false">IF(OR(Tasks[[#This Row],[Task Name]]="",Tasks[[#This Row],[Baseline Duration]]=""),"",Tasks[[#This Row],[BL Source Duration]]-N(Tasks[[#This Row],[Baseline Duration]]))</f>
        <v/>
      </c>
      <c r="BM96" s="110" t="str">
        <f aca="false">IF(OR(Tasks[[#This Row],[Task Name]]="",Tasks[[#This Row],[Baseline Work]]=""),"",Tasks[[#This Row],[Work]]-N(Tasks[[#This Row],[Baseline Work]]))</f>
        <v/>
      </c>
      <c r="BN96" s="111" t="str">
        <f aca="false">IF(OR(Tasks[[#This Row],[Task Name]]="",Tasks[[#This Row],[Baseline Cost]]=""),"",Tasks[[#This Row],[Cost]]-N(Tasks[[#This Row],[Baseline Cost]]))</f>
        <v/>
      </c>
      <c r="BO96" s="111" t="str">
        <f aca="false">IF(Tasks[[#This Row],[Task Name]]="","",IF(Tasks[[#This Row],[_IsSummary]],SUM(INDEX(Tasks[_LeafBudget],Tasks[[#This Row],[_Row]]+1):INDEX(Tasks[_LeafBudget],Tasks[[#This Row],[_Row]]+Tasks[[#This Row],[_Descendants]])),Tasks[[#This Row],[_LeafBudget]]))</f>
        <v/>
      </c>
      <c r="BP96" s="111" t="str">
        <f aca="false">IF(Tasks[[#This Row],[Task Name]]="","",IF(Tasks[[#This Row],[_IsSummary]],SUM(INDEX(Tasks[_LeafPV],Tasks[[#This Row],[_Row]]+1):INDEX(Tasks[_LeafPV],Tasks[[#This Row],[_Row]]+Tasks[[#This Row],[_Descendants]])),Tasks[[#This Row],[_LeafPV]]))</f>
        <v/>
      </c>
      <c r="BQ96" s="111" t="str">
        <f aca="false">IF(Tasks[[#This Row],[Task Name]]="","",IF(Tasks[[#This Row],[_IsSummary]],SUM(INDEX(Tasks[_LeafEV],Tasks[[#This Row],[_Row]]+1):INDEX(Tasks[_LeafEV],Tasks[[#This Row],[_Row]]+Tasks[[#This Row],[_Descendants]])),Tasks[[#This Row],[_LeafEV]]))</f>
        <v/>
      </c>
      <c r="BR96" s="111" t="str">
        <f aca="false">IF(Tasks[[#This Row],[Task Name]]="","",IF(Tasks[[#This Row],[_IsSummary]],SUM(INDEX(Tasks[_LeafAC],Tasks[[#This Row],[_Row]]+1):INDEX(Tasks[_LeafAC],Tasks[[#This Row],[_Row]]+Tasks[[#This Row],[_Descendants]])),Tasks[[#This Row],[_LeafAC]]))</f>
        <v/>
      </c>
      <c r="BS96" s="32" t="str">
        <f aca="false">IF(Tasks[[#This Row],[Task Name]]="","",MAX(1,N(Tasks[[#This Row],[Level]])))</f>
        <v/>
      </c>
      <c r="BT96" s="32" t="n">
        <f aca="false">ROW()-ROW(Tasks[[#Headers],[ID]])</f>
        <v>91</v>
      </c>
      <c r="BU96" s="32" t="n">
        <f aca="false">IF(OR(Tasks[[#This Row],[Task Name]]="",Tasks[[#This Row],[_Level]]&lt;=1),0,IFERROR(LOOKUP(2,1/(Tasks[[#Headers],[_Level]]:Tasks[[#This Row],[_Level]]=Tasks[[#This Row],[_Level]]-1),ROW(Tasks[[#Headers],[_Level]]:Tasks[[#This Row],[_Level]])),0))</f>
        <v>0</v>
      </c>
      <c r="BV96" s="32" t="n">
        <f aca="false">IFERROR(N(INDEX(Tasks[_Level],Tasks[[#This Row],[_Row]]+1)),0)</f>
        <v>0</v>
      </c>
      <c r="BW96" s="114" t="b">
        <f aca="false">AND(Tasks[[#This Row],[Task Name]]&lt;&gt;"",Tasks[[#This Row],[_NextLevel]]&gt;Tasks[[#This Row],[_Level]])</f>
        <v>0</v>
      </c>
      <c r="BX96" s="32" t="n">
        <f aca="false">IF(Tasks[[#This Row],[_IsSummary]],COUNTIF(Tasks[WBS],Tasks[[#This Row],[WBS]]&amp;".*"),0)</f>
        <v>0</v>
      </c>
      <c r="BY96" s="32" t="n">
        <f aca="false">IF(AND(Tasks[[#This Row],[Task Name]]&lt;&gt;"",NOT(Tasks[[#This Row],[_IsSummary]])),1,0)</f>
        <v>0</v>
      </c>
      <c r="BZ96" s="32" t="n">
        <f aca="false">IF(N(Tasks[[#This Row],[Pred1 UID]])=0,0,IFERROR(MATCH(Tasks[[#This Row],[Pred1 UID]],Tasks[UID],0),-1))</f>
        <v>0</v>
      </c>
      <c r="CA96" s="32" t="n">
        <f aca="false">IF(N(Tasks[[#This Row],[Pred2 UID]])=0,0,IFERROR(MATCH(Tasks[[#This Row],[Pred2 UID]],Tasks[UID],0),-1))</f>
        <v>0</v>
      </c>
      <c r="CB96" s="32" t="n">
        <f aca="false">IF(N(Tasks[[#This Row],[Pred3 UID]])=0,0,IFERROR(MATCH(Tasks[[#This Row],[Pred3 UID]],Tasks[UID],0),-1))</f>
        <v>0</v>
      </c>
      <c r="CC96" s="32" t="n">
        <f aca="false">IF(N(Tasks[[#This Row],[Pred4 UID]])=0,0,IFERROR(MATCH(Tasks[[#This Row],[Pred4 UID]],Tasks[UID],0),-1))</f>
        <v>0</v>
      </c>
      <c r="CD9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6" s="115" t="n">
        <f aca="false">IF(OR(Tasks[[#This Row],[_ConstraintCode]]=2,Tasks[[#This Row],[_ConstraintCode]]=3,Tasks[[#This Row],[_ConstraintCode]]=4,Tasks[[#This Row],[_ConstraintCode]]=6),Tasks[[#This Row],[_ConstraintStart]],0)</f>
        <v>0</v>
      </c>
      <c r="CG96" s="115" t="n">
        <f aca="false">IF(OR(Tasks[[#This Row],[_ConstraintCode]]=2,Tasks[[#This Row],[_ConstraintCode]]=3,Tasks[[#This Row],[_ConstraintCode]]=5,Tasks[[#This Row],[_ConstraintCode]]=7),Tasks[[#This Row],[_ConstraintStart]],2958465)</f>
        <v>2958465</v>
      </c>
      <c r="CH9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6" s="115" t="str">
        <f aca="false">IF(NOT(Tasks[[#This Row],[_IsLeaf]]=1),"",IF(N(Tasks[[#This Row],[Duration]])&lt;=0,Tasks[[#This Row],[_LeafCalcStart]],WORKDAY.INTL(Tasks[[#This Row],[_LeafCalcStart]],Tasks[[#This Row],[Duration]]-1,WorkWeek,Holidays)))</f>
        <v/>
      </c>
      <c r="CJ9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6" s="32" t="n">
        <f aca="false">IF(NOT(Tasks[[#This Row],[_IsLeaf]]=1),0,IF(N(Tasks[[#This Row],[Actual Finish]])&gt;0,1,MIN(1,N(Tasks[[#This Row],[% Complete]]))))</f>
        <v>0</v>
      </c>
      <c r="CM96" s="32" t="n">
        <f aca="false">IF(OR(NOT(Tasks[[#This Row],[_IsLeaf]]=1),Tasks[[#This Row],[Resource]]=""),0,N(Tasks[[#This Row],[Duration]])*HoursPerDay*IF(Tasks[[#This Row],[Units]]="",DefaultUnits,Tasks[[#This Row],[Units]]))</f>
        <v>0</v>
      </c>
      <c r="CN96" s="32" t="n">
        <f aca="false">IF(Tasks[[#This Row],[_LeafWork]]=0,0,Tasks[[#This Row],[_LeafWork]]*IFERROR(INDEX(res_Rate,MATCH(Tasks[[#This Row],[Resource]],res_Name,0)),0))</f>
        <v>0</v>
      </c>
      <c r="CO96" s="32" t="n">
        <f aca="false">Tasks[[#This Row],[_LeafWork]]+IF(Tasks[[#This Row],[_IsLeaf]]=1,SUMIFS(asg_Work,asg_TaskUID,Tasks[[#This Row],[UID]],asg_Valid,1),0)</f>
        <v>0</v>
      </c>
      <c r="CP96" s="32" t="n">
        <f aca="false">Tasks[[#This Row],[_LeafCost]]+IF(Tasks[[#This Row],[_IsLeaf]]=1,SUMIFS(asg_Cost,asg_TaskUID,Tasks[[#This Row],[UID]],asg_Valid,1),0)</f>
        <v>0</v>
      </c>
      <c r="CQ96" s="32" t="n">
        <f aca="false">IF(Tasks[[#This Row],[_LeafTotalCost]]=0,Tasks[[#This Row],[_LeafAC]],Tasks[[#This Row],[_LeafAC]]*Tasks[[#This Row],[_LeafCost]]/Tasks[[#This Row],[_LeafTotalCost]])</f>
        <v>0</v>
      </c>
      <c r="CR9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6" s="32" t="n">
        <f aca="false">IF(NOT(Tasks[[#This Row],[_IsLeaf]]=1),0,MAX(_xlfn.MAXIFS(Tasks[_Row],Tasks[Pred1 UID],Tasks[[#This Row],[UID]]),_xlfn.MAXIFS(Tasks[_Row],Tasks[Pred2 UID],Tasks[[#This Row],[UID]]),_xlfn.MAXIFS(Tasks[_Row],Tasks[Pred3 UID],Tasks[[#This Row],[UID]]),_xlfn.MAXIFS(Tasks[_Row],Tasks[Pred4 UID],Tasks[[#This Row],[UID]])))</f>
        <v>0</v>
      </c>
      <c r="DA9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6" s="115" t="str">
        <f aca="false">IF(NOT(Tasks[[#This Row],[_IsLeaf]]=1),"",IF(N(Tasks[[#This Row],[Duration]])&lt;=0,Tasks[[#This Row],[_LeafLateFinish]],WORKDAY.INTL(Tasks[[#This Row],[_LeafLateFinish]],-(Tasks[[#This Row],[Duration]]-1),WorkWeek,Holidays)))</f>
        <v/>
      </c>
      <c r="DD9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6" s="114" t="b">
        <f aca="false">AND(Tasks[[#This Row],[_IsLeaf]]=1,Tasks[[#This Row],[_LeafProgress]]&lt;1,N(Tasks[[#This Row],[_LeafTotalSlack]])&lt;=CriticalSlackDays)</f>
        <v>0</v>
      </c>
      <c r="DF96" s="32" t="n">
        <f aca="false">IF(AND(Tasks[[#This Row],[_IsLeaf]]=1,Tasks[[#This Row],[_ConstraintCode]]=1,Tasks[[#This Row],[Mode]]&lt;&gt;"Manual",N(Tasks[[#This Row],[Actual Start]])=0),MAX(0,N(Tasks[[#This Row],[Free Slack]])),0)</f>
        <v>0</v>
      </c>
      <c r="DG96" s="115" t="str">
        <f aca="false">IF(NOT(Tasks[[#This Row],[_IsLeaf]]=1),"",IF(Tasks[[#This Row],[_AlapShift]]=0,Tasks[[#This Row],[_LeafCalcStart]],WORKDAY.INTL(Tasks[[#This Row],[_LeafCalcStart]],Tasks[[#This Row],[_AlapShift]],WorkWeek,Holidays)))</f>
        <v/>
      </c>
      <c r="DH96" s="115" t="str">
        <f aca="false">IF(NOT(Tasks[[#This Row],[_IsLeaf]]=1),"",IF(Tasks[[#This Row],[_AlapShift]]=0,Tasks[[#This Row],[_LeafCalcFinish]],WORKDAY.INTL(Tasks[[#This Row],[_LeafCalcFinish]],Tasks[[#This Row],[_AlapShift]],WorkWeek,Holidays)))</f>
        <v/>
      </c>
      <c r="DI96" s="115" t="str">
        <f aca="false">IF(NOT(Tasks[[#This Row],[_IsLeaf]]=1),"",IF(Tasks[[#This Row],[_AlapShift]]=0,Tasks[[#This Row],[_LeafFcstStart]],WORKDAY.INTL(Tasks[[#This Row],[_LeafFcstStart]],Tasks[[#This Row],[_AlapShift]],WorkWeek,Holidays)))</f>
        <v/>
      </c>
      <c r="DJ96" s="115" t="str">
        <f aca="false">IF(NOT(Tasks[[#This Row],[_IsLeaf]]=1),"",IF(Tasks[[#This Row],[_AlapShift]]=0,Tasks[[#This Row],[_LeafFcstFinish]],WORKDAY.INTL(Tasks[[#This Row],[_LeafFcstFinish]],Tasks[[#This Row],[_AlapShift]],WorkWeek,Holidays)))</f>
        <v/>
      </c>
      <c r="DK96" s="115" t="str">
        <f aca="false">IF(Tasks[[#This Row],[Task Name]]="","",IF(Tasks[[#This Row],[_IsSummary]],MIN(INDEX(Tasks[_ShownCalcStart],Tasks[[#This Row],[_Row]]+1):INDEX(Tasks[_ShownCalcStart],Tasks[[#This Row],[_Row]]+Tasks[[#This Row],[_Descendants]])),Tasks[[#This Row],[_ShownCalcStart]]))</f>
        <v/>
      </c>
      <c r="DL96" s="115" t="str">
        <f aca="false">IF(Tasks[[#This Row],[Task Name]]="","",IF(Tasks[[#This Row],[_IsSummary]],MAX(INDEX(Tasks[_ShownCalcFinish],Tasks[[#This Row],[_Row]]+1):INDEX(Tasks[_ShownCalcFinish],Tasks[[#This Row],[_Row]]+Tasks[[#This Row],[_Descendants]])),Tasks[[#This Row],[_ShownCalcFinish]]))</f>
        <v/>
      </c>
      <c r="DM9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6" s="32" t="n">
        <f aca="false">IF(AND(Tasks[[#This Row],[_IsLeaf]]=1,Tasks[[#This Row],[_LeafTotalWork]]&gt;0),NETWORKDAYS.INTL(ProjectStart,Tasks[[#This Row],[_ShownFcstStart]],WorkWeek,Holidays),0)</f>
        <v>0</v>
      </c>
      <c r="DZ96" s="32" t="n">
        <f aca="false">IF(AND(Tasks[[#This Row],[_IsLeaf]]=1,Tasks[[#This Row],[_LeafTotalWork]]&gt;0),MAX(Tasks[[#This Row],[_StartWorkday]],NETWORKDAYS.INTL(ProjectStart,Tasks[[#This Row],[_ShownFcstFinish]],WorkWeek,Holidays)),0)</f>
        <v>0</v>
      </c>
      <c r="EA96" s="32" t="n">
        <f aca="false">IF(AND(Tasks[[#This Row],[_IsLeaf]]=1,Tasks[[#This Row],[_LeafTotalWork]]&gt;0),Tasks[[#This Row],[_LeafWork]]/(Tasks[[#This Row],[_FinishWorkday]]-Tasks[[#This Row],[_StartWorkday]]+1),0)</f>
        <v>0</v>
      </c>
      <c r="EB96" s="32" t="n">
        <f aca="false">Tasks[[#This Row],[_WorkPerWorkday]]*(Tasks[[#This Row],[_StartWorkday]]-1)</f>
        <v>-0</v>
      </c>
      <c r="EC96" s="32" t="n">
        <f aca="false">IF(Tasks[[#This Row],[_IsLeaf]]=1,MAX(N(Tasks[[#This Row],[Duration]]),0.1),0)</f>
        <v>0</v>
      </c>
      <c r="ED96" s="32" t="n">
        <f aca="false">Tasks[[#This Row],[_WeightDur]]*Tasks[[#This Row],[_LeafProgress]]</f>
        <v>0</v>
      </c>
      <c r="EE9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6" s="32" t="str">
        <f aca="false">IF(AND(Tasks[[#This Row],[_IsLeaf]]=1,N(Tasks[[#This Row],[Duration]])=0,Tasks[[#This Row],[_LeafProgress]]&lt;1),Tasks[[#This Row],[_ShownFcstFinish]]+Tasks[[#This Row],[_Row]]/100000,"")</f>
        <v/>
      </c>
      <c r="EG9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6" s="32" t="n">
        <f aca="false">IF(NOT(Tasks[[#This Row],[_IsLeaf]]=1),0,IF(Tasks[[#This Row],[Baseline Cost]]="",Tasks[[#This Row],[_LeafTotalCost]],N(Tasks[[#This Row],[Baseline Cost]])))</f>
        <v>0</v>
      </c>
      <c r="EI96" s="32" t="n">
        <f aca="false">Tasks[[#This Row],[_LeafBudget]]*Tasks[[#This Row],[_PlannedPct]]</f>
        <v>0</v>
      </c>
      <c r="EJ96" s="32" t="n">
        <f aca="false">Tasks[[#This Row],[_LeafBudget]]*Tasks[[#This Row],[_LeafProgress]]</f>
        <v>0</v>
      </c>
      <c r="EK96" s="32" t="n">
        <f aca="false">IF(NOT(Tasks[[#This Row],[_IsLeaf]]=1),0,IF(Tasks[[#This Row],[Actual Cost]]="",Tasks[[#This Row],[_LeafTotalCost]]*Tasks[[#This Row],[_LeafProgress]],N(Tasks[[#This Row],[Actual Cost]])))</f>
        <v>0</v>
      </c>
      <c r="EL96" s="32" t="str">
        <f aca="false">IF(Tasks[[#This Row],[Task Name]]="","",LEFT(Tasks[[#This Row],[WBS]],FIND(".",Tasks[[#This Row],[WBS]]&amp;".")-1))</f>
        <v/>
      </c>
      <c r="EM96" s="32" t="str">
        <f aca="false">IF(AND(Tasks[[#This Row],[Task Name]]&lt;&gt;"",Tasks[[#This Row],[_Level]]=1),Tasks[[#This Row],[_Row]],"")</f>
        <v/>
      </c>
      <c r="EN96" s="32" t="str">
        <f aca="false">IF(AND(Tasks[[#This Row],[_IsLeaf]]=1,N(Tasks[[#This Row],[Duration]])=0),Tasks[[#This Row],[Planned Finish]]+Tasks[[#This Row],[_Row]]/100000,"")</f>
        <v/>
      </c>
      <c r="EO96" s="32" t="str">
        <f aca="false">IF(AND(Tasks[[#This Row],[_IsLeaf]]=1,Tasks[[#This Row],[_LeafProgress]]&lt;1,OR(N(Tasks[[#This Row],[Finish Var]])&gt;0,Tasks[[#This Row],[Status]]="Late Start")),MAX(0,Tasks[[#This Row],[Finish Var]])+1-Tasks[[#This Row],[_Row]]/1000000,"")</f>
        <v/>
      </c>
      <c r="EP96" s="32" t="str">
        <f aca="false">IF(AND(Tasks[[#This Row],[_IsLeaf]]=1,N(Tasks[[#This Row],[Actual Start]])=0,Tasks[[#This Row],[_ShownFcstStart]]&gt;=StatusDate,Tasks[[#This Row],[_ShownFcstStart]]&lt;=LookaheadEnd),Tasks[[#This Row],[_ShownFcstStart]]+Tasks[[#This Row],[_Row]]/100000,"")</f>
        <v/>
      </c>
      <c r="EQ96" s="32" t="str">
        <f aca="false">IF(AND(Tasks[[#This Row],[_IsLeaf]]=1,Tasks[[#This Row],[_LeafProgress]]&lt;1,Tasks[[#This Row],[_ShownFcstFinish]]&gt;=StatusDate,Tasks[[#This Row],[_ShownFcstFinish]]&lt;=LookaheadEnd),Tasks[[#This Row],[_ShownFcstFinish]]+Tasks[[#This Row],[_Row]]/100000,"")</f>
        <v/>
      </c>
      <c r="ER96" s="32" t="str">
        <f aca="false">IF(Tasks[[#This Row],[_LeafCritical]],Tasks[[#This Row],[_ShownFcstStart]]+Tasks[[#This Row],[_Row]]/100000,"")</f>
        <v/>
      </c>
      <c r="ES96" s="32" t="n">
        <f aca="false">Tasks[[#This Row],[_LeafWork]]*Tasks[[#This Row],[_LeafProgress]]</f>
        <v>0</v>
      </c>
      <c r="ET96" s="115" t="str">
        <f aca="false">IF(AND(Tasks[[#This Row],[_IsLeaf]]=1,Tasks[[#This Row],[_LeafProgress]]&gt;=1),IF(N(Tasks[[#This Row],[Actual Finish]])&gt;0,Tasks[[#This Row],[Actual Finish]],Tasks[[#This Row],[_ShownFcstFinish]]),"")</f>
        <v/>
      </c>
      <c r="EU96" s="32" t="n">
        <f aca="false">IF(Tasks[[#This Row],[_IsLeaf]]=1,N(Tasks[[#This Row],[Story Points]]),0)</f>
        <v>0</v>
      </c>
      <c r="EV96" s="32" t="str">
        <f aca="false">IF(AND(Tasks[[#This Row],[_IsLeaf]]=1,CurrentSprint&lt;&gt;"",Tasks[[#This Row],[Sprint]]=CurrentSprint),Tasks[[#This Row],[_Row]],"")</f>
        <v/>
      </c>
    </row>
    <row r="97" customFormat="false" ht="15" hidden="false" customHeight="false" outlineLevel="0" collapsed="false">
      <c r="A97" s="45" t="str">
        <f aca="false">IF(Tasks[[#This Row],[Task Name]]="","",COUNTA(Tasks[[#Headers],[Task Name]]:Tasks[[#This Row],[Task Name]])-1)</f>
        <v/>
      </c>
      <c r="B97" s="46" t="n">
        <v>92</v>
      </c>
      <c r="C9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7" s="46"/>
      <c r="E97" s="45" t="str">
        <f aca="false">IF(Tasks[[#This Row],[Task Name]]="","",IF(Tasks[[#This Row],[_Level]]&lt;=OutlineShowLevel,"Yes","No"))</f>
        <v/>
      </c>
      <c r="F97" s="47"/>
      <c r="G97" s="46"/>
      <c r="H97" s="46"/>
      <c r="I97" s="46"/>
      <c r="J97" s="46"/>
      <c r="K97" s="46"/>
      <c r="L97" s="46"/>
      <c r="M97" s="46"/>
      <c r="N97" s="46"/>
      <c r="O97" s="46"/>
      <c r="P97" s="46"/>
      <c r="Q97" s="46"/>
      <c r="R97" s="46"/>
      <c r="S97" s="46"/>
      <c r="T97" s="46"/>
      <c r="U97" s="47"/>
      <c r="V97" s="88"/>
      <c r="W97" s="88"/>
      <c r="X97" s="25" t="str">
        <f aca="false">IF(Tasks[[#This Row],[Task Name]]="","",IF(N(Tasks[[#This Row],[Baseline Start]])&gt;0,Tasks[[#This Row],[Baseline Start]],Tasks[[#This Row],[_CalcStart]]))</f>
        <v/>
      </c>
      <c r="Y97" s="25" t="str">
        <f aca="false">IF(Tasks[[#This Row],[Task Name]]="","",IF(N(Tasks[[#This Row],[Baseline Finish]])&gt;0,Tasks[[#This Row],[Baseline Finish]],Tasks[[#This Row],[_CalcFinish]]))</f>
        <v/>
      </c>
      <c r="Z97" s="88"/>
      <c r="AA97" s="88"/>
      <c r="AB97" s="25" t="str">
        <f aca="false">IF(Tasks[[#This Row],[Task Name]]="","",IF(Tasks[[#This Row],[_IsSummary]],MIN(INDEX(Tasks[_ShownFcstStart],Tasks[[#This Row],[_Row]]+1):INDEX(Tasks[_ShownFcstStart],Tasks[[#This Row],[_Row]]+Tasks[[#This Row],[_Descendants]])),Tasks[[#This Row],[_ShownFcstStart]]))</f>
        <v/>
      </c>
      <c r="AC97" s="25" t="str">
        <f aca="false">IF(Tasks[[#This Row],[Task Name]]="","",IF(Tasks[[#This Row],[_IsSummary]],MAX(INDEX(Tasks[_ShownFcstFinish],Tasks[[#This Row],[_Row]]+1):INDEX(Tasks[_ShownFcstFinish],Tasks[[#This Row],[_Row]]+Tasks[[#This Row],[_Descendants]])),Tasks[[#This Row],[_ShownFcstFinish]]))</f>
        <v/>
      </c>
      <c r="AD9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7" s="25" t="str">
        <f aca="false">IF(Tasks[[#This Row],[Task Name]]="","",IF(Tasks[[#This Row],[_IsSummary]],MIN(INDEX(Tasks[_LeafLateStart],Tasks[[#This Row],[_Row]]+1):INDEX(Tasks[_LeafLateStart],Tasks[[#This Row],[_Row]]+Tasks[[#This Row],[_Descendants]])),Tasks[[#This Row],[_LeafLateStart]]))</f>
        <v/>
      </c>
      <c r="AG97" s="25" t="str">
        <f aca="false">IF(Tasks[[#This Row],[Task Name]]="","",IF(Tasks[[#This Row],[_IsSummary]],MAX(INDEX(Tasks[_LeafLateFinish],Tasks[[#This Row],[_Row]]+1):INDEX(Tasks[_LeafLateFinish],Tasks[[#This Row],[_Row]]+Tasks[[#This Row],[_Descendants]])),Tasks[[#This Row],[_LeafLateFinish]]))</f>
        <v/>
      </c>
      <c r="AH97" s="56" t="str">
        <f aca="false">IF(Tasks[[#This Row],[Task Name]]="","",IF(Tasks[[#This Row],[_IsSummary]],MIN(INDEX(Tasks[_LeafTotalSlack],Tasks[[#This Row],[_Row]]+1):INDEX(Tasks[_LeafTotalSlack],Tasks[[#This Row],[_Row]]+Tasks[[#This Row],[_Descendants]])),Tasks[[#This Row],[_LeafTotalSlack]]))</f>
        <v/>
      </c>
      <c r="AI9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7" s="45" t="str">
        <f aca="false">IF(Tasks[[#This Row],[Task Name]]="","",IF(IF(Tasks[[#This Row],[_IsSummary]],COUNTIF(INDEX(Tasks[_LeafCritical],Tasks[[#This Row],[_Row]]+1):INDEX(Tasks[_LeafCritical],Tasks[[#This Row],[_Row]]+Tasks[[#This Row],[_Descendants]]),TRUE())&gt;0,Tasks[[#This Row],[_LeafCritical]]),"Yes",""))</f>
        <v/>
      </c>
      <c r="AK9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7" s="102"/>
      <c r="AN9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7" s="45" t="str">
        <f aca="false">IF(Tasks[[#This Row],[Task Name]]="","",IF(Tasks[[#This Row],[Progress]]&gt;=1,"Complete",IF(OR(N(Tasks[[#This Row],[Actual Start]])&gt;0,Tasks[[#This Row],[Progress]]&gt;0),IF(Tasks[[#This Row],[Finish Var]]&gt;0,"Behind","In Progress"),IF(Tasks[[#This Row],[Planned Start]]&lt;StatusDate,"Late Start","Not Started"))))</f>
        <v/>
      </c>
      <c r="AP97" s="47"/>
      <c r="AQ97" s="102"/>
      <c r="AR9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7" s="110" t="str">
        <f aca="false">IF(Tasks[[#This Row],[Task Name]]="","",IF(Tasks[[#This Row],[_IsSummary]],SUM(INDEX(Tasks[_LeafTotalWork],Tasks[[#This Row],[_Row]]+1):INDEX(Tasks[_LeafTotalWork],Tasks[[#This Row],[_Row]]+Tasks[[#This Row],[_Descendants]])),Tasks[[#This Row],[_LeafTotalWork]]))</f>
        <v/>
      </c>
      <c r="AU97" s="111" t="str">
        <f aca="false">IF(Tasks[[#This Row],[Task Name]]="","",IF(Tasks[[#This Row],[_IsSummary]],SUM(INDEX(Tasks[_LeafTotalCost],Tasks[[#This Row],[_Row]]+1):INDEX(Tasks[_LeafTotalCost],Tasks[[#This Row],[_Row]]+Tasks[[#This Row],[_Descendants]])),Tasks[[#This Row],[_LeafTotalCost]]))</f>
        <v/>
      </c>
      <c r="AV97" s="112"/>
      <c r="AW97" s="46"/>
      <c r="AX9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7" s="96"/>
      <c r="AZ9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7" s="47"/>
      <c r="BB97" s="25" t="str">
        <f aca="false">IF(Tasks[[#This Row],[Task Name]]="","",Tasks[[#This Row],[Forecast Start]])</f>
        <v/>
      </c>
      <c r="BC97" s="25" t="str">
        <f aca="false">IF(Tasks[[#This Row],[Task Name]]="","",Tasks[[#This Row],[Forecast Finish]])</f>
        <v/>
      </c>
      <c r="BD97" s="45" t="str">
        <f aca="false">IF(Tasks[[#This Row],[Task Name]]="","",IF(Tasks[[#This Row],[_IsSummary]],NETWORKDAYS.INTL(Tasks[[#This Row],[Forecast Start]],Tasks[[#This Row],[Forecast Finish]],WorkWeek,Holidays),N(Tasks[[#This Row],[Duration]])))</f>
        <v/>
      </c>
      <c r="BE97" s="110" t="str">
        <f aca="false">IF(Tasks[[#This Row],[Task Name]]="","",Tasks[[#This Row],[Work]])</f>
        <v/>
      </c>
      <c r="BF97" s="111" t="str">
        <f aca="false">IF(Tasks[[#This Row],[Task Name]]="","",Tasks[[#This Row],[Cost]])</f>
        <v/>
      </c>
      <c r="BG97" s="88"/>
      <c r="BH97" s="88"/>
      <c r="BI97" s="46"/>
      <c r="BJ97" s="113"/>
      <c r="BK97" s="112"/>
      <c r="BL97" s="45" t="str">
        <f aca="false">IF(OR(Tasks[[#This Row],[Task Name]]="",Tasks[[#This Row],[Baseline Duration]]=""),"",Tasks[[#This Row],[BL Source Duration]]-N(Tasks[[#This Row],[Baseline Duration]]))</f>
        <v/>
      </c>
      <c r="BM97" s="110" t="str">
        <f aca="false">IF(OR(Tasks[[#This Row],[Task Name]]="",Tasks[[#This Row],[Baseline Work]]=""),"",Tasks[[#This Row],[Work]]-N(Tasks[[#This Row],[Baseline Work]]))</f>
        <v/>
      </c>
      <c r="BN97" s="111" t="str">
        <f aca="false">IF(OR(Tasks[[#This Row],[Task Name]]="",Tasks[[#This Row],[Baseline Cost]]=""),"",Tasks[[#This Row],[Cost]]-N(Tasks[[#This Row],[Baseline Cost]]))</f>
        <v/>
      </c>
      <c r="BO97" s="111" t="str">
        <f aca="false">IF(Tasks[[#This Row],[Task Name]]="","",IF(Tasks[[#This Row],[_IsSummary]],SUM(INDEX(Tasks[_LeafBudget],Tasks[[#This Row],[_Row]]+1):INDEX(Tasks[_LeafBudget],Tasks[[#This Row],[_Row]]+Tasks[[#This Row],[_Descendants]])),Tasks[[#This Row],[_LeafBudget]]))</f>
        <v/>
      </c>
      <c r="BP97" s="111" t="str">
        <f aca="false">IF(Tasks[[#This Row],[Task Name]]="","",IF(Tasks[[#This Row],[_IsSummary]],SUM(INDEX(Tasks[_LeafPV],Tasks[[#This Row],[_Row]]+1):INDEX(Tasks[_LeafPV],Tasks[[#This Row],[_Row]]+Tasks[[#This Row],[_Descendants]])),Tasks[[#This Row],[_LeafPV]]))</f>
        <v/>
      </c>
      <c r="BQ97" s="111" t="str">
        <f aca="false">IF(Tasks[[#This Row],[Task Name]]="","",IF(Tasks[[#This Row],[_IsSummary]],SUM(INDEX(Tasks[_LeafEV],Tasks[[#This Row],[_Row]]+1):INDEX(Tasks[_LeafEV],Tasks[[#This Row],[_Row]]+Tasks[[#This Row],[_Descendants]])),Tasks[[#This Row],[_LeafEV]]))</f>
        <v/>
      </c>
      <c r="BR97" s="111" t="str">
        <f aca="false">IF(Tasks[[#This Row],[Task Name]]="","",IF(Tasks[[#This Row],[_IsSummary]],SUM(INDEX(Tasks[_LeafAC],Tasks[[#This Row],[_Row]]+1):INDEX(Tasks[_LeafAC],Tasks[[#This Row],[_Row]]+Tasks[[#This Row],[_Descendants]])),Tasks[[#This Row],[_LeafAC]]))</f>
        <v/>
      </c>
      <c r="BS97" s="32" t="str">
        <f aca="false">IF(Tasks[[#This Row],[Task Name]]="","",MAX(1,N(Tasks[[#This Row],[Level]])))</f>
        <v/>
      </c>
      <c r="BT97" s="32" t="n">
        <f aca="false">ROW()-ROW(Tasks[[#Headers],[ID]])</f>
        <v>92</v>
      </c>
      <c r="BU97" s="32" t="n">
        <f aca="false">IF(OR(Tasks[[#This Row],[Task Name]]="",Tasks[[#This Row],[_Level]]&lt;=1),0,IFERROR(LOOKUP(2,1/(Tasks[[#Headers],[_Level]]:Tasks[[#This Row],[_Level]]=Tasks[[#This Row],[_Level]]-1),ROW(Tasks[[#Headers],[_Level]]:Tasks[[#This Row],[_Level]])),0))</f>
        <v>0</v>
      </c>
      <c r="BV97" s="32" t="n">
        <f aca="false">IFERROR(N(INDEX(Tasks[_Level],Tasks[[#This Row],[_Row]]+1)),0)</f>
        <v>0</v>
      </c>
      <c r="BW97" s="114" t="b">
        <f aca="false">AND(Tasks[[#This Row],[Task Name]]&lt;&gt;"",Tasks[[#This Row],[_NextLevel]]&gt;Tasks[[#This Row],[_Level]])</f>
        <v>0</v>
      </c>
      <c r="BX97" s="32" t="n">
        <f aca="false">IF(Tasks[[#This Row],[_IsSummary]],COUNTIF(Tasks[WBS],Tasks[[#This Row],[WBS]]&amp;".*"),0)</f>
        <v>0</v>
      </c>
      <c r="BY97" s="32" t="n">
        <f aca="false">IF(AND(Tasks[[#This Row],[Task Name]]&lt;&gt;"",NOT(Tasks[[#This Row],[_IsSummary]])),1,0)</f>
        <v>0</v>
      </c>
      <c r="BZ97" s="32" t="n">
        <f aca="false">IF(N(Tasks[[#This Row],[Pred1 UID]])=0,0,IFERROR(MATCH(Tasks[[#This Row],[Pred1 UID]],Tasks[UID],0),-1))</f>
        <v>0</v>
      </c>
      <c r="CA97" s="32" t="n">
        <f aca="false">IF(N(Tasks[[#This Row],[Pred2 UID]])=0,0,IFERROR(MATCH(Tasks[[#This Row],[Pred2 UID]],Tasks[UID],0),-1))</f>
        <v>0</v>
      </c>
      <c r="CB97" s="32" t="n">
        <f aca="false">IF(N(Tasks[[#This Row],[Pred3 UID]])=0,0,IFERROR(MATCH(Tasks[[#This Row],[Pred3 UID]],Tasks[UID],0),-1))</f>
        <v>0</v>
      </c>
      <c r="CC97" s="32" t="n">
        <f aca="false">IF(N(Tasks[[#This Row],[Pred4 UID]])=0,0,IFERROR(MATCH(Tasks[[#This Row],[Pred4 UID]],Tasks[UID],0),-1))</f>
        <v>0</v>
      </c>
      <c r="CD9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7" s="115" t="n">
        <f aca="false">IF(OR(Tasks[[#This Row],[_ConstraintCode]]=2,Tasks[[#This Row],[_ConstraintCode]]=3,Tasks[[#This Row],[_ConstraintCode]]=4,Tasks[[#This Row],[_ConstraintCode]]=6),Tasks[[#This Row],[_ConstraintStart]],0)</f>
        <v>0</v>
      </c>
      <c r="CG97" s="115" t="n">
        <f aca="false">IF(OR(Tasks[[#This Row],[_ConstraintCode]]=2,Tasks[[#This Row],[_ConstraintCode]]=3,Tasks[[#This Row],[_ConstraintCode]]=5,Tasks[[#This Row],[_ConstraintCode]]=7),Tasks[[#This Row],[_ConstraintStart]],2958465)</f>
        <v>2958465</v>
      </c>
      <c r="CH9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7" s="115" t="str">
        <f aca="false">IF(NOT(Tasks[[#This Row],[_IsLeaf]]=1),"",IF(N(Tasks[[#This Row],[Duration]])&lt;=0,Tasks[[#This Row],[_LeafCalcStart]],WORKDAY.INTL(Tasks[[#This Row],[_LeafCalcStart]],Tasks[[#This Row],[Duration]]-1,WorkWeek,Holidays)))</f>
        <v/>
      </c>
      <c r="CJ9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7" s="32" t="n">
        <f aca="false">IF(NOT(Tasks[[#This Row],[_IsLeaf]]=1),0,IF(N(Tasks[[#This Row],[Actual Finish]])&gt;0,1,MIN(1,N(Tasks[[#This Row],[% Complete]]))))</f>
        <v>0</v>
      </c>
      <c r="CM97" s="32" t="n">
        <f aca="false">IF(OR(NOT(Tasks[[#This Row],[_IsLeaf]]=1),Tasks[[#This Row],[Resource]]=""),0,N(Tasks[[#This Row],[Duration]])*HoursPerDay*IF(Tasks[[#This Row],[Units]]="",DefaultUnits,Tasks[[#This Row],[Units]]))</f>
        <v>0</v>
      </c>
      <c r="CN97" s="32" t="n">
        <f aca="false">IF(Tasks[[#This Row],[_LeafWork]]=0,0,Tasks[[#This Row],[_LeafWork]]*IFERROR(INDEX(res_Rate,MATCH(Tasks[[#This Row],[Resource]],res_Name,0)),0))</f>
        <v>0</v>
      </c>
      <c r="CO97" s="32" t="n">
        <f aca="false">Tasks[[#This Row],[_LeafWork]]+IF(Tasks[[#This Row],[_IsLeaf]]=1,SUMIFS(asg_Work,asg_TaskUID,Tasks[[#This Row],[UID]],asg_Valid,1),0)</f>
        <v>0</v>
      </c>
      <c r="CP97" s="32" t="n">
        <f aca="false">Tasks[[#This Row],[_LeafCost]]+IF(Tasks[[#This Row],[_IsLeaf]]=1,SUMIFS(asg_Cost,asg_TaskUID,Tasks[[#This Row],[UID]],asg_Valid,1),0)</f>
        <v>0</v>
      </c>
      <c r="CQ97" s="32" t="n">
        <f aca="false">IF(Tasks[[#This Row],[_LeafTotalCost]]=0,Tasks[[#This Row],[_LeafAC]],Tasks[[#This Row],[_LeafAC]]*Tasks[[#This Row],[_LeafCost]]/Tasks[[#This Row],[_LeafTotalCost]])</f>
        <v>0</v>
      </c>
      <c r="CR9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7" s="32" t="n">
        <f aca="false">IF(NOT(Tasks[[#This Row],[_IsLeaf]]=1),0,MAX(_xlfn.MAXIFS(Tasks[_Row],Tasks[Pred1 UID],Tasks[[#This Row],[UID]]),_xlfn.MAXIFS(Tasks[_Row],Tasks[Pred2 UID],Tasks[[#This Row],[UID]]),_xlfn.MAXIFS(Tasks[_Row],Tasks[Pred3 UID],Tasks[[#This Row],[UID]]),_xlfn.MAXIFS(Tasks[_Row],Tasks[Pred4 UID],Tasks[[#This Row],[UID]])))</f>
        <v>0</v>
      </c>
      <c r="DA9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7" s="115" t="str">
        <f aca="false">IF(NOT(Tasks[[#This Row],[_IsLeaf]]=1),"",IF(N(Tasks[[#This Row],[Duration]])&lt;=0,Tasks[[#This Row],[_LeafLateFinish]],WORKDAY.INTL(Tasks[[#This Row],[_LeafLateFinish]],-(Tasks[[#This Row],[Duration]]-1),WorkWeek,Holidays)))</f>
        <v/>
      </c>
      <c r="DD9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7" s="114" t="b">
        <f aca="false">AND(Tasks[[#This Row],[_IsLeaf]]=1,Tasks[[#This Row],[_LeafProgress]]&lt;1,N(Tasks[[#This Row],[_LeafTotalSlack]])&lt;=CriticalSlackDays)</f>
        <v>0</v>
      </c>
      <c r="DF97" s="32" t="n">
        <f aca="false">IF(AND(Tasks[[#This Row],[_IsLeaf]]=1,Tasks[[#This Row],[_ConstraintCode]]=1,Tasks[[#This Row],[Mode]]&lt;&gt;"Manual",N(Tasks[[#This Row],[Actual Start]])=0),MAX(0,N(Tasks[[#This Row],[Free Slack]])),0)</f>
        <v>0</v>
      </c>
      <c r="DG97" s="115" t="str">
        <f aca="false">IF(NOT(Tasks[[#This Row],[_IsLeaf]]=1),"",IF(Tasks[[#This Row],[_AlapShift]]=0,Tasks[[#This Row],[_LeafCalcStart]],WORKDAY.INTL(Tasks[[#This Row],[_LeafCalcStart]],Tasks[[#This Row],[_AlapShift]],WorkWeek,Holidays)))</f>
        <v/>
      </c>
      <c r="DH97" s="115" t="str">
        <f aca="false">IF(NOT(Tasks[[#This Row],[_IsLeaf]]=1),"",IF(Tasks[[#This Row],[_AlapShift]]=0,Tasks[[#This Row],[_LeafCalcFinish]],WORKDAY.INTL(Tasks[[#This Row],[_LeafCalcFinish]],Tasks[[#This Row],[_AlapShift]],WorkWeek,Holidays)))</f>
        <v/>
      </c>
      <c r="DI97" s="115" t="str">
        <f aca="false">IF(NOT(Tasks[[#This Row],[_IsLeaf]]=1),"",IF(Tasks[[#This Row],[_AlapShift]]=0,Tasks[[#This Row],[_LeafFcstStart]],WORKDAY.INTL(Tasks[[#This Row],[_LeafFcstStart]],Tasks[[#This Row],[_AlapShift]],WorkWeek,Holidays)))</f>
        <v/>
      </c>
      <c r="DJ97" s="115" t="str">
        <f aca="false">IF(NOT(Tasks[[#This Row],[_IsLeaf]]=1),"",IF(Tasks[[#This Row],[_AlapShift]]=0,Tasks[[#This Row],[_LeafFcstFinish]],WORKDAY.INTL(Tasks[[#This Row],[_LeafFcstFinish]],Tasks[[#This Row],[_AlapShift]],WorkWeek,Holidays)))</f>
        <v/>
      </c>
      <c r="DK97" s="115" t="str">
        <f aca="false">IF(Tasks[[#This Row],[Task Name]]="","",IF(Tasks[[#This Row],[_IsSummary]],MIN(INDEX(Tasks[_ShownCalcStart],Tasks[[#This Row],[_Row]]+1):INDEX(Tasks[_ShownCalcStart],Tasks[[#This Row],[_Row]]+Tasks[[#This Row],[_Descendants]])),Tasks[[#This Row],[_ShownCalcStart]]))</f>
        <v/>
      </c>
      <c r="DL97" s="115" t="str">
        <f aca="false">IF(Tasks[[#This Row],[Task Name]]="","",IF(Tasks[[#This Row],[_IsSummary]],MAX(INDEX(Tasks[_ShownCalcFinish],Tasks[[#This Row],[_Row]]+1):INDEX(Tasks[_ShownCalcFinish],Tasks[[#This Row],[_Row]]+Tasks[[#This Row],[_Descendants]])),Tasks[[#This Row],[_ShownCalcFinish]]))</f>
        <v/>
      </c>
      <c r="DM9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7" s="32" t="n">
        <f aca="false">IF(AND(Tasks[[#This Row],[_IsLeaf]]=1,Tasks[[#This Row],[_LeafTotalWork]]&gt;0),NETWORKDAYS.INTL(ProjectStart,Tasks[[#This Row],[_ShownFcstStart]],WorkWeek,Holidays),0)</f>
        <v>0</v>
      </c>
      <c r="DZ97" s="32" t="n">
        <f aca="false">IF(AND(Tasks[[#This Row],[_IsLeaf]]=1,Tasks[[#This Row],[_LeafTotalWork]]&gt;0),MAX(Tasks[[#This Row],[_StartWorkday]],NETWORKDAYS.INTL(ProjectStart,Tasks[[#This Row],[_ShownFcstFinish]],WorkWeek,Holidays)),0)</f>
        <v>0</v>
      </c>
      <c r="EA97" s="32" t="n">
        <f aca="false">IF(AND(Tasks[[#This Row],[_IsLeaf]]=1,Tasks[[#This Row],[_LeafTotalWork]]&gt;0),Tasks[[#This Row],[_LeafWork]]/(Tasks[[#This Row],[_FinishWorkday]]-Tasks[[#This Row],[_StartWorkday]]+1),0)</f>
        <v>0</v>
      </c>
      <c r="EB97" s="32" t="n">
        <f aca="false">Tasks[[#This Row],[_WorkPerWorkday]]*(Tasks[[#This Row],[_StartWorkday]]-1)</f>
        <v>-0</v>
      </c>
      <c r="EC97" s="32" t="n">
        <f aca="false">IF(Tasks[[#This Row],[_IsLeaf]]=1,MAX(N(Tasks[[#This Row],[Duration]]),0.1),0)</f>
        <v>0</v>
      </c>
      <c r="ED97" s="32" t="n">
        <f aca="false">Tasks[[#This Row],[_WeightDur]]*Tasks[[#This Row],[_LeafProgress]]</f>
        <v>0</v>
      </c>
      <c r="EE9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7" s="32" t="str">
        <f aca="false">IF(AND(Tasks[[#This Row],[_IsLeaf]]=1,N(Tasks[[#This Row],[Duration]])=0,Tasks[[#This Row],[_LeafProgress]]&lt;1),Tasks[[#This Row],[_ShownFcstFinish]]+Tasks[[#This Row],[_Row]]/100000,"")</f>
        <v/>
      </c>
      <c r="EG9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7" s="32" t="n">
        <f aca="false">IF(NOT(Tasks[[#This Row],[_IsLeaf]]=1),0,IF(Tasks[[#This Row],[Baseline Cost]]="",Tasks[[#This Row],[_LeafTotalCost]],N(Tasks[[#This Row],[Baseline Cost]])))</f>
        <v>0</v>
      </c>
      <c r="EI97" s="32" t="n">
        <f aca="false">Tasks[[#This Row],[_LeafBudget]]*Tasks[[#This Row],[_PlannedPct]]</f>
        <v>0</v>
      </c>
      <c r="EJ97" s="32" t="n">
        <f aca="false">Tasks[[#This Row],[_LeafBudget]]*Tasks[[#This Row],[_LeafProgress]]</f>
        <v>0</v>
      </c>
      <c r="EK97" s="32" t="n">
        <f aca="false">IF(NOT(Tasks[[#This Row],[_IsLeaf]]=1),0,IF(Tasks[[#This Row],[Actual Cost]]="",Tasks[[#This Row],[_LeafTotalCost]]*Tasks[[#This Row],[_LeafProgress]],N(Tasks[[#This Row],[Actual Cost]])))</f>
        <v>0</v>
      </c>
      <c r="EL97" s="32" t="str">
        <f aca="false">IF(Tasks[[#This Row],[Task Name]]="","",LEFT(Tasks[[#This Row],[WBS]],FIND(".",Tasks[[#This Row],[WBS]]&amp;".")-1))</f>
        <v/>
      </c>
      <c r="EM97" s="32" t="str">
        <f aca="false">IF(AND(Tasks[[#This Row],[Task Name]]&lt;&gt;"",Tasks[[#This Row],[_Level]]=1),Tasks[[#This Row],[_Row]],"")</f>
        <v/>
      </c>
      <c r="EN97" s="32" t="str">
        <f aca="false">IF(AND(Tasks[[#This Row],[_IsLeaf]]=1,N(Tasks[[#This Row],[Duration]])=0),Tasks[[#This Row],[Planned Finish]]+Tasks[[#This Row],[_Row]]/100000,"")</f>
        <v/>
      </c>
      <c r="EO97" s="32" t="str">
        <f aca="false">IF(AND(Tasks[[#This Row],[_IsLeaf]]=1,Tasks[[#This Row],[_LeafProgress]]&lt;1,OR(N(Tasks[[#This Row],[Finish Var]])&gt;0,Tasks[[#This Row],[Status]]="Late Start")),MAX(0,Tasks[[#This Row],[Finish Var]])+1-Tasks[[#This Row],[_Row]]/1000000,"")</f>
        <v/>
      </c>
      <c r="EP97" s="32" t="str">
        <f aca="false">IF(AND(Tasks[[#This Row],[_IsLeaf]]=1,N(Tasks[[#This Row],[Actual Start]])=0,Tasks[[#This Row],[_ShownFcstStart]]&gt;=StatusDate,Tasks[[#This Row],[_ShownFcstStart]]&lt;=LookaheadEnd),Tasks[[#This Row],[_ShownFcstStart]]+Tasks[[#This Row],[_Row]]/100000,"")</f>
        <v/>
      </c>
      <c r="EQ97" s="32" t="str">
        <f aca="false">IF(AND(Tasks[[#This Row],[_IsLeaf]]=1,Tasks[[#This Row],[_LeafProgress]]&lt;1,Tasks[[#This Row],[_ShownFcstFinish]]&gt;=StatusDate,Tasks[[#This Row],[_ShownFcstFinish]]&lt;=LookaheadEnd),Tasks[[#This Row],[_ShownFcstFinish]]+Tasks[[#This Row],[_Row]]/100000,"")</f>
        <v/>
      </c>
      <c r="ER97" s="32" t="str">
        <f aca="false">IF(Tasks[[#This Row],[_LeafCritical]],Tasks[[#This Row],[_ShownFcstStart]]+Tasks[[#This Row],[_Row]]/100000,"")</f>
        <v/>
      </c>
      <c r="ES97" s="32" t="n">
        <f aca="false">Tasks[[#This Row],[_LeafWork]]*Tasks[[#This Row],[_LeafProgress]]</f>
        <v>0</v>
      </c>
      <c r="ET97" s="115" t="str">
        <f aca="false">IF(AND(Tasks[[#This Row],[_IsLeaf]]=1,Tasks[[#This Row],[_LeafProgress]]&gt;=1),IF(N(Tasks[[#This Row],[Actual Finish]])&gt;0,Tasks[[#This Row],[Actual Finish]],Tasks[[#This Row],[_ShownFcstFinish]]),"")</f>
        <v/>
      </c>
      <c r="EU97" s="32" t="n">
        <f aca="false">IF(Tasks[[#This Row],[_IsLeaf]]=1,N(Tasks[[#This Row],[Story Points]]),0)</f>
        <v>0</v>
      </c>
      <c r="EV97" s="32" t="str">
        <f aca="false">IF(AND(Tasks[[#This Row],[_IsLeaf]]=1,CurrentSprint&lt;&gt;"",Tasks[[#This Row],[Sprint]]=CurrentSprint),Tasks[[#This Row],[_Row]],"")</f>
        <v/>
      </c>
    </row>
    <row r="98" customFormat="false" ht="15" hidden="false" customHeight="false" outlineLevel="0" collapsed="false">
      <c r="A98" s="45" t="str">
        <f aca="false">IF(Tasks[[#This Row],[Task Name]]="","",COUNTA(Tasks[[#Headers],[Task Name]]:Tasks[[#This Row],[Task Name]])-1)</f>
        <v/>
      </c>
      <c r="B98" s="46" t="n">
        <v>93</v>
      </c>
      <c r="C9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8" s="46"/>
      <c r="E98" s="45" t="str">
        <f aca="false">IF(Tasks[[#This Row],[Task Name]]="","",IF(Tasks[[#This Row],[_Level]]&lt;=OutlineShowLevel,"Yes","No"))</f>
        <v/>
      </c>
      <c r="F98" s="47"/>
      <c r="G98" s="46"/>
      <c r="H98" s="46"/>
      <c r="I98" s="46"/>
      <c r="J98" s="46"/>
      <c r="K98" s="46"/>
      <c r="L98" s="46"/>
      <c r="M98" s="46"/>
      <c r="N98" s="46"/>
      <c r="O98" s="46"/>
      <c r="P98" s="46"/>
      <c r="Q98" s="46"/>
      <c r="R98" s="46"/>
      <c r="S98" s="46"/>
      <c r="T98" s="46"/>
      <c r="U98" s="47"/>
      <c r="V98" s="88"/>
      <c r="W98" s="88"/>
      <c r="X98" s="25" t="str">
        <f aca="false">IF(Tasks[[#This Row],[Task Name]]="","",IF(N(Tasks[[#This Row],[Baseline Start]])&gt;0,Tasks[[#This Row],[Baseline Start]],Tasks[[#This Row],[_CalcStart]]))</f>
        <v/>
      </c>
      <c r="Y98" s="25" t="str">
        <f aca="false">IF(Tasks[[#This Row],[Task Name]]="","",IF(N(Tasks[[#This Row],[Baseline Finish]])&gt;0,Tasks[[#This Row],[Baseline Finish]],Tasks[[#This Row],[_CalcFinish]]))</f>
        <v/>
      </c>
      <c r="Z98" s="88"/>
      <c r="AA98" s="88"/>
      <c r="AB98" s="25" t="str">
        <f aca="false">IF(Tasks[[#This Row],[Task Name]]="","",IF(Tasks[[#This Row],[_IsSummary]],MIN(INDEX(Tasks[_ShownFcstStart],Tasks[[#This Row],[_Row]]+1):INDEX(Tasks[_ShownFcstStart],Tasks[[#This Row],[_Row]]+Tasks[[#This Row],[_Descendants]])),Tasks[[#This Row],[_ShownFcstStart]]))</f>
        <v/>
      </c>
      <c r="AC98" s="25" t="str">
        <f aca="false">IF(Tasks[[#This Row],[Task Name]]="","",IF(Tasks[[#This Row],[_IsSummary]],MAX(INDEX(Tasks[_ShownFcstFinish],Tasks[[#This Row],[_Row]]+1):INDEX(Tasks[_ShownFcstFinish],Tasks[[#This Row],[_Row]]+Tasks[[#This Row],[_Descendants]])),Tasks[[#This Row],[_ShownFcstFinish]]))</f>
        <v/>
      </c>
      <c r="AD9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8" s="25" t="str">
        <f aca="false">IF(Tasks[[#This Row],[Task Name]]="","",IF(Tasks[[#This Row],[_IsSummary]],MIN(INDEX(Tasks[_LeafLateStart],Tasks[[#This Row],[_Row]]+1):INDEX(Tasks[_LeafLateStart],Tasks[[#This Row],[_Row]]+Tasks[[#This Row],[_Descendants]])),Tasks[[#This Row],[_LeafLateStart]]))</f>
        <v/>
      </c>
      <c r="AG98" s="25" t="str">
        <f aca="false">IF(Tasks[[#This Row],[Task Name]]="","",IF(Tasks[[#This Row],[_IsSummary]],MAX(INDEX(Tasks[_LeafLateFinish],Tasks[[#This Row],[_Row]]+1):INDEX(Tasks[_LeafLateFinish],Tasks[[#This Row],[_Row]]+Tasks[[#This Row],[_Descendants]])),Tasks[[#This Row],[_LeafLateFinish]]))</f>
        <v/>
      </c>
      <c r="AH98" s="56" t="str">
        <f aca="false">IF(Tasks[[#This Row],[Task Name]]="","",IF(Tasks[[#This Row],[_IsSummary]],MIN(INDEX(Tasks[_LeafTotalSlack],Tasks[[#This Row],[_Row]]+1):INDEX(Tasks[_LeafTotalSlack],Tasks[[#This Row],[_Row]]+Tasks[[#This Row],[_Descendants]])),Tasks[[#This Row],[_LeafTotalSlack]]))</f>
        <v/>
      </c>
      <c r="AI9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8" s="45" t="str">
        <f aca="false">IF(Tasks[[#This Row],[Task Name]]="","",IF(IF(Tasks[[#This Row],[_IsSummary]],COUNTIF(INDEX(Tasks[_LeafCritical],Tasks[[#This Row],[_Row]]+1):INDEX(Tasks[_LeafCritical],Tasks[[#This Row],[_Row]]+Tasks[[#This Row],[_Descendants]]),TRUE())&gt;0,Tasks[[#This Row],[_LeafCritical]]),"Yes",""))</f>
        <v/>
      </c>
      <c r="AK9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8" s="102"/>
      <c r="AN9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8" s="45" t="str">
        <f aca="false">IF(Tasks[[#This Row],[Task Name]]="","",IF(Tasks[[#This Row],[Progress]]&gt;=1,"Complete",IF(OR(N(Tasks[[#This Row],[Actual Start]])&gt;0,Tasks[[#This Row],[Progress]]&gt;0),IF(Tasks[[#This Row],[Finish Var]]&gt;0,"Behind","In Progress"),IF(Tasks[[#This Row],[Planned Start]]&lt;StatusDate,"Late Start","Not Started"))))</f>
        <v/>
      </c>
      <c r="AP98" s="47"/>
      <c r="AQ98" s="102"/>
      <c r="AR9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8" s="110" t="str">
        <f aca="false">IF(Tasks[[#This Row],[Task Name]]="","",IF(Tasks[[#This Row],[_IsSummary]],SUM(INDEX(Tasks[_LeafTotalWork],Tasks[[#This Row],[_Row]]+1):INDEX(Tasks[_LeafTotalWork],Tasks[[#This Row],[_Row]]+Tasks[[#This Row],[_Descendants]])),Tasks[[#This Row],[_LeafTotalWork]]))</f>
        <v/>
      </c>
      <c r="AU98" s="111" t="str">
        <f aca="false">IF(Tasks[[#This Row],[Task Name]]="","",IF(Tasks[[#This Row],[_IsSummary]],SUM(INDEX(Tasks[_LeafTotalCost],Tasks[[#This Row],[_Row]]+1):INDEX(Tasks[_LeafTotalCost],Tasks[[#This Row],[_Row]]+Tasks[[#This Row],[_Descendants]])),Tasks[[#This Row],[_LeafTotalCost]]))</f>
        <v/>
      </c>
      <c r="AV98" s="112"/>
      <c r="AW98" s="46"/>
      <c r="AX9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8" s="96"/>
      <c r="AZ9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8" s="47"/>
      <c r="BB98" s="25" t="str">
        <f aca="false">IF(Tasks[[#This Row],[Task Name]]="","",Tasks[[#This Row],[Forecast Start]])</f>
        <v/>
      </c>
      <c r="BC98" s="25" t="str">
        <f aca="false">IF(Tasks[[#This Row],[Task Name]]="","",Tasks[[#This Row],[Forecast Finish]])</f>
        <v/>
      </c>
      <c r="BD98" s="45" t="str">
        <f aca="false">IF(Tasks[[#This Row],[Task Name]]="","",IF(Tasks[[#This Row],[_IsSummary]],NETWORKDAYS.INTL(Tasks[[#This Row],[Forecast Start]],Tasks[[#This Row],[Forecast Finish]],WorkWeek,Holidays),N(Tasks[[#This Row],[Duration]])))</f>
        <v/>
      </c>
      <c r="BE98" s="110" t="str">
        <f aca="false">IF(Tasks[[#This Row],[Task Name]]="","",Tasks[[#This Row],[Work]])</f>
        <v/>
      </c>
      <c r="BF98" s="111" t="str">
        <f aca="false">IF(Tasks[[#This Row],[Task Name]]="","",Tasks[[#This Row],[Cost]])</f>
        <v/>
      </c>
      <c r="BG98" s="88"/>
      <c r="BH98" s="88"/>
      <c r="BI98" s="46"/>
      <c r="BJ98" s="113"/>
      <c r="BK98" s="112"/>
      <c r="BL98" s="45" t="str">
        <f aca="false">IF(OR(Tasks[[#This Row],[Task Name]]="",Tasks[[#This Row],[Baseline Duration]]=""),"",Tasks[[#This Row],[BL Source Duration]]-N(Tasks[[#This Row],[Baseline Duration]]))</f>
        <v/>
      </c>
      <c r="BM98" s="110" t="str">
        <f aca="false">IF(OR(Tasks[[#This Row],[Task Name]]="",Tasks[[#This Row],[Baseline Work]]=""),"",Tasks[[#This Row],[Work]]-N(Tasks[[#This Row],[Baseline Work]]))</f>
        <v/>
      </c>
      <c r="BN98" s="111" t="str">
        <f aca="false">IF(OR(Tasks[[#This Row],[Task Name]]="",Tasks[[#This Row],[Baseline Cost]]=""),"",Tasks[[#This Row],[Cost]]-N(Tasks[[#This Row],[Baseline Cost]]))</f>
        <v/>
      </c>
      <c r="BO98" s="111" t="str">
        <f aca="false">IF(Tasks[[#This Row],[Task Name]]="","",IF(Tasks[[#This Row],[_IsSummary]],SUM(INDEX(Tasks[_LeafBudget],Tasks[[#This Row],[_Row]]+1):INDEX(Tasks[_LeafBudget],Tasks[[#This Row],[_Row]]+Tasks[[#This Row],[_Descendants]])),Tasks[[#This Row],[_LeafBudget]]))</f>
        <v/>
      </c>
      <c r="BP98" s="111" t="str">
        <f aca="false">IF(Tasks[[#This Row],[Task Name]]="","",IF(Tasks[[#This Row],[_IsSummary]],SUM(INDEX(Tasks[_LeafPV],Tasks[[#This Row],[_Row]]+1):INDEX(Tasks[_LeafPV],Tasks[[#This Row],[_Row]]+Tasks[[#This Row],[_Descendants]])),Tasks[[#This Row],[_LeafPV]]))</f>
        <v/>
      </c>
      <c r="BQ98" s="111" t="str">
        <f aca="false">IF(Tasks[[#This Row],[Task Name]]="","",IF(Tasks[[#This Row],[_IsSummary]],SUM(INDEX(Tasks[_LeafEV],Tasks[[#This Row],[_Row]]+1):INDEX(Tasks[_LeafEV],Tasks[[#This Row],[_Row]]+Tasks[[#This Row],[_Descendants]])),Tasks[[#This Row],[_LeafEV]]))</f>
        <v/>
      </c>
      <c r="BR98" s="111" t="str">
        <f aca="false">IF(Tasks[[#This Row],[Task Name]]="","",IF(Tasks[[#This Row],[_IsSummary]],SUM(INDEX(Tasks[_LeafAC],Tasks[[#This Row],[_Row]]+1):INDEX(Tasks[_LeafAC],Tasks[[#This Row],[_Row]]+Tasks[[#This Row],[_Descendants]])),Tasks[[#This Row],[_LeafAC]]))</f>
        <v/>
      </c>
      <c r="BS98" s="32" t="str">
        <f aca="false">IF(Tasks[[#This Row],[Task Name]]="","",MAX(1,N(Tasks[[#This Row],[Level]])))</f>
        <v/>
      </c>
      <c r="BT98" s="32" t="n">
        <f aca="false">ROW()-ROW(Tasks[[#Headers],[ID]])</f>
        <v>93</v>
      </c>
      <c r="BU98" s="32" t="n">
        <f aca="false">IF(OR(Tasks[[#This Row],[Task Name]]="",Tasks[[#This Row],[_Level]]&lt;=1),0,IFERROR(LOOKUP(2,1/(Tasks[[#Headers],[_Level]]:Tasks[[#This Row],[_Level]]=Tasks[[#This Row],[_Level]]-1),ROW(Tasks[[#Headers],[_Level]]:Tasks[[#This Row],[_Level]])),0))</f>
        <v>0</v>
      </c>
      <c r="BV98" s="32" t="n">
        <f aca="false">IFERROR(N(INDEX(Tasks[_Level],Tasks[[#This Row],[_Row]]+1)),0)</f>
        <v>0</v>
      </c>
      <c r="BW98" s="114" t="b">
        <f aca="false">AND(Tasks[[#This Row],[Task Name]]&lt;&gt;"",Tasks[[#This Row],[_NextLevel]]&gt;Tasks[[#This Row],[_Level]])</f>
        <v>0</v>
      </c>
      <c r="BX98" s="32" t="n">
        <f aca="false">IF(Tasks[[#This Row],[_IsSummary]],COUNTIF(Tasks[WBS],Tasks[[#This Row],[WBS]]&amp;".*"),0)</f>
        <v>0</v>
      </c>
      <c r="BY98" s="32" t="n">
        <f aca="false">IF(AND(Tasks[[#This Row],[Task Name]]&lt;&gt;"",NOT(Tasks[[#This Row],[_IsSummary]])),1,0)</f>
        <v>0</v>
      </c>
      <c r="BZ98" s="32" t="n">
        <f aca="false">IF(N(Tasks[[#This Row],[Pred1 UID]])=0,0,IFERROR(MATCH(Tasks[[#This Row],[Pred1 UID]],Tasks[UID],0),-1))</f>
        <v>0</v>
      </c>
      <c r="CA98" s="32" t="n">
        <f aca="false">IF(N(Tasks[[#This Row],[Pred2 UID]])=0,0,IFERROR(MATCH(Tasks[[#This Row],[Pred2 UID]],Tasks[UID],0),-1))</f>
        <v>0</v>
      </c>
      <c r="CB98" s="32" t="n">
        <f aca="false">IF(N(Tasks[[#This Row],[Pred3 UID]])=0,0,IFERROR(MATCH(Tasks[[#This Row],[Pred3 UID]],Tasks[UID],0),-1))</f>
        <v>0</v>
      </c>
      <c r="CC98" s="32" t="n">
        <f aca="false">IF(N(Tasks[[#This Row],[Pred4 UID]])=0,0,IFERROR(MATCH(Tasks[[#This Row],[Pred4 UID]],Tasks[UID],0),-1))</f>
        <v>0</v>
      </c>
      <c r="CD9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8" s="115" t="n">
        <f aca="false">IF(OR(Tasks[[#This Row],[_ConstraintCode]]=2,Tasks[[#This Row],[_ConstraintCode]]=3,Tasks[[#This Row],[_ConstraintCode]]=4,Tasks[[#This Row],[_ConstraintCode]]=6),Tasks[[#This Row],[_ConstraintStart]],0)</f>
        <v>0</v>
      </c>
      <c r="CG98" s="115" t="n">
        <f aca="false">IF(OR(Tasks[[#This Row],[_ConstraintCode]]=2,Tasks[[#This Row],[_ConstraintCode]]=3,Tasks[[#This Row],[_ConstraintCode]]=5,Tasks[[#This Row],[_ConstraintCode]]=7),Tasks[[#This Row],[_ConstraintStart]],2958465)</f>
        <v>2958465</v>
      </c>
      <c r="CH9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8" s="115" t="str">
        <f aca="false">IF(NOT(Tasks[[#This Row],[_IsLeaf]]=1),"",IF(N(Tasks[[#This Row],[Duration]])&lt;=0,Tasks[[#This Row],[_LeafCalcStart]],WORKDAY.INTL(Tasks[[#This Row],[_LeafCalcStart]],Tasks[[#This Row],[Duration]]-1,WorkWeek,Holidays)))</f>
        <v/>
      </c>
      <c r="CJ9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8" s="32" t="n">
        <f aca="false">IF(NOT(Tasks[[#This Row],[_IsLeaf]]=1),0,IF(N(Tasks[[#This Row],[Actual Finish]])&gt;0,1,MIN(1,N(Tasks[[#This Row],[% Complete]]))))</f>
        <v>0</v>
      </c>
      <c r="CM98" s="32" t="n">
        <f aca="false">IF(OR(NOT(Tasks[[#This Row],[_IsLeaf]]=1),Tasks[[#This Row],[Resource]]=""),0,N(Tasks[[#This Row],[Duration]])*HoursPerDay*IF(Tasks[[#This Row],[Units]]="",DefaultUnits,Tasks[[#This Row],[Units]]))</f>
        <v>0</v>
      </c>
      <c r="CN98" s="32" t="n">
        <f aca="false">IF(Tasks[[#This Row],[_LeafWork]]=0,0,Tasks[[#This Row],[_LeafWork]]*IFERROR(INDEX(res_Rate,MATCH(Tasks[[#This Row],[Resource]],res_Name,0)),0))</f>
        <v>0</v>
      </c>
      <c r="CO98" s="32" t="n">
        <f aca="false">Tasks[[#This Row],[_LeafWork]]+IF(Tasks[[#This Row],[_IsLeaf]]=1,SUMIFS(asg_Work,asg_TaskUID,Tasks[[#This Row],[UID]],asg_Valid,1),0)</f>
        <v>0</v>
      </c>
      <c r="CP98" s="32" t="n">
        <f aca="false">Tasks[[#This Row],[_LeafCost]]+IF(Tasks[[#This Row],[_IsLeaf]]=1,SUMIFS(asg_Cost,asg_TaskUID,Tasks[[#This Row],[UID]],asg_Valid,1),0)</f>
        <v>0</v>
      </c>
      <c r="CQ98" s="32" t="n">
        <f aca="false">IF(Tasks[[#This Row],[_LeafTotalCost]]=0,Tasks[[#This Row],[_LeafAC]],Tasks[[#This Row],[_LeafAC]]*Tasks[[#This Row],[_LeafCost]]/Tasks[[#This Row],[_LeafTotalCost]])</f>
        <v>0</v>
      </c>
      <c r="CR9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8" s="32" t="n">
        <f aca="false">IF(NOT(Tasks[[#This Row],[_IsLeaf]]=1),0,MAX(_xlfn.MAXIFS(Tasks[_Row],Tasks[Pred1 UID],Tasks[[#This Row],[UID]]),_xlfn.MAXIFS(Tasks[_Row],Tasks[Pred2 UID],Tasks[[#This Row],[UID]]),_xlfn.MAXIFS(Tasks[_Row],Tasks[Pred3 UID],Tasks[[#This Row],[UID]]),_xlfn.MAXIFS(Tasks[_Row],Tasks[Pred4 UID],Tasks[[#This Row],[UID]])))</f>
        <v>0</v>
      </c>
      <c r="DA9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8" s="115" t="str">
        <f aca="false">IF(NOT(Tasks[[#This Row],[_IsLeaf]]=1),"",IF(N(Tasks[[#This Row],[Duration]])&lt;=0,Tasks[[#This Row],[_LeafLateFinish]],WORKDAY.INTL(Tasks[[#This Row],[_LeafLateFinish]],-(Tasks[[#This Row],[Duration]]-1),WorkWeek,Holidays)))</f>
        <v/>
      </c>
      <c r="DD9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8" s="114" t="b">
        <f aca="false">AND(Tasks[[#This Row],[_IsLeaf]]=1,Tasks[[#This Row],[_LeafProgress]]&lt;1,N(Tasks[[#This Row],[_LeafTotalSlack]])&lt;=CriticalSlackDays)</f>
        <v>0</v>
      </c>
      <c r="DF98" s="32" t="n">
        <f aca="false">IF(AND(Tasks[[#This Row],[_IsLeaf]]=1,Tasks[[#This Row],[_ConstraintCode]]=1,Tasks[[#This Row],[Mode]]&lt;&gt;"Manual",N(Tasks[[#This Row],[Actual Start]])=0),MAX(0,N(Tasks[[#This Row],[Free Slack]])),0)</f>
        <v>0</v>
      </c>
      <c r="DG98" s="115" t="str">
        <f aca="false">IF(NOT(Tasks[[#This Row],[_IsLeaf]]=1),"",IF(Tasks[[#This Row],[_AlapShift]]=0,Tasks[[#This Row],[_LeafCalcStart]],WORKDAY.INTL(Tasks[[#This Row],[_LeafCalcStart]],Tasks[[#This Row],[_AlapShift]],WorkWeek,Holidays)))</f>
        <v/>
      </c>
      <c r="DH98" s="115" t="str">
        <f aca="false">IF(NOT(Tasks[[#This Row],[_IsLeaf]]=1),"",IF(Tasks[[#This Row],[_AlapShift]]=0,Tasks[[#This Row],[_LeafCalcFinish]],WORKDAY.INTL(Tasks[[#This Row],[_LeafCalcFinish]],Tasks[[#This Row],[_AlapShift]],WorkWeek,Holidays)))</f>
        <v/>
      </c>
      <c r="DI98" s="115" t="str">
        <f aca="false">IF(NOT(Tasks[[#This Row],[_IsLeaf]]=1),"",IF(Tasks[[#This Row],[_AlapShift]]=0,Tasks[[#This Row],[_LeafFcstStart]],WORKDAY.INTL(Tasks[[#This Row],[_LeafFcstStart]],Tasks[[#This Row],[_AlapShift]],WorkWeek,Holidays)))</f>
        <v/>
      </c>
      <c r="DJ98" s="115" t="str">
        <f aca="false">IF(NOT(Tasks[[#This Row],[_IsLeaf]]=1),"",IF(Tasks[[#This Row],[_AlapShift]]=0,Tasks[[#This Row],[_LeafFcstFinish]],WORKDAY.INTL(Tasks[[#This Row],[_LeafFcstFinish]],Tasks[[#This Row],[_AlapShift]],WorkWeek,Holidays)))</f>
        <v/>
      </c>
      <c r="DK98" s="115" t="str">
        <f aca="false">IF(Tasks[[#This Row],[Task Name]]="","",IF(Tasks[[#This Row],[_IsSummary]],MIN(INDEX(Tasks[_ShownCalcStart],Tasks[[#This Row],[_Row]]+1):INDEX(Tasks[_ShownCalcStart],Tasks[[#This Row],[_Row]]+Tasks[[#This Row],[_Descendants]])),Tasks[[#This Row],[_ShownCalcStart]]))</f>
        <v/>
      </c>
      <c r="DL98" s="115" t="str">
        <f aca="false">IF(Tasks[[#This Row],[Task Name]]="","",IF(Tasks[[#This Row],[_IsSummary]],MAX(INDEX(Tasks[_ShownCalcFinish],Tasks[[#This Row],[_Row]]+1):INDEX(Tasks[_ShownCalcFinish],Tasks[[#This Row],[_Row]]+Tasks[[#This Row],[_Descendants]])),Tasks[[#This Row],[_ShownCalcFinish]]))</f>
        <v/>
      </c>
      <c r="DM9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8" s="32" t="n">
        <f aca="false">IF(AND(Tasks[[#This Row],[_IsLeaf]]=1,Tasks[[#This Row],[_LeafTotalWork]]&gt;0),NETWORKDAYS.INTL(ProjectStart,Tasks[[#This Row],[_ShownFcstStart]],WorkWeek,Holidays),0)</f>
        <v>0</v>
      </c>
      <c r="DZ98" s="32" t="n">
        <f aca="false">IF(AND(Tasks[[#This Row],[_IsLeaf]]=1,Tasks[[#This Row],[_LeafTotalWork]]&gt;0),MAX(Tasks[[#This Row],[_StartWorkday]],NETWORKDAYS.INTL(ProjectStart,Tasks[[#This Row],[_ShownFcstFinish]],WorkWeek,Holidays)),0)</f>
        <v>0</v>
      </c>
      <c r="EA98" s="32" t="n">
        <f aca="false">IF(AND(Tasks[[#This Row],[_IsLeaf]]=1,Tasks[[#This Row],[_LeafTotalWork]]&gt;0),Tasks[[#This Row],[_LeafWork]]/(Tasks[[#This Row],[_FinishWorkday]]-Tasks[[#This Row],[_StartWorkday]]+1),0)</f>
        <v>0</v>
      </c>
      <c r="EB98" s="32" t="n">
        <f aca="false">Tasks[[#This Row],[_WorkPerWorkday]]*(Tasks[[#This Row],[_StartWorkday]]-1)</f>
        <v>-0</v>
      </c>
      <c r="EC98" s="32" t="n">
        <f aca="false">IF(Tasks[[#This Row],[_IsLeaf]]=1,MAX(N(Tasks[[#This Row],[Duration]]),0.1),0)</f>
        <v>0</v>
      </c>
      <c r="ED98" s="32" t="n">
        <f aca="false">Tasks[[#This Row],[_WeightDur]]*Tasks[[#This Row],[_LeafProgress]]</f>
        <v>0</v>
      </c>
      <c r="EE9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8" s="32" t="str">
        <f aca="false">IF(AND(Tasks[[#This Row],[_IsLeaf]]=1,N(Tasks[[#This Row],[Duration]])=0,Tasks[[#This Row],[_LeafProgress]]&lt;1),Tasks[[#This Row],[_ShownFcstFinish]]+Tasks[[#This Row],[_Row]]/100000,"")</f>
        <v/>
      </c>
      <c r="EG9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8" s="32" t="n">
        <f aca="false">IF(NOT(Tasks[[#This Row],[_IsLeaf]]=1),0,IF(Tasks[[#This Row],[Baseline Cost]]="",Tasks[[#This Row],[_LeafTotalCost]],N(Tasks[[#This Row],[Baseline Cost]])))</f>
        <v>0</v>
      </c>
      <c r="EI98" s="32" t="n">
        <f aca="false">Tasks[[#This Row],[_LeafBudget]]*Tasks[[#This Row],[_PlannedPct]]</f>
        <v>0</v>
      </c>
      <c r="EJ98" s="32" t="n">
        <f aca="false">Tasks[[#This Row],[_LeafBudget]]*Tasks[[#This Row],[_LeafProgress]]</f>
        <v>0</v>
      </c>
      <c r="EK98" s="32" t="n">
        <f aca="false">IF(NOT(Tasks[[#This Row],[_IsLeaf]]=1),0,IF(Tasks[[#This Row],[Actual Cost]]="",Tasks[[#This Row],[_LeafTotalCost]]*Tasks[[#This Row],[_LeafProgress]],N(Tasks[[#This Row],[Actual Cost]])))</f>
        <v>0</v>
      </c>
      <c r="EL98" s="32" t="str">
        <f aca="false">IF(Tasks[[#This Row],[Task Name]]="","",LEFT(Tasks[[#This Row],[WBS]],FIND(".",Tasks[[#This Row],[WBS]]&amp;".")-1))</f>
        <v/>
      </c>
      <c r="EM98" s="32" t="str">
        <f aca="false">IF(AND(Tasks[[#This Row],[Task Name]]&lt;&gt;"",Tasks[[#This Row],[_Level]]=1),Tasks[[#This Row],[_Row]],"")</f>
        <v/>
      </c>
      <c r="EN98" s="32" t="str">
        <f aca="false">IF(AND(Tasks[[#This Row],[_IsLeaf]]=1,N(Tasks[[#This Row],[Duration]])=0),Tasks[[#This Row],[Planned Finish]]+Tasks[[#This Row],[_Row]]/100000,"")</f>
        <v/>
      </c>
      <c r="EO98" s="32" t="str">
        <f aca="false">IF(AND(Tasks[[#This Row],[_IsLeaf]]=1,Tasks[[#This Row],[_LeafProgress]]&lt;1,OR(N(Tasks[[#This Row],[Finish Var]])&gt;0,Tasks[[#This Row],[Status]]="Late Start")),MAX(0,Tasks[[#This Row],[Finish Var]])+1-Tasks[[#This Row],[_Row]]/1000000,"")</f>
        <v/>
      </c>
      <c r="EP98" s="32" t="str">
        <f aca="false">IF(AND(Tasks[[#This Row],[_IsLeaf]]=1,N(Tasks[[#This Row],[Actual Start]])=0,Tasks[[#This Row],[_ShownFcstStart]]&gt;=StatusDate,Tasks[[#This Row],[_ShownFcstStart]]&lt;=LookaheadEnd),Tasks[[#This Row],[_ShownFcstStart]]+Tasks[[#This Row],[_Row]]/100000,"")</f>
        <v/>
      </c>
      <c r="EQ98" s="32" t="str">
        <f aca="false">IF(AND(Tasks[[#This Row],[_IsLeaf]]=1,Tasks[[#This Row],[_LeafProgress]]&lt;1,Tasks[[#This Row],[_ShownFcstFinish]]&gt;=StatusDate,Tasks[[#This Row],[_ShownFcstFinish]]&lt;=LookaheadEnd),Tasks[[#This Row],[_ShownFcstFinish]]+Tasks[[#This Row],[_Row]]/100000,"")</f>
        <v/>
      </c>
      <c r="ER98" s="32" t="str">
        <f aca="false">IF(Tasks[[#This Row],[_LeafCritical]],Tasks[[#This Row],[_ShownFcstStart]]+Tasks[[#This Row],[_Row]]/100000,"")</f>
        <v/>
      </c>
      <c r="ES98" s="32" t="n">
        <f aca="false">Tasks[[#This Row],[_LeafWork]]*Tasks[[#This Row],[_LeafProgress]]</f>
        <v>0</v>
      </c>
      <c r="ET98" s="115" t="str">
        <f aca="false">IF(AND(Tasks[[#This Row],[_IsLeaf]]=1,Tasks[[#This Row],[_LeafProgress]]&gt;=1),IF(N(Tasks[[#This Row],[Actual Finish]])&gt;0,Tasks[[#This Row],[Actual Finish]],Tasks[[#This Row],[_ShownFcstFinish]]),"")</f>
        <v/>
      </c>
      <c r="EU98" s="32" t="n">
        <f aca="false">IF(Tasks[[#This Row],[_IsLeaf]]=1,N(Tasks[[#This Row],[Story Points]]),0)</f>
        <v>0</v>
      </c>
      <c r="EV98" s="32" t="str">
        <f aca="false">IF(AND(Tasks[[#This Row],[_IsLeaf]]=1,CurrentSprint&lt;&gt;"",Tasks[[#This Row],[Sprint]]=CurrentSprint),Tasks[[#This Row],[_Row]],"")</f>
        <v/>
      </c>
    </row>
    <row r="99" customFormat="false" ht="15" hidden="false" customHeight="false" outlineLevel="0" collapsed="false">
      <c r="A99" s="45" t="str">
        <f aca="false">IF(Tasks[[#This Row],[Task Name]]="","",COUNTA(Tasks[[#Headers],[Task Name]]:Tasks[[#This Row],[Task Name]])-1)</f>
        <v/>
      </c>
      <c r="B99" s="46" t="n">
        <v>94</v>
      </c>
      <c r="C9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99" s="46"/>
      <c r="E99" s="45" t="str">
        <f aca="false">IF(Tasks[[#This Row],[Task Name]]="","",IF(Tasks[[#This Row],[_Level]]&lt;=OutlineShowLevel,"Yes","No"))</f>
        <v/>
      </c>
      <c r="F99" s="47"/>
      <c r="G99" s="46"/>
      <c r="H99" s="46"/>
      <c r="I99" s="46"/>
      <c r="J99" s="46"/>
      <c r="K99" s="46"/>
      <c r="L99" s="46"/>
      <c r="M99" s="46"/>
      <c r="N99" s="46"/>
      <c r="O99" s="46"/>
      <c r="P99" s="46"/>
      <c r="Q99" s="46"/>
      <c r="R99" s="46"/>
      <c r="S99" s="46"/>
      <c r="T99" s="46"/>
      <c r="U99" s="47"/>
      <c r="V99" s="88"/>
      <c r="W99" s="88"/>
      <c r="X99" s="25" t="str">
        <f aca="false">IF(Tasks[[#This Row],[Task Name]]="","",IF(N(Tasks[[#This Row],[Baseline Start]])&gt;0,Tasks[[#This Row],[Baseline Start]],Tasks[[#This Row],[_CalcStart]]))</f>
        <v/>
      </c>
      <c r="Y99" s="25" t="str">
        <f aca="false">IF(Tasks[[#This Row],[Task Name]]="","",IF(N(Tasks[[#This Row],[Baseline Finish]])&gt;0,Tasks[[#This Row],[Baseline Finish]],Tasks[[#This Row],[_CalcFinish]]))</f>
        <v/>
      </c>
      <c r="Z99" s="88"/>
      <c r="AA99" s="88"/>
      <c r="AB99" s="25" t="str">
        <f aca="false">IF(Tasks[[#This Row],[Task Name]]="","",IF(Tasks[[#This Row],[_IsSummary]],MIN(INDEX(Tasks[_ShownFcstStart],Tasks[[#This Row],[_Row]]+1):INDEX(Tasks[_ShownFcstStart],Tasks[[#This Row],[_Row]]+Tasks[[#This Row],[_Descendants]])),Tasks[[#This Row],[_ShownFcstStart]]))</f>
        <v/>
      </c>
      <c r="AC99" s="25" t="str">
        <f aca="false">IF(Tasks[[#This Row],[Task Name]]="","",IF(Tasks[[#This Row],[_IsSummary]],MAX(INDEX(Tasks[_ShownFcstFinish],Tasks[[#This Row],[_Row]]+1):INDEX(Tasks[_ShownFcstFinish],Tasks[[#This Row],[_Row]]+Tasks[[#This Row],[_Descendants]])),Tasks[[#This Row],[_ShownFcstFinish]]))</f>
        <v/>
      </c>
      <c r="AD9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9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99" s="25" t="str">
        <f aca="false">IF(Tasks[[#This Row],[Task Name]]="","",IF(Tasks[[#This Row],[_IsSummary]],MIN(INDEX(Tasks[_LeafLateStart],Tasks[[#This Row],[_Row]]+1):INDEX(Tasks[_LeafLateStart],Tasks[[#This Row],[_Row]]+Tasks[[#This Row],[_Descendants]])),Tasks[[#This Row],[_LeafLateStart]]))</f>
        <v/>
      </c>
      <c r="AG99" s="25" t="str">
        <f aca="false">IF(Tasks[[#This Row],[Task Name]]="","",IF(Tasks[[#This Row],[_IsSummary]],MAX(INDEX(Tasks[_LeafLateFinish],Tasks[[#This Row],[_Row]]+1):INDEX(Tasks[_LeafLateFinish],Tasks[[#This Row],[_Row]]+Tasks[[#This Row],[_Descendants]])),Tasks[[#This Row],[_LeafLateFinish]]))</f>
        <v/>
      </c>
      <c r="AH99" s="56" t="str">
        <f aca="false">IF(Tasks[[#This Row],[Task Name]]="","",IF(Tasks[[#This Row],[_IsSummary]],MIN(INDEX(Tasks[_LeafTotalSlack],Tasks[[#This Row],[_Row]]+1):INDEX(Tasks[_LeafTotalSlack],Tasks[[#This Row],[_Row]]+Tasks[[#This Row],[_Descendants]])),Tasks[[#This Row],[_LeafTotalSlack]]))</f>
        <v/>
      </c>
      <c r="AI9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99" s="45" t="str">
        <f aca="false">IF(Tasks[[#This Row],[Task Name]]="","",IF(IF(Tasks[[#This Row],[_IsSummary]],COUNTIF(INDEX(Tasks[_LeafCritical],Tasks[[#This Row],[_Row]]+1):INDEX(Tasks[_LeafCritical],Tasks[[#This Row],[_Row]]+Tasks[[#This Row],[_Descendants]]),TRUE())&gt;0,Tasks[[#This Row],[_LeafCritical]]),"Yes",""))</f>
        <v/>
      </c>
      <c r="AK9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9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99" s="102"/>
      <c r="AN9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99" s="45" t="str">
        <f aca="false">IF(Tasks[[#This Row],[Task Name]]="","",IF(Tasks[[#This Row],[Progress]]&gt;=1,"Complete",IF(OR(N(Tasks[[#This Row],[Actual Start]])&gt;0,Tasks[[#This Row],[Progress]]&gt;0),IF(Tasks[[#This Row],[Finish Var]]&gt;0,"Behind","In Progress"),IF(Tasks[[#This Row],[Planned Start]]&lt;StatusDate,"Late Start","Not Started"))))</f>
        <v/>
      </c>
      <c r="AP99" s="47"/>
      <c r="AQ99" s="102"/>
      <c r="AR9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9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99" s="110" t="str">
        <f aca="false">IF(Tasks[[#This Row],[Task Name]]="","",IF(Tasks[[#This Row],[_IsSummary]],SUM(INDEX(Tasks[_LeafTotalWork],Tasks[[#This Row],[_Row]]+1):INDEX(Tasks[_LeafTotalWork],Tasks[[#This Row],[_Row]]+Tasks[[#This Row],[_Descendants]])),Tasks[[#This Row],[_LeafTotalWork]]))</f>
        <v/>
      </c>
      <c r="AU99" s="111" t="str">
        <f aca="false">IF(Tasks[[#This Row],[Task Name]]="","",IF(Tasks[[#This Row],[_IsSummary]],SUM(INDEX(Tasks[_LeafTotalCost],Tasks[[#This Row],[_Row]]+1):INDEX(Tasks[_LeafTotalCost],Tasks[[#This Row],[_Row]]+Tasks[[#This Row],[_Descendants]])),Tasks[[#This Row],[_LeafTotalCost]]))</f>
        <v/>
      </c>
      <c r="AV99" s="112"/>
      <c r="AW99" s="46"/>
      <c r="AX9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99" s="96"/>
      <c r="AZ9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99" s="47"/>
      <c r="BB99" s="25" t="str">
        <f aca="false">IF(Tasks[[#This Row],[Task Name]]="","",Tasks[[#This Row],[Forecast Start]])</f>
        <v/>
      </c>
      <c r="BC99" s="25" t="str">
        <f aca="false">IF(Tasks[[#This Row],[Task Name]]="","",Tasks[[#This Row],[Forecast Finish]])</f>
        <v/>
      </c>
      <c r="BD99" s="45" t="str">
        <f aca="false">IF(Tasks[[#This Row],[Task Name]]="","",IF(Tasks[[#This Row],[_IsSummary]],NETWORKDAYS.INTL(Tasks[[#This Row],[Forecast Start]],Tasks[[#This Row],[Forecast Finish]],WorkWeek,Holidays),N(Tasks[[#This Row],[Duration]])))</f>
        <v/>
      </c>
      <c r="BE99" s="110" t="str">
        <f aca="false">IF(Tasks[[#This Row],[Task Name]]="","",Tasks[[#This Row],[Work]])</f>
        <v/>
      </c>
      <c r="BF99" s="111" t="str">
        <f aca="false">IF(Tasks[[#This Row],[Task Name]]="","",Tasks[[#This Row],[Cost]])</f>
        <v/>
      </c>
      <c r="BG99" s="88"/>
      <c r="BH99" s="88"/>
      <c r="BI99" s="46"/>
      <c r="BJ99" s="113"/>
      <c r="BK99" s="112"/>
      <c r="BL99" s="45" t="str">
        <f aca="false">IF(OR(Tasks[[#This Row],[Task Name]]="",Tasks[[#This Row],[Baseline Duration]]=""),"",Tasks[[#This Row],[BL Source Duration]]-N(Tasks[[#This Row],[Baseline Duration]]))</f>
        <v/>
      </c>
      <c r="BM99" s="110" t="str">
        <f aca="false">IF(OR(Tasks[[#This Row],[Task Name]]="",Tasks[[#This Row],[Baseline Work]]=""),"",Tasks[[#This Row],[Work]]-N(Tasks[[#This Row],[Baseline Work]]))</f>
        <v/>
      </c>
      <c r="BN99" s="111" t="str">
        <f aca="false">IF(OR(Tasks[[#This Row],[Task Name]]="",Tasks[[#This Row],[Baseline Cost]]=""),"",Tasks[[#This Row],[Cost]]-N(Tasks[[#This Row],[Baseline Cost]]))</f>
        <v/>
      </c>
      <c r="BO99" s="111" t="str">
        <f aca="false">IF(Tasks[[#This Row],[Task Name]]="","",IF(Tasks[[#This Row],[_IsSummary]],SUM(INDEX(Tasks[_LeafBudget],Tasks[[#This Row],[_Row]]+1):INDEX(Tasks[_LeafBudget],Tasks[[#This Row],[_Row]]+Tasks[[#This Row],[_Descendants]])),Tasks[[#This Row],[_LeafBudget]]))</f>
        <v/>
      </c>
      <c r="BP99" s="111" t="str">
        <f aca="false">IF(Tasks[[#This Row],[Task Name]]="","",IF(Tasks[[#This Row],[_IsSummary]],SUM(INDEX(Tasks[_LeafPV],Tasks[[#This Row],[_Row]]+1):INDEX(Tasks[_LeafPV],Tasks[[#This Row],[_Row]]+Tasks[[#This Row],[_Descendants]])),Tasks[[#This Row],[_LeafPV]]))</f>
        <v/>
      </c>
      <c r="BQ99" s="111" t="str">
        <f aca="false">IF(Tasks[[#This Row],[Task Name]]="","",IF(Tasks[[#This Row],[_IsSummary]],SUM(INDEX(Tasks[_LeafEV],Tasks[[#This Row],[_Row]]+1):INDEX(Tasks[_LeafEV],Tasks[[#This Row],[_Row]]+Tasks[[#This Row],[_Descendants]])),Tasks[[#This Row],[_LeafEV]]))</f>
        <v/>
      </c>
      <c r="BR99" s="111" t="str">
        <f aca="false">IF(Tasks[[#This Row],[Task Name]]="","",IF(Tasks[[#This Row],[_IsSummary]],SUM(INDEX(Tasks[_LeafAC],Tasks[[#This Row],[_Row]]+1):INDEX(Tasks[_LeafAC],Tasks[[#This Row],[_Row]]+Tasks[[#This Row],[_Descendants]])),Tasks[[#This Row],[_LeafAC]]))</f>
        <v/>
      </c>
      <c r="BS99" s="32" t="str">
        <f aca="false">IF(Tasks[[#This Row],[Task Name]]="","",MAX(1,N(Tasks[[#This Row],[Level]])))</f>
        <v/>
      </c>
      <c r="BT99" s="32" t="n">
        <f aca="false">ROW()-ROW(Tasks[[#Headers],[ID]])</f>
        <v>94</v>
      </c>
      <c r="BU99" s="32" t="n">
        <f aca="false">IF(OR(Tasks[[#This Row],[Task Name]]="",Tasks[[#This Row],[_Level]]&lt;=1),0,IFERROR(LOOKUP(2,1/(Tasks[[#Headers],[_Level]]:Tasks[[#This Row],[_Level]]=Tasks[[#This Row],[_Level]]-1),ROW(Tasks[[#Headers],[_Level]]:Tasks[[#This Row],[_Level]])),0))</f>
        <v>0</v>
      </c>
      <c r="BV99" s="32" t="n">
        <f aca="false">IFERROR(N(INDEX(Tasks[_Level],Tasks[[#This Row],[_Row]]+1)),0)</f>
        <v>0</v>
      </c>
      <c r="BW99" s="114" t="b">
        <f aca="false">AND(Tasks[[#This Row],[Task Name]]&lt;&gt;"",Tasks[[#This Row],[_NextLevel]]&gt;Tasks[[#This Row],[_Level]])</f>
        <v>0</v>
      </c>
      <c r="BX99" s="32" t="n">
        <f aca="false">IF(Tasks[[#This Row],[_IsSummary]],COUNTIF(Tasks[WBS],Tasks[[#This Row],[WBS]]&amp;".*"),0)</f>
        <v>0</v>
      </c>
      <c r="BY99" s="32" t="n">
        <f aca="false">IF(AND(Tasks[[#This Row],[Task Name]]&lt;&gt;"",NOT(Tasks[[#This Row],[_IsSummary]])),1,0)</f>
        <v>0</v>
      </c>
      <c r="BZ99" s="32" t="n">
        <f aca="false">IF(N(Tasks[[#This Row],[Pred1 UID]])=0,0,IFERROR(MATCH(Tasks[[#This Row],[Pred1 UID]],Tasks[UID],0),-1))</f>
        <v>0</v>
      </c>
      <c r="CA99" s="32" t="n">
        <f aca="false">IF(N(Tasks[[#This Row],[Pred2 UID]])=0,0,IFERROR(MATCH(Tasks[[#This Row],[Pred2 UID]],Tasks[UID],0),-1))</f>
        <v>0</v>
      </c>
      <c r="CB99" s="32" t="n">
        <f aca="false">IF(N(Tasks[[#This Row],[Pred3 UID]])=0,0,IFERROR(MATCH(Tasks[[#This Row],[Pred3 UID]],Tasks[UID],0),-1))</f>
        <v>0</v>
      </c>
      <c r="CC99" s="32" t="n">
        <f aca="false">IF(N(Tasks[[#This Row],[Pred4 UID]])=0,0,IFERROR(MATCH(Tasks[[#This Row],[Pred4 UID]],Tasks[UID],0),-1))</f>
        <v>0</v>
      </c>
      <c r="CD9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9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99" s="115" t="n">
        <f aca="false">IF(OR(Tasks[[#This Row],[_ConstraintCode]]=2,Tasks[[#This Row],[_ConstraintCode]]=3,Tasks[[#This Row],[_ConstraintCode]]=4,Tasks[[#This Row],[_ConstraintCode]]=6),Tasks[[#This Row],[_ConstraintStart]],0)</f>
        <v>0</v>
      </c>
      <c r="CG99" s="115" t="n">
        <f aca="false">IF(OR(Tasks[[#This Row],[_ConstraintCode]]=2,Tasks[[#This Row],[_ConstraintCode]]=3,Tasks[[#This Row],[_ConstraintCode]]=5,Tasks[[#This Row],[_ConstraintCode]]=7),Tasks[[#This Row],[_ConstraintStart]],2958465)</f>
        <v>2958465</v>
      </c>
      <c r="CH9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99" s="115" t="str">
        <f aca="false">IF(NOT(Tasks[[#This Row],[_IsLeaf]]=1),"",IF(N(Tasks[[#This Row],[Duration]])&lt;=0,Tasks[[#This Row],[_LeafCalcStart]],WORKDAY.INTL(Tasks[[#This Row],[_LeafCalcStart]],Tasks[[#This Row],[Duration]]-1,WorkWeek,Holidays)))</f>
        <v/>
      </c>
      <c r="CJ9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9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99" s="32" t="n">
        <f aca="false">IF(NOT(Tasks[[#This Row],[_IsLeaf]]=1),0,IF(N(Tasks[[#This Row],[Actual Finish]])&gt;0,1,MIN(1,N(Tasks[[#This Row],[% Complete]]))))</f>
        <v>0</v>
      </c>
      <c r="CM99" s="32" t="n">
        <f aca="false">IF(OR(NOT(Tasks[[#This Row],[_IsLeaf]]=1),Tasks[[#This Row],[Resource]]=""),0,N(Tasks[[#This Row],[Duration]])*HoursPerDay*IF(Tasks[[#This Row],[Units]]="",DefaultUnits,Tasks[[#This Row],[Units]]))</f>
        <v>0</v>
      </c>
      <c r="CN99" s="32" t="n">
        <f aca="false">IF(Tasks[[#This Row],[_LeafWork]]=0,0,Tasks[[#This Row],[_LeafWork]]*IFERROR(INDEX(res_Rate,MATCH(Tasks[[#This Row],[Resource]],res_Name,0)),0))</f>
        <v>0</v>
      </c>
      <c r="CO99" s="32" t="n">
        <f aca="false">Tasks[[#This Row],[_LeafWork]]+IF(Tasks[[#This Row],[_IsLeaf]]=1,SUMIFS(asg_Work,asg_TaskUID,Tasks[[#This Row],[UID]],asg_Valid,1),0)</f>
        <v>0</v>
      </c>
      <c r="CP99" s="32" t="n">
        <f aca="false">Tasks[[#This Row],[_LeafCost]]+IF(Tasks[[#This Row],[_IsLeaf]]=1,SUMIFS(asg_Cost,asg_TaskUID,Tasks[[#This Row],[UID]],asg_Valid,1),0)</f>
        <v>0</v>
      </c>
      <c r="CQ99" s="32" t="n">
        <f aca="false">IF(Tasks[[#This Row],[_LeafTotalCost]]=0,Tasks[[#This Row],[_LeafAC]],Tasks[[#This Row],[_LeafAC]]*Tasks[[#This Row],[_LeafCost]]/Tasks[[#This Row],[_LeafTotalCost]])</f>
        <v>0</v>
      </c>
      <c r="CR9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9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9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9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9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9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9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9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99" s="32" t="n">
        <f aca="false">IF(NOT(Tasks[[#This Row],[_IsLeaf]]=1),0,MAX(_xlfn.MAXIFS(Tasks[_Row],Tasks[Pred1 UID],Tasks[[#This Row],[UID]]),_xlfn.MAXIFS(Tasks[_Row],Tasks[Pred2 UID],Tasks[[#This Row],[UID]]),_xlfn.MAXIFS(Tasks[_Row],Tasks[Pred3 UID],Tasks[[#This Row],[UID]]),_xlfn.MAXIFS(Tasks[_Row],Tasks[Pred4 UID],Tasks[[#This Row],[UID]])))</f>
        <v>0</v>
      </c>
      <c r="DA9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9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99" s="115" t="str">
        <f aca="false">IF(NOT(Tasks[[#This Row],[_IsLeaf]]=1),"",IF(N(Tasks[[#This Row],[Duration]])&lt;=0,Tasks[[#This Row],[_LeafLateFinish]],WORKDAY.INTL(Tasks[[#This Row],[_LeafLateFinish]],-(Tasks[[#This Row],[Duration]]-1),WorkWeek,Holidays)))</f>
        <v/>
      </c>
      <c r="DD9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99" s="114" t="b">
        <f aca="false">AND(Tasks[[#This Row],[_IsLeaf]]=1,Tasks[[#This Row],[_LeafProgress]]&lt;1,N(Tasks[[#This Row],[_LeafTotalSlack]])&lt;=CriticalSlackDays)</f>
        <v>0</v>
      </c>
      <c r="DF99" s="32" t="n">
        <f aca="false">IF(AND(Tasks[[#This Row],[_IsLeaf]]=1,Tasks[[#This Row],[_ConstraintCode]]=1,Tasks[[#This Row],[Mode]]&lt;&gt;"Manual",N(Tasks[[#This Row],[Actual Start]])=0),MAX(0,N(Tasks[[#This Row],[Free Slack]])),0)</f>
        <v>0</v>
      </c>
      <c r="DG99" s="115" t="str">
        <f aca="false">IF(NOT(Tasks[[#This Row],[_IsLeaf]]=1),"",IF(Tasks[[#This Row],[_AlapShift]]=0,Tasks[[#This Row],[_LeafCalcStart]],WORKDAY.INTL(Tasks[[#This Row],[_LeafCalcStart]],Tasks[[#This Row],[_AlapShift]],WorkWeek,Holidays)))</f>
        <v/>
      </c>
      <c r="DH99" s="115" t="str">
        <f aca="false">IF(NOT(Tasks[[#This Row],[_IsLeaf]]=1),"",IF(Tasks[[#This Row],[_AlapShift]]=0,Tasks[[#This Row],[_LeafCalcFinish]],WORKDAY.INTL(Tasks[[#This Row],[_LeafCalcFinish]],Tasks[[#This Row],[_AlapShift]],WorkWeek,Holidays)))</f>
        <v/>
      </c>
      <c r="DI99" s="115" t="str">
        <f aca="false">IF(NOT(Tasks[[#This Row],[_IsLeaf]]=1),"",IF(Tasks[[#This Row],[_AlapShift]]=0,Tasks[[#This Row],[_LeafFcstStart]],WORKDAY.INTL(Tasks[[#This Row],[_LeafFcstStart]],Tasks[[#This Row],[_AlapShift]],WorkWeek,Holidays)))</f>
        <v/>
      </c>
      <c r="DJ99" s="115" t="str">
        <f aca="false">IF(NOT(Tasks[[#This Row],[_IsLeaf]]=1),"",IF(Tasks[[#This Row],[_AlapShift]]=0,Tasks[[#This Row],[_LeafFcstFinish]],WORKDAY.INTL(Tasks[[#This Row],[_LeafFcstFinish]],Tasks[[#This Row],[_AlapShift]],WorkWeek,Holidays)))</f>
        <v/>
      </c>
      <c r="DK99" s="115" t="str">
        <f aca="false">IF(Tasks[[#This Row],[Task Name]]="","",IF(Tasks[[#This Row],[_IsSummary]],MIN(INDEX(Tasks[_ShownCalcStart],Tasks[[#This Row],[_Row]]+1):INDEX(Tasks[_ShownCalcStart],Tasks[[#This Row],[_Row]]+Tasks[[#This Row],[_Descendants]])),Tasks[[#This Row],[_ShownCalcStart]]))</f>
        <v/>
      </c>
      <c r="DL99" s="115" t="str">
        <f aca="false">IF(Tasks[[#This Row],[Task Name]]="","",IF(Tasks[[#This Row],[_IsSummary]],MAX(INDEX(Tasks[_ShownCalcFinish],Tasks[[#This Row],[_Row]]+1):INDEX(Tasks[_ShownCalcFinish],Tasks[[#This Row],[_Row]]+Tasks[[#This Row],[_Descendants]])),Tasks[[#This Row],[_ShownCalcFinish]]))</f>
        <v/>
      </c>
      <c r="DM9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9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9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9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9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9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9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9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9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9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9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9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99" s="32" t="n">
        <f aca="false">IF(AND(Tasks[[#This Row],[_IsLeaf]]=1,Tasks[[#This Row],[_LeafTotalWork]]&gt;0),NETWORKDAYS.INTL(ProjectStart,Tasks[[#This Row],[_ShownFcstStart]],WorkWeek,Holidays),0)</f>
        <v>0</v>
      </c>
      <c r="DZ99" s="32" t="n">
        <f aca="false">IF(AND(Tasks[[#This Row],[_IsLeaf]]=1,Tasks[[#This Row],[_LeafTotalWork]]&gt;0),MAX(Tasks[[#This Row],[_StartWorkday]],NETWORKDAYS.INTL(ProjectStart,Tasks[[#This Row],[_ShownFcstFinish]],WorkWeek,Holidays)),0)</f>
        <v>0</v>
      </c>
      <c r="EA99" s="32" t="n">
        <f aca="false">IF(AND(Tasks[[#This Row],[_IsLeaf]]=1,Tasks[[#This Row],[_LeafTotalWork]]&gt;0),Tasks[[#This Row],[_LeafWork]]/(Tasks[[#This Row],[_FinishWorkday]]-Tasks[[#This Row],[_StartWorkday]]+1),0)</f>
        <v>0</v>
      </c>
      <c r="EB99" s="32" t="n">
        <f aca="false">Tasks[[#This Row],[_WorkPerWorkday]]*(Tasks[[#This Row],[_StartWorkday]]-1)</f>
        <v>-0</v>
      </c>
      <c r="EC99" s="32" t="n">
        <f aca="false">IF(Tasks[[#This Row],[_IsLeaf]]=1,MAX(N(Tasks[[#This Row],[Duration]]),0.1),0)</f>
        <v>0</v>
      </c>
      <c r="ED99" s="32" t="n">
        <f aca="false">Tasks[[#This Row],[_WeightDur]]*Tasks[[#This Row],[_LeafProgress]]</f>
        <v>0</v>
      </c>
      <c r="EE9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99" s="32" t="str">
        <f aca="false">IF(AND(Tasks[[#This Row],[_IsLeaf]]=1,N(Tasks[[#This Row],[Duration]])=0,Tasks[[#This Row],[_LeafProgress]]&lt;1),Tasks[[#This Row],[_ShownFcstFinish]]+Tasks[[#This Row],[_Row]]/100000,"")</f>
        <v/>
      </c>
      <c r="EG9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99" s="32" t="n">
        <f aca="false">IF(NOT(Tasks[[#This Row],[_IsLeaf]]=1),0,IF(Tasks[[#This Row],[Baseline Cost]]="",Tasks[[#This Row],[_LeafTotalCost]],N(Tasks[[#This Row],[Baseline Cost]])))</f>
        <v>0</v>
      </c>
      <c r="EI99" s="32" t="n">
        <f aca="false">Tasks[[#This Row],[_LeafBudget]]*Tasks[[#This Row],[_PlannedPct]]</f>
        <v>0</v>
      </c>
      <c r="EJ99" s="32" t="n">
        <f aca="false">Tasks[[#This Row],[_LeafBudget]]*Tasks[[#This Row],[_LeafProgress]]</f>
        <v>0</v>
      </c>
      <c r="EK99" s="32" t="n">
        <f aca="false">IF(NOT(Tasks[[#This Row],[_IsLeaf]]=1),0,IF(Tasks[[#This Row],[Actual Cost]]="",Tasks[[#This Row],[_LeafTotalCost]]*Tasks[[#This Row],[_LeafProgress]],N(Tasks[[#This Row],[Actual Cost]])))</f>
        <v>0</v>
      </c>
      <c r="EL99" s="32" t="str">
        <f aca="false">IF(Tasks[[#This Row],[Task Name]]="","",LEFT(Tasks[[#This Row],[WBS]],FIND(".",Tasks[[#This Row],[WBS]]&amp;".")-1))</f>
        <v/>
      </c>
      <c r="EM99" s="32" t="str">
        <f aca="false">IF(AND(Tasks[[#This Row],[Task Name]]&lt;&gt;"",Tasks[[#This Row],[_Level]]=1),Tasks[[#This Row],[_Row]],"")</f>
        <v/>
      </c>
      <c r="EN99" s="32" t="str">
        <f aca="false">IF(AND(Tasks[[#This Row],[_IsLeaf]]=1,N(Tasks[[#This Row],[Duration]])=0),Tasks[[#This Row],[Planned Finish]]+Tasks[[#This Row],[_Row]]/100000,"")</f>
        <v/>
      </c>
      <c r="EO99" s="32" t="str">
        <f aca="false">IF(AND(Tasks[[#This Row],[_IsLeaf]]=1,Tasks[[#This Row],[_LeafProgress]]&lt;1,OR(N(Tasks[[#This Row],[Finish Var]])&gt;0,Tasks[[#This Row],[Status]]="Late Start")),MAX(0,Tasks[[#This Row],[Finish Var]])+1-Tasks[[#This Row],[_Row]]/1000000,"")</f>
        <v/>
      </c>
      <c r="EP99" s="32" t="str">
        <f aca="false">IF(AND(Tasks[[#This Row],[_IsLeaf]]=1,N(Tasks[[#This Row],[Actual Start]])=0,Tasks[[#This Row],[_ShownFcstStart]]&gt;=StatusDate,Tasks[[#This Row],[_ShownFcstStart]]&lt;=LookaheadEnd),Tasks[[#This Row],[_ShownFcstStart]]+Tasks[[#This Row],[_Row]]/100000,"")</f>
        <v/>
      </c>
      <c r="EQ99" s="32" t="str">
        <f aca="false">IF(AND(Tasks[[#This Row],[_IsLeaf]]=1,Tasks[[#This Row],[_LeafProgress]]&lt;1,Tasks[[#This Row],[_ShownFcstFinish]]&gt;=StatusDate,Tasks[[#This Row],[_ShownFcstFinish]]&lt;=LookaheadEnd),Tasks[[#This Row],[_ShownFcstFinish]]+Tasks[[#This Row],[_Row]]/100000,"")</f>
        <v/>
      </c>
      <c r="ER99" s="32" t="str">
        <f aca="false">IF(Tasks[[#This Row],[_LeafCritical]],Tasks[[#This Row],[_ShownFcstStart]]+Tasks[[#This Row],[_Row]]/100000,"")</f>
        <v/>
      </c>
      <c r="ES99" s="32" t="n">
        <f aca="false">Tasks[[#This Row],[_LeafWork]]*Tasks[[#This Row],[_LeafProgress]]</f>
        <v>0</v>
      </c>
      <c r="ET99" s="115" t="str">
        <f aca="false">IF(AND(Tasks[[#This Row],[_IsLeaf]]=1,Tasks[[#This Row],[_LeafProgress]]&gt;=1),IF(N(Tasks[[#This Row],[Actual Finish]])&gt;0,Tasks[[#This Row],[Actual Finish]],Tasks[[#This Row],[_ShownFcstFinish]]),"")</f>
        <v/>
      </c>
      <c r="EU99" s="32" t="n">
        <f aca="false">IF(Tasks[[#This Row],[_IsLeaf]]=1,N(Tasks[[#This Row],[Story Points]]),0)</f>
        <v>0</v>
      </c>
      <c r="EV99" s="32" t="str">
        <f aca="false">IF(AND(Tasks[[#This Row],[_IsLeaf]]=1,CurrentSprint&lt;&gt;"",Tasks[[#This Row],[Sprint]]=CurrentSprint),Tasks[[#This Row],[_Row]],"")</f>
        <v/>
      </c>
    </row>
    <row r="100" customFormat="false" ht="15" hidden="false" customHeight="false" outlineLevel="0" collapsed="false">
      <c r="A100" s="45" t="str">
        <f aca="false">IF(Tasks[[#This Row],[Task Name]]="","",COUNTA(Tasks[[#Headers],[Task Name]]:Tasks[[#This Row],[Task Name]])-1)</f>
        <v/>
      </c>
      <c r="B100" s="46" t="n">
        <v>95</v>
      </c>
      <c r="C10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0" s="46"/>
      <c r="E100" s="45" t="str">
        <f aca="false">IF(Tasks[[#This Row],[Task Name]]="","",IF(Tasks[[#This Row],[_Level]]&lt;=OutlineShowLevel,"Yes","No"))</f>
        <v/>
      </c>
      <c r="F100" s="47"/>
      <c r="G100" s="46"/>
      <c r="H100" s="46"/>
      <c r="I100" s="46"/>
      <c r="J100" s="46"/>
      <c r="K100" s="46"/>
      <c r="L100" s="46"/>
      <c r="M100" s="46"/>
      <c r="N100" s="46"/>
      <c r="O100" s="46"/>
      <c r="P100" s="46"/>
      <c r="Q100" s="46"/>
      <c r="R100" s="46"/>
      <c r="S100" s="46"/>
      <c r="T100" s="46"/>
      <c r="U100" s="47"/>
      <c r="V100" s="88"/>
      <c r="W100" s="88"/>
      <c r="X100" s="25" t="str">
        <f aca="false">IF(Tasks[[#This Row],[Task Name]]="","",IF(N(Tasks[[#This Row],[Baseline Start]])&gt;0,Tasks[[#This Row],[Baseline Start]],Tasks[[#This Row],[_CalcStart]]))</f>
        <v/>
      </c>
      <c r="Y100" s="25" t="str">
        <f aca="false">IF(Tasks[[#This Row],[Task Name]]="","",IF(N(Tasks[[#This Row],[Baseline Finish]])&gt;0,Tasks[[#This Row],[Baseline Finish]],Tasks[[#This Row],[_CalcFinish]]))</f>
        <v/>
      </c>
      <c r="Z100" s="88"/>
      <c r="AA100" s="88"/>
      <c r="AB100" s="25" t="str">
        <f aca="false">IF(Tasks[[#This Row],[Task Name]]="","",IF(Tasks[[#This Row],[_IsSummary]],MIN(INDEX(Tasks[_ShownFcstStart],Tasks[[#This Row],[_Row]]+1):INDEX(Tasks[_ShownFcstStart],Tasks[[#This Row],[_Row]]+Tasks[[#This Row],[_Descendants]])),Tasks[[#This Row],[_ShownFcstStart]]))</f>
        <v/>
      </c>
      <c r="AC100" s="25" t="str">
        <f aca="false">IF(Tasks[[#This Row],[Task Name]]="","",IF(Tasks[[#This Row],[_IsSummary]],MAX(INDEX(Tasks[_ShownFcstFinish],Tasks[[#This Row],[_Row]]+1):INDEX(Tasks[_ShownFcstFinish],Tasks[[#This Row],[_Row]]+Tasks[[#This Row],[_Descendants]])),Tasks[[#This Row],[_ShownFcstFinish]]))</f>
        <v/>
      </c>
      <c r="AD10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0" s="25" t="str">
        <f aca="false">IF(Tasks[[#This Row],[Task Name]]="","",IF(Tasks[[#This Row],[_IsSummary]],MIN(INDEX(Tasks[_LeafLateStart],Tasks[[#This Row],[_Row]]+1):INDEX(Tasks[_LeafLateStart],Tasks[[#This Row],[_Row]]+Tasks[[#This Row],[_Descendants]])),Tasks[[#This Row],[_LeafLateStart]]))</f>
        <v/>
      </c>
      <c r="AG100" s="25" t="str">
        <f aca="false">IF(Tasks[[#This Row],[Task Name]]="","",IF(Tasks[[#This Row],[_IsSummary]],MAX(INDEX(Tasks[_LeafLateFinish],Tasks[[#This Row],[_Row]]+1):INDEX(Tasks[_LeafLateFinish],Tasks[[#This Row],[_Row]]+Tasks[[#This Row],[_Descendants]])),Tasks[[#This Row],[_LeafLateFinish]]))</f>
        <v/>
      </c>
      <c r="AH100" s="56" t="str">
        <f aca="false">IF(Tasks[[#This Row],[Task Name]]="","",IF(Tasks[[#This Row],[_IsSummary]],MIN(INDEX(Tasks[_LeafTotalSlack],Tasks[[#This Row],[_Row]]+1):INDEX(Tasks[_LeafTotalSlack],Tasks[[#This Row],[_Row]]+Tasks[[#This Row],[_Descendants]])),Tasks[[#This Row],[_LeafTotalSlack]]))</f>
        <v/>
      </c>
      <c r="AI10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0" s="45" t="str">
        <f aca="false">IF(Tasks[[#This Row],[Task Name]]="","",IF(IF(Tasks[[#This Row],[_IsSummary]],COUNTIF(INDEX(Tasks[_LeafCritical],Tasks[[#This Row],[_Row]]+1):INDEX(Tasks[_LeafCritical],Tasks[[#This Row],[_Row]]+Tasks[[#This Row],[_Descendants]]),TRUE())&gt;0,Tasks[[#This Row],[_LeafCritical]]),"Yes",""))</f>
        <v/>
      </c>
      <c r="AK10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0" s="102"/>
      <c r="AN10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0" s="45" t="str">
        <f aca="false">IF(Tasks[[#This Row],[Task Name]]="","",IF(Tasks[[#This Row],[Progress]]&gt;=1,"Complete",IF(OR(N(Tasks[[#This Row],[Actual Start]])&gt;0,Tasks[[#This Row],[Progress]]&gt;0),IF(Tasks[[#This Row],[Finish Var]]&gt;0,"Behind","In Progress"),IF(Tasks[[#This Row],[Planned Start]]&lt;StatusDate,"Late Start","Not Started"))))</f>
        <v/>
      </c>
      <c r="AP100" s="47"/>
      <c r="AQ100" s="102"/>
      <c r="AR10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0" s="110" t="str">
        <f aca="false">IF(Tasks[[#This Row],[Task Name]]="","",IF(Tasks[[#This Row],[_IsSummary]],SUM(INDEX(Tasks[_LeafTotalWork],Tasks[[#This Row],[_Row]]+1):INDEX(Tasks[_LeafTotalWork],Tasks[[#This Row],[_Row]]+Tasks[[#This Row],[_Descendants]])),Tasks[[#This Row],[_LeafTotalWork]]))</f>
        <v/>
      </c>
      <c r="AU100" s="111" t="str">
        <f aca="false">IF(Tasks[[#This Row],[Task Name]]="","",IF(Tasks[[#This Row],[_IsSummary]],SUM(INDEX(Tasks[_LeafTotalCost],Tasks[[#This Row],[_Row]]+1):INDEX(Tasks[_LeafTotalCost],Tasks[[#This Row],[_Row]]+Tasks[[#This Row],[_Descendants]])),Tasks[[#This Row],[_LeafTotalCost]]))</f>
        <v/>
      </c>
      <c r="AV100" s="112"/>
      <c r="AW100" s="46"/>
      <c r="AX10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0" s="96"/>
      <c r="AZ10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0" s="47"/>
      <c r="BB100" s="25" t="str">
        <f aca="false">IF(Tasks[[#This Row],[Task Name]]="","",Tasks[[#This Row],[Forecast Start]])</f>
        <v/>
      </c>
      <c r="BC100" s="25" t="str">
        <f aca="false">IF(Tasks[[#This Row],[Task Name]]="","",Tasks[[#This Row],[Forecast Finish]])</f>
        <v/>
      </c>
      <c r="BD100" s="45" t="str">
        <f aca="false">IF(Tasks[[#This Row],[Task Name]]="","",IF(Tasks[[#This Row],[_IsSummary]],NETWORKDAYS.INTL(Tasks[[#This Row],[Forecast Start]],Tasks[[#This Row],[Forecast Finish]],WorkWeek,Holidays),N(Tasks[[#This Row],[Duration]])))</f>
        <v/>
      </c>
      <c r="BE100" s="110" t="str">
        <f aca="false">IF(Tasks[[#This Row],[Task Name]]="","",Tasks[[#This Row],[Work]])</f>
        <v/>
      </c>
      <c r="BF100" s="111" t="str">
        <f aca="false">IF(Tasks[[#This Row],[Task Name]]="","",Tasks[[#This Row],[Cost]])</f>
        <v/>
      </c>
      <c r="BG100" s="88"/>
      <c r="BH100" s="88"/>
      <c r="BI100" s="46"/>
      <c r="BJ100" s="113"/>
      <c r="BK100" s="112"/>
      <c r="BL100" s="45" t="str">
        <f aca="false">IF(OR(Tasks[[#This Row],[Task Name]]="",Tasks[[#This Row],[Baseline Duration]]=""),"",Tasks[[#This Row],[BL Source Duration]]-N(Tasks[[#This Row],[Baseline Duration]]))</f>
        <v/>
      </c>
      <c r="BM100" s="110" t="str">
        <f aca="false">IF(OR(Tasks[[#This Row],[Task Name]]="",Tasks[[#This Row],[Baseline Work]]=""),"",Tasks[[#This Row],[Work]]-N(Tasks[[#This Row],[Baseline Work]]))</f>
        <v/>
      </c>
      <c r="BN100" s="111" t="str">
        <f aca="false">IF(OR(Tasks[[#This Row],[Task Name]]="",Tasks[[#This Row],[Baseline Cost]]=""),"",Tasks[[#This Row],[Cost]]-N(Tasks[[#This Row],[Baseline Cost]]))</f>
        <v/>
      </c>
      <c r="BO100" s="111" t="str">
        <f aca="false">IF(Tasks[[#This Row],[Task Name]]="","",IF(Tasks[[#This Row],[_IsSummary]],SUM(INDEX(Tasks[_LeafBudget],Tasks[[#This Row],[_Row]]+1):INDEX(Tasks[_LeafBudget],Tasks[[#This Row],[_Row]]+Tasks[[#This Row],[_Descendants]])),Tasks[[#This Row],[_LeafBudget]]))</f>
        <v/>
      </c>
      <c r="BP100" s="111" t="str">
        <f aca="false">IF(Tasks[[#This Row],[Task Name]]="","",IF(Tasks[[#This Row],[_IsSummary]],SUM(INDEX(Tasks[_LeafPV],Tasks[[#This Row],[_Row]]+1):INDEX(Tasks[_LeafPV],Tasks[[#This Row],[_Row]]+Tasks[[#This Row],[_Descendants]])),Tasks[[#This Row],[_LeafPV]]))</f>
        <v/>
      </c>
      <c r="BQ100" s="111" t="str">
        <f aca="false">IF(Tasks[[#This Row],[Task Name]]="","",IF(Tasks[[#This Row],[_IsSummary]],SUM(INDEX(Tasks[_LeafEV],Tasks[[#This Row],[_Row]]+1):INDEX(Tasks[_LeafEV],Tasks[[#This Row],[_Row]]+Tasks[[#This Row],[_Descendants]])),Tasks[[#This Row],[_LeafEV]]))</f>
        <v/>
      </c>
      <c r="BR100" s="111" t="str">
        <f aca="false">IF(Tasks[[#This Row],[Task Name]]="","",IF(Tasks[[#This Row],[_IsSummary]],SUM(INDEX(Tasks[_LeafAC],Tasks[[#This Row],[_Row]]+1):INDEX(Tasks[_LeafAC],Tasks[[#This Row],[_Row]]+Tasks[[#This Row],[_Descendants]])),Tasks[[#This Row],[_LeafAC]]))</f>
        <v/>
      </c>
      <c r="BS100" s="32" t="str">
        <f aca="false">IF(Tasks[[#This Row],[Task Name]]="","",MAX(1,N(Tasks[[#This Row],[Level]])))</f>
        <v/>
      </c>
      <c r="BT100" s="32" t="n">
        <f aca="false">ROW()-ROW(Tasks[[#Headers],[ID]])</f>
        <v>95</v>
      </c>
      <c r="BU100" s="32" t="n">
        <f aca="false">IF(OR(Tasks[[#This Row],[Task Name]]="",Tasks[[#This Row],[_Level]]&lt;=1),0,IFERROR(LOOKUP(2,1/(Tasks[[#Headers],[_Level]]:Tasks[[#This Row],[_Level]]=Tasks[[#This Row],[_Level]]-1),ROW(Tasks[[#Headers],[_Level]]:Tasks[[#This Row],[_Level]])),0))</f>
        <v>0</v>
      </c>
      <c r="BV100" s="32" t="n">
        <f aca="false">IFERROR(N(INDEX(Tasks[_Level],Tasks[[#This Row],[_Row]]+1)),0)</f>
        <v>0</v>
      </c>
      <c r="BW100" s="114" t="b">
        <f aca="false">AND(Tasks[[#This Row],[Task Name]]&lt;&gt;"",Tasks[[#This Row],[_NextLevel]]&gt;Tasks[[#This Row],[_Level]])</f>
        <v>0</v>
      </c>
      <c r="BX100" s="32" t="n">
        <f aca="false">IF(Tasks[[#This Row],[_IsSummary]],COUNTIF(Tasks[WBS],Tasks[[#This Row],[WBS]]&amp;".*"),0)</f>
        <v>0</v>
      </c>
      <c r="BY100" s="32" t="n">
        <f aca="false">IF(AND(Tasks[[#This Row],[Task Name]]&lt;&gt;"",NOT(Tasks[[#This Row],[_IsSummary]])),1,0)</f>
        <v>0</v>
      </c>
      <c r="BZ100" s="32" t="n">
        <f aca="false">IF(N(Tasks[[#This Row],[Pred1 UID]])=0,0,IFERROR(MATCH(Tasks[[#This Row],[Pred1 UID]],Tasks[UID],0),-1))</f>
        <v>0</v>
      </c>
      <c r="CA100" s="32" t="n">
        <f aca="false">IF(N(Tasks[[#This Row],[Pred2 UID]])=0,0,IFERROR(MATCH(Tasks[[#This Row],[Pred2 UID]],Tasks[UID],0),-1))</f>
        <v>0</v>
      </c>
      <c r="CB100" s="32" t="n">
        <f aca="false">IF(N(Tasks[[#This Row],[Pred3 UID]])=0,0,IFERROR(MATCH(Tasks[[#This Row],[Pred3 UID]],Tasks[UID],0),-1))</f>
        <v>0</v>
      </c>
      <c r="CC100" s="32" t="n">
        <f aca="false">IF(N(Tasks[[#This Row],[Pred4 UID]])=0,0,IFERROR(MATCH(Tasks[[#This Row],[Pred4 UID]],Tasks[UID],0),-1))</f>
        <v>0</v>
      </c>
      <c r="CD10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0" s="115" t="n">
        <f aca="false">IF(OR(Tasks[[#This Row],[_ConstraintCode]]=2,Tasks[[#This Row],[_ConstraintCode]]=3,Tasks[[#This Row],[_ConstraintCode]]=4,Tasks[[#This Row],[_ConstraintCode]]=6),Tasks[[#This Row],[_ConstraintStart]],0)</f>
        <v>0</v>
      </c>
      <c r="CG100" s="115" t="n">
        <f aca="false">IF(OR(Tasks[[#This Row],[_ConstraintCode]]=2,Tasks[[#This Row],[_ConstraintCode]]=3,Tasks[[#This Row],[_ConstraintCode]]=5,Tasks[[#This Row],[_ConstraintCode]]=7),Tasks[[#This Row],[_ConstraintStart]],2958465)</f>
        <v>2958465</v>
      </c>
      <c r="CH10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0" s="115" t="str">
        <f aca="false">IF(NOT(Tasks[[#This Row],[_IsLeaf]]=1),"",IF(N(Tasks[[#This Row],[Duration]])&lt;=0,Tasks[[#This Row],[_LeafCalcStart]],WORKDAY.INTL(Tasks[[#This Row],[_LeafCalcStart]],Tasks[[#This Row],[Duration]]-1,WorkWeek,Holidays)))</f>
        <v/>
      </c>
      <c r="CJ10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0" s="32" t="n">
        <f aca="false">IF(NOT(Tasks[[#This Row],[_IsLeaf]]=1),0,IF(N(Tasks[[#This Row],[Actual Finish]])&gt;0,1,MIN(1,N(Tasks[[#This Row],[% Complete]]))))</f>
        <v>0</v>
      </c>
      <c r="CM100" s="32" t="n">
        <f aca="false">IF(OR(NOT(Tasks[[#This Row],[_IsLeaf]]=1),Tasks[[#This Row],[Resource]]=""),0,N(Tasks[[#This Row],[Duration]])*HoursPerDay*IF(Tasks[[#This Row],[Units]]="",DefaultUnits,Tasks[[#This Row],[Units]]))</f>
        <v>0</v>
      </c>
      <c r="CN100" s="32" t="n">
        <f aca="false">IF(Tasks[[#This Row],[_LeafWork]]=0,0,Tasks[[#This Row],[_LeafWork]]*IFERROR(INDEX(res_Rate,MATCH(Tasks[[#This Row],[Resource]],res_Name,0)),0))</f>
        <v>0</v>
      </c>
      <c r="CO100" s="32" t="n">
        <f aca="false">Tasks[[#This Row],[_LeafWork]]+IF(Tasks[[#This Row],[_IsLeaf]]=1,SUMIFS(asg_Work,asg_TaskUID,Tasks[[#This Row],[UID]],asg_Valid,1),0)</f>
        <v>0</v>
      </c>
      <c r="CP100" s="32" t="n">
        <f aca="false">Tasks[[#This Row],[_LeafCost]]+IF(Tasks[[#This Row],[_IsLeaf]]=1,SUMIFS(asg_Cost,asg_TaskUID,Tasks[[#This Row],[UID]],asg_Valid,1),0)</f>
        <v>0</v>
      </c>
      <c r="CQ100" s="32" t="n">
        <f aca="false">IF(Tasks[[#This Row],[_LeafTotalCost]]=0,Tasks[[#This Row],[_LeafAC]],Tasks[[#This Row],[_LeafAC]]*Tasks[[#This Row],[_LeafCost]]/Tasks[[#This Row],[_LeafTotalCost]])</f>
        <v>0</v>
      </c>
      <c r="CR10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0" s="32" t="n">
        <f aca="false">IF(NOT(Tasks[[#This Row],[_IsLeaf]]=1),0,MAX(_xlfn.MAXIFS(Tasks[_Row],Tasks[Pred1 UID],Tasks[[#This Row],[UID]]),_xlfn.MAXIFS(Tasks[_Row],Tasks[Pred2 UID],Tasks[[#This Row],[UID]]),_xlfn.MAXIFS(Tasks[_Row],Tasks[Pred3 UID],Tasks[[#This Row],[UID]]),_xlfn.MAXIFS(Tasks[_Row],Tasks[Pred4 UID],Tasks[[#This Row],[UID]])))</f>
        <v>0</v>
      </c>
      <c r="DA10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0" s="115" t="str">
        <f aca="false">IF(NOT(Tasks[[#This Row],[_IsLeaf]]=1),"",IF(N(Tasks[[#This Row],[Duration]])&lt;=0,Tasks[[#This Row],[_LeafLateFinish]],WORKDAY.INTL(Tasks[[#This Row],[_LeafLateFinish]],-(Tasks[[#This Row],[Duration]]-1),WorkWeek,Holidays)))</f>
        <v/>
      </c>
      <c r="DD10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0" s="114" t="b">
        <f aca="false">AND(Tasks[[#This Row],[_IsLeaf]]=1,Tasks[[#This Row],[_LeafProgress]]&lt;1,N(Tasks[[#This Row],[_LeafTotalSlack]])&lt;=CriticalSlackDays)</f>
        <v>0</v>
      </c>
      <c r="DF100" s="32" t="n">
        <f aca="false">IF(AND(Tasks[[#This Row],[_IsLeaf]]=1,Tasks[[#This Row],[_ConstraintCode]]=1,Tasks[[#This Row],[Mode]]&lt;&gt;"Manual",N(Tasks[[#This Row],[Actual Start]])=0),MAX(0,N(Tasks[[#This Row],[Free Slack]])),0)</f>
        <v>0</v>
      </c>
      <c r="DG100" s="115" t="str">
        <f aca="false">IF(NOT(Tasks[[#This Row],[_IsLeaf]]=1),"",IF(Tasks[[#This Row],[_AlapShift]]=0,Tasks[[#This Row],[_LeafCalcStart]],WORKDAY.INTL(Tasks[[#This Row],[_LeafCalcStart]],Tasks[[#This Row],[_AlapShift]],WorkWeek,Holidays)))</f>
        <v/>
      </c>
      <c r="DH100" s="115" t="str">
        <f aca="false">IF(NOT(Tasks[[#This Row],[_IsLeaf]]=1),"",IF(Tasks[[#This Row],[_AlapShift]]=0,Tasks[[#This Row],[_LeafCalcFinish]],WORKDAY.INTL(Tasks[[#This Row],[_LeafCalcFinish]],Tasks[[#This Row],[_AlapShift]],WorkWeek,Holidays)))</f>
        <v/>
      </c>
      <c r="DI100" s="115" t="str">
        <f aca="false">IF(NOT(Tasks[[#This Row],[_IsLeaf]]=1),"",IF(Tasks[[#This Row],[_AlapShift]]=0,Tasks[[#This Row],[_LeafFcstStart]],WORKDAY.INTL(Tasks[[#This Row],[_LeafFcstStart]],Tasks[[#This Row],[_AlapShift]],WorkWeek,Holidays)))</f>
        <v/>
      </c>
      <c r="DJ100" s="115" t="str">
        <f aca="false">IF(NOT(Tasks[[#This Row],[_IsLeaf]]=1),"",IF(Tasks[[#This Row],[_AlapShift]]=0,Tasks[[#This Row],[_LeafFcstFinish]],WORKDAY.INTL(Tasks[[#This Row],[_LeafFcstFinish]],Tasks[[#This Row],[_AlapShift]],WorkWeek,Holidays)))</f>
        <v/>
      </c>
      <c r="DK100" s="115" t="str">
        <f aca="false">IF(Tasks[[#This Row],[Task Name]]="","",IF(Tasks[[#This Row],[_IsSummary]],MIN(INDEX(Tasks[_ShownCalcStart],Tasks[[#This Row],[_Row]]+1):INDEX(Tasks[_ShownCalcStart],Tasks[[#This Row],[_Row]]+Tasks[[#This Row],[_Descendants]])),Tasks[[#This Row],[_ShownCalcStart]]))</f>
        <v/>
      </c>
      <c r="DL100" s="115" t="str">
        <f aca="false">IF(Tasks[[#This Row],[Task Name]]="","",IF(Tasks[[#This Row],[_IsSummary]],MAX(INDEX(Tasks[_ShownCalcFinish],Tasks[[#This Row],[_Row]]+1):INDEX(Tasks[_ShownCalcFinish],Tasks[[#This Row],[_Row]]+Tasks[[#This Row],[_Descendants]])),Tasks[[#This Row],[_ShownCalcFinish]]))</f>
        <v/>
      </c>
      <c r="DM10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0" s="32" t="n">
        <f aca="false">IF(AND(Tasks[[#This Row],[_IsLeaf]]=1,Tasks[[#This Row],[_LeafTotalWork]]&gt;0),NETWORKDAYS.INTL(ProjectStart,Tasks[[#This Row],[_ShownFcstStart]],WorkWeek,Holidays),0)</f>
        <v>0</v>
      </c>
      <c r="DZ100" s="32" t="n">
        <f aca="false">IF(AND(Tasks[[#This Row],[_IsLeaf]]=1,Tasks[[#This Row],[_LeafTotalWork]]&gt;0),MAX(Tasks[[#This Row],[_StartWorkday]],NETWORKDAYS.INTL(ProjectStart,Tasks[[#This Row],[_ShownFcstFinish]],WorkWeek,Holidays)),0)</f>
        <v>0</v>
      </c>
      <c r="EA100" s="32" t="n">
        <f aca="false">IF(AND(Tasks[[#This Row],[_IsLeaf]]=1,Tasks[[#This Row],[_LeafTotalWork]]&gt;0),Tasks[[#This Row],[_LeafWork]]/(Tasks[[#This Row],[_FinishWorkday]]-Tasks[[#This Row],[_StartWorkday]]+1),0)</f>
        <v>0</v>
      </c>
      <c r="EB100" s="32" t="n">
        <f aca="false">Tasks[[#This Row],[_WorkPerWorkday]]*(Tasks[[#This Row],[_StartWorkday]]-1)</f>
        <v>-0</v>
      </c>
      <c r="EC100" s="32" t="n">
        <f aca="false">IF(Tasks[[#This Row],[_IsLeaf]]=1,MAX(N(Tasks[[#This Row],[Duration]]),0.1),0)</f>
        <v>0</v>
      </c>
      <c r="ED100" s="32" t="n">
        <f aca="false">Tasks[[#This Row],[_WeightDur]]*Tasks[[#This Row],[_LeafProgress]]</f>
        <v>0</v>
      </c>
      <c r="EE10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0" s="32" t="str">
        <f aca="false">IF(AND(Tasks[[#This Row],[_IsLeaf]]=1,N(Tasks[[#This Row],[Duration]])=0,Tasks[[#This Row],[_LeafProgress]]&lt;1),Tasks[[#This Row],[_ShownFcstFinish]]+Tasks[[#This Row],[_Row]]/100000,"")</f>
        <v/>
      </c>
      <c r="EG10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0" s="32" t="n">
        <f aca="false">IF(NOT(Tasks[[#This Row],[_IsLeaf]]=1),0,IF(Tasks[[#This Row],[Baseline Cost]]="",Tasks[[#This Row],[_LeafTotalCost]],N(Tasks[[#This Row],[Baseline Cost]])))</f>
        <v>0</v>
      </c>
      <c r="EI100" s="32" t="n">
        <f aca="false">Tasks[[#This Row],[_LeafBudget]]*Tasks[[#This Row],[_PlannedPct]]</f>
        <v>0</v>
      </c>
      <c r="EJ100" s="32" t="n">
        <f aca="false">Tasks[[#This Row],[_LeafBudget]]*Tasks[[#This Row],[_LeafProgress]]</f>
        <v>0</v>
      </c>
      <c r="EK100" s="32" t="n">
        <f aca="false">IF(NOT(Tasks[[#This Row],[_IsLeaf]]=1),0,IF(Tasks[[#This Row],[Actual Cost]]="",Tasks[[#This Row],[_LeafTotalCost]]*Tasks[[#This Row],[_LeafProgress]],N(Tasks[[#This Row],[Actual Cost]])))</f>
        <v>0</v>
      </c>
      <c r="EL100" s="32" t="str">
        <f aca="false">IF(Tasks[[#This Row],[Task Name]]="","",LEFT(Tasks[[#This Row],[WBS]],FIND(".",Tasks[[#This Row],[WBS]]&amp;".")-1))</f>
        <v/>
      </c>
      <c r="EM100" s="32" t="str">
        <f aca="false">IF(AND(Tasks[[#This Row],[Task Name]]&lt;&gt;"",Tasks[[#This Row],[_Level]]=1),Tasks[[#This Row],[_Row]],"")</f>
        <v/>
      </c>
      <c r="EN100" s="32" t="str">
        <f aca="false">IF(AND(Tasks[[#This Row],[_IsLeaf]]=1,N(Tasks[[#This Row],[Duration]])=0),Tasks[[#This Row],[Planned Finish]]+Tasks[[#This Row],[_Row]]/100000,"")</f>
        <v/>
      </c>
      <c r="EO100" s="32" t="str">
        <f aca="false">IF(AND(Tasks[[#This Row],[_IsLeaf]]=1,Tasks[[#This Row],[_LeafProgress]]&lt;1,OR(N(Tasks[[#This Row],[Finish Var]])&gt;0,Tasks[[#This Row],[Status]]="Late Start")),MAX(0,Tasks[[#This Row],[Finish Var]])+1-Tasks[[#This Row],[_Row]]/1000000,"")</f>
        <v/>
      </c>
      <c r="EP100" s="32" t="str">
        <f aca="false">IF(AND(Tasks[[#This Row],[_IsLeaf]]=1,N(Tasks[[#This Row],[Actual Start]])=0,Tasks[[#This Row],[_ShownFcstStart]]&gt;=StatusDate,Tasks[[#This Row],[_ShownFcstStart]]&lt;=LookaheadEnd),Tasks[[#This Row],[_ShownFcstStart]]+Tasks[[#This Row],[_Row]]/100000,"")</f>
        <v/>
      </c>
      <c r="EQ100" s="32" t="str">
        <f aca="false">IF(AND(Tasks[[#This Row],[_IsLeaf]]=1,Tasks[[#This Row],[_LeafProgress]]&lt;1,Tasks[[#This Row],[_ShownFcstFinish]]&gt;=StatusDate,Tasks[[#This Row],[_ShownFcstFinish]]&lt;=LookaheadEnd),Tasks[[#This Row],[_ShownFcstFinish]]+Tasks[[#This Row],[_Row]]/100000,"")</f>
        <v/>
      </c>
      <c r="ER100" s="32" t="str">
        <f aca="false">IF(Tasks[[#This Row],[_LeafCritical]],Tasks[[#This Row],[_ShownFcstStart]]+Tasks[[#This Row],[_Row]]/100000,"")</f>
        <v/>
      </c>
      <c r="ES100" s="32" t="n">
        <f aca="false">Tasks[[#This Row],[_LeafWork]]*Tasks[[#This Row],[_LeafProgress]]</f>
        <v>0</v>
      </c>
      <c r="ET100" s="115" t="str">
        <f aca="false">IF(AND(Tasks[[#This Row],[_IsLeaf]]=1,Tasks[[#This Row],[_LeafProgress]]&gt;=1),IF(N(Tasks[[#This Row],[Actual Finish]])&gt;0,Tasks[[#This Row],[Actual Finish]],Tasks[[#This Row],[_ShownFcstFinish]]),"")</f>
        <v/>
      </c>
      <c r="EU100" s="32" t="n">
        <f aca="false">IF(Tasks[[#This Row],[_IsLeaf]]=1,N(Tasks[[#This Row],[Story Points]]),0)</f>
        <v>0</v>
      </c>
      <c r="EV100" s="32" t="str">
        <f aca="false">IF(AND(Tasks[[#This Row],[_IsLeaf]]=1,CurrentSprint&lt;&gt;"",Tasks[[#This Row],[Sprint]]=CurrentSprint),Tasks[[#This Row],[_Row]],"")</f>
        <v/>
      </c>
    </row>
    <row r="101" customFormat="false" ht="15" hidden="false" customHeight="false" outlineLevel="0" collapsed="false">
      <c r="A101" s="45" t="str">
        <f aca="false">IF(Tasks[[#This Row],[Task Name]]="","",COUNTA(Tasks[[#Headers],[Task Name]]:Tasks[[#This Row],[Task Name]])-1)</f>
        <v/>
      </c>
      <c r="B101" s="46" t="n">
        <v>96</v>
      </c>
      <c r="C10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1" s="46"/>
      <c r="E101" s="45" t="str">
        <f aca="false">IF(Tasks[[#This Row],[Task Name]]="","",IF(Tasks[[#This Row],[_Level]]&lt;=OutlineShowLevel,"Yes","No"))</f>
        <v/>
      </c>
      <c r="F101" s="47"/>
      <c r="G101" s="46"/>
      <c r="H101" s="46"/>
      <c r="I101" s="46"/>
      <c r="J101" s="46"/>
      <c r="K101" s="46"/>
      <c r="L101" s="46"/>
      <c r="M101" s="46"/>
      <c r="N101" s="46"/>
      <c r="O101" s="46"/>
      <c r="P101" s="46"/>
      <c r="Q101" s="46"/>
      <c r="R101" s="46"/>
      <c r="S101" s="46"/>
      <c r="T101" s="46"/>
      <c r="U101" s="47"/>
      <c r="V101" s="88"/>
      <c r="W101" s="88"/>
      <c r="X101" s="25" t="str">
        <f aca="false">IF(Tasks[[#This Row],[Task Name]]="","",IF(N(Tasks[[#This Row],[Baseline Start]])&gt;0,Tasks[[#This Row],[Baseline Start]],Tasks[[#This Row],[_CalcStart]]))</f>
        <v/>
      </c>
      <c r="Y101" s="25" t="str">
        <f aca="false">IF(Tasks[[#This Row],[Task Name]]="","",IF(N(Tasks[[#This Row],[Baseline Finish]])&gt;0,Tasks[[#This Row],[Baseline Finish]],Tasks[[#This Row],[_CalcFinish]]))</f>
        <v/>
      </c>
      <c r="Z101" s="88"/>
      <c r="AA101" s="88"/>
      <c r="AB101" s="25" t="str">
        <f aca="false">IF(Tasks[[#This Row],[Task Name]]="","",IF(Tasks[[#This Row],[_IsSummary]],MIN(INDEX(Tasks[_ShownFcstStart],Tasks[[#This Row],[_Row]]+1):INDEX(Tasks[_ShownFcstStart],Tasks[[#This Row],[_Row]]+Tasks[[#This Row],[_Descendants]])),Tasks[[#This Row],[_ShownFcstStart]]))</f>
        <v/>
      </c>
      <c r="AC101" s="25" t="str">
        <f aca="false">IF(Tasks[[#This Row],[Task Name]]="","",IF(Tasks[[#This Row],[_IsSummary]],MAX(INDEX(Tasks[_ShownFcstFinish],Tasks[[#This Row],[_Row]]+1):INDEX(Tasks[_ShownFcstFinish],Tasks[[#This Row],[_Row]]+Tasks[[#This Row],[_Descendants]])),Tasks[[#This Row],[_ShownFcstFinish]]))</f>
        <v/>
      </c>
      <c r="AD10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1" s="25" t="str">
        <f aca="false">IF(Tasks[[#This Row],[Task Name]]="","",IF(Tasks[[#This Row],[_IsSummary]],MIN(INDEX(Tasks[_LeafLateStart],Tasks[[#This Row],[_Row]]+1):INDEX(Tasks[_LeafLateStart],Tasks[[#This Row],[_Row]]+Tasks[[#This Row],[_Descendants]])),Tasks[[#This Row],[_LeafLateStart]]))</f>
        <v/>
      </c>
      <c r="AG101" s="25" t="str">
        <f aca="false">IF(Tasks[[#This Row],[Task Name]]="","",IF(Tasks[[#This Row],[_IsSummary]],MAX(INDEX(Tasks[_LeafLateFinish],Tasks[[#This Row],[_Row]]+1):INDEX(Tasks[_LeafLateFinish],Tasks[[#This Row],[_Row]]+Tasks[[#This Row],[_Descendants]])),Tasks[[#This Row],[_LeafLateFinish]]))</f>
        <v/>
      </c>
      <c r="AH101" s="56" t="str">
        <f aca="false">IF(Tasks[[#This Row],[Task Name]]="","",IF(Tasks[[#This Row],[_IsSummary]],MIN(INDEX(Tasks[_LeafTotalSlack],Tasks[[#This Row],[_Row]]+1):INDEX(Tasks[_LeafTotalSlack],Tasks[[#This Row],[_Row]]+Tasks[[#This Row],[_Descendants]])),Tasks[[#This Row],[_LeafTotalSlack]]))</f>
        <v/>
      </c>
      <c r="AI10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1" s="45" t="str">
        <f aca="false">IF(Tasks[[#This Row],[Task Name]]="","",IF(IF(Tasks[[#This Row],[_IsSummary]],COUNTIF(INDEX(Tasks[_LeafCritical],Tasks[[#This Row],[_Row]]+1):INDEX(Tasks[_LeafCritical],Tasks[[#This Row],[_Row]]+Tasks[[#This Row],[_Descendants]]),TRUE())&gt;0,Tasks[[#This Row],[_LeafCritical]]),"Yes",""))</f>
        <v/>
      </c>
      <c r="AK10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1" s="102"/>
      <c r="AN10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1" s="45" t="str">
        <f aca="false">IF(Tasks[[#This Row],[Task Name]]="","",IF(Tasks[[#This Row],[Progress]]&gt;=1,"Complete",IF(OR(N(Tasks[[#This Row],[Actual Start]])&gt;0,Tasks[[#This Row],[Progress]]&gt;0),IF(Tasks[[#This Row],[Finish Var]]&gt;0,"Behind","In Progress"),IF(Tasks[[#This Row],[Planned Start]]&lt;StatusDate,"Late Start","Not Started"))))</f>
        <v/>
      </c>
      <c r="AP101" s="47"/>
      <c r="AQ101" s="102"/>
      <c r="AR10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1" s="110" t="str">
        <f aca="false">IF(Tasks[[#This Row],[Task Name]]="","",IF(Tasks[[#This Row],[_IsSummary]],SUM(INDEX(Tasks[_LeafTotalWork],Tasks[[#This Row],[_Row]]+1):INDEX(Tasks[_LeafTotalWork],Tasks[[#This Row],[_Row]]+Tasks[[#This Row],[_Descendants]])),Tasks[[#This Row],[_LeafTotalWork]]))</f>
        <v/>
      </c>
      <c r="AU101" s="111" t="str">
        <f aca="false">IF(Tasks[[#This Row],[Task Name]]="","",IF(Tasks[[#This Row],[_IsSummary]],SUM(INDEX(Tasks[_LeafTotalCost],Tasks[[#This Row],[_Row]]+1):INDEX(Tasks[_LeafTotalCost],Tasks[[#This Row],[_Row]]+Tasks[[#This Row],[_Descendants]])),Tasks[[#This Row],[_LeafTotalCost]]))</f>
        <v/>
      </c>
      <c r="AV101" s="112"/>
      <c r="AW101" s="46"/>
      <c r="AX10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1" s="96"/>
      <c r="AZ10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1" s="47"/>
      <c r="BB101" s="25" t="str">
        <f aca="false">IF(Tasks[[#This Row],[Task Name]]="","",Tasks[[#This Row],[Forecast Start]])</f>
        <v/>
      </c>
      <c r="BC101" s="25" t="str">
        <f aca="false">IF(Tasks[[#This Row],[Task Name]]="","",Tasks[[#This Row],[Forecast Finish]])</f>
        <v/>
      </c>
      <c r="BD101" s="45" t="str">
        <f aca="false">IF(Tasks[[#This Row],[Task Name]]="","",IF(Tasks[[#This Row],[_IsSummary]],NETWORKDAYS.INTL(Tasks[[#This Row],[Forecast Start]],Tasks[[#This Row],[Forecast Finish]],WorkWeek,Holidays),N(Tasks[[#This Row],[Duration]])))</f>
        <v/>
      </c>
      <c r="BE101" s="110" t="str">
        <f aca="false">IF(Tasks[[#This Row],[Task Name]]="","",Tasks[[#This Row],[Work]])</f>
        <v/>
      </c>
      <c r="BF101" s="111" t="str">
        <f aca="false">IF(Tasks[[#This Row],[Task Name]]="","",Tasks[[#This Row],[Cost]])</f>
        <v/>
      </c>
      <c r="BG101" s="88"/>
      <c r="BH101" s="88"/>
      <c r="BI101" s="46"/>
      <c r="BJ101" s="113"/>
      <c r="BK101" s="112"/>
      <c r="BL101" s="45" t="str">
        <f aca="false">IF(OR(Tasks[[#This Row],[Task Name]]="",Tasks[[#This Row],[Baseline Duration]]=""),"",Tasks[[#This Row],[BL Source Duration]]-N(Tasks[[#This Row],[Baseline Duration]]))</f>
        <v/>
      </c>
      <c r="BM101" s="110" t="str">
        <f aca="false">IF(OR(Tasks[[#This Row],[Task Name]]="",Tasks[[#This Row],[Baseline Work]]=""),"",Tasks[[#This Row],[Work]]-N(Tasks[[#This Row],[Baseline Work]]))</f>
        <v/>
      </c>
      <c r="BN101" s="111" t="str">
        <f aca="false">IF(OR(Tasks[[#This Row],[Task Name]]="",Tasks[[#This Row],[Baseline Cost]]=""),"",Tasks[[#This Row],[Cost]]-N(Tasks[[#This Row],[Baseline Cost]]))</f>
        <v/>
      </c>
      <c r="BO101" s="111" t="str">
        <f aca="false">IF(Tasks[[#This Row],[Task Name]]="","",IF(Tasks[[#This Row],[_IsSummary]],SUM(INDEX(Tasks[_LeafBudget],Tasks[[#This Row],[_Row]]+1):INDEX(Tasks[_LeafBudget],Tasks[[#This Row],[_Row]]+Tasks[[#This Row],[_Descendants]])),Tasks[[#This Row],[_LeafBudget]]))</f>
        <v/>
      </c>
      <c r="BP101" s="111" t="str">
        <f aca="false">IF(Tasks[[#This Row],[Task Name]]="","",IF(Tasks[[#This Row],[_IsSummary]],SUM(INDEX(Tasks[_LeafPV],Tasks[[#This Row],[_Row]]+1):INDEX(Tasks[_LeafPV],Tasks[[#This Row],[_Row]]+Tasks[[#This Row],[_Descendants]])),Tasks[[#This Row],[_LeafPV]]))</f>
        <v/>
      </c>
      <c r="BQ101" s="111" t="str">
        <f aca="false">IF(Tasks[[#This Row],[Task Name]]="","",IF(Tasks[[#This Row],[_IsSummary]],SUM(INDEX(Tasks[_LeafEV],Tasks[[#This Row],[_Row]]+1):INDEX(Tasks[_LeafEV],Tasks[[#This Row],[_Row]]+Tasks[[#This Row],[_Descendants]])),Tasks[[#This Row],[_LeafEV]]))</f>
        <v/>
      </c>
      <c r="BR101" s="111" t="str">
        <f aca="false">IF(Tasks[[#This Row],[Task Name]]="","",IF(Tasks[[#This Row],[_IsSummary]],SUM(INDEX(Tasks[_LeafAC],Tasks[[#This Row],[_Row]]+1):INDEX(Tasks[_LeafAC],Tasks[[#This Row],[_Row]]+Tasks[[#This Row],[_Descendants]])),Tasks[[#This Row],[_LeafAC]]))</f>
        <v/>
      </c>
      <c r="BS101" s="32" t="str">
        <f aca="false">IF(Tasks[[#This Row],[Task Name]]="","",MAX(1,N(Tasks[[#This Row],[Level]])))</f>
        <v/>
      </c>
      <c r="BT101" s="32" t="n">
        <f aca="false">ROW()-ROW(Tasks[[#Headers],[ID]])</f>
        <v>96</v>
      </c>
      <c r="BU101" s="32" t="n">
        <f aca="false">IF(OR(Tasks[[#This Row],[Task Name]]="",Tasks[[#This Row],[_Level]]&lt;=1),0,IFERROR(LOOKUP(2,1/(Tasks[[#Headers],[_Level]]:Tasks[[#This Row],[_Level]]=Tasks[[#This Row],[_Level]]-1),ROW(Tasks[[#Headers],[_Level]]:Tasks[[#This Row],[_Level]])),0))</f>
        <v>0</v>
      </c>
      <c r="BV101" s="32" t="n">
        <f aca="false">IFERROR(N(INDEX(Tasks[_Level],Tasks[[#This Row],[_Row]]+1)),0)</f>
        <v>0</v>
      </c>
      <c r="BW101" s="114" t="b">
        <f aca="false">AND(Tasks[[#This Row],[Task Name]]&lt;&gt;"",Tasks[[#This Row],[_NextLevel]]&gt;Tasks[[#This Row],[_Level]])</f>
        <v>0</v>
      </c>
      <c r="BX101" s="32" t="n">
        <f aca="false">IF(Tasks[[#This Row],[_IsSummary]],COUNTIF(Tasks[WBS],Tasks[[#This Row],[WBS]]&amp;".*"),0)</f>
        <v>0</v>
      </c>
      <c r="BY101" s="32" t="n">
        <f aca="false">IF(AND(Tasks[[#This Row],[Task Name]]&lt;&gt;"",NOT(Tasks[[#This Row],[_IsSummary]])),1,0)</f>
        <v>0</v>
      </c>
      <c r="BZ101" s="32" t="n">
        <f aca="false">IF(N(Tasks[[#This Row],[Pred1 UID]])=0,0,IFERROR(MATCH(Tasks[[#This Row],[Pred1 UID]],Tasks[UID],0),-1))</f>
        <v>0</v>
      </c>
      <c r="CA101" s="32" t="n">
        <f aca="false">IF(N(Tasks[[#This Row],[Pred2 UID]])=0,0,IFERROR(MATCH(Tasks[[#This Row],[Pred2 UID]],Tasks[UID],0),-1))</f>
        <v>0</v>
      </c>
      <c r="CB101" s="32" t="n">
        <f aca="false">IF(N(Tasks[[#This Row],[Pred3 UID]])=0,0,IFERROR(MATCH(Tasks[[#This Row],[Pred3 UID]],Tasks[UID],0),-1))</f>
        <v>0</v>
      </c>
      <c r="CC101" s="32" t="n">
        <f aca="false">IF(N(Tasks[[#This Row],[Pred4 UID]])=0,0,IFERROR(MATCH(Tasks[[#This Row],[Pred4 UID]],Tasks[UID],0),-1))</f>
        <v>0</v>
      </c>
      <c r="CD10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1" s="115" t="n">
        <f aca="false">IF(OR(Tasks[[#This Row],[_ConstraintCode]]=2,Tasks[[#This Row],[_ConstraintCode]]=3,Tasks[[#This Row],[_ConstraintCode]]=4,Tasks[[#This Row],[_ConstraintCode]]=6),Tasks[[#This Row],[_ConstraintStart]],0)</f>
        <v>0</v>
      </c>
      <c r="CG101" s="115" t="n">
        <f aca="false">IF(OR(Tasks[[#This Row],[_ConstraintCode]]=2,Tasks[[#This Row],[_ConstraintCode]]=3,Tasks[[#This Row],[_ConstraintCode]]=5,Tasks[[#This Row],[_ConstraintCode]]=7),Tasks[[#This Row],[_ConstraintStart]],2958465)</f>
        <v>2958465</v>
      </c>
      <c r="CH10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1" s="115" t="str">
        <f aca="false">IF(NOT(Tasks[[#This Row],[_IsLeaf]]=1),"",IF(N(Tasks[[#This Row],[Duration]])&lt;=0,Tasks[[#This Row],[_LeafCalcStart]],WORKDAY.INTL(Tasks[[#This Row],[_LeafCalcStart]],Tasks[[#This Row],[Duration]]-1,WorkWeek,Holidays)))</f>
        <v/>
      </c>
      <c r="CJ10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1" s="32" t="n">
        <f aca="false">IF(NOT(Tasks[[#This Row],[_IsLeaf]]=1),0,IF(N(Tasks[[#This Row],[Actual Finish]])&gt;0,1,MIN(1,N(Tasks[[#This Row],[% Complete]]))))</f>
        <v>0</v>
      </c>
      <c r="CM101" s="32" t="n">
        <f aca="false">IF(OR(NOT(Tasks[[#This Row],[_IsLeaf]]=1),Tasks[[#This Row],[Resource]]=""),0,N(Tasks[[#This Row],[Duration]])*HoursPerDay*IF(Tasks[[#This Row],[Units]]="",DefaultUnits,Tasks[[#This Row],[Units]]))</f>
        <v>0</v>
      </c>
      <c r="CN101" s="32" t="n">
        <f aca="false">IF(Tasks[[#This Row],[_LeafWork]]=0,0,Tasks[[#This Row],[_LeafWork]]*IFERROR(INDEX(res_Rate,MATCH(Tasks[[#This Row],[Resource]],res_Name,0)),0))</f>
        <v>0</v>
      </c>
      <c r="CO101" s="32" t="n">
        <f aca="false">Tasks[[#This Row],[_LeafWork]]+IF(Tasks[[#This Row],[_IsLeaf]]=1,SUMIFS(asg_Work,asg_TaskUID,Tasks[[#This Row],[UID]],asg_Valid,1),0)</f>
        <v>0</v>
      </c>
      <c r="CP101" s="32" t="n">
        <f aca="false">Tasks[[#This Row],[_LeafCost]]+IF(Tasks[[#This Row],[_IsLeaf]]=1,SUMIFS(asg_Cost,asg_TaskUID,Tasks[[#This Row],[UID]],asg_Valid,1),0)</f>
        <v>0</v>
      </c>
      <c r="CQ101" s="32" t="n">
        <f aca="false">IF(Tasks[[#This Row],[_LeafTotalCost]]=0,Tasks[[#This Row],[_LeafAC]],Tasks[[#This Row],[_LeafAC]]*Tasks[[#This Row],[_LeafCost]]/Tasks[[#This Row],[_LeafTotalCost]])</f>
        <v>0</v>
      </c>
      <c r="CR10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1" s="32" t="n">
        <f aca="false">IF(NOT(Tasks[[#This Row],[_IsLeaf]]=1),0,MAX(_xlfn.MAXIFS(Tasks[_Row],Tasks[Pred1 UID],Tasks[[#This Row],[UID]]),_xlfn.MAXIFS(Tasks[_Row],Tasks[Pred2 UID],Tasks[[#This Row],[UID]]),_xlfn.MAXIFS(Tasks[_Row],Tasks[Pred3 UID],Tasks[[#This Row],[UID]]),_xlfn.MAXIFS(Tasks[_Row],Tasks[Pred4 UID],Tasks[[#This Row],[UID]])))</f>
        <v>0</v>
      </c>
      <c r="DA10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1" s="115" t="str">
        <f aca="false">IF(NOT(Tasks[[#This Row],[_IsLeaf]]=1),"",IF(N(Tasks[[#This Row],[Duration]])&lt;=0,Tasks[[#This Row],[_LeafLateFinish]],WORKDAY.INTL(Tasks[[#This Row],[_LeafLateFinish]],-(Tasks[[#This Row],[Duration]]-1),WorkWeek,Holidays)))</f>
        <v/>
      </c>
      <c r="DD10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1" s="114" t="b">
        <f aca="false">AND(Tasks[[#This Row],[_IsLeaf]]=1,Tasks[[#This Row],[_LeafProgress]]&lt;1,N(Tasks[[#This Row],[_LeafTotalSlack]])&lt;=CriticalSlackDays)</f>
        <v>0</v>
      </c>
      <c r="DF101" s="32" t="n">
        <f aca="false">IF(AND(Tasks[[#This Row],[_IsLeaf]]=1,Tasks[[#This Row],[_ConstraintCode]]=1,Tasks[[#This Row],[Mode]]&lt;&gt;"Manual",N(Tasks[[#This Row],[Actual Start]])=0),MAX(0,N(Tasks[[#This Row],[Free Slack]])),0)</f>
        <v>0</v>
      </c>
      <c r="DG101" s="115" t="str">
        <f aca="false">IF(NOT(Tasks[[#This Row],[_IsLeaf]]=1),"",IF(Tasks[[#This Row],[_AlapShift]]=0,Tasks[[#This Row],[_LeafCalcStart]],WORKDAY.INTL(Tasks[[#This Row],[_LeafCalcStart]],Tasks[[#This Row],[_AlapShift]],WorkWeek,Holidays)))</f>
        <v/>
      </c>
      <c r="DH101" s="115" t="str">
        <f aca="false">IF(NOT(Tasks[[#This Row],[_IsLeaf]]=1),"",IF(Tasks[[#This Row],[_AlapShift]]=0,Tasks[[#This Row],[_LeafCalcFinish]],WORKDAY.INTL(Tasks[[#This Row],[_LeafCalcFinish]],Tasks[[#This Row],[_AlapShift]],WorkWeek,Holidays)))</f>
        <v/>
      </c>
      <c r="DI101" s="115" t="str">
        <f aca="false">IF(NOT(Tasks[[#This Row],[_IsLeaf]]=1),"",IF(Tasks[[#This Row],[_AlapShift]]=0,Tasks[[#This Row],[_LeafFcstStart]],WORKDAY.INTL(Tasks[[#This Row],[_LeafFcstStart]],Tasks[[#This Row],[_AlapShift]],WorkWeek,Holidays)))</f>
        <v/>
      </c>
      <c r="DJ101" s="115" t="str">
        <f aca="false">IF(NOT(Tasks[[#This Row],[_IsLeaf]]=1),"",IF(Tasks[[#This Row],[_AlapShift]]=0,Tasks[[#This Row],[_LeafFcstFinish]],WORKDAY.INTL(Tasks[[#This Row],[_LeafFcstFinish]],Tasks[[#This Row],[_AlapShift]],WorkWeek,Holidays)))</f>
        <v/>
      </c>
      <c r="DK101" s="115" t="str">
        <f aca="false">IF(Tasks[[#This Row],[Task Name]]="","",IF(Tasks[[#This Row],[_IsSummary]],MIN(INDEX(Tasks[_ShownCalcStart],Tasks[[#This Row],[_Row]]+1):INDEX(Tasks[_ShownCalcStart],Tasks[[#This Row],[_Row]]+Tasks[[#This Row],[_Descendants]])),Tasks[[#This Row],[_ShownCalcStart]]))</f>
        <v/>
      </c>
      <c r="DL101" s="115" t="str">
        <f aca="false">IF(Tasks[[#This Row],[Task Name]]="","",IF(Tasks[[#This Row],[_IsSummary]],MAX(INDEX(Tasks[_ShownCalcFinish],Tasks[[#This Row],[_Row]]+1):INDEX(Tasks[_ShownCalcFinish],Tasks[[#This Row],[_Row]]+Tasks[[#This Row],[_Descendants]])),Tasks[[#This Row],[_ShownCalcFinish]]))</f>
        <v/>
      </c>
      <c r="DM10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1" s="32" t="n">
        <f aca="false">IF(AND(Tasks[[#This Row],[_IsLeaf]]=1,Tasks[[#This Row],[_LeafTotalWork]]&gt;0),NETWORKDAYS.INTL(ProjectStart,Tasks[[#This Row],[_ShownFcstStart]],WorkWeek,Holidays),0)</f>
        <v>0</v>
      </c>
      <c r="DZ101" s="32" t="n">
        <f aca="false">IF(AND(Tasks[[#This Row],[_IsLeaf]]=1,Tasks[[#This Row],[_LeafTotalWork]]&gt;0),MAX(Tasks[[#This Row],[_StartWorkday]],NETWORKDAYS.INTL(ProjectStart,Tasks[[#This Row],[_ShownFcstFinish]],WorkWeek,Holidays)),0)</f>
        <v>0</v>
      </c>
      <c r="EA101" s="32" t="n">
        <f aca="false">IF(AND(Tasks[[#This Row],[_IsLeaf]]=1,Tasks[[#This Row],[_LeafTotalWork]]&gt;0),Tasks[[#This Row],[_LeafWork]]/(Tasks[[#This Row],[_FinishWorkday]]-Tasks[[#This Row],[_StartWorkday]]+1),0)</f>
        <v>0</v>
      </c>
      <c r="EB101" s="32" t="n">
        <f aca="false">Tasks[[#This Row],[_WorkPerWorkday]]*(Tasks[[#This Row],[_StartWorkday]]-1)</f>
        <v>-0</v>
      </c>
      <c r="EC101" s="32" t="n">
        <f aca="false">IF(Tasks[[#This Row],[_IsLeaf]]=1,MAX(N(Tasks[[#This Row],[Duration]]),0.1),0)</f>
        <v>0</v>
      </c>
      <c r="ED101" s="32" t="n">
        <f aca="false">Tasks[[#This Row],[_WeightDur]]*Tasks[[#This Row],[_LeafProgress]]</f>
        <v>0</v>
      </c>
      <c r="EE10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1" s="32" t="str">
        <f aca="false">IF(AND(Tasks[[#This Row],[_IsLeaf]]=1,N(Tasks[[#This Row],[Duration]])=0,Tasks[[#This Row],[_LeafProgress]]&lt;1),Tasks[[#This Row],[_ShownFcstFinish]]+Tasks[[#This Row],[_Row]]/100000,"")</f>
        <v/>
      </c>
      <c r="EG10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1" s="32" t="n">
        <f aca="false">IF(NOT(Tasks[[#This Row],[_IsLeaf]]=1),0,IF(Tasks[[#This Row],[Baseline Cost]]="",Tasks[[#This Row],[_LeafTotalCost]],N(Tasks[[#This Row],[Baseline Cost]])))</f>
        <v>0</v>
      </c>
      <c r="EI101" s="32" t="n">
        <f aca="false">Tasks[[#This Row],[_LeafBudget]]*Tasks[[#This Row],[_PlannedPct]]</f>
        <v>0</v>
      </c>
      <c r="EJ101" s="32" t="n">
        <f aca="false">Tasks[[#This Row],[_LeafBudget]]*Tasks[[#This Row],[_LeafProgress]]</f>
        <v>0</v>
      </c>
      <c r="EK101" s="32" t="n">
        <f aca="false">IF(NOT(Tasks[[#This Row],[_IsLeaf]]=1),0,IF(Tasks[[#This Row],[Actual Cost]]="",Tasks[[#This Row],[_LeafTotalCost]]*Tasks[[#This Row],[_LeafProgress]],N(Tasks[[#This Row],[Actual Cost]])))</f>
        <v>0</v>
      </c>
      <c r="EL101" s="32" t="str">
        <f aca="false">IF(Tasks[[#This Row],[Task Name]]="","",LEFT(Tasks[[#This Row],[WBS]],FIND(".",Tasks[[#This Row],[WBS]]&amp;".")-1))</f>
        <v/>
      </c>
      <c r="EM101" s="32" t="str">
        <f aca="false">IF(AND(Tasks[[#This Row],[Task Name]]&lt;&gt;"",Tasks[[#This Row],[_Level]]=1),Tasks[[#This Row],[_Row]],"")</f>
        <v/>
      </c>
      <c r="EN101" s="32" t="str">
        <f aca="false">IF(AND(Tasks[[#This Row],[_IsLeaf]]=1,N(Tasks[[#This Row],[Duration]])=0),Tasks[[#This Row],[Planned Finish]]+Tasks[[#This Row],[_Row]]/100000,"")</f>
        <v/>
      </c>
      <c r="EO101" s="32" t="str">
        <f aca="false">IF(AND(Tasks[[#This Row],[_IsLeaf]]=1,Tasks[[#This Row],[_LeafProgress]]&lt;1,OR(N(Tasks[[#This Row],[Finish Var]])&gt;0,Tasks[[#This Row],[Status]]="Late Start")),MAX(0,Tasks[[#This Row],[Finish Var]])+1-Tasks[[#This Row],[_Row]]/1000000,"")</f>
        <v/>
      </c>
      <c r="EP101" s="32" t="str">
        <f aca="false">IF(AND(Tasks[[#This Row],[_IsLeaf]]=1,N(Tasks[[#This Row],[Actual Start]])=0,Tasks[[#This Row],[_ShownFcstStart]]&gt;=StatusDate,Tasks[[#This Row],[_ShownFcstStart]]&lt;=LookaheadEnd),Tasks[[#This Row],[_ShownFcstStart]]+Tasks[[#This Row],[_Row]]/100000,"")</f>
        <v/>
      </c>
      <c r="EQ101" s="32" t="str">
        <f aca="false">IF(AND(Tasks[[#This Row],[_IsLeaf]]=1,Tasks[[#This Row],[_LeafProgress]]&lt;1,Tasks[[#This Row],[_ShownFcstFinish]]&gt;=StatusDate,Tasks[[#This Row],[_ShownFcstFinish]]&lt;=LookaheadEnd),Tasks[[#This Row],[_ShownFcstFinish]]+Tasks[[#This Row],[_Row]]/100000,"")</f>
        <v/>
      </c>
      <c r="ER101" s="32" t="str">
        <f aca="false">IF(Tasks[[#This Row],[_LeafCritical]],Tasks[[#This Row],[_ShownFcstStart]]+Tasks[[#This Row],[_Row]]/100000,"")</f>
        <v/>
      </c>
      <c r="ES101" s="32" t="n">
        <f aca="false">Tasks[[#This Row],[_LeafWork]]*Tasks[[#This Row],[_LeafProgress]]</f>
        <v>0</v>
      </c>
      <c r="ET101" s="115" t="str">
        <f aca="false">IF(AND(Tasks[[#This Row],[_IsLeaf]]=1,Tasks[[#This Row],[_LeafProgress]]&gt;=1),IF(N(Tasks[[#This Row],[Actual Finish]])&gt;0,Tasks[[#This Row],[Actual Finish]],Tasks[[#This Row],[_ShownFcstFinish]]),"")</f>
        <v/>
      </c>
      <c r="EU101" s="32" t="n">
        <f aca="false">IF(Tasks[[#This Row],[_IsLeaf]]=1,N(Tasks[[#This Row],[Story Points]]),0)</f>
        <v>0</v>
      </c>
      <c r="EV101" s="32" t="str">
        <f aca="false">IF(AND(Tasks[[#This Row],[_IsLeaf]]=1,CurrentSprint&lt;&gt;"",Tasks[[#This Row],[Sprint]]=CurrentSprint),Tasks[[#This Row],[_Row]],"")</f>
        <v/>
      </c>
    </row>
    <row r="102" customFormat="false" ht="15" hidden="false" customHeight="false" outlineLevel="0" collapsed="false">
      <c r="A102" s="45" t="str">
        <f aca="false">IF(Tasks[[#This Row],[Task Name]]="","",COUNTA(Tasks[[#Headers],[Task Name]]:Tasks[[#This Row],[Task Name]])-1)</f>
        <v/>
      </c>
      <c r="B102" s="46" t="n">
        <v>97</v>
      </c>
      <c r="C10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2" s="46"/>
      <c r="E102" s="45" t="str">
        <f aca="false">IF(Tasks[[#This Row],[Task Name]]="","",IF(Tasks[[#This Row],[_Level]]&lt;=OutlineShowLevel,"Yes","No"))</f>
        <v/>
      </c>
      <c r="F102" s="47"/>
      <c r="G102" s="46"/>
      <c r="H102" s="46"/>
      <c r="I102" s="46"/>
      <c r="J102" s="46"/>
      <c r="K102" s="46"/>
      <c r="L102" s="46"/>
      <c r="M102" s="46"/>
      <c r="N102" s="46"/>
      <c r="O102" s="46"/>
      <c r="P102" s="46"/>
      <c r="Q102" s="46"/>
      <c r="R102" s="46"/>
      <c r="S102" s="46"/>
      <c r="T102" s="46"/>
      <c r="U102" s="47"/>
      <c r="V102" s="88"/>
      <c r="W102" s="88"/>
      <c r="X102" s="25" t="str">
        <f aca="false">IF(Tasks[[#This Row],[Task Name]]="","",IF(N(Tasks[[#This Row],[Baseline Start]])&gt;0,Tasks[[#This Row],[Baseline Start]],Tasks[[#This Row],[_CalcStart]]))</f>
        <v/>
      </c>
      <c r="Y102" s="25" t="str">
        <f aca="false">IF(Tasks[[#This Row],[Task Name]]="","",IF(N(Tasks[[#This Row],[Baseline Finish]])&gt;0,Tasks[[#This Row],[Baseline Finish]],Tasks[[#This Row],[_CalcFinish]]))</f>
        <v/>
      </c>
      <c r="Z102" s="88"/>
      <c r="AA102" s="88"/>
      <c r="AB102" s="25" t="str">
        <f aca="false">IF(Tasks[[#This Row],[Task Name]]="","",IF(Tasks[[#This Row],[_IsSummary]],MIN(INDEX(Tasks[_ShownFcstStart],Tasks[[#This Row],[_Row]]+1):INDEX(Tasks[_ShownFcstStart],Tasks[[#This Row],[_Row]]+Tasks[[#This Row],[_Descendants]])),Tasks[[#This Row],[_ShownFcstStart]]))</f>
        <v/>
      </c>
      <c r="AC102" s="25" t="str">
        <f aca="false">IF(Tasks[[#This Row],[Task Name]]="","",IF(Tasks[[#This Row],[_IsSummary]],MAX(INDEX(Tasks[_ShownFcstFinish],Tasks[[#This Row],[_Row]]+1):INDEX(Tasks[_ShownFcstFinish],Tasks[[#This Row],[_Row]]+Tasks[[#This Row],[_Descendants]])),Tasks[[#This Row],[_ShownFcstFinish]]))</f>
        <v/>
      </c>
      <c r="AD10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2" s="25" t="str">
        <f aca="false">IF(Tasks[[#This Row],[Task Name]]="","",IF(Tasks[[#This Row],[_IsSummary]],MIN(INDEX(Tasks[_LeafLateStart],Tasks[[#This Row],[_Row]]+1):INDEX(Tasks[_LeafLateStart],Tasks[[#This Row],[_Row]]+Tasks[[#This Row],[_Descendants]])),Tasks[[#This Row],[_LeafLateStart]]))</f>
        <v/>
      </c>
      <c r="AG102" s="25" t="str">
        <f aca="false">IF(Tasks[[#This Row],[Task Name]]="","",IF(Tasks[[#This Row],[_IsSummary]],MAX(INDEX(Tasks[_LeafLateFinish],Tasks[[#This Row],[_Row]]+1):INDEX(Tasks[_LeafLateFinish],Tasks[[#This Row],[_Row]]+Tasks[[#This Row],[_Descendants]])),Tasks[[#This Row],[_LeafLateFinish]]))</f>
        <v/>
      </c>
      <c r="AH102" s="56" t="str">
        <f aca="false">IF(Tasks[[#This Row],[Task Name]]="","",IF(Tasks[[#This Row],[_IsSummary]],MIN(INDEX(Tasks[_LeafTotalSlack],Tasks[[#This Row],[_Row]]+1):INDEX(Tasks[_LeafTotalSlack],Tasks[[#This Row],[_Row]]+Tasks[[#This Row],[_Descendants]])),Tasks[[#This Row],[_LeafTotalSlack]]))</f>
        <v/>
      </c>
      <c r="AI10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2" s="45" t="str">
        <f aca="false">IF(Tasks[[#This Row],[Task Name]]="","",IF(IF(Tasks[[#This Row],[_IsSummary]],COUNTIF(INDEX(Tasks[_LeafCritical],Tasks[[#This Row],[_Row]]+1):INDEX(Tasks[_LeafCritical],Tasks[[#This Row],[_Row]]+Tasks[[#This Row],[_Descendants]]),TRUE())&gt;0,Tasks[[#This Row],[_LeafCritical]]),"Yes",""))</f>
        <v/>
      </c>
      <c r="AK10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2" s="102"/>
      <c r="AN10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2" s="45" t="str">
        <f aca="false">IF(Tasks[[#This Row],[Task Name]]="","",IF(Tasks[[#This Row],[Progress]]&gt;=1,"Complete",IF(OR(N(Tasks[[#This Row],[Actual Start]])&gt;0,Tasks[[#This Row],[Progress]]&gt;0),IF(Tasks[[#This Row],[Finish Var]]&gt;0,"Behind","In Progress"),IF(Tasks[[#This Row],[Planned Start]]&lt;StatusDate,"Late Start","Not Started"))))</f>
        <v/>
      </c>
      <c r="AP102" s="47"/>
      <c r="AQ102" s="102"/>
      <c r="AR10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2" s="110" t="str">
        <f aca="false">IF(Tasks[[#This Row],[Task Name]]="","",IF(Tasks[[#This Row],[_IsSummary]],SUM(INDEX(Tasks[_LeafTotalWork],Tasks[[#This Row],[_Row]]+1):INDEX(Tasks[_LeafTotalWork],Tasks[[#This Row],[_Row]]+Tasks[[#This Row],[_Descendants]])),Tasks[[#This Row],[_LeafTotalWork]]))</f>
        <v/>
      </c>
      <c r="AU102" s="111" t="str">
        <f aca="false">IF(Tasks[[#This Row],[Task Name]]="","",IF(Tasks[[#This Row],[_IsSummary]],SUM(INDEX(Tasks[_LeafTotalCost],Tasks[[#This Row],[_Row]]+1):INDEX(Tasks[_LeafTotalCost],Tasks[[#This Row],[_Row]]+Tasks[[#This Row],[_Descendants]])),Tasks[[#This Row],[_LeafTotalCost]]))</f>
        <v/>
      </c>
      <c r="AV102" s="112"/>
      <c r="AW102" s="46"/>
      <c r="AX10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2" s="96"/>
      <c r="AZ10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2" s="47"/>
      <c r="BB102" s="25" t="str">
        <f aca="false">IF(Tasks[[#This Row],[Task Name]]="","",Tasks[[#This Row],[Forecast Start]])</f>
        <v/>
      </c>
      <c r="BC102" s="25" t="str">
        <f aca="false">IF(Tasks[[#This Row],[Task Name]]="","",Tasks[[#This Row],[Forecast Finish]])</f>
        <v/>
      </c>
      <c r="BD102" s="45" t="str">
        <f aca="false">IF(Tasks[[#This Row],[Task Name]]="","",IF(Tasks[[#This Row],[_IsSummary]],NETWORKDAYS.INTL(Tasks[[#This Row],[Forecast Start]],Tasks[[#This Row],[Forecast Finish]],WorkWeek,Holidays),N(Tasks[[#This Row],[Duration]])))</f>
        <v/>
      </c>
      <c r="BE102" s="110" t="str">
        <f aca="false">IF(Tasks[[#This Row],[Task Name]]="","",Tasks[[#This Row],[Work]])</f>
        <v/>
      </c>
      <c r="BF102" s="111" t="str">
        <f aca="false">IF(Tasks[[#This Row],[Task Name]]="","",Tasks[[#This Row],[Cost]])</f>
        <v/>
      </c>
      <c r="BG102" s="88"/>
      <c r="BH102" s="88"/>
      <c r="BI102" s="46"/>
      <c r="BJ102" s="113"/>
      <c r="BK102" s="112"/>
      <c r="BL102" s="45" t="str">
        <f aca="false">IF(OR(Tasks[[#This Row],[Task Name]]="",Tasks[[#This Row],[Baseline Duration]]=""),"",Tasks[[#This Row],[BL Source Duration]]-N(Tasks[[#This Row],[Baseline Duration]]))</f>
        <v/>
      </c>
      <c r="BM102" s="110" t="str">
        <f aca="false">IF(OR(Tasks[[#This Row],[Task Name]]="",Tasks[[#This Row],[Baseline Work]]=""),"",Tasks[[#This Row],[Work]]-N(Tasks[[#This Row],[Baseline Work]]))</f>
        <v/>
      </c>
      <c r="BN102" s="111" t="str">
        <f aca="false">IF(OR(Tasks[[#This Row],[Task Name]]="",Tasks[[#This Row],[Baseline Cost]]=""),"",Tasks[[#This Row],[Cost]]-N(Tasks[[#This Row],[Baseline Cost]]))</f>
        <v/>
      </c>
      <c r="BO102" s="111" t="str">
        <f aca="false">IF(Tasks[[#This Row],[Task Name]]="","",IF(Tasks[[#This Row],[_IsSummary]],SUM(INDEX(Tasks[_LeafBudget],Tasks[[#This Row],[_Row]]+1):INDEX(Tasks[_LeafBudget],Tasks[[#This Row],[_Row]]+Tasks[[#This Row],[_Descendants]])),Tasks[[#This Row],[_LeafBudget]]))</f>
        <v/>
      </c>
      <c r="BP102" s="111" t="str">
        <f aca="false">IF(Tasks[[#This Row],[Task Name]]="","",IF(Tasks[[#This Row],[_IsSummary]],SUM(INDEX(Tasks[_LeafPV],Tasks[[#This Row],[_Row]]+1):INDEX(Tasks[_LeafPV],Tasks[[#This Row],[_Row]]+Tasks[[#This Row],[_Descendants]])),Tasks[[#This Row],[_LeafPV]]))</f>
        <v/>
      </c>
      <c r="BQ102" s="111" t="str">
        <f aca="false">IF(Tasks[[#This Row],[Task Name]]="","",IF(Tasks[[#This Row],[_IsSummary]],SUM(INDEX(Tasks[_LeafEV],Tasks[[#This Row],[_Row]]+1):INDEX(Tasks[_LeafEV],Tasks[[#This Row],[_Row]]+Tasks[[#This Row],[_Descendants]])),Tasks[[#This Row],[_LeafEV]]))</f>
        <v/>
      </c>
      <c r="BR102" s="111" t="str">
        <f aca="false">IF(Tasks[[#This Row],[Task Name]]="","",IF(Tasks[[#This Row],[_IsSummary]],SUM(INDEX(Tasks[_LeafAC],Tasks[[#This Row],[_Row]]+1):INDEX(Tasks[_LeafAC],Tasks[[#This Row],[_Row]]+Tasks[[#This Row],[_Descendants]])),Tasks[[#This Row],[_LeafAC]]))</f>
        <v/>
      </c>
      <c r="BS102" s="32" t="str">
        <f aca="false">IF(Tasks[[#This Row],[Task Name]]="","",MAX(1,N(Tasks[[#This Row],[Level]])))</f>
        <v/>
      </c>
      <c r="BT102" s="32" t="n">
        <f aca="false">ROW()-ROW(Tasks[[#Headers],[ID]])</f>
        <v>97</v>
      </c>
      <c r="BU102" s="32" t="n">
        <f aca="false">IF(OR(Tasks[[#This Row],[Task Name]]="",Tasks[[#This Row],[_Level]]&lt;=1),0,IFERROR(LOOKUP(2,1/(Tasks[[#Headers],[_Level]]:Tasks[[#This Row],[_Level]]=Tasks[[#This Row],[_Level]]-1),ROW(Tasks[[#Headers],[_Level]]:Tasks[[#This Row],[_Level]])),0))</f>
        <v>0</v>
      </c>
      <c r="BV102" s="32" t="n">
        <f aca="false">IFERROR(N(INDEX(Tasks[_Level],Tasks[[#This Row],[_Row]]+1)),0)</f>
        <v>0</v>
      </c>
      <c r="BW102" s="114" t="b">
        <f aca="false">AND(Tasks[[#This Row],[Task Name]]&lt;&gt;"",Tasks[[#This Row],[_NextLevel]]&gt;Tasks[[#This Row],[_Level]])</f>
        <v>0</v>
      </c>
      <c r="BX102" s="32" t="n">
        <f aca="false">IF(Tasks[[#This Row],[_IsSummary]],COUNTIF(Tasks[WBS],Tasks[[#This Row],[WBS]]&amp;".*"),0)</f>
        <v>0</v>
      </c>
      <c r="BY102" s="32" t="n">
        <f aca="false">IF(AND(Tasks[[#This Row],[Task Name]]&lt;&gt;"",NOT(Tasks[[#This Row],[_IsSummary]])),1,0)</f>
        <v>0</v>
      </c>
      <c r="BZ102" s="32" t="n">
        <f aca="false">IF(N(Tasks[[#This Row],[Pred1 UID]])=0,0,IFERROR(MATCH(Tasks[[#This Row],[Pred1 UID]],Tasks[UID],0),-1))</f>
        <v>0</v>
      </c>
      <c r="CA102" s="32" t="n">
        <f aca="false">IF(N(Tasks[[#This Row],[Pred2 UID]])=0,0,IFERROR(MATCH(Tasks[[#This Row],[Pred2 UID]],Tasks[UID],0),-1))</f>
        <v>0</v>
      </c>
      <c r="CB102" s="32" t="n">
        <f aca="false">IF(N(Tasks[[#This Row],[Pred3 UID]])=0,0,IFERROR(MATCH(Tasks[[#This Row],[Pred3 UID]],Tasks[UID],0),-1))</f>
        <v>0</v>
      </c>
      <c r="CC102" s="32" t="n">
        <f aca="false">IF(N(Tasks[[#This Row],[Pred4 UID]])=0,0,IFERROR(MATCH(Tasks[[#This Row],[Pred4 UID]],Tasks[UID],0),-1))</f>
        <v>0</v>
      </c>
      <c r="CD10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2" s="115" t="n">
        <f aca="false">IF(OR(Tasks[[#This Row],[_ConstraintCode]]=2,Tasks[[#This Row],[_ConstraintCode]]=3,Tasks[[#This Row],[_ConstraintCode]]=4,Tasks[[#This Row],[_ConstraintCode]]=6),Tasks[[#This Row],[_ConstraintStart]],0)</f>
        <v>0</v>
      </c>
      <c r="CG102" s="115" t="n">
        <f aca="false">IF(OR(Tasks[[#This Row],[_ConstraintCode]]=2,Tasks[[#This Row],[_ConstraintCode]]=3,Tasks[[#This Row],[_ConstraintCode]]=5,Tasks[[#This Row],[_ConstraintCode]]=7),Tasks[[#This Row],[_ConstraintStart]],2958465)</f>
        <v>2958465</v>
      </c>
      <c r="CH10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2" s="115" t="str">
        <f aca="false">IF(NOT(Tasks[[#This Row],[_IsLeaf]]=1),"",IF(N(Tasks[[#This Row],[Duration]])&lt;=0,Tasks[[#This Row],[_LeafCalcStart]],WORKDAY.INTL(Tasks[[#This Row],[_LeafCalcStart]],Tasks[[#This Row],[Duration]]-1,WorkWeek,Holidays)))</f>
        <v/>
      </c>
      <c r="CJ10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2" s="32" t="n">
        <f aca="false">IF(NOT(Tasks[[#This Row],[_IsLeaf]]=1),0,IF(N(Tasks[[#This Row],[Actual Finish]])&gt;0,1,MIN(1,N(Tasks[[#This Row],[% Complete]]))))</f>
        <v>0</v>
      </c>
      <c r="CM102" s="32" t="n">
        <f aca="false">IF(OR(NOT(Tasks[[#This Row],[_IsLeaf]]=1),Tasks[[#This Row],[Resource]]=""),0,N(Tasks[[#This Row],[Duration]])*HoursPerDay*IF(Tasks[[#This Row],[Units]]="",DefaultUnits,Tasks[[#This Row],[Units]]))</f>
        <v>0</v>
      </c>
      <c r="CN102" s="32" t="n">
        <f aca="false">IF(Tasks[[#This Row],[_LeafWork]]=0,0,Tasks[[#This Row],[_LeafWork]]*IFERROR(INDEX(res_Rate,MATCH(Tasks[[#This Row],[Resource]],res_Name,0)),0))</f>
        <v>0</v>
      </c>
      <c r="CO102" s="32" t="n">
        <f aca="false">Tasks[[#This Row],[_LeafWork]]+IF(Tasks[[#This Row],[_IsLeaf]]=1,SUMIFS(asg_Work,asg_TaskUID,Tasks[[#This Row],[UID]],asg_Valid,1),0)</f>
        <v>0</v>
      </c>
      <c r="CP102" s="32" t="n">
        <f aca="false">Tasks[[#This Row],[_LeafCost]]+IF(Tasks[[#This Row],[_IsLeaf]]=1,SUMIFS(asg_Cost,asg_TaskUID,Tasks[[#This Row],[UID]],asg_Valid,1),0)</f>
        <v>0</v>
      </c>
      <c r="CQ102" s="32" t="n">
        <f aca="false">IF(Tasks[[#This Row],[_LeafTotalCost]]=0,Tasks[[#This Row],[_LeafAC]],Tasks[[#This Row],[_LeafAC]]*Tasks[[#This Row],[_LeafCost]]/Tasks[[#This Row],[_LeafTotalCost]])</f>
        <v>0</v>
      </c>
      <c r="CR10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2" s="32" t="n">
        <f aca="false">IF(NOT(Tasks[[#This Row],[_IsLeaf]]=1),0,MAX(_xlfn.MAXIFS(Tasks[_Row],Tasks[Pred1 UID],Tasks[[#This Row],[UID]]),_xlfn.MAXIFS(Tasks[_Row],Tasks[Pred2 UID],Tasks[[#This Row],[UID]]),_xlfn.MAXIFS(Tasks[_Row],Tasks[Pred3 UID],Tasks[[#This Row],[UID]]),_xlfn.MAXIFS(Tasks[_Row],Tasks[Pred4 UID],Tasks[[#This Row],[UID]])))</f>
        <v>0</v>
      </c>
      <c r="DA10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2" s="115" t="str">
        <f aca="false">IF(NOT(Tasks[[#This Row],[_IsLeaf]]=1),"",IF(N(Tasks[[#This Row],[Duration]])&lt;=0,Tasks[[#This Row],[_LeafLateFinish]],WORKDAY.INTL(Tasks[[#This Row],[_LeafLateFinish]],-(Tasks[[#This Row],[Duration]]-1),WorkWeek,Holidays)))</f>
        <v/>
      </c>
      <c r="DD10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2" s="114" t="b">
        <f aca="false">AND(Tasks[[#This Row],[_IsLeaf]]=1,Tasks[[#This Row],[_LeafProgress]]&lt;1,N(Tasks[[#This Row],[_LeafTotalSlack]])&lt;=CriticalSlackDays)</f>
        <v>0</v>
      </c>
      <c r="DF102" s="32" t="n">
        <f aca="false">IF(AND(Tasks[[#This Row],[_IsLeaf]]=1,Tasks[[#This Row],[_ConstraintCode]]=1,Tasks[[#This Row],[Mode]]&lt;&gt;"Manual",N(Tasks[[#This Row],[Actual Start]])=0),MAX(0,N(Tasks[[#This Row],[Free Slack]])),0)</f>
        <v>0</v>
      </c>
      <c r="DG102" s="115" t="str">
        <f aca="false">IF(NOT(Tasks[[#This Row],[_IsLeaf]]=1),"",IF(Tasks[[#This Row],[_AlapShift]]=0,Tasks[[#This Row],[_LeafCalcStart]],WORKDAY.INTL(Tasks[[#This Row],[_LeafCalcStart]],Tasks[[#This Row],[_AlapShift]],WorkWeek,Holidays)))</f>
        <v/>
      </c>
      <c r="DH102" s="115" t="str">
        <f aca="false">IF(NOT(Tasks[[#This Row],[_IsLeaf]]=1),"",IF(Tasks[[#This Row],[_AlapShift]]=0,Tasks[[#This Row],[_LeafCalcFinish]],WORKDAY.INTL(Tasks[[#This Row],[_LeafCalcFinish]],Tasks[[#This Row],[_AlapShift]],WorkWeek,Holidays)))</f>
        <v/>
      </c>
      <c r="DI102" s="115" t="str">
        <f aca="false">IF(NOT(Tasks[[#This Row],[_IsLeaf]]=1),"",IF(Tasks[[#This Row],[_AlapShift]]=0,Tasks[[#This Row],[_LeafFcstStart]],WORKDAY.INTL(Tasks[[#This Row],[_LeafFcstStart]],Tasks[[#This Row],[_AlapShift]],WorkWeek,Holidays)))</f>
        <v/>
      </c>
      <c r="DJ102" s="115" t="str">
        <f aca="false">IF(NOT(Tasks[[#This Row],[_IsLeaf]]=1),"",IF(Tasks[[#This Row],[_AlapShift]]=0,Tasks[[#This Row],[_LeafFcstFinish]],WORKDAY.INTL(Tasks[[#This Row],[_LeafFcstFinish]],Tasks[[#This Row],[_AlapShift]],WorkWeek,Holidays)))</f>
        <v/>
      </c>
      <c r="DK102" s="115" t="str">
        <f aca="false">IF(Tasks[[#This Row],[Task Name]]="","",IF(Tasks[[#This Row],[_IsSummary]],MIN(INDEX(Tasks[_ShownCalcStart],Tasks[[#This Row],[_Row]]+1):INDEX(Tasks[_ShownCalcStart],Tasks[[#This Row],[_Row]]+Tasks[[#This Row],[_Descendants]])),Tasks[[#This Row],[_ShownCalcStart]]))</f>
        <v/>
      </c>
      <c r="DL102" s="115" t="str">
        <f aca="false">IF(Tasks[[#This Row],[Task Name]]="","",IF(Tasks[[#This Row],[_IsSummary]],MAX(INDEX(Tasks[_ShownCalcFinish],Tasks[[#This Row],[_Row]]+1):INDEX(Tasks[_ShownCalcFinish],Tasks[[#This Row],[_Row]]+Tasks[[#This Row],[_Descendants]])),Tasks[[#This Row],[_ShownCalcFinish]]))</f>
        <v/>
      </c>
      <c r="DM10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2" s="32" t="n">
        <f aca="false">IF(AND(Tasks[[#This Row],[_IsLeaf]]=1,Tasks[[#This Row],[_LeafTotalWork]]&gt;0),NETWORKDAYS.INTL(ProjectStart,Tasks[[#This Row],[_ShownFcstStart]],WorkWeek,Holidays),0)</f>
        <v>0</v>
      </c>
      <c r="DZ102" s="32" t="n">
        <f aca="false">IF(AND(Tasks[[#This Row],[_IsLeaf]]=1,Tasks[[#This Row],[_LeafTotalWork]]&gt;0),MAX(Tasks[[#This Row],[_StartWorkday]],NETWORKDAYS.INTL(ProjectStart,Tasks[[#This Row],[_ShownFcstFinish]],WorkWeek,Holidays)),0)</f>
        <v>0</v>
      </c>
      <c r="EA102" s="32" t="n">
        <f aca="false">IF(AND(Tasks[[#This Row],[_IsLeaf]]=1,Tasks[[#This Row],[_LeafTotalWork]]&gt;0),Tasks[[#This Row],[_LeafWork]]/(Tasks[[#This Row],[_FinishWorkday]]-Tasks[[#This Row],[_StartWorkday]]+1),0)</f>
        <v>0</v>
      </c>
      <c r="EB102" s="32" t="n">
        <f aca="false">Tasks[[#This Row],[_WorkPerWorkday]]*(Tasks[[#This Row],[_StartWorkday]]-1)</f>
        <v>-0</v>
      </c>
      <c r="EC102" s="32" t="n">
        <f aca="false">IF(Tasks[[#This Row],[_IsLeaf]]=1,MAX(N(Tasks[[#This Row],[Duration]]),0.1),0)</f>
        <v>0</v>
      </c>
      <c r="ED102" s="32" t="n">
        <f aca="false">Tasks[[#This Row],[_WeightDur]]*Tasks[[#This Row],[_LeafProgress]]</f>
        <v>0</v>
      </c>
      <c r="EE10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2" s="32" t="str">
        <f aca="false">IF(AND(Tasks[[#This Row],[_IsLeaf]]=1,N(Tasks[[#This Row],[Duration]])=0,Tasks[[#This Row],[_LeafProgress]]&lt;1),Tasks[[#This Row],[_ShownFcstFinish]]+Tasks[[#This Row],[_Row]]/100000,"")</f>
        <v/>
      </c>
      <c r="EG10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2" s="32" t="n">
        <f aca="false">IF(NOT(Tasks[[#This Row],[_IsLeaf]]=1),0,IF(Tasks[[#This Row],[Baseline Cost]]="",Tasks[[#This Row],[_LeafTotalCost]],N(Tasks[[#This Row],[Baseline Cost]])))</f>
        <v>0</v>
      </c>
      <c r="EI102" s="32" t="n">
        <f aca="false">Tasks[[#This Row],[_LeafBudget]]*Tasks[[#This Row],[_PlannedPct]]</f>
        <v>0</v>
      </c>
      <c r="EJ102" s="32" t="n">
        <f aca="false">Tasks[[#This Row],[_LeafBudget]]*Tasks[[#This Row],[_LeafProgress]]</f>
        <v>0</v>
      </c>
      <c r="EK102" s="32" t="n">
        <f aca="false">IF(NOT(Tasks[[#This Row],[_IsLeaf]]=1),0,IF(Tasks[[#This Row],[Actual Cost]]="",Tasks[[#This Row],[_LeafTotalCost]]*Tasks[[#This Row],[_LeafProgress]],N(Tasks[[#This Row],[Actual Cost]])))</f>
        <v>0</v>
      </c>
      <c r="EL102" s="32" t="str">
        <f aca="false">IF(Tasks[[#This Row],[Task Name]]="","",LEFT(Tasks[[#This Row],[WBS]],FIND(".",Tasks[[#This Row],[WBS]]&amp;".")-1))</f>
        <v/>
      </c>
      <c r="EM102" s="32" t="str">
        <f aca="false">IF(AND(Tasks[[#This Row],[Task Name]]&lt;&gt;"",Tasks[[#This Row],[_Level]]=1),Tasks[[#This Row],[_Row]],"")</f>
        <v/>
      </c>
      <c r="EN102" s="32" t="str">
        <f aca="false">IF(AND(Tasks[[#This Row],[_IsLeaf]]=1,N(Tasks[[#This Row],[Duration]])=0),Tasks[[#This Row],[Planned Finish]]+Tasks[[#This Row],[_Row]]/100000,"")</f>
        <v/>
      </c>
      <c r="EO102" s="32" t="str">
        <f aca="false">IF(AND(Tasks[[#This Row],[_IsLeaf]]=1,Tasks[[#This Row],[_LeafProgress]]&lt;1,OR(N(Tasks[[#This Row],[Finish Var]])&gt;0,Tasks[[#This Row],[Status]]="Late Start")),MAX(0,Tasks[[#This Row],[Finish Var]])+1-Tasks[[#This Row],[_Row]]/1000000,"")</f>
        <v/>
      </c>
      <c r="EP102" s="32" t="str">
        <f aca="false">IF(AND(Tasks[[#This Row],[_IsLeaf]]=1,N(Tasks[[#This Row],[Actual Start]])=0,Tasks[[#This Row],[_ShownFcstStart]]&gt;=StatusDate,Tasks[[#This Row],[_ShownFcstStart]]&lt;=LookaheadEnd),Tasks[[#This Row],[_ShownFcstStart]]+Tasks[[#This Row],[_Row]]/100000,"")</f>
        <v/>
      </c>
      <c r="EQ102" s="32" t="str">
        <f aca="false">IF(AND(Tasks[[#This Row],[_IsLeaf]]=1,Tasks[[#This Row],[_LeafProgress]]&lt;1,Tasks[[#This Row],[_ShownFcstFinish]]&gt;=StatusDate,Tasks[[#This Row],[_ShownFcstFinish]]&lt;=LookaheadEnd),Tasks[[#This Row],[_ShownFcstFinish]]+Tasks[[#This Row],[_Row]]/100000,"")</f>
        <v/>
      </c>
      <c r="ER102" s="32" t="str">
        <f aca="false">IF(Tasks[[#This Row],[_LeafCritical]],Tasks[[#This Row],[_ShownFcstStart]]+Tasks[[#This Row],[_Row]]/100000,"")</f>
        <v/>
      </c>
      <c r="ES102" s="32" t="n">
        <f aca="false">Tasks[[#This Row],[_LeafWork]]*Tasks[[#This Row],[_LeafProgress]]</f>
        <v>0</v>
      </c>
      <c r="ET102" s="115" t="str">
        <f aca="false">IF(AND(Tasks[[#This Row],[_IsLeaf]]=1,Tasks[[#This Row],[_LeafProgress]]&gt;=1),IF(N(Tasks[[#This Row],[Actual Finish]])&gt;0,Tasks[[#This Row],[Actual Finish]],Tasks[[#This Row],[_ShownFcstFinish]]),"")</f>
        <v/>
      </c>
      <c r="EU102" s="32" t="n">
        <f aca="false">IF(Tasks[[#This Row],[_IsLeaf]]=1,N(Tasks[[#This Row],[Story Points]]),0)</f>
        <v>0</v>
      </c>
      <c r="EV102" s="32" t="str">
        <f aca="false">IF(AND(Tasks[[#This Row],[_IsLeaf]]=1,CurrentSprint&lt;&gt;"",Tasks[[#This Row],[Sprint]]=CurrentSprint),Tasks[[#This Row],[_Row]],"")</f>
        <v/>
      </c>
    </row>
    <row r="103" customFormat="false" ht="15" hidden="false" customHeight="false" outlineLevel="0" collapsed="false">
      <c r="A103" s="45" t="str">
        <f aca="false">IF(Tasks[[#This Row],[Task Name]]="","",COUNTA(Tasks[[#Headers],[Task Name]]:Tasks[[#This Row],[Task Name]])-1)</f>
        <v/>
      </c>
      <c r="B103" s="46" t="n">
        <v>98</v>
      </c>
      <c r="C10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3" s="46"/>
      <c r="E103" s="45" t="str">
        <f aca="false">IF(Tasks[[#This Row],[Task Name]]="","",IF(Tasks[[#This Row],[_Level]]&lt;=OutlineShowLevel,"Yes","No"))</f>
        <v/>
      </c>
      <c r="F103" s="47"/>
      <c r="G103" s="46"/>
      <c r="H103" s="46"/>
      <c r="I103" s="46"/>
      <c r="J103" s="46"/>
      <c r="K103" s="46"/>
      <c r="L103" s="46"/>
      <c r="M103" s="46"/>
      <c r="N103" s="46"/>
      <c r="O103" s="46"/>
      <c r="P103" s="46"/>
      <c r="Q103" s="46"/>
      <c r="R103" s="46"/>
      <c r="S103" s="46"/>
      <c r="T103" s="46"/>
      <c r="U103" s="47"/>
      <c r="V103" s="88"/>
      <c r="W103" s="88"/>
      <c r="X103" s="25" t="str">
        <f aca="false">IF(Tasks[[#This Row],[Task Name]]="","",IF(N(Tasks[[#This Row],[Baseline Start]])&gt;0,Tasks[[#This Row],[Baseline Start]],Tasks[[#This Row],[_CalcStart]]))</f>
        <v/>
      </c>
      <c r="Y103" s="25" t="str">
        <f aca="false">IF(Tasks[[#This Row],[Task Name]]="","",IF(N(Tasks[[#This Row],[Baseline Finish]])&gt;0,Tasks[[#This Row],[Baseline Finish]],Tasks[[#This Row],[_CalcFinish]]))</f>
        <v/>
      </c>
      <c r="Z103" s="88"/>
      <c r="AA103" s="88"/>
      <c r="AB103" s="25" t="str">
        <f aca="false">IF(Tasks[[#This Row],[Task Name]]="","",IF(Tasks[[#This Row],[_IsSummary]],MIN(INDEX(Tasks[_ShownFcstStart],Tasks[[#This Row],[_Row]]+1):INDEX(Tasks[_ShownFcstStart],Tasks[[#This Row],[_Row]]+Tasks[[#This Row],[_Descendants]])),Tasks[[#This Row],[_ShownFcstStart]]))</f>
        <v/>
      </c>
      <c r="AC103" s="25" t="str">
        <f aca="false">IF(Tasks[[#This Row],[Task Name]]="","",IF(Tasks[[#This Row],[_IsSummary]],MAX(INDEX(Tasks[_ShownFcstFinish],Tasks[[#This Row],[_Row]]+1):INDEX(Tasks[_ShownFcstFinish],Tasks[[#This Row],[_Row]]+Tasks[[#This Row],[_Descendants]])),Tasks[[#This Row],[_ShownFcstFinish]]))</f>
        <v/>
      </c>
      <c r="AD10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3" s="25" t="str">
        <f aca="false">IF(Tasks[[#This Row],[Task Name]]="","",IF(Tasks[[#This Row],[_IsSummary]],MIN(INDEX(Tasks[_LeafLateStart],Tasks[[#This Row],[_Row]]+1):INDEX(Tasks[_LeafLateStart],Tasks[[#This Row],[_Row]]+Tasks[[#This Row],[_Descendants]])),Tasks[[#This Row],[_LeafLateStart]]))</f>
        <v/>
      </c>
      <c r="AG103" s="25" t="str">
        <f aca="false">IF(Tasks[[#This Row],[Task Name]]="","",IF(Tasks[[#This Row],[_IsSummary]],MAX(INDEX(Tasks[_LeafLateFinish],Tasks[[#This Row],[_Row]]+1):INDEX(Tasks[_LeafLateFinish],Tasks[[#This Row],[_Row]]+Tasks[[#This Row],[_Descendants]])),Tasks[[#This Row],[_LeafLateFinish]]))</f>
        <v/>
      </c>
      <c r="AH103" s="56" t="str">
        <f aca="false">IF(Tasks[[#This Row],[Task Name]]="","",IF(Tasks[[#This Row],[_IsSummary]],MIN(INDEX(Tasks[_LeafTotalSlack],Tasks[[#This Row],[_Row]]+1):INDEX(Tasks[_LeafTotalSlack],Tasks[[#This Row],[_Row]]+Tasks[[#This Row],[_Descendants]])),Tasks[[#This Row],[_LeafTotalSlack]]))</f>
        <v/>
      </c>
      <c r="AI10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3" s="45" t="str">
        <f aca="false">IF(Tasks[[#This Row],[Task Name]]="","",IF(IF(Tasks[[#This Row],[_IsSummary]],COUNTIF(INDEX(Tasks[_LeafCritical],Tasks[[#This Row],[_Row]]+1):INDEX(Tasks[_LeafCritical],Tasks[[#This Row],[_Row]]+Tasks[[#This Row],[_Descendants]]),TRUE())&gt;0,Tasks[[#This Row],[_LeafCritical]]),"Yes",""))</f>
        <v/>
      </c>
      <c r="AK10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3" s="102"/>
      <c r="AN10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3" s="45" t="str">
        <f aca="false">IF(Tasks[[#This Row],[Task Name]]="","",IF(Tasks[[#This Row],[Progress]]&gt;=1,"Complete",IF(OR(N(Tasks[[#This Row],[Actual Start]])&gt;0,Tasks[[#This Row],[Progress]]&gt;0),IF(Tasks[[#This Row],[Finish Var]]&gt;0,"Behind","In Progress"),IF(Tasks[[#This Row],[Planned Start]]&lt;StatusDate,"Late Start","Not Started"))))</f>
        <v/>
      </c>
      <c r="AP103" s="47"/>
      <c r="AQ103" s="102"/>
      <c r="AR10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3" s="110" t="str">
        <f aca="false">IF(Tasks[[#This Row],[Task Name]]="","",IF(Tasks[[#This Row],[_IsSummary]],SUM(INDEX(Tasks[_LeafTotalWork],Tasks[[#This Row],[_Row]]+1):INDEX(Tasks[_LeafTotalWork],Tasks[[#This Row],[_Row]]+Tasks[[#This Row],[_Descendants]])),Tasks[[#This Row],[_LeafTotalWork]]))</f>
        <v/>
      </c>
      <c r="AU103" s="111" t="str">
        <f aca="false">IF(Tasks[[#This Row],[Task Name]]="","",IF(Tasks[[#This Row],[_IsSummary]],SUM(INDEX(Tasks[_LeafTotalCost],Tasks[[#This Row],[_Row]]+1):INDEX(Tasks[_LeafTotalCost],Tasks[[#This Row],[_Row]]+Tasks[[#This Row],[_Descendants]])),Tasks[[#This Row],[_LeafTotalCost]]))</f>
        <v/>
      </c>
      <c r="AV103" s="112"/>
      <c r="AW103" s="46"/>
      <c r="AX10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3" s="96"/>
      <c r="AZ10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3" s="47"/>
      <c r="BB103" s="25" t="str">
        <f aca="false">IF(Tasks[[#This Row],[Task Name]]="","",Tasks[[#This Row],[Forecast Start]])</f>
        <v/>
      </c>
      <c r="BC103" s="25" t="str">
        <f aca="false">IF(Tasks[[#This Row],[Task Name]]="","",Tasks[[#This Row],[Forecast Finish]])</f>
        <v/>
      </c>
      <c r="BD103" s="45" t="str">
        <f aca="false">IF(Tasks[[#This Row],[Task Name]]="","",IF(Tasks[[#This Row],[_IsSummary]],NETWORKDAYS.INTL(Tasks[[#This Row],[Forecast Start]],Tasks[[#This Row],[Forecast Finish]],WorkWeek,Holidays),N(Tasks[[#This Row],[Duration]])))</f>
        <v/>
      </c>
      <c r="BE103" s="110" t="str">
        <f aca="false">IF(Tasks[[#This Row],[Task Name]]="","",Tasks[[#This Row],[Work]])</f>
        <v/>
      </c>
      <c r="BF103" s="111" t="str">
        <f aca="false">IF(Tasks[[#This Row],[Task Name]]="","",Tasks[[#This Row],[Cost]])</f>
        <v/>
      </c>
      <c r="BG103" s="88"/>
      <c r="BH103" s="88"/>
      <c r="BI103" s="46"/>
      <c r="BJ103" s="113"/>
      <c r="BK103" s="112"/>
      <c r="BL103" s="45" t="str">
        <f aca="false">IF(OR(Tasks[[#This Row],[Task Name]]="",Tasks[[#This Row],[Baseline Duration]]=""),"",Tasks[[#This Row],[BL Source Duration]]-N(Tasks[[#This Row],[Baseline Duration]]))</f>
        <v/>
      </c>
      <c r="BM103" s="110" t="str">
        <f aca="false">IF(OR(Tasks[[#This Row],[Task Name]]="",Tasks[[#This Row],[Baseline Work]]=""),"",Tasks[[#This Row],[Work]]-N(Tasks[[#This Row],[Baseline Work]]))</f>
        <v/>
      </c>
      <c r="BN103" s="111" t="str">
        <f aca="false">IF(OR(Tasks[[#This Row],[Task Name]]="",Tasks[[#This Row],[Baseline Cost]]=""),"",Tasks[[#This Row],[Cost]]-N(Tasks[[#This Row],[Baseline Cost]]))</f>
        <v/>
      </c>
      <c r="BO103" s="111" t="str">
        <f aca="false">IF(Tasks[[#This Row],[Task Name]]="","",IF(Tasks[[#This Row],[_IsSummary]],SUM(INDEX(Tasks[_LeafBudget],Tasks[[#This Row],[_Row]]+1):INDEX(Tasks[_LeafBudget],Tasks[[#This Row],[_Row]]+Tasks[[#This Row],[_Descendants]])),Tasks[[#This Row],[_LeafBudget]]))</f>
        <v/>
      </c>
      <c r="BP103" s="111" t="str">
        <f aca="false">IF(Tasks[[#This Row],[Task Name]]="","",IF(Tasks[[#This Row],[_IsSummary]],SUM(INDEX(Tasks[_LeafPV],Tasks[[#This Row],[_Row]]+1):INDEX(Tasks[_LeafPV],Tasks[[#This Row],[_Row]]+Tasks[[#This Row],[_Descendants]])),Tasks[[#This Row],[_LeafPV]]))</f>
        <v/>
      </c>
      <c r="BQ103" s="111" t="str">
        <f aca="false">IF(Tasks[[#This Row],[Task Name]]="","",IF(Tasks[[#This Row],[_IsSummary]],SUM(INDEX(Tasks[_LeafEV],Tasks[[#This Row],[_Row]]+1):INDEX(Tasks[_LeafEV],Tasks[[#This Row],[_Row]]+Tasks[[#This Row],[_Descendants]])),Tasks[[#This Row],[_LeafEV]]))</f>
        <v/>
      </c>
      <c r="BR103" s="111" t="str">
        <f aca="false">IF(Tasks[[#This Row],[Task Name]]="","",IF(Tasks[[#This Row],[_IsSummary]],SUM(INDEX(Tasks[_LeafAC],Tasks[[#This Row],[_Row]]+1):INDEX(Tasks[_LeafAC],Tasks[[#This Row],[_Row]]+Tasks[[#This Row],[_Descendants]])),Tasks[[#This Row],[_LeafAC]]))</f>
        <v/>
      </c>
      <c r="BS103" s="32" t="str">
        <f aca="false">IF(Tasks[[#This Row],[Task Name]]="","",MAX(1,N(Tasks[[#This Row],[Level]])))</f>
        <v/>
      </c>
      <c r="BT103" s="32" t="n">
        <f aca="false">ROW()-ROW(Tasks[[#Headers],[ID]])</f>
        <v>98</v>
      </c>
      <c r="BU103" s="32" t="n">
        <f aca="false">IF(OR(Tasks[[#This Row],[Task Name]]="",Tasks[[#This Row],[_Level]]&lt;=1),0,IFERROR(LOOKUP(2,1/(Tasks[[#Headers],[_Level]]:Tasks[[#This Row],[_Level]]=Tasks[[#This Row],[_Level]]-1),ROW(Tasks[[#Headers],[_Level]]:Tasks[[#This Row],[_Level]])),0))</f>
        <v>0</v>
      </c>
      <c r="BV103" s="32" t="n">
        <f aca="false">IFERROR(N(INDEX(Tasks[_Level],Tasks[[#This Row],[_Row]]+1)),0)</f>
        <v>0</v>
      </c>
      <c r="BW103" s="114" t="b">
        <f aca="false">AND(Tasks[[#This Row],[Task Name]]&lt;&gt;"",Tasks[[#This Row],[_NextLevel]]&gt;Tasks[[#This Row],[_Level]])</f>
        <v>0</v>
      </c>
      <c r="BX103" s="32" t="n">
        <f aca="false">IF(Tasks[[#This Row],[_IsSummary]],COUNTIF(Tasks[WBS],Tasks[[#This Row],[WBS]]&amp;".*"),0)</f>
        <v>0</v>
      </c>
      <c r="BY103" s="32" t="n">
        <f aca="false">IF(AND(Tasks[[#This Row],[Task Name]]&lt;&gt;"",NOT(Tasks[[#This Row],[_IsSummary]])),1,0)</f>
        <v>0</v>
      </c>
      <c r="BZ103" s="32" t="n">
        <f aca="false">IF(N(Tasks[[#This Row],[Pred1 UID]])=0,0,IFERROR(MATCH(Tasks[[#This Row],[Pred1 UID]],Tasks[UID],0),-1))</f>
        <v>0</v>
      </c>
      <c r="CA103" s="32" t="n">
        <f aca="false">IF(N(Tasks[[#This Row],[Pred2 UID]])=0,0,IFERROR(MATCH(Tasks[[#This Row],[Pred2 UID]],Tasks[UID],0),-1))</f>
        <v>0</v>
      </c>
      <c r="CB103" s="32" t="n">
        <f aca="false">IF(N(Tasks[[#This Row],[Pred3 UID]])=0,0,IFERROR(MATCH(Tasks[[#This Row],[Pred3 UID]],Tasks[UID],0),-1))</f>
        <v>0</v>
      </c>
      <c r="CC103" s="32" t="n">
        <f aca="false">IF(N(Tasks[[#This Row],[Pred4 UID]])=0,0,IFERROR(MATCH(Tasks[[#This Row],[Pred4 UID]],Tasks[UID],0),-1))</f>
        <v>0</v>
      </c>
      <c r="CD10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3" s="115" t="n">
        <f aca="false">IF(OR(Tasks[[#This Row],[_ConstraintCode]]=2,Tasks[[#This Row],[_ConstraintCode]]=3,Tasks[[#This Row],[_ConstraintCode]]=4,Tasks[[#This Row],[_ConstraintCode]]=6),Tasks[[#This Row],[_ConstraintStart]],0)</f>
        <v>0</v>
      </c>
      <c r="CG103" s="115" t="n">
        <f aca="false">IF(OR(Tasks[[#This Row],[_ConstraintCode]]=2,Tasks[[#This Row],[_ConstraintCode]]=3,Tasks[[#This Row],[_ConstraintCode]]=5,Tasks[[#This Row],[_ConstraintCode]]=7),Tasks[[#This Row],[_ConstraintStart]],2958465)</f>
        <v>2958465</v>
      </c>
      <c r="CH10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3" s="115" t="str">
        <f aca="false">IF(NOT(Tasks[[#This Row],[_IsLeaf]]=1),"",IF(N(Tasks[[#This Row],[Duration]])&lt;=0,Tasks[[#This Row],[_LeafCalcStart]],WORKDAY.INTL(Tasks[[#This Row],[_LeafCalcStart]],Tasks[[#This Row],[Duration]]-1,WorkWeek,Holidays)))</f>
        <v/>
      </c>
      <c r="CJ10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3" s="32" t="n">
        <f aca="false">IF(NOT(Tasks[[#This Row],[_IsLeaf]]=1),0,IF(N(Tasks[[#This Row],[Actual Finish]])&gt;0,1,MIN(1,N(Tasks[[#This Row],[% Complete]]))))</f>
        <v>0</v>
      </c>
      <c r="CM103" s="32" t="n">
        <f aca="false">IF(OR(NOT(Tasks[[#This Row],[_IsLeaf]]=1),Tasks[[#This Row],[Resource]]=""),0,N(Tasks[[#This Row],[Duration]])*HoursPerDay*IF(Tasks[[#This Row],[Units]]="",DefaultUnits,Tasks[[#This Row],[Units]]))</f>
        <v>0</v>
      </c>
      <c r="CN103" s="32" t="n">
        <f aca="false">IF(Tasks[[#This Row],[_LeafWork]]=0,0,Tasks[[#This Row],[_LeafWork]]*IFERROR(INDEX(res_Rate,MATCH(Tasks[[#This Row],[Resource]],res_Name,0)),0))</f>
        <v>0</v>
      </c>
      <c r="CO103" s="32" t="n">
        <f aca="false">Tasks[[#This Row],[_LeafWork]]+IF(Tasks[[#This Row],[_IsLeaf]]=1,SUMIFS(asg_Work,asg_TaskUID,Tasks[[#This Row],[UID]],asg_Valid,1),0)</f>
        <v>0</v>
      </c>
      <c r="CP103" s="32" t="n">
        <f aca="false">Tasks[[#This Row],[_LeafCost]]+IF(Tasks[[#This Row],[_IsLeaf]]=1,SUMIFS(asg_Cost,asg_TaskUID,Tasks[[#This Row],[UID]],asg_Valid,1),0)</f>
        <v>0</v>
      </c>
      <c r="CQ103" s="32" t="n">
        <f aca="false">IF(Tasks[[#This Row],[_LeafTotalCost]]=0,Tasks[[#This Row],[_LeafAC]],Tasks[[#This Row],[_LeafAC]]*Tasks[[#This Row],[_LeafCost]]/Tasks[[#This Row],[_LeafTotalCost]])</f>
        <v>0</v>
      </c>
      <c r="CR10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3" s="32" t="n">
        <f aca="false">IF(NOT(Tasks[[#This Row],[_IsLeaf]]=1),0,MAX(_xlfn.MAXIFS(Tasks[_Row],Tasks[Pred1 UID],Tasks[[#This Row],[UID]]),_xlfn.MAXIFS(Tasks[_Row],Tasks[Pred2 UID],Tasks[[#This Row],[UID]]),_xlfn.MAXIFS(Tasks[_Row],Tasks[Pred3 UID],Tasks[[#This Row],[UID]]),_xlfn.MAXIFS(Tasks[_Row],Tasks[Pred4 UID],Tasks[[#This Row],[UID]])))</f>
        <v>0</v>
      </c>
      <c r="DA10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3" s="115" t="str">
        <f aca="false">IF(NOT(Tasks[[#This Row],[_IsLeaf]]=1),"",IF(N(Tasks[[#This Row],[Duration]])&lt;=0,Tasks[[#This Row],[_LeafLateFinish]],WORKDAY.INTL(Tasks[[#This Row],[_LeafLateFinish]],-(Tasks[[#This Row],[Duration]]-1),WorkWeek,Holidays)))</f>
        <v/>
      </c>
      <c r="DD10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3" s="114" t="b">
        <f aca="false">AND(Tasks[[#This Row],[_IsLeaf]]=1,Tasks[[#This Row],[_LeafProgress]]&lt;1,N(Tasks[[#This Row],[_LeafTotalSlack]])&lt;=CriticalSlackDays)</f>
        <v>0</v>
      </c>
      <c r="DF103" s="32" t="n">
        <f aca="false">IF(AND(Tasks[[#This Row],[_IsLeaf]]=1,Tasks[[#This Row],[_ConstraintCode]]=1,Tasks[[#This Row],[Mode]]&lt;&gt;"Manual",N(Tasks[[#This Row],[Actual Start]])=0),MAX(0,N(Tasks[[#This Row],[Free Slack]])),0)</f>
        <v>0</v>
      </c>
      <c r="DG103" s="115" t="str">
        <f aca="false">IF(NOT(Tasks[[#This Row],[_IsLeaf]]=1),"",IF(Tasks[[#This Row],[_AlapShift]]=0,Tasks[[#This Row],[_LeafCalcStart]],WORKDAY.INTL(Tasks[[#This Row],[_LeafCalcStart]],Tasks[[#This Row],[_AlapShift]],WorkWeek,Holidays)))</f>
        <v/>
      </c>
      <c r="DH103" s="115" t="str">
        <f aca="false">IF(NOT(Tasks[[#This Row],[_IsLeaf]]=1),"",IF(Tasks[[#This Row],[_AlapShift]]=0,Tasks[[#This Row],[_LeafCalcFinish]],WORKDAY.INTL(Tasks[[#This Row],[_LeafCalcFinish]],Tasks[[#This Row],[_AlapShift]],WorkWeek,Holidays)))</f>
        <v/>
      </c>
      <c r="DI103" s="115" t="str">
        <f aca="false">IF(NOT(Tasks[[#This Row],[_IsLeaf]]=1),"",IF(Tasks[[#This Row],[_AlapShift]]=0,Tasks[[#This Row],[_LeafFcstStart]],WORKDAY.INTL(Tasks[[#This Row],[_LeafFcstStart]],Tasks[[#This Row],[_AlapShift]],WorkWeek,Holidays)))</f>
        <v/>
      </c>
      <c r="DJ103" s="115" t="str">
        <f aca="false">IF(NOT(Tasks[[#This Row],[_IsLeaf]]=1),"",IF(Tasks[[#This Row],[_AlapShift]]=0,Tasks[[#This Row],[_LeafFcstFinish]],WORKDAY.INTL(Tasks[[#This Row],[_LeafFcstFinish]],Tasks[[#This Row],[_AlapShift]],WorkWeek,Holidays)))</f>
        <v/>
      </c>
      <c r="DK103" s="115" t="str">
        <f aca="false">IF(Tasks[[#This Row],[Task Name]]="","",IF(Tasks[[#This Row],[_IsSummary]],MIN(INDEX(Tasks[_ShownCalcStart],Tasks[[#This Row],[_Row]]+1):INDEX(Tasks[_ShownCalcStart],Tasks[[#This Row],[_Row]]+Tasks[[#This Row],[_Descendants]])),Tasks[[#This Row],[_ShownCalcStart]]))</f>
        <v/>
      </c>
      <c r="DL103" s="115" t="str">
        <f aca="false">IF(Tasks[[#This Row],[Task Name]]="","",IF(Tasks[[#This Row],[_IsSummary]],MAX(INDEX(Tasks[_ShownCalcFinish],Tasks[[#This Row],[_Row]]+1):INDEX(Tasks[_ShownCalcFinish],Tasks[[#This Row],[_Row]]+Tasks[[#This Row],[_Descendants]])),Tasks[[#This Row],[_ShownCalcFinish]]))</f>
        <v/>
      </c>
      <c r="DM10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3" s="32" t="n">
        <f aca="false">IF(AND(Tasks[[#This Row],[_IsLeaf]]=1,Tasks[[#This Row],[_LeafTotalWork]]&gt;0),NETWORKDAYS.INTL(ProjectStart,Tasks[[#This Row],[_ShownFcstStart]],WorkWeek,Holidays),0)</f>
        <v>0</v>
      </c>
      <c r="DZ103" s="32" t="n">
        <f aca="false">IF(AND(Tasks[[#This Row],[_IsLeaf]]=1,Tasks[[#This Row],[_LeafTotalWork]]&gt;0),MAX(Tasks[[#This Row],[_StartWorkday]],NETWORKDAYS.INTL(ProjectStart,Tasks[[#This Row],[_ShownFcstFinish]],WorkWeek,Holidays)),0)</f>
        <v>0</v>
      </c>
      <c r="EA103" s="32" t="n">
        <f aca="false">IF(AND(Tasks[[#This Row],[_IsLeaf]]=1,Tasks[[#This Row],[_LeafTotalWork]]&gt;0),Tasks[[#This Row],[_LeafWork]]/(Tasks[[#This Row],[_FinishWorkday]]-Tasks[[#This Row],[_StartWorkday]]+1),0)</f>
        <v>0</v>
      </c>
      <c r="EB103" s="32" t="n">
        <f aca="false">Tasks[[#This Row],[_WorkPerWorkday]]*(Tasks[[#This Row],[_StartWorkday]]-1)</f>
        <v>-0</v>
      </c>
      <c r="EC103" s="32" t="n">
        <f aca="false">IF(Tasks[[#This Row],[_IsLeaf]]=1,MAX(N(Tasks[[#This Row],[Duration]]),0.1),0)</f>
        <v>0</v>
      </c>
      <c r="ED103" s="32" t="n">
        <f aca="false">Tasks[[#This Row],[_WeightDur]]*Tasks[[#This Row],[_LeafProgress]]</f>
        <v>0</v>
      </c>
      <c r="EE10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3" s="32" t="str">
        <f aca="false">IF(AND(Tasks[[#This Row],[_IsLeaf]]=1,N(Tasks[[#This Row],[Duration]])=0,Tasks[[#This Row],[_LeafProgress]]&lt;1),Tasks[[#This Row],[_ShownFcstFinish]]+Tasks[[#This Row],[_Row]]/100000,"")</f>
        <v/>
      </c>
      <c r="EG10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3" s="32" t="n">
        <f aca="false">IF(NOT(Tasks[[#This Row],[_IsLeaf]]=1),0,IF(Tasks[[#This Row],[Baseline Cost]]="",Tasks[[#This Row],[_LeafTotalCost]],N(Tasks[[#This Row],[Baseline Cost]])))</f>
        <v>0</v>
      </c>
      <c r="EI103" s="32" t="n">
        <f aca="false">Tasks[[#This Row],[_LeafBudget]]*Tasks[[#This Row],[_PlannedPct]]</f>
        <v>0</v>
      </c>
      <c r="EJ103" s="32" t="n">
        <f aca="false">Tasks[[#This Row],[_LeafBudget]]*Tasks[[#This Row],[_LeafProgress]]</f>
        <v>0</v>
      </c>
      <c r="EK103" s="32" t="n">
        <f aca="false">IF(NOT(Tasks[[#This Row],[_IsLeaf]]=1),0,IF(Tasks[[#This Row],[Actual Cost]]="",Tasks[[#This Row],[_LeafTotalCost]]*Tasks[[#This Row],[_LeafProgress]],N(Tasks[[#This Row],[Actual Cost]])))</f>
        <v>0</v>
      </c>
      <c r="EL103" s="32" t="str">
        <f aca="false">IF(Tasks[[#This Row],[Task Name]]="","",LEFT(Tasks[[#This Row],[WBS]],FIND(".",Tasks[[#This Row],[WBS]]&amp;".")-1))</f>
        <v/>
      </c>
      <c r="EM103" s="32" t="str">
        <f aca="false">IF(AND(Tasks[[#This Row],[Task Name]]&lt;&gt;"",Tasks[[#This Row],[_Level]]=1),Tasks[[#This Row],[_Row]],"")</f>
        <v/>
      </c>
      <c r="EN103" s="32" t="str">
        <f aca="false">IF(AND(Tasks[[#This Row],[_IsLeaf]]=1,N(Tasks[[#This Row],[Duration]])=0),Tasks[[#This Row],[Planned Finish]]+Tasks[[#This Row],[_Row]]/100000,"")</f>
        <v/>
      </c>
      <c r="EO103" s="32" t="str">
        <f aca="false">IF(AND(Tasks[[#This Row],[_IsLeaf]]=1,Tasks[[#This Row],[_LeafProgress]]&lt;1,OR(N(Tasks[[#This Row],[Finish Var]])&gt;0,Tasks[[#This Row],[Status]]="Late Start")),MAX(0,Tasks[[#This Row],[Finish Var]])+1-Tasks[[#This Row],[_Row]]/1000000,"")</f>
        <v/>
      </c>
      <c r="EP103" s="32" t="str">
        <f aca="false">IF(AND(Tasks[[#This Row],[_IsLeaf]]=1,N(Tasks[[#This Row],[Actual Start]])=0,Tasks[[#This Row],[_ShownFcstStart]]&gt;=StatusDate,Tasks[[#This Row],[_ShownFcstStart]]&lt;=LookaheadEnd),Tasks[[#This Row],[_ShownFcstStart]]+Tasks[[#This Row],[_Row]]/100000,"")</f>
        <v/>
      </c>
      <c r="EQ103" s="32" t="str">
        <f aca="false">IF(AND(Tasks[[#This Row],[_IsLeaf]]=1,Tasks[[#This Row],[_LeafProgress]]&lt;1,Tasks[[#This Row],[_ShownFcstFinish]]&gt;=StatusDate,Tasks[[#This Row],[_ShownFcstFinish]]&lt;=LookaheadEnd),Tasks[[#This Row],[_ShownFcstFinish]]+Tasks[[#This Row],[_Row]]/100000,"")</f>
        <v/>
      </c>
      <c r="ER103" s="32" t="str">
        <f aca="false">IF(Tasks[[#This Row],[_LeafCritical]],Tasks[[#This Row],[_ShownFcstStart]]+Tasks[[#This Row],[_Row]]/100000,"")</f>
        <v/>
      </c>
      <c r="ES103" s="32" t="n">
        <f aca="false">Tasks[[#This Row],[_LeafWork]]*Tasks[[#This Row],[_LeafProgress]]</f>
        <v>0</v>
      </c>
      <c r="ET103" s="115" t="str">
        <f aca="false">IF(AND(Tasks[[#This Row],[_IsLeaf]]=1,Tasks[[#This Row],[_LeafProgress]]&gt;=1),IF(N(Tasks[[#This Row],[Actual Finish]])&gt;0,Tasks[[#This Row],[Actual Finish]],Tasks[[#This Row],[_ShownFcstFinish]]),"")</f>
        <v/>
      </c>
      <c r="EU103" s="32" t="n">
        <f aca="false">IF(Tasks[[#This Row],[_IsLeaf]]=1,N(Tasks[[#This Row],[Story Points]]),0)</f>
        <v>0</v>
      </c>
      <c r="EV103" s="32" t="str">
        <f aca="false">IF(AND(Tasks[[#This Row],[_IsLeaf]]=1,CurrentSprint&lt;&gt;"",Tasks[[#This Row],[Sprint]]=CurrentSprint),Tasks[[#This Row],[_Row]],"")</f>
        <v/>
      </c>
    </row>
    <row r="104" customFormat="false" ht="15" hidden="false" customHeight="false" outlineLevel="0" collapsed="false">
      <c r="A104" s="45" t="str">
        <f aca="false">IF(Tasks[[#This Row],[Task Name]]="","",COUNTA(Tasks[[#Headers],[Task Name]]:Tasks[[#This Row],[Task Name]])-1)</f>
        <v/>
      </c>
      <c r="B104" s="46" t="n">
        <v>99</v>
      </c>
      <c r="C10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4" s="46"/>
      <c r="E104" s="45" t="str">
        <f aca="false">IF(Tasks[[#This Row],[Task Name]]="","",IF(Tasks[[#This Row],[_Level]]&lt;=OutlineShowLevel,"Yes","No"))</f>
        <v/>
      </c>
      <c r="F104" s="47"/>
      <c r="G104" s="46"/>
      <c r="H104" s="46"/>
      <c r="I104" s="46"/>
      <c r="J104" s="46"/>
      <c r="K104" s="46"/>
      <c r="L104" s="46"/>
      <c r="M104" s="46"/>
      <c r="N104" s="46"/>
      <c r="O104" s="46"/>
      <c r="P104" s="46"/>
      <c r="Q104" s="46"/>
      <c r="R104" s="46"/>
      <c r="S104" s="46"/>
      <c r="T104" s="46"/>
      <c r="U104" s="47"/>
      <c r="V104" s="88"/>
      <c r="W104" s="88"/>
      <c r="X104" s="25" t="str">
        <f aca="false">IF(Tasks[[#This Row],[Task Name]]="","",IF(N(Tasks[[#This Row],[Baseline Start]])&gt;0,Tasks[[#This Row],[Baseline Start]],Tasks[[#This Row],[_CalcStart]]))</f>
        <v/>
      </c>
      <c r="Y104" s="25" t="str">
        <f aca="false">IF(Tasks[[#This Row],[Task Name]]="","",IF(N(Tasks[[#This Row],[Baseline Finish]])&gt;0,Tasks[[#This Row],[Baseline Finish]],Tasks[[#This Row],[_CalcFinish]]))</f>
        <v/>
      </c>
      <c r="Z104" s="88"/>
      <c r="AA104" s="88"/>
      <c r="AB104" s="25" t="str">
        <f aca="false">IF(Tasks[[#This Row],[Task Name]]="","",IF(Tasks[[#This Row],[_IsSummary]],MIN(INDEX(Tasks[_ShownFcstStart],Tasks[[#This Row],[_Row]]+1):INDEX(Tasks[_ShownFcstStart],Tasks[[#This Row],[_Row]]+Tasks[[#This Row],[_Descendants]])),Tasks[[#This Row],[_ShownFcstStart]]))</f>
        <v/>
      </c>
      <c r="AC104" s="25" t="str">
        <f aca="false">IF(Tasks[[#This Row],[Task Name]]="","",IF(Tasks[[#This Row],[_IsSummary]],MAX(INDEX(Tasks[_ShownFcstFinish],Tasks[[#This Row],[_Row]]+1):INDEX(Tasks[_ShownFcstFinish],Tasks[[#This Row],[_Row]]+Tasks[[#This Row],[_Descendants]])),Tasks[[#This Row],[_ShownFcstFinish]]))</f>
        <v/>
      </c>
      <c r="AD10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4" s="25" t="str">
        <f aca="false">IF(Tasks[[#This Row],[Task Name]]="","",IF(Tasks[[#This Row],[_IsSummary]],MIN(INDEX(Tasks[_LeafLateStart],Tasks[[#This Row],[_Row]]+1):INDEX(Tasks[_LeafLateStart],Tasks[[#This Row],[_Row]]+Tasks[[#This Row],[_Descendants]])),Tasks[[#This Row],[_LeafLateStart]]))</f>
        <v/>
      </c>
      <c r="AG104" s="25" t="str">
        <f aca="false">IF(Tasks[[#This Row],[Task Name]]="","",IF(Tasks[[#This Row],[_IsSummary]],MAX(INDEX(Tasks[_LeafLateFinish],Tasks[[#This Row],[_Row]]+1):INDEX(Tasks[_LeafLateFinish],Tasks[[#This Row],[_Row]]+Tasks[[#This Row],[_Descendants]])),Tasks[[#This Row],[_LeafLateFinish]]))</f>
        <v/>
      </c>
      <c r="AH104" s="56" t="str">
        <f aca="false">IF(Tasks[[#This Row],[Task Name]]="","",IF(Tasks[[#This Row],[_IsSummary]],MIN(INDEX(Tasks[_LeafTotalSlack],Tasks[[#This Row],[_Row]]+1):INDEX(Tasks[_LeafTotalSlack],Tasks[[#This Row],[_Row]]+Tasks[[#This Row],[_Descendants]])),Tasks[[#This Row],[_LeafTotalSlack]]))</f>
        <v/>
      </c>
      <c r="AI10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4" s="45" t="str">
        <f aca="false">IF(Tasks[[#This Row],[Task Name]]="","",IF(IF(Tasks[[#This Row],[_IsSummary]],COUNTIF(INDEX(Tasks[_LeafCritical],Tasks[[#This Row],[_Row]]+1):INDEX(Tasks[_LeafCritical],Tasks[[#This Row],[_Row]]+Tasks[[#This Row],[_Descendants]]),TRUE())&gt;0,Tasks[[#This Row],[_LeafCritical]]),"Yes",""))</f>
        <v/>
      </c>
      <c r="AK10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4" s="102"/>
      <c r="AN10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4" s="45" t="str">
        <f aca="false">IF(Tasks[[#This Row],[Task Name]]="","",IF(Tasks[[#This Row],[Progress]]&gt;=1,"Complete",IF(OR(N(Tasks[[#This Row],[Actual Start]])&gt;0,Tasks[[#This Row],[Progress]]&gt;0),IF(Tasks[[#This Row],[Finish Var]]&gt;0,"Behind","In Progress"),IF(Tasks[[#This Row],[Planned Start]]&lt;StatusDate,"Late Start","Not Started"))))</f>
        <v/>
      </c>
      <c r="AP104" s="47"/>
      <c r="AQ104" s="102"/>
      <c r="AR10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4" s="110" t="str">
        <f aca="false">IF(Tasks[[#This Row],[Task Name]]="","",IF(Tasks[[#This Row],[_IsSummary]],SUM(INDEX(Tasks[_LeafTotalWork],Tasks[[#This Row],[_Row]]+1):INDEX(Tasks[_LeafTotalWork],Tasks[[#This Row],[_Row]]+Tasks[[#This Row],[_Descendants]])),Tasks[[#This Row],[_LeafTotalWork]]))</f>
        <v/>
      </c>
      <c r="AU104" s="111" t="str">
        <f aca="false">IF(Tasks[[#This Row],[Task Name]]="","",IF(Tasks[[#This Row],[_IsSummary]],SUM(INDEX(Tasks[_LeafTotalCost],Tasks[[#This Row],[_Row]]+1):INDEX(Tasks[_LeafTotalCost],Tasks[[#This Row],[_Row]]+Tasks[[#This Row],[_Descendants]])),Tasks[[#This Row],[_LeafTotalCost]]))</f>
        <v/>
      </c>
      <c r="AV104" s="112"/>
      <c r="AW104" s="46"/>
      <c r="AX10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4" s="96"/>
      <c r="AZ10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4" s="47"/>
      <c r="BB104" s="25" t="str">
        <f aca="false">IF(Tasks[[#This Row],[Task Name]]="","",Tasks[[#This Row],[Forecast Start]])</f>
        <v/>
      </c>
      <c r="BC104" s="25" t="str">
        <f aca="false">IF(Tasks[[#This Row],[Task Name]]="","",Tasks[[#This Row],[Forecast Finish]])</f>
        <v/>
      </c>
      <c r="BD104" s="45" t="str">
        <f aca="false">IF(Tasks[[#This Row],[Task Name]]="","",IF(Tasks[[#This Row],[_IsSummary]],NETWORKDAYS.INTL(Tasks[[#This Row],[Forecast Start]],Tasks[[#This Row],[Forecast Finish]],WorkWeek,Holidays),N(Tasks[[#This Row],[Duration]])))</f>
        <v/>
      </c>
      <c r="BE104" s="110" t="str">
        <f aca="false">IF(Tasks[[#This Row],[Task Name]]="","",Tasks[[#This Row],[Work]])</f>
        <v/>
      </c>
      <c r="BF104" s="111" t="str">
        <f aca="false">IF(Tasks[[#This Row],[Task Name]]="","",Tasks[[#This Row],[Cost]])</f>
        <v/>
      </c>
      <c r="BG104" s="88"/>
      <c r="BH104" s="88"/>
      <c r="BI104" s="46"/>
      <c r="BJ104" s="113"/>
      <c r="BK104" s="112"/>
      <c r="BL104" s="45" t="str">
        <f aca="false">IF(OR(Tasks[[#This Row],[Task Name]]="",Tasks[[#This Row],[Baseline Duration]]=""),"",Tasks[[#This Row],[BL Source Duration]]-N(Tasks[[#This Row],[Baseline Duration]]))</f>
        <v/>
      </c>
      <c r="BM104" s="110" t="str">
        <f aca="false">IF(OR(Tasks[[#This Row],[Task Name]]="",Tasks[[#This Row],[Baseline Work]]=""),"",Tasks[[#This Row],[Work]]-N(Tasks[[#This Row],[Baseline Work]]))</f>
        <v/>
      </c>
      <c r="BN104" s="111" t="str">
        <f aca="false">IF(OR(Tasks[[#This Row],[Task Name]]="",Tasks[[#This Row],[Baseline Cost]]=""),"",Tasks[[#This Row],[Cost]]-N(Tasks[[#This Row],[Baseline Cost]]))</f>
        <v/>
      </c>
      <c r="BO104" s="111" t="str">
        <f aca="false">IF(Tasks[[#This Row],[Task Name]]="","",IF(Tasks[[#This Row],[_IsSummary]],SUM(INDEX(Tasks[_LeafBudget],Tasks[[#This Row],[_Row]]+1):INDEX(Tasks[_LeafBudget],Tasks[[#This Row],[_Row]]+Tasks[[#This Row],[_Descendants]])),Tasks[[#This Row],[_LeafBudget]]))</f>
        <v/>
      </c>
      <c r="BP104" s="111" t="str">
        <f aca="false">IF(Tasks[[#This Row],[Task Name]]="","",IF(Tasks[[#This Row],[_IsSummary]],SUM(INDEX(Tasks[_LeafPV],Tasks[[#This Row],[_Row]]+1):INDEX(Tasks[_LeafPV],Tasks[[#This Row],[_Row]]+Tasks[[#This Row],[_Descendants]])),Tasks[[#This Row],[_LeafPV]]))</f>
        <v/>
      </c>
      <c r="BQ104" s="111" t="str">
        <f aca="false">IF(Tasks[[#This Row],[Task Name]]="","",IF(Tasks[[#This Row],[_IsSummary]],SUM(INDEX(Tasks[_LeafEV],Tasks[[#This Row],[_Row]]+1):INDEX(Tasks[_LeafEV],Tasks[[#This Row],[_Row]]+Tasks[[#This Row],[_Descendants]])),Tasks[[#This Row],[_LeafEV]]))</f>
        <v/>
      </c>
      <c r="BR104" s="111" t="str">
        <f aca="false">IF(Tasks[[#This Row],[Task Name]]="","",IF(Tasks[[#This Row],[_IsSummary]],SUM(INDEX(Tasks[_LeafAC],Tasks[[#This Row],[_Row]]+1):INDEX(Tasks[_LeafAC],Tasks[[#This Row],[_Row]]+Tasks[[#This Row],[_Descendants]])),Tasks[[#This Row],[_LeafAC]]))</f>
        <v/>
      </c>
      <c r="BS104" s="32" t="str">
        <f aca="false">IF(Tasks[[#This Row],[Task Name]]="","",MAX(1,N(Tasks[[#This Row],[Level]])))</f>
        <v/>
      </c>
      <c r="BT104" s="32" t="n">
        <f aca="false">ROW()-ROW(Tasks[[#Headers],[ID]])</f>
        <v>99</v>
      </c>
      <c r="BU104" s="32" t="n">
        <f aca="false">IF(OR(Tasks[[#This Row],[Task Name]]="",Tasks[[#This Row],[_Level]]&lt;=1),0,IFERROR(LOOKUP(2,1/(Tasks[[#Headers],[_Level]]:Tasks[[#This Row],[_Level]]=Tasks[[#This Row],[_Level]]-1),ROW(Tasks[[#Headers],[_Level]]:Tasks[[#This Row],[_Level]])),0))</f>
        <v>0</v>
      </c>
      <c r="BV104" s="32" t="n">
        <f aca="false">IFERROR(N(INDEX(Tasks[_Level],Tasks[[#This Row],[_Row]]+1)),0)</f>
        <v>0</v>
      </c>
      <c r="BW104" s="114" t="b">
        <f aca="false">AND(Tasks[[#This Row],[Task Name]]&lt;&gt;"",Tasks[[#This Row],[_NextLevel]]&gt;Tasks[[#This Row],[_Level]])</f>
        <v>0</v>
      </c>
      <c r="BX104" s="32" t="n">
        <f aca="false">IF(Tasks[[#This Row],[_IsSummary]],COUNTIF(Tasks[WBS],Tasks[[#This Row],[WBS]]&amp;".*"),0)</f>
        <v>0</v>
      </c>
      <c r="BY104" s="32" t="n">
        <f aca="false">IF(AND(Tasks[[#This Row],[Task Name]]&lt;&gt;"",NOT(Tasks[[#This Row],[_IsSummary]])),1,0)</f>
        <v>0</v>
      </c>
      <c r="BZ104" s="32" t="n">
        <f aca="false">IF(N(Tasks[[#This Row],[Pred1 UID]])=0,0,IFERROR(MATCH(Tasks[[#This Row],[Pred1 UID]],Tasks[UID],0),-1))</f>
        <v>0</v>
      </c>
      <c r="CA104" s="32" t="n">
        <f aca="false">IF(N(Tasks[[#This Row],[Pred2 UID]])=0,0,IFERROR(MATCH(Tasks[[#This Row],[Pred2 UID]],Tasks[UID],0),-1))</f>
        <v>0</v>
      </c>
      <c r="CB104" s="32" t="n">
        <f aca="false">IF(N(Tasks[[#This Row],[Pred3 UID]])=0,0,IFERROR(MATCH(Tasks[[#This Row],[Pred3 UID]],Tasks[UID],0),-1))</f>
        <v>0</v>
      </c>
      <c r="CC104" s="32" t="n">
        <f aca="false">IF(N(Tasks[[#This Row],[Pred4 UID]])=0,0,IFERROR(MATCH(Tasks[[#This Row],[Pred4 UID]],Tasks[UID],0),-1))</f>
        <v>0</v>
      </c>
      <c r="CD10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4" s="115" t="n">
        <f aca="false">IF(OR(Tasks[[#This Row],[_ConstraintCode]]=2,Tasks[[#This Row],[_ConstraintCode]]=3,Tasks[[#This Row],[_ConstraintCode]]=4,Tasks[[#This Row],[_ConstraintCode]]=6),Tasks[[#This Row],[_ConstraintStart]],0)</f>
        <v>0</v>
      </c>
      <c r="CG104" s="115" t="n">
        <f aca="false">IF(OR(Tasks[[#This Row],[_ConstraintCode]]=2,Tasks[[#This Row],[_ConstraintCode]]=3,Tasks[[#This Row],[_ConstraintCode]]=5,Tasks[[#This Row],[_ConstraintCode]]=7),Tasks[[#This Row],[_ConstraintStart]],2958465)</f>
        <v>2958465</v>
      </c>
      <c r="CH10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4" s="115" t="str">
        <f aca="false">IF(NOT(Tasks[[#This Row],[_IsLeaf]]=1),"",IF(N(Tasks[[#This Row],[Duration]])&lt;=0,Tasks[[#This Row],[_LeafCalcStart]],WORKDAY.INTL(Tasks[[#This Row],[_LeafCalcStart]],Tasks[[#This Row],[Duration]]-1,WorkWeek,Holidays)))</f>
        <v/>
      </c>
      <c r="CJ10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4" s="32" t="n">
        <f aca="false">IF(NOT(Tasks[[#This Row],[_IsLeaf]]=1),0,IF(N(Tasks[[#This Row],[Actual Finish]])&gt;0,1,MIN(1,N(Tasks[[#This Row],[% Complete]]))))</f>
        <v>0</v>
      </c>
      <c r="CM104" s="32" t="n">
        <f aca="false">IF(OR(NOT(Tasks[[#This Row],[_IsLeaf]]=1),Tasks[[#This Row],[Resource]]=""),0,N(Tasks[[#This Row],[Duration]])*HoursPerDay*IF(Tasks[[#This Row],[Units]]="",DefaultUnits,Tasks[[#This Row],[Units]]))</f>
        <v>0</v>
      </c>
      <c r="CN104" s="32" t="n">
        <f aca="false">IF(Tasks[[#This Row],[_LeafWork]]=0,0,Tasks[[#This Row],[_LeafWork]]*IFERROR(INDEX(res_Rate,MATCH(Tasks[[#This Row],[Resource]],res_Name,0)),0))</f>
        <v>0</v>
      </c>
      <c r="CO104" s="32" t="n">
        <f aca="false">Tasks[[#This Row],[_LeafWork]]+IF(Tasks[[#This Row],[_IsLeaf]]=1,SUMIFS(asg_Work,asg_TaskUID,Tasks[[#This Row],[UID]],asg_Valid,1),0)</f>
        <v>0</v>
      </c>
      <c r="CP104" s="32" t="n">
        <f aca="false">Tasks[[#This Row],[_LeafCost]]+IF(Tasks[[#This Row],[_IsLeaf]]=1,SUMIFS(asg_Cost,asg_TaskUID,Tasks[[#This Row],[UID]],asg_Valid,1),0)</f>
        <v>0</v>
      </c>
      <c r="CQ104" s="32" t="n">
        <f aca="false">IF(Tasks[[#This Row],[_LeafTotalCost]]=0,Tasks[[#This Row],[_LeafAC]],Tasks[[#This Row],[_LeafAC]]*Tasks[[#This Row],[_LeafCost]]/Tasks[[#This Row],[_LeafTotalCost]])</f>
        <v>0</v>
      </c>
      <c r="CR10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4" s="32" t="n">
        <f aca="false">IF(NOT(Tasks[[#This Row],[_IsLeaf]]=1),0,MAX(_xlfn.MAXIFS(Tasks[_Row],Tasks[Pred1 UID],Tasks[[#This Row],[UID]]),_xlfn.MAXIFS(Tasks[_Row],Tasks[Pred2 UID],Tasks[[#This Row],[UID]]),_xlfn.MAXIFS(Tasks[_Row],Tasks[Pred3 UID],Tasks[[#This Row],[UID]]),_xlfn.MAXIFS(Tasks[_Row],Tasks[Pred4 UID],Tasks[[#This Row],[UID]])))</f>
        <v>0</v>
      </c>
      <c r="DA10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4" s="115" t="str">
        <f aca="false">IF(NOT(Tasks[[#This Row],[_IsLeaf]]=1),"",IF(N(Tasks[[#This Row],[Duration]])&lt;=0,Tasks[[#This Row],[_LeafLateFinish]],WORKDAY.INTL(Tasks[[#This Row],[_LeafLateFinish]],-(Tasks[[#This Row],[Duration]]-1),WorkWeek,Holidays)))</f>
        <v/>
      </c>
      <c r="DD10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4" s="114" t="b">
        <f aca="false">AND(Tasks[[#This Row],[_IsLeaf]]=1,Tasks[[#This Row],[_LeafProgress]]&lt;1,N(Tasks[[#This Row],[_LeafTotalSlack]])&lt;=CriticalSlackDays)</f>
        <v>0</v>
      </c>
      <c r="DF104" s="32" t="n">
        <f aca="false">IF(AND(Tasks[[#This Row],[_IsLeaf]]=1,Tasks[[#This Row],[_ConstraintCode]]=1,Tasks[[#This Row],[Mode]]&lt;&gt;"Manual",N(Tasks[[#This Row],[Actual Start]])=0),MAX(0,N(Tasks[[#This Row],[Free Slack]])),0)</f>
        <v>0</v>
      </c>
      <c r="DG104" s="115" t="str">
        <f aca="false">IF(NOT(Tasks[[#This Row],[_IsLeaf]]=1),"",IF(Tasks[[#This Row],[_AlapShift]]=0,Tasks[[#This Row],[_LeafCalcStart]],WORKDAY.INTL(Tasks[[#This Row],[_LeafCalcStart]],Tasks[[#This Row],[_AlapShift]],WorkWeek,Holidays)))</f>
        <v/>
      </c>
      <c r="DH104" s="115" t="str">
        <f aca="false">IF(NOT(Tasks[[#This Row],[_IsLeaf]]=1),"",IF(Tasks[[#This Row],[_AlapShift]]=0,Tasks[[#This Row],[_LeafCalcFinish]],WORKDAY.INTL(Tasks[[#This Row],[_LeafCalcFinish]],Tasks[[#This Row],[_AlapShift]],WorkWeek,Holidays)))</f>
        <v/>
      </c>
      <c r="DI104" s="115" t="str">
        <f aca="false">IF(NOT(Tasks[[#This Row],[_IsLeaf]]=1),"",IF(Tasks[[#This Row],[_AlapShift]]=0,Tasks[[#This Row],[_LeafFcstStart]],WORKDAY.INTL(Tasks[[#This Row],[_LeafFcstStart]],Tasks[[#This Row],[_AlapShift]],WorkWeek,Holidays)))</f>
        <v/>
      </c>
      <c r="DJ104" s="115" t="str">
        <f aca="false">IF(NOT(Tasks[[#This Row],[_IsLeaf]]=1),"",IF(Tasks[[#This Row],[_AlapShift]]=0,Tasks[[#This Row],[_LeafFcstFinish]],WORKDAY.INTL(Tasks[[#This Row],[_LeafFcstFinish]],Tasks[[#This Row],[_AlapShift]],WorkWeek,Holidays)))</f>
        <v/>
      </c>
      <c r="DK104" s="115" t="str">
        <f aca="false">IF(Tasks[[#This Row],[Task Name]]="","",IF(Tasks[[#This Row],[_IsSummary]],MIN(INDEX(Tasks[_ShownCalcStart],Tasks[[#This Row],[_Row]]+1):INDEX(Tasks[_ShownCalcStart],Tasks[[#This Row],[_Row]]+Tasks[[#This Row],[_Descendants]])),Tasks[[#This Row],[_ShownCalcStart]]))</f>
        <v/>
      </c>
      <c r="DL104" s="115" t="str">
        <f aca="false">IF(Tasks[[#This Row],[Task Name]]="","",IF(Tasks[[#This Row],[_IsSummary]],MAX(INDEX(Tasks[_ShownCalcFinish],Tasks[[#This Row],[_Row]]+1):INDEX(Tasks[_ShownCalcFinish],Tasks[[#This Row],[_Row]]+Tasks[[#This Row],[_Descendants]])),Tasks[[#This Row],[_ShownCalcFinish]]))</f>
        <v/>
      </c>
      <c r="DM10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4" s="32" t="n">
        <f aca="false">IF(AND(Tasks[[#This Row],[_IsLeaf]]=1,Tasks[[#This Row],[_LeafTotalWork]]&gt;0),NETWORKDAYS.INTL(ProjectStart,Tasks[[#This Row],[_ShownFcstStart]],WorkWeek,Holidays),0)</f>
        <v>0</v>
      </c>
      <c r="DZ104" s="32" t="n">
        <f aca="false">IF(AND(Tasks[[#This Row],[_IsLeaf]]=1,Tasks[[#This Row],[_LeafTotalWork]]&gt;0),MAX(Tasks[[#This Row],[_StartWorkday]],NETWORKDAYS.INTL(ProjectStart,Tasks[[#This Row],[_ShownFcstFinish]],WorkWeek,Holidays)),0)</f>
        <v>0</v>
      </c>
      <c r="EA104" s="32" t="n">
        <f aca="false">IF(AND(Tasks[[#This Row],[_IsLeaf]]=1,Tasks[[#This Row],[_LeafTotalWork]]&gt;0),Tasks[[#This Row],[_LeafWork]]/(Tasks[[#This Row],[_FinishWorkday]]-Tasks[[#This Row],[_StartWorkday]]+1),0)</f>
        <v>0</v>
      </c>
      <c r="EB104" s="32" t="n">
        <f aca="false">Tasks[[#This Row],[_WorkPerWorkday]]*(Tasks[[#This Row],[_StartWorkday]]-1)</f>
        <v>-0</v>
      </c>
      <c r="EC104" s="32" t="n">
        <f aca="false">IF(Tasks[[#This Row],[_IsLeaf]]=1,MAX(N(Tasks[[#This Row],[Duration]]),0.1),0)</f>
        <v>0</v>
      </c>
      <c r="ED104" s="32" t="n">
        <f aca="false">Tasks[[#This Row],[_WeightDur]]*Tasks[[#This Row],[_LeafProgress]]</f>
        <v>0</v>
      </c>
      <c r="EE10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4" s="32" t="str">
        <f aca="false">IF(AND(Tasks[[#This Row],[_IsLeaf]]=1,N(Tasks[[#This Row],[Duration]])=0,Tasks[[#This Row],[_LeafProgress]]&lt;1),Tasks[[#This Row],[_ShownFcstFinish]]+Tasks[[#This Row],[_Row]]/100000,"")</f>
        <v/>
      </c>
      <c r="EG10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4" s="32" t="n">
        <f aca="false">IF(NOT(Tasks[[#This Row],[_IsLeaf]]=1),0,IF(Tasks[[#This Row],[Baseline Cost]]="",Tasks[[#This Row],[_LeafTotalCost]],N(Tasks[[#This Row],[Baseline Cost]])))</f>
        <v>0</v>
      </c>
      <c r="EI104" s="32" t="n">
        <f aca="false">Tasks[[#This Row],[_LeafBudget]]*Tasks[[#This Row],[_PlannedPct]]</f>
        <v>0</v>
      </c>
      <c r="EJ104" s="32" t="n">
        <f aca="false">Tasks[[#This Row],[_LeafBudget]]*Tasks[[#This Row],[_LeafProgress]]</f>
        <v>0</v>
      </c>
      <c r="EK104" s="32" t="n">
        <f aca="false">IF(NOT(Tasks[[#This Row],[_IsLeaf]]=1),0,IF(Tasks[[#This Row],[Actual Cost]]="",Tasks[[#This Row],[_LeafTotalCost]]*Tasks[[#This Row],[_LeafProgress]],N(Tasks[[#This Row],[Actual Cost]])))</f>
        <v>0</v>
      </c>
      <c r="EL104" s="32" t="str">
        <f aca="false">IF(Tasks[[#This Row],[Task Name]]="","",LEFT(Tasks[[#This Row],[WBS]],FIND(".",Tasks[[#This Row],[WBS]]&amp;".")-1))</f>
        <v/>
      </c>
      <c r="EM104" s="32" t="str">
        <f aca="false">IF(AND(Tasks[[#This Row],[Task Name]]&lt;&gt;"",Tasks[[#This Row],[_Level]]=1),Tasks[[#This Row],[_Row]],"")</f>
        <v/>
      </c>
      <c r="EN104" s="32" t="str">
        <f aca="false">IF(AND(Tasks[[#This Row],[_IsLeaf]]=1,N(Tasks[[#This Row],[Duration]])=0),Tasks[[#This Row],[Planned Finish]]+Tasks[[#This Row],[_Row]]/100000,"")</f>
        <v/>
      </c>
      <c r="EO104" s="32" t="str">
        <f aca="false">IF(AND(Tasks[[#This Row],[_IsLeaf]]=1,Tasks[[#This Row],[_LeafProgress]]&lt;1,OR(N(Tasks[[#This Row],[Finish Var]])&gt;0,Tasks[[#This Row],[Status]]="Late Start")),MAX(0,Tasks[[#This Row],[Finish Var]])+1-Tasks[[#This Row],[_Row]]/1000000,"")</f>
        <v/>
      </c>
      <c r="EP104" s="32" t="str">
        <f aca="false">IF(AND(Tasks[[#This Row],[_IsLeaf]]=1,N(Tasks[[#This Row],[Actual Start]])=0,Tasks[[#This Row],[_ShownFcstStart]]&gt;=StatusDate,Tasks[[#This Row],[_ShownFcstStart]]&lt;=LookaheadEnd),Tasks[[#This Row],[_ShownFcstStart]]+Tasks[[#This Row],[_Row]]/100000,"")</f>
        <v/>
      </c>
      <c r="EQ104" s="32" t="str">
        <f aca="false">IF(AND(Tasks[[#This Row],[_IsLeaf]]=1,Tasks[[#This Row],[_LeafProgress]]&lt;1,Tasks[[#This Row],[_ShownFcstFinish]]&gt;=StatusDate,Tasks[[#This Row],[_ShownFcstFinish]]&lt;=LookaheadEnd),Tasks[[#This Row],[_ShownFcstFinish]]+Tasks[[#This Row],[_Row]]/100000,"")</f>
        <v/>
      </c>
      <c r="ER104" s="32" t="str">
        <f aca="false">IF(Tasks[[#This Row],[_LeafCritical]],Tasks[[#This Row],[_ShownFcstStart]]+Tasks[[#This Row],[_Row]]/100000,"")</f>
        <v/>
      </c>
      <c r="ES104" s="32" t="n">
        <f aca="false">Tasks[[#This Row],[_LeafWork]]*Tasks[[#This Row],[_LeafProgress]]</f>
        <v>0</v>
      </c>
      <c r="ET104" s="115" t="str">
        <f aca="false">IF(AND(Tasks[[#This Row],[_IsLeaf]]=1,Tasks[[#This Row],[_LeafProgress]]&gt;=1),IF(N(Tasks[[#This Row],[Actual Finish]])&gt;0,Tasks[[#This Row],[Actual Finish]],Tasks[[#This Row],[_ShownFcstFinish]]),"")</f>
        <v/>
      </c>
      <c r="EU104" s="32" t="n">
        <f aca="false">IF(Tasks[[#This Row],[_IsLeaf]]=1,N(Tasks[[#This Row],[Story Points]]),0)</f>
        <v>0</v>
      </c>
      <c r="EV104" s="32" t="str">
        <f aca="false">IF(AND(Tasks[[#This Row],[_IsLeaf]]=1,CurrentSprint&lt;&gt;"",Tasks[[#This Row],[Sprint]]=CurrentSprint),Tasks[[#This Row],[_Row]],"")</f>
        <v/>
      </c>
    </row>
    <row r="105" customFormat="false" ht="15" hidden="false" customHeight="false" outlineLevel="0" collapsed="false">
      <c r="A105" s="45" t="str">
        <f aca="false">IF(Tasks[[#This Row],[Task Name]]="","",COUNTA(Tasks[[#Headers],[Task Name]]:Tasks[[#This Row],[Task Name]])-1)</f>
        <v/>
      </c>
      <c r="B105" s="46" t="n">
        <v>100</v>
      </c>
      <c r="C10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5" s="46"/>
      <c r="E105" s="45" t="str">
        <f aca="false">IF(Tasks[[#This Row],[Task Name]]="","",IF(Tasks[[#This Row],[_Level]]&lt;=OutlineShowLevel,"Yes","No"))</f>
        <v/>
      </c>
      <c r="F105" s="47"/>
      <c r="G105" s="46"/>
      <c r="H105" s="46"/>
      <c r="I105" s="46"/>
      <c r="J105" s="46"/>
      <c r="K105" s="46"/>
      <c r="L105" s="46"/>
      <c r="M105" s="46"/>
      <c r="N105" s="46"/>
      <c r="O105" s="46"/>
      <c r="P105" s="46"/>
      <c r="Q105" s="46"/>
      <c r="R105" s="46"/>
      <c r="S105" s="46"/>
      <c r="T105" s="46"/>
      <c r="U105" s="47"/>
      <c r="V105" s="88"/>
      <c r="W105" s="88"/>
      <c r="X105" s="25" t="str">
        <f aca="false">IF(Tasks[[#This Row],[Task Name]]="","",IF(N(Tasks[[#This Row],[Baseline Start]])&gt;0,Tasks[[#This Row],[Baseline Start]],Tasks[[#This Row],[_CalcStart]]))</f>
        <v/>
      </c>
      <c r="Y105" s="25" t="str">
        <f aca="false">IF(Tasks[[#This Row],[Task Name]]="","",IF(N(Tasks[[#This Row],[Baseline Finish]])&gt;0,Tasks[[#This Row],[Baseline Finish]],Tasks[[#This Row],[_CalcFinish]]))</f>
        <v/>
      </c>
      <c r="Z105" s="88"/>
      <c r="AA105" s="88"/>
      <c r="AB105" s="25" t="str">
        <f aca="false">IF(Tasks[[#This Row],[Task Name]]="","",IF(Tasks[[#This Row],[_IsSummary]],MIN(INDEX(Tasks[_ShownFcstStart],Tasks[[#This Row],[_Row]]+1):INDEX(Tasks[_ShownFcstStart],Tasks[[#This Row],[_Row]]+Tasks[[#This Row],[_Descendants]])),Tasks[[#This Row],[_ShownFcstStart]]))</f>
        <v/>
      </c>
      <c r="AC105" s="25" t="str">
        <f aca="false">IF(Tasks[[#This Row],[Task Name]]="","",IF(Tasks[[#This Row],[_IsSummary]],MAX(INDEX(Tasks[_ShownFcstFinish],Tasks[[#This Row],[_Row]]+1):INDEX(Tasks[_ShownFcstFinish],Tasks[[#This Row],[_Row]]+Tasks[[#This Row],[_Descendants]])),Tasks[[#This Row],[_ShownFcstFinish]]))</f>
        <v/>
      </c>
      <c r="AD10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5" s="25" t="str">
        <f aca="false">IF(Tasks[[#This Row],[Task Name]]="","",IF(Tasks[[#This Row],[_IsSummary]],MIN(INDEX(Tasks[_LeafLateStart],Tasks[[#This Row],[_Row]]+1):INDEX(Tasks[_LeafLateStart],Tasks[[#This Row],[_Row]]+Tasks[[#This Row],[_Descendants]])),Tasks[[#This Row],[_LeafLateStart]]))</f>
        <v/>
      </c>
      <c r="AG105" s="25" t="str">
        <f aca="false">IF(Tasks[[#This Row],[Task Name]]="","",IF(Tasks[[#This Row],[_IsSummary]],MAX(INDEX(Tasks[_LeafLateFinish],Tasks[[#This Row],[_Row]]+1):INDEX(Tasks[_LeafLateFinish],Tasks[[#This Row],[_Row]]+Tasks[[#This Row],[_Descendants]])),Tasks[[#This Row],[_LeafLateFinish]]))</f>
        <v/>
      </c>
      <c r="AH105" s="56" t="str">
        <f aca="false">IF(Tasks[[#This Row],[Task Name]]="","",IF(Tasks[[#This Row],[_IsSummary]],MIN(INDEX(Tasks[_LeafTotalSlack],Tasks[[#This Row],[_Row]]+1):INDEX(Tasks[_LeafTotalSlack],Tasks[[#This Row],[_Row]]+Tasks[[#This Row],[_Descendants]])),Tasks[[#This Row],[_LeafTotalSlack]]))</f>
        <v/>
      </c>
      <c r="AI10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5" s="45" t="str">
        <f aca="false">IF(Tasks[[#This Row],[Task Name]]="","",IF(IF(Tasks[[#This Row],[_IsSummary]],COUNTIF(INDEX(Tasks[_LeafCritical],Tasks[[#This Row],[_Row]]+1):INDEX(Tasks[_LeafCritical],Tasks[[#This Row],[_Row]]+Tasks[[#This Row],[_Descendants]]),TRUE())&gt;0,Tasks[[#This Row],[_LeafCritical]]),"Yes",""))</f>
        <v/>
      </c>
      <c r="AK10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5" s="102"/>
      <c r="AN10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5" s="45" t="str">
        <f aca="false">IF(Tasks[[#This Row],[Task Name]]="","",IF(Tasks[[#This Row],[Progress]]&gt;=1,"Complete",IF(OR(N(Tasks[[#This Row],[Actual Start]])&gt;0,Tasks[[#This Row],[Progress]]&gt;0),IF(Tasks[[#This Row],[Finish Var]]&gt;0,"Behind","In Progress"),IF(Tasks[[#This Row],[Planned Start]]&lt;StatusDate,"Late Start","Not Started"))))</f>
        <v/>
      </c>
      <c r="AP105" s="47"/>
      <c r="AQ105" s="102"/>
      <c r="AR10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5" s="110" t="str">
        <f aca="false">IF(Tasks[[#This Row],[Task Name]]="","",IF(Tasks[[#This Row],[_IsSummary]],SUM(INDEX(Tasks[_LeafTotalWork],Tasks[[#This Row],[_Row]]+1):INDEX(Tasks[_LeafTotalWork],Tasks[[#This Row],[_Row]]+Tasks[[#This Row],[_Descendants]])),Tasks[[#This Row],[_LeafTotalWork]]))</f>
        <v/>
      </c>
      <c r="AU105" s="111" t="str">
        <f aca="false">IF(Tasks[[#This Row],[Task Name]]="","",IF(Tasks[[#This Row],[_IsSummary]],SUM(INDEX(Tasks[_LeafTotalCost],Tasks[[#This Row],[_Row]]+1):INDEX(Tasks[_LeafTotalCost],Tasks[[#This Row],[_Row]]+Tasks[[#This Row],[_Descendants]])),Tasks[[#This Row],[_LeafTotalCost]]))</f>
        <v/>
      </c>
      <c r="AV105" s="112"/>
      <c r="AW105" s="46"/>
      <c r="AX10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5" s="96"/>
      <c r="AZ10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5" s="47"/>
      <c r="BB105" s="25" t="str">
        <f aca="false">IF(Tasks[[#This Row],[Task Name]]="","",Tasks[[#This Row],[Forecast Start]])</f>
        <v/>
      </c>
      <c r="BC105" s="25" t="str">
        <f aca="false">IF(Tasks[[#This Row],[Task Name]]="","",Tasks[[#This Row],[Forecast Finish]])</f>
        <v/>
      </c>
      <c r="BD105" s="45" t="str">
        <f aca="false">IF(Tasks[[#This Row],[Task Name]]="","",IF(Tasks[[#This Row],[_IsSummary]],NETWORKDAYS.INTL(Tasks[[#This Row],[Forecast Start]],Tasks[[#This Row],[Forecast Finish]],WorkWeek,Holidays),N(Tasks[[#This Row],[Duration]])))</f>
        <v/>
      </c>
      <c r="BE105" s="110" t="str">
        <f aca="false">IF(Tasks[[#This Row],[Task Name]]="","",Tasks[[#This Row],[Work]])</f>
        <v/>
      </c>
      <c r="BF105" s="111" t="str">
        <f aca="false">IF(Tasks[[#This Row],[Task Name]]="","",Tasks[[#This Row],[Cost]])</f>
        <v/>
      </c>
      <c r="BG105" s="88"/>
      <c r="BH105" s="88"/>
      <c r="BI105" s="46"/>
      <c r="BJ105" s="113"/>
      <c r="BK105" s="112"/>
      <c r="BL105" s="45" t="str">
        <f aca="false">IF(OR(Tasks[[#This Row],[Task Name]]="",Tasks[[#This Row],[Baseline Duration]]=""),"",Tasks[[#This Row],[BL Source Duration]]-N(Tasks[[#This Row],[Baseline Duration]]))</f>
        <v/>
      </c>
      <c r="BM105" s="110" t="str">
        <f aca="false">IF(OR(Tasks[[#This Row],[Task Name]]="",Tasks[[#This Row],[Baseline Work]]=""),"",Tasks[[#This Row],[Work]]-N(Tasks[[#This Row],[Baseline Work]]))</f>
        <v/>
      </c>
      <c r="BN105" s="111" t="str">
        <f aca="false">IF(OR(Tasks[[#This Row],[Task Name]]="",Tasks[[#This Row],[Baseline Cost]]=""),"",Tasks[[#This Row],[Cost]]-N(Tasks[[#This Row],[Baseline Cost]]))</f>
        <v/>
      </c>
      <c r="BO105" s="111" t="str">
        <f aca="false">IF(Tasks[[#This Row],[Task Name]]="","",IF(Tasks[[#This Row],[_IsSummary]],SUM(INDEX(Tasks[_LeafBudget],Tasks[[#This Row],[_Row]]+1):INDEX(Tasks[_LeafBudget],Tasks[[#This Row],[_Row]]+Tasks[[#This Row],[_Descendants]])),Tasks[[#This Row],[_LeafBudget]]))</f>
        <v/>
      </c>
      <c r="BP105" s="111" t="str">
        <f aca="false">IF(Tasks[[#This Row],[Task Name]]="","",IF(Tasks[[#This Row],[_IsSummary]],SUM(INDEX(Tasks[_LeafPV],Tasks[[#This Row],[_Row]]+1):INDEX(Tasks[_LeafPV],Tasks[[#This Row],[_Row]]+Tasks[[#This Row],[_Descendants]])),Tasks[[#This Row],[_LeafPV]]))</f>
        <v/>
      </c>
      <c r="BQ105" s="111" t="str">
        <f aca="false">IF(Tasks[[#This Row],[Task Name]]="","",IF(Tasks[[#This Row],[_IsSummary]],SUM(INDEX(Tasks[_LeafEV],Tasks[[#This Row],[_Row]]+1):INDEX(Tasks[_LeafEV],Tasks[[#This Row],[_Row]]+Tasks[[#This Row],[_Descendants]])),Tasks[[#This Row],[_LeafEV]]))</f>
        <v/>
      </c>
      <c r="BR105" s="111" t="str">
        <f aca="false">IF(Tasks[[#This Row],[Task Name]]="","",IF(Tasks[[#This Row],[_IsSummary]],SUM(INDEX(Tasks[_LeafAC],Tasks[[#This Row],[_Row]]+1):INDEX(Tasks[_LeafAC],Tasks[[#This Row],[_Row]]+Tasks[[#This Row],[_Descendants]])),Tasks[[#This Row],[_LeafAC]]))</f>
        <v/>
      </c>
      <c r="BS105" s="32" t="str">
        <f aca="false">IF(Tasks[[#This Row],[Task Name]]="","",MAX(1,N(Tasks[[#This Row],[Level]])))</f>
        <v/>
      </c>
      <c r="BT105" s="32" t="n">
        <f aca="false">ROW()-ROW(Tasks[[#Headers],[ID]])</f>
        <v>100</v>
      </c>
      <c r="BU105" s="32" t="n">
        <f aca="false">IF(OR(Tasks[[#This Row],[Task Name]]="",Tasks[[#This Row],[_Level]]&lt;=1),0,IFERROR(LOOKUP(2,1/(Tasks[[#Headers],[_Level]]:Tasks[[#This Row],[_Level]]=Tasks[[#This Row],[_Level]]-1),ROW(Tasks[[#Headers],[_Level]]:Tasks[[#This Row],[_Level]])),0))</f>
        <v>0</v>
      </c>
      <c r="BV105" s="32" t="n">
        <f aca="false">IFERROR(N(INDEX(Tasks[_Level],Tasks[[#This Row],[_Row]]+1)),0)</f>
        <v>0</v>
      </c>
      <c r="BW105" s="114" t="b">
        <f aca="false">AND(Tasks[[#This Row],[Task Name]]&lt;&gt;"",Tasks[[#This Row],[_NextLevel]]&gt;Tasks[[#This Row],[_Level]])</f>
        <v>0</v>
      </c>
      <c r="BX105" s="32" t="n">
        <f aca="false">IF(Tasks[[#This Row],[_IsSummary]],COUNTIF(Tasks[WBS],Tasks[[#This Row],[WBS]]&amp;".*"),0)</f>
        <v>0</v>
      </c>
      <c r="BY105" s="32" t="n">
        <f aca="false">IF(AND(Tasks[[#This Row],[Task Name]]&lt;&gt;"",NOT(Tasks[[#This Row],[_IsSummary]])),1,0)</f>
        <v>0</v>
      </c>
      <c r="BZ105" s="32" t="n">
        <f aca="false">IF(N(Tasks[[#This Row],[Pred1 UID]])=0,0,IFERROR(MATCH(Tasks[[#This Row],[Pred1 UID]],Tasks[UID],0),-1))</f>
        <v>0</v>
      </c>
      <c r="CA105" s="32" t="n">
        <f aca="false">IF(N(Tasks[[#This Row],[Pred2 UID]])=0,0,IFERROR(MATCH(Tasks[[#This Row],[Pred2 UID]],Tasks[UID],0),-1))</f>
        <v>0</v>
      </c>
      <c r="CB105" s="32" t="n">
        <f aca="false">IF(N(Tasks[[#This Row],[Pred3 UID]])=0,0,IFERROR(MATCH(Tasks[[#This Row],[Pred3 UID]],Tasks[UID],0),-1))</f>
        <v>0</v>
      </c>
      <c r="CC105" s="32" t="n">
        <f aca="false">IF(N(Tasks[[#This Row],[Pred4 UID]])=0,0,IFERROR(MATCH(Tasks[[#This Row],[Pred4 UID]],Tasks[UID],0),-1))</f>
        <v>0</v>
      </c>
      <c r="CD10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5" s="115" t="n">
        <f aca="false">IF(OR(Tasks[[#This Row],[_ConstraintCode]]=2,Tasks[[#This Row],[_ConstraintCode]]=3,Tasks[[#This Row],[_ConstraintCode]]=4,Tasks[[#This Row],[_ConstraintCode]]=6),Tasks[[#This Row],[_ConstraintStart]],0)</f>
        <v>0</v>
      </c>
      <c r="CG105" s="115" t="n">
        <f aca="false">IF(OR(Tasks[[#This Row],[_ConstraintCode]]=2,Tasks[[#This Row],[_ConstraintCode]]=3,Tasks[[#This Row],[_ConstraintCode]]=5,Tasks[[#This Row],[_ConstraintCode]]=7),Tasks[[#This Row],[_ConstraintStart]],2958465)</f>
        <v>2958465</v>
      </c>
      <c r="CH10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5" s="115" t="str">
        <f aca="false">IF(NOT(Tasks[[#This Row],[_IsLeaf]]=1),"",IF(N(Tasks[[#This Row],[Duration]])&lt;=0,Tasks[[#This Row],[_LeafCalcStart]],WORKDAY.INTL(Tasks[[#This Row],[_LeafCalcStart]],Tasks[[#This Row],[Duration]]-1,WorkWeek,Holidays)))</f>
        <v/>
      </c>
      <c r="CJ10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5" s="32" t="n">
        <f aca="false">IF(NOT(Tasks[[#This Row],[_IsLeaf]]=1),0,IF(N(Tasks[[#This Row],[Actual Finish]])&gt;0,1,MIN(1,N(Tasks[[#This Row],[% Complete]]))))</f>
        <v>0</v>
      </c>
      <c r="CM105" s="32" t="n">
        <f aca="false">IF(OR(NOT(Tasks[[#This Row],[_IsLeaf]]=1),Tasks[[#This Row],[Resource]]=""),0,N(Tasks[[#This Row],[Duration]])*HoursPerDay*IF(Tasks[[#This Row],[Units]]="",DefaultUnits,Tasks[[#This Row],[Units]]))</f>
        <v>0</v>
      </c>
      <c r="CN105" s="32" t="n">
        <f aca="false">IF(Tasks[[#This Row],[_LeafWork]]=0,0,Tasks[[#This Row],[_LeafWork]]*IFERROR(INDEX(res_Rate,MATCH(Tasks[[#This Row],[Resource]],res_Name,0)),0))</f>
        <v>0</v>
      </c>
      <c r="CO105" s="32" t="n">
        <f aca="false">Tasks[[#This Row],[_LeafWork]]+IF(Tasks[[#This Row],[_IsLeaf]]=1,SUMIFS(asg_Work,asg_TaskUID,Tasks[[#This Row],[UID]],asg_Valid,1),0)</f>
        <v>0</v>
      </c>
      <c r="CP105" s="32" t="n">
        <f aca="false">Tasks[[#This Row],[_LeafCost]]+IF(Tasks[[#This Row],[_IsLeaf]]=1,SUMIFS(asg_Cost,asg_TaskUID,Tasks[[#This Row],[UID]],asg_Valid,1),0)</f>
        <v>0</v>
      </c>
      <c r="CQ105" s="32" t="n">
        <f aca="false">IF(Tasks[[#This Row],[_LeafTotalCost]]=0,Tasks[[#This Row],[_LeafAC]],Tasks[[#This Row],[_LeafAC]]*Tasks[[#This Row],[_LeafCost]]/Tasks[[#This Row],[_LeafTotalCost]])</f>
        <v>0</v>
      </c>
      <c r="CR10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5" s="32" t="n">
        <f aca="false">IF(NOT(Tasks[[#This Row],[_IsLeaf]]=1),0,MAX(_xlfn.MAXIFS(Tasks[_Row],Tasks[Pred1 UID],Tasks[[#This Row],[UID]]),_xlfn.MAXIFS(Tasks[_Row],Tasks[Pred2 UID],Tasks[[#This Row],[UID]]),_xlfn.MAXIFS(Tasks[_Row],Tasks[Pred3 UID],Tasks[[#This Row],[UID]]),_xlfn.MAXIFS(Tasks[_Row],Tasks[Pred4 UID],Tasks[[#This Row],[UID]])))</f>
        <v>0</v>
      </c>
      <c r="DA10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5" s="115" t="str">
        <f aca="false">IF(NOT(Tasks[[#This Row],[_IsLeaf]]=1),"",IF(N(Tasks[[#This Row],[Duration]])&lt;=0,Tasks[[#This Row],[_LeafLateFinish]],WORKDAY.INTL(Tasks[[#This Row],[_LeafLateFinish]],-(Tasks[[#This Row],[Duration]]-1),WorkWeek,Holidays)))</f>
        <v/>
      </c>
      <c r="DD10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5" s="114" t="b">
        <f aca="false">AND(Tasks[[#This Row],[_IsLeaf]]=1,Tasks[[#This Row],[_LeafProgress]]&lt;1,N(Tasks[[#This Row],[_LeafTotalSlack]])&lt;=CriticalSlackDays)</f>
        <v>0</v>
      </c>
      <c r="DF105" s="32" t="n">
        <f aca="false">IF(AND(Tasks[[#This Row],[_IsLeaf]]=1,Tasks[[#This Row],[_ConstraintCode]]=1,Tasks[[#This Row],[Mode]]&lt;&gt;"Manual",N(Tasks[[#This Row],[Actual Start]])=0),MAX(0,N(Tasks[[#This Row],[Free Slack]])),0)</f>
        <v>0</v>
      </c>
      <c r="DG105" s="115" t="str">
        <f aca="false">IF(NOT(Tasks[[#This Row],[_IsLeaf]]=1),"",IF(Tasks[[#This Row],[_AlapShift]]=0,Tasks[[#This Row],[_LeafCalcStart]],WORKDAY.INTL(Tasks[[#This Row],[_LeafCalcStart]],Tasks[[#This Row],[_AlapShift]],WorkWeek,Holidays)))</f>
        <v/>
      </c>
      <c r="DH105" s="115" t="str">
        <f aca="false">IF(NOT(Tasks[[#This Row],[_IsLeaf]]=1),"",IF(Tasks[[#This Row],[_AlapShift]]=0,Tasks[[#This Row],[_LeafCalcFinish]],WORKDAY.INTL(Tasks[[#This Row],[_LeafCalcFinish]],Tasks[[#This Row],[_AlapShift]],WorkWeek,Holidays)))</f>
        <v/>
      </c>
      <c r="DI105" s="115" t="str">
        <f aca="false">IF(NOT(Tasks[[#This Row],[_IsLeaf]]=1),"",IF(Tasks[[#This Row],[_AlapShift]]=0,Tasks[[#This Row],[_LeafFcstStart]],WORKDAY.INTL(Tasks[[#This Row],[_LeafFcstStart]],Tasks[[#This Row],[_AlapShift]],WorkWeek,Holidays)))</f>
        <v/>
      </c>
      <c r="DJ105" s="115" t="str">
        <f aca="false">IF(NOT(Tasks[[#This Row],[_IsLeaf]]=1),"",IF(Tasks[[#This Row],[_AlapShift]]=0,Tasks[[#This Row],[_LeafFcstFinish]],WORKDAY.INTL(Tasks[[#This Row],[_LeafFcstFinish]],Tasks[[#This Row],[_AlapShift]],WorkWeek,Holidays)))</f>
        <v/>
      </c>
      <c r="DK105" s="115" t="str">
        <f aca="false">IF(Tasks[[#This Row],[Task Name]]="","",IF(Tasks[[#This Row],[_IsSummary]],MIN(INDEX(Tasks[_ShownCalcStart],Tasks[[#This Row],[_Row]]+1):INDEX(Tasks[_ShownCalcStart],Tasks[[#This Row],[_Row]]+Tasks[[#This Row],[_Descendants]])),Tasks[[#This Row],[_ShownCalcStart]]))</f>
        <v/>
      </c>
      <c r="DL105" s="115" t="str">
        <f aca="false">IF(Tasks[[#This Row],[Task Name]]="","",IF(Tasks[[#This Row],[_IsSummary]],MAX(INDEX(Tasks[_ShownCalcFinish],Tasks[[#This Row],[_Row]]+1):INDEX(Tasks[_ShownCalcFinish],Tasks[[#This Row],[_Row]]+Tasks[[#This Row],[_Descendants]])),Tasks[[#This Row],[_ShownCalcFinish]]))</f>
        <v/>
      </c>
      <c r="DM10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5" s="32" t="n">
        <f aca="false">IF(AND(Tasks[[#This Row],[_IsLeaf]]=1,Tasks[[#This Row],[_LeafTotalWork]]&gt;0),NETWORKDAYS.INTL(ProjectStart,Tasks[[#This Row],[_ShownFcstStart]],WorkWeek,Holidays),0)</f>
        <v>0</v>
      </c>
      <c r="DZ105" s="32" t="n">
        <f aca="false">IF(AND(Tasks[[#This Row],[_IsLeaf]]=1,Tasks[[#This Row],[_LeafTotalWork]]&gt;0),MAX(Tasks[[#This Row],[_StartWorkday]],NETWORKDAYS.INTL(ProjectStart,Tasks[[#This Row],[_ShownFcstFinish]],WorkWeek,Holidays)),0)</f>
        <v>0</v>
      </c>
      <c r="EA105" s="32" t="n">
        <f aca="false">IF(AND(Tasks[[#This Row],[_IsLeaf]]=1,Tasks[[#This Row],[_LeafTotalWork]]&gt;0),Tasks[[#This Row],[_LeafWork]]/(Tasks[[#This Row],[_FinishWorkday]]-Tasks[[#This Row],[_StartWorkday]]+1),0)</f>
        <v>0</v>
      </c>
      <c r="EB105" s="32" t="n">
        <f aca="false">Tasks[[#This Row],[_WorkPerWorkday]]*(Tasks[[#This Row],[_StartWorkday]]-1)</f>
        <v>-0</v>
      </c>
      <c r="EC105" s="32" t="n">
        <f aca="false">IF(Tasks[[#This Row],[_IsLeaf]]=1,MAX(N(Tasks[[#This Row],[Duration]]),0.1),0)</f>
        <v>0</v>
      </c>
      <c r="ED105" s="32" t="n">
        <f aca="false">Tasks[[#This Row],[_WeightDur]]*Tasks[[#This Row],[_LeafProgress]]</f>
        <v>0</v>
      </c>
      <c r="EE10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5" s="32" t="str">
        <f aca="false">IF(AND(Tasks[[#This Row],[_IsLeaf]]=1,N(Tasks[[#This Row],[Duration]])=0,Tasks[[#This Row],[_LeafProgress]]&lt;1),Tasks[[#This Row],[_ShownFcstFinish]]+Tasks[[#This Row],[_Row]]/100000,"")</f>
        <v/>
      </c>
      <c r="EG10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5" s="32" t="n">
        <f aca="false">IF(NOT(Tasks[[#This Row],[_IsLeaf]]=1),0,IF(Tasks[[#This Row],[Baseline Cost]]="",Tasks[[#This Row],[_LeafTotalCost]],N(Tasks[[#This Row],[Baseline Cost]])))</f>
        <v>0</v>
      </c>
      <c r="EI105" s="32" t="n">
        <f aca="false">Tasks[[#This Row],[_LeafBudget]]*Tasks[[#This Row],[_PlannedPct]]</f>
        <v>0</v>
      </c>
      <c r="EJ105" s="32" t="n">
        <f aca="false">Tasks[[#This Row],[_LeafBudget]]*Tasks[[#This Row],[_LeafProgress]]</f>
        <v>0</v>
      </c>
      <c r="EK105" s="32" t="n">
        <f aca="false">IF(NOT(Tasks[[#This Row],[_IsLeaf]]=1),0,IF(Tasks[[#This Row],[Actual Cost]]="",Tasks[[#This Row],[_LeafTotalCost]]*Tasks[[#This Row],[_LeafProgress]],N(Tasks[[#This Row],[Actual Cost]])))</f>
        <v>0</v>
      </c>
      <c r="EL105" s="32" t="str">
        <f aca="false">IF(Tasks[[#This Row],[Task Name]]="","",LEFT(Tasks[[#This Row],[WBS]],FIND(".",Tasks[[#This Row],[WBS]]&amp;".")-1))</f>
        <v/>
      </c>
      <c r="EM105" s="32" t="str">
        <f aca="false">IF(AND(Tasks[[#This Row],[Task Name]]&lt;&gt;"",Tasks[[#This Row],[_Level]]=1),Tasks[[#This Row],[_Row]],"")</f>
        <v/>
      </c>
      <c r="EN105" s="32" t="str">
        <f aca="false">IF(AND(Tasks[[#This Row],[_IsLeaf]]=1,N(Tasks[[#This Row],[Duration]])=0),Tasks[[#This Row],[Planned Finish]]+Tasks[[#This Row],[_Row]]/100000,"")</f>
        <v/>
      </c>
      <c r="EO105" s="32" t="str">
        <f aca="false">IF(AND(Tasks[[#This Row],[_IsLeaf]]=1,Tasks[[#This Row],[_LeafProgress]]&lt;1,OR(N(Tasks[[#This Row],[Finish Var]])&gt;0,Tasks[[#This Row],[Status]]="Late Start")),MAX(0,Tasks[[#This Row],[Finish Var]])+1-Tasks[[#This Row],[_Row]]/1000000,"")</f>
        <v/>
      </c>
      <c r="EP105" s="32" t="str">
        <f aca="false">IF(AND(Tasks[[#This Row],[_IsLeaf]]=1,N(Tasks[[#This Row],[Actual Start]])=0,Tasks[[#This Row],[_ShownFcstStart]]&gt;=StatusDate,Tasks[[#This Row],[_ShownFcstStart]]&lt;=LookaheadEnd),Tasks[[#This Row],[_ShownFcstStart]]+Tasks[[#This Row],[_Row]]/100000,"")</f>
        <v/>
      </c>
      <c r="EQ105" s="32" t="str">
        <f aca="false">IF(AND(Tasks[[#This Row],[_IsLeaf]]=1,Tasks[[#This Row],[_LeafProgress]]&lt;1,Tasks[[#This Row],[_ShownFcstFinish]]&gt;=StatusDate,Tasks[[#This Row],[_ShownFcstFinish]]&lt;=LookaheadEnd),Tasks[[#This Row],[_ShownFcstFinish]]+Tasks[[#This Row],[_Row]]/100000,"")</f>
        <v/>
      </c>
      <c r="ER105" s="32" t="str">
        <f aca="false">IF(Tasks[[#This Row],[_LeafCritical]],Tasks[[#This Row],[_ShownFcstStart]]+Tasks[[#This Row],[_Row]]/100000,"")</f>
        <v/>
      </c>
      <c r="ES105" s="32" t="n">
        <f aca="false">Tasks[[#This Row],[_LeafWork]]*Tasks[[#This Row],[_LeafProgress]]</f>
        <v>0</v>
      </c>
      <c r="ET105" s="115" t="str">
        <f aca="false">IF(AND(Tasks[[#This Row],[_IsLeaf]]=1,Tasks[[#This Row],[_LeafProgress]]&gt;=1),IF(N(Tasks[[#This Row],[Actual Finish]])&gt;0,Tasks[[#This Row],[Actual Finish]],Tasks[[#This Row],[_ShownFcstFinish]]),"")</f>
        <v/>
      </c>
      <c r="EU105" s="32" t="n">
        <f aca="false">IF(Tasks[[#This Row],[_IsLeaf]]=1,N(Tasks[[#This Row],[Story Points]]),0)</f>
        <v>0</v>
      </c>
      <c r="EV105" s="32" t="str">
        <f aca="false">IF(AND(Tasks[[#This Row],[_IsLeaf]]=1,CurrentSprint&lt;&gt;"",Tasks[[#This Row],[Sprint]]=CurrentSprint),Tasks[[#This Row],[_Row]],"")</f>
        <v/>
      </c>
    </row>
    <row r="106" customFormat="false" ht="15" hidden="false" customHeight="false" outlineLevel="0" collapsed="false">
      <c r="A106" s="45" t="str">
        <f aca="false">IF(Tasks[[#This Row],[Task Name]]="","",COUNTA(Tasks[[#Headers],[Task Name]]:Tasks[[#This Row],[Task Name]])-1)</f>
        <v/>
      </c>
      <c r="B106" s="46" t="n">
        <v>101</v>
      </c>
      <c r="C10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6" s="46"/>
      <c r="E106" s="45" t="str">
        <f aca="false">IF(Tasks[[#This Row],[Task Name]]="","",IF(Tasks[[#This Row],[_Level]]&lt;=OutlineShowLevel,"Yes","No"))</f>
        <v/>
      </c>
      <c r="F106" s="47"/>
      <c r="G106" s="46"/>
      <c r="H106" s="46"/>
      <c r="I106" s="46"/>
      <c r="J106" s="46"/>
      <c r="K106" s="46"/>
      <c r="L106" s="46"/>
      <c r="M106" s="46"/>
      <c r="N106" s="46"/>
      <c r="O106" s="46"/>
      <c r="P106" s="46"/>
      <c r="Q106" s="46"/>
      <c r="R106" s="46"/>
      <c r="S106" s="46"/>
      <c r="T106" s="46"/>
      <c r="U106" s="47"/>
      <c r="V106" s="88"/>
      <c r="W106" s="88"/>
      <c r="X106" s="25" t="str">
        <f aca="false">IF(Tasks[[#This Row],[Task Name]]="","",IF(N(Tasks[[#This Row],[Baseline Start]])&gt;0,Tasks[[#This Row],[Baseline Start]],Tasks[[#This Row],[_CalcStart]]))</f>
        <v/>
      </c>
      <c r="Y106" s="25" t="str">
        <f aca="false">IF(Tasks[[#This Row],[Task Name]]="","",IF(N(Tasks[[#This Row],[Baseline Finish]])&gt;0,Tasks[[#This Row],[Baseline Finish]],Tasks[[#This Row],[_CalcFinish]]))</f>
        <v/>
      </c>
      <c r="Z106" s="88"/>
      <c r="AA106" s="88"/>
      <c r="AB106" s="25" t="str">
        <f aca="false">IF(Tasks[[#This Row],[Task Name]]="","",IF(Tasks[[#This Row],[_IsSummary]],MIN(INDEX(Tasks[_ShownFcstStart],Tasks[[#This Row],[_Row]]+1):INDEX(Tasks[_ShownFcstStart],Tasks[[#This Row],[_Row]]+Tasks[[#This Row],[_Descendants]])),Tasks[[#This Row],[_ShownFcstStart]]))</f>
        <v/>
      </c>
      <c r="AC106" s="25" t="str">
        <f aca="false">IF(Tasks[[#This Row],[Task Name]]="","",IF(Tasks[[#This Row],[_IsSummary]],MAX(INDEX(Tasks[_ShownFcstFinish],Tasks[[#This Row],[_Row]]+1):INDEX(Tasks[_ShownFcstFinish],Tasks[[#This Row],[_Row]]+Tasks[[#This Row],[_Descendants]])),Tasks[[#This Row],[_ShownFcstFinish]]))</f>
        <v/>
      </c>
      <c r="AD10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6" s="25" t="str">
        <f aca="false">IF(Tasks[[#This Row],[Task Name]]="","",IF(Tasks[[#This Row],[_IsSummary]],MIN(INDEX(Tasks[_LeafLateStart],Tasks[[#This Row],[_Row]]+1):INDEX(Tasks[_LeafLateStart],Tasks[[#This Row],[_Row]]+Tasks[[#This Row],[_Descendants]])),Tasks[[#This Row],[_LeafLateStart]]))</f>
        <v/>
      </c>
      <c r="AG106" s="25" t="str">
        <f aca="false">IF(Tasks[[#This Row],[Task Name]]="","",IF(Tasks[[#This Row],[_IsSummary]],MAX(INDEX(Tasks[_LeafLateFinish],Tasks[[#This Row],[_Row]]+1):INDEX(Tasks[_LeafLateFinish],Tasks[[#This Row],[_Row]]+Tasks[[#This Row],[_Descendants]])),Tasks[[#This Row],[_LeafLateFinish]]))</f>
        <v/>
      </c>
      <c r="AH106" s="56" t="str">
        <f aca="false">IF(Tasks[[#This Row],[Task Name]]="","",IF(Tasks[[#This Row],[_IsSummary]],MIN(INDEX(Tasks[_LeafTotalSlack],Tasks[[#This Row],[_Row]]+1):INDEX(Tasks[_LeafTotalSlack],Tasks[[#This Row],[_Row]]+Tasks[[#This Row],[_Descendants]])),Tasks[[#This Row],[_LeafTotalSlack]]))</f>
        <v/>
      </c>
      <c r="AI10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6" s="45" t="str">
        <f aca="false">IF(Tasks[[#This Row],[Task Name]]="","",IF(IF(Tasks[[#This Row],[_IsSummary]],COUNTIF(INDEX(Tasks[_LeafCritical],Tasks[[#This Row],[_Row]]+1):INDEX(Tasks[_LeafCritical],Tasks[[#This Row],[_Row]]+Tasks[[#This Row],[_Descendants]]),TRUE())&gt;0,Tasks[[#This Row],[_LeafCritical]]),"Yes",""))</f>
        <v/>
      </c>
      <c r="AK10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6" s="102"/>
      <c r="AN10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6" s="45" t="str">
        <f aca="false">IF(Tasks[[#This Row],[Task Name]]="","",IF(Tasks[[#This Row],[Progress]]&gt;=1,"Complete",IF(OR(N(Tasks[[#This Row],[Actual Start]])&gt;0,Tasks[[#This Row],[Progress]]&gt;0),IF(Tasks[[#This Row],[Finish Var]]&gt;0,"Behind","In Progress"),IF(Tasks[[#This Row],[Planned Start]]&lt;StatusDate,"Late Start","Not Started"))))</f>
        <v/>
      </c>
      <c r="AP106" s="47"/>
      <c r="AQ106" s="102"/>
      <c r="AR10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6" s="110" t="str">
        <f aca="false">IF(Tasks[[#This Row],[Task Name]]="","",IF(Tasks[[#This Row],[_IsSummary]],SUM(INDEX(Tasks[_LeafTotalWork],Tasks[[#This Row],[_Row]]+1):INDEX(Tasks[_LeafTotalWork],Tasks[[#This Row],[_Row]]+Tasks[[#This Row],[_Descendants]])),Tasks[[#This Row],[_LeafTotalWork]]))</f>
        <v/>
      </c>
      <c r="AU106" s="111" t="str">
        <f aca="false">IF(Tasks[[#This Row],[Task Name]]="","",IF(Tasks[[#This Row],[_IsSummary]],SUM(INDEX(Tasks[_LeafTotalCost],Tasks[[#This Row],[_Row]]+1):INDEX(Tasks[_LeafTotalCost],Tasks[[#This Row],[_Row]]+Tasks[[#This Row],[_Descendants]])),Tasks[[#This Row],[_LeafTotalCost]]))</f>
        <v/>
      </c>
      <c r="AV106" s="112"/>
      <c r="AW106" s="46"/>
      <c r="AX10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6" s="96"/>
      <c r="AZ10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6" s="47"/>
      <c r="BB106" s="25" t="str">
        <f aca="false">IF(Tasks[[#This Row],[Task Name]]="","",Tasks[[#This Row],[Forecast Start]])</f>
        <v/>
      </c>
      <c r="BC106" s="25" t="str">
        <f aca="false">IF(Tasks[[#This Row],[Task Name]]="","",Tasks[[#This Row],[Forecast Finish]])</f>
        <v/>
      </c>
      <c r="BD106" s="45" t="str">
        <f aca="false">IF(Tasks[[#This Row],[Task Name]]="","",IF(Tasks[[#This Row],[_IsSummary]],NETWORKDAYS.INTL(Tasks[[#This Row],[Forecast Start]],Tasks[[#This Row],[Forecast Finish]],WorkWeek,Holidays),N(Tasks[[#This Row],[Duration]])))</f>
        <v/>
      </c>
      <c r="BE106" s="110" t="str">
        <f aca="false">IF(Tasks[[#This Row],[Task Name]]="","",Tasks[[#This Row],[Work]])</f>
        <v/>
      </c>
      <c r="BF106" s="111" t="str">
        <f aca="false">IF(Tasks[[#This Row],[Task Name]]="","",Tasks[[#This Row],[Cost]])</f>
        <v/>
      </c>
      <c r="BG106" s="88"/>
      <c r="BH106" s="88"/>
      <c r="BI106" s="46"/>
      <c r="BJ106" s="113"/>
      <c r="BK106" s="112"/>
      <c r="BL106" s="45" t="str">
        <f aca="false">IF(OR(Tasks[[#This Row],[Task Name]]="",Tasks[[#This Row],[Baseline Duration]]=""),"",Tasks[[#This Row],[BL Source Duration]]-N(Tasks[[#This Row],[Baseline Duration]]))</f>
        <v/>
      </c>
      <c r="BM106" s="110" t="str">
        <f aca="false">IF(OR(Tasks[[#This Row],[Task Name]]="",Tasks[[#This Row],[Baseline Work]]=""),"",Tasks[[#This Row],[Work]]-N(Tasks[[#This Row],[Baseline Work]]))</f>
        <v/>
      </c>
      <c r="BN106" s="111" t="str">
        <f aca="false">IF(OR(Tasks[[#This Row],[Task Name]]="",Tasks[[#This Row],[Baseline Cost]]=""),"",Tasks[[#This Row],[Cost]]-N(Tasks[[#This Row],[Baseline Cost]]))</f>
        <v/>
      </c>
      <c r="BO106" s="111" t="str">
        <f aca="false">IF(Tasks[[#This Row],[Task Name]]="","",IF(Tasks[[#This Row],[_IsSummary]],SUM(INDEX(Tasks[_LeafBudget],Tasks[[#This Row],[_Row]]+1):INDEX(Tasks[_LeafBudget],Tasks[[#This Row],[_Row]]+Tasks[[#This Row],[_Descendants]])),Tasks[[#This Row],[_LeafBudget]]))</f>
        <v/>
      </c>
      <c r="BP106" s="111" t="str">
        <f aca="false">IF(Tasks[[#This Row],[Task Name]]="","",IF(Tasks[[#This Row],[_IsSummary]],SUM(INDEX(Tasks[_LeafPV],Tasks[[#This Row],[_Row]]+1):INDEX(Tasks[_LeafPV],Tasks[[#This Row],[_Row]]+Tasks[[#This Row],[_Descendants]])),Tasks[[#This Row],[_LeafPV]]))</f>
        <v/>
      </c>
      <c r="BQ106" s="111" t="str">
        <f aca="false">IF(Tasks[[#This Row],[Task Name]]="","",IF(Tasks[[#This Row],[_IsSummary]],SUM(INDEX(Tasks[_LeafEV],Tasks[[#This Row],[_Row]]+1):INDEX(Tasks[_LeafEV],Tasks[[#This Row],[_Row]]+Tasks[[#This Row],[_Descendants]])),Tasks[[#This Row],[_LeafEV]]))</f>
        <v/>
      </c>
      <c r="BR106" s="111" t="str">
        <f aca="false">IF(Tasks[[#This Row],[Task Name]]="","",IF(Tasks[[#This Row],[_IsSummary]],SUM(INDEX(Tasks[_LeafAC],Tasks[[#This Row],[_Row]]+1):INDEX(Tasks[_LeafAC],Tasks[[#This Row],[_Row]]+Tasks[[#This Row],[_Descendants]])),Tasks[[#This Row],[_LeafAC]]))</f>
        <v/>
      </c>
      <c r="BS106" s="32" t="str">
        <f aca="false">IF(Tasks[[#This Row],[Task Name]]="","",MAX(1,N(Tasks[[#This Row],[Level]])))</f>
        <v/>
      </c>
      <c r="BT106" s="32" t="n">
        <f aca="false">ROW()-ROW(Tasks[[#Headers],[ID]])</f>
        <v>101</v>
      </c>
      <c r="BU106" s="32" t="n">
        <f aca="false">IF(OR(Tasks[[#This Row],[Task Name]]="",Tasks[[#This Row],[_Level]]&lt;=1),0,IFERROR(LOOKUP(2,1/(Tasks[[#Headers],[_Level]]:Tasks[[#This Row],[_Level]]=Tasks[[#This Row],[_Level]]-1),ROW(Tasks[[#Headers],[_Level]]:Tasks[[#This Row],[_Level]])),0))</f>
        <v>0</v>
      </c>
      <c r="BV106" s="32" t="n">
        <f aca="false">IFERROR(N(INDEX(Tasks[_Level],Tasks[[#This Row],[_Row]]+1)),0)</f>
        <v>0</v>
      </c>
      <c r="BW106" s="114" t="b">
        <f aca="false">AND(Tasks[[#This Row],[Task Name]]&lt;&gt;"",Tasks[[#This Row],[_NextLevel]]&gt;Tasks[[#This Row],[_Level]])</f>
        <v>0</v>
      </c>
      <c r="BX106" s="32" t="n">
        <f aca="false">IF(Tasks[[#This Row],[_IsSummary]],COUNTIF(Tasks[WBS],Tasks[[#This Row],[WBS]]&amp;".*"),0)</f>
        <v>0</v>
      </c>
      <c r="BY106" s="32" t="n">
        <f aca="false">IF(AND(Tasks[[#This Row],[Task Name]]&lt;&gt;"",NOT(Tasks[[#This Row],[_IsSummary]])),1,0)</f>
        <v>0</v>
      </c>
      <c r="BZ106" s="32" t="n">
        <f aca="false">IF(N(Tasks[[#This Row],[Pred1 UID]])=0,0,IFERROR(MATCH(Tasks[[#This Row],[Pred1 UID]],Tasks[UID],0),-1))</f>
        <v>0</v>
      </c>
      <c r="CA106" s="32" t="n">
        <f aca="false">IF(N(Tasks[[#This Row],[Pred2 UID]])=0,0,IFERROR(MATCH(Tasks[[#This Row],[Pred2 UID]],Tasks[UID],0),-1))</f>
        <v>0</v>
      </c>
      <c r="CB106" s="32" t="n">
        <f aca="false">IF(N(Tasks[[#This Row],[Pred3 UID]])=0,0,IFERROR(MATCH(Tasks[[#This Row],[Pred3 UID]],Tasks[UID],0),-1))</f>
        <v>0</v>
      </c>
      <c r="CC106" s="32" t="n">
        <f aca="false">IF(N(Tasks[[#This Row],[Pred4 UID]])=0,0,IFERROR(MATCH(Tasks[[#This Row],[Pred4 UID]],Tasks[UID],0),-1))</f>
        <v>0</v>
      </c>
      <c r="CD10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6" s="115" t="n">
        <f aca="false">IF(OR(Tasks[[#This Row],[_ConstraintCode]]=2,Tasks[[#This Row],[_ConstraintCode]]=3,Tasks[[#This Row],[_ConstraintCode]]=4,Tasks[[#This Row],[_ConstraintCode]]=6),Tasks[[#This Row],[_ConstraintStart]],0)</f>
        <v>0</v>
      </c>
      <c r="CG106" s="115" t="n">
        <f aca="false">IF(OR(Tasks[[#This Row],[_ConstraintCode]]=2,Tasks[[#This Row],[_ConstraintCode]]=3,Tasks[[#This Row],[_ConstraintCode]]=5,Tasks[[#This Row],[_ConstraintCode]]=7),Tasks[[#This Row],[_ConstraintStart]],2958465)</f>
        <v>2958465</v>
      </c>
      <c r="CH10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6" s="115" t="str">
        <f aca="false">IF(NOT(Tasks[[#This Row],[_IsLeaf]]=1),"",IF(N(Tasks[[#This Row],[Duration]])&lt;=0,Tasks[[#This Row],[_LeafCalcStart]],WORKDAY.INTL(Tasks[[#This Row],[_LeafCalcStart]],Tasks[[#This Row],[Duration]]-1,WorkWeek,Holidays)))</f>
        <v/>
      </c>
      <c r="CJ10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6" s="32" t="n">
        <f aca="false">IF(NOT(Tasks[[#This Row],[_IsLeaf]]=1),0,IF(N(Tasks[[#This Row],[Actual Finish]])&gt;0,1,MIN(1,N(Tasks[[#This Row],[% Complete]]))))</f>
        <v>0</v>
      </c>
      <c r="CM106" s="32" t="n">
        <f aca="false">IF(OR(NOT(Tasks[[#This Row],[_IsLeaf]]=1),Tasks[[#This Row],[Resource]]=""),0,N(Tasks[[#This Row],[Duration]])*HoursPerDay*IF(Tasks[[#This Row],[Units]]="",DefaultUnits,Tasks[[#This Row],[Units]]))</f>
        <v>0</v>
      </c>
      <c r="CN106" s="32" t="n">
        <f aca="false">IF(Tasks[[#This Row],[_LeafWork]]=0,0,Tasks[[#This Row],[_LeafWork]]*IFERROR(INDEX(res_Rate,MATCH(Tasks[[#This Row],[Resource]],res_Name,0)),0))</f>
        <v>0</v>
      </c>
      <c r="CO106" s="32" t="n">
        <f aca="false">Tasks[[#This Row],[_LeafWork]]+IF(Tasks[[#This Row],[_IsLeaf]]=1,SUMIFS(asg_Work,asg_TaskUID,Tasks[[#This Row],[UID]],asg_Valid,1),0)</f>
        <v>0</v>
      </c>
      <c r="CP106" s="32" t="n">
        <f aca="false">Tasks[[#This Row],[_LeafCost]]+IF(Tasks[[#This Row],[_IsLeaf]]=1,SUMIFS(asg_Cost,asg_TaskUID,Tasks[[#This Row],[UID]],asg_Valid,1),0)</f>
        <v>0</v>
      </c>
      <c r="CQ106" s="32" t="n">
        <f aca="false">IF(Tasks[[#This Row],[_LeafTotalCost]]=0,Tasks[[#This Row],[_LeafAC]],Tasks[[#This Row],[_LeafAC]]*Tasks[[#This Row],[_LeafCost]]/Tasks[[#This Row],[_LeafTotalCost]])</f>
        <v>0</v>
      </c>
      <c r="CR10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6" s="32" t="n">
        <f aca="false">IF(NOT(Tasks[[#This Row],[_IsLeaf]]=1),0,MAX(_xlfn.MAXIFS(Tasks[_Row],Tasks[Pred1 UID],Tasks[[#This Row],[UID]]),_xlfn.MAXIFS(Tasks[_Row],Tasks[Pred2 UID],Tasks[[#This Row],[UID]]),_xlfn.MAXIFS(Tasks[_Row],Tasks[Pred3 UID],Tasks[[#This Row],[UID]]),_xlfn.MAXIFS(Tasks[_Row],Tasks[Pred4 UID],Tasks[[#This Row],[UID]])))</f>
        <v>0</v>
      </c>
      <c r="DA10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6" s="115" t="str">
        <f aca="false">IF(NOT(Tasks[[#This Row],[_IsLeaf]]=1),"",IF(N(Tasks[[#This Row],[Duration]])&lt;=0,Tasks[[#This Row],[_LeafLateFinish]],WORKDAY.INTL(Tasks[[#This Row],[_LeafLateFinish]],-(Tasks[[#This Row],[Duration]]-1),WorkWeek,Holidays)))</f>
        <v/>
      </c>
      <c r="DD10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6" s="114" t="b">
        <f aca="false">AND(Tasks[[#This Row],[_IsLeaf]]=1,Tasks[[#This Row],[_LeafProgress]]&lt;1,N(Tasks[[#This Row],[_LeafTotalSlack]])&lt;=CriticalSlackDays)</f>
        <v>0</v>
      </c>
      <c r="DF106" s="32" t="n">
        <f aca="false">IF(AND(Tasks[[#This Row],[_IsLeaf]]=1,Tasks[[#This Row],[_ConstraintCode]]=1,Tasks[[#This Row],[Mode]]&lt;&gt;"Manual",N(Tasks[[#This Row],[Actual Start]])=0),MAX(0,N(Tasks[[#This Row],[Free Slack]])),0)</f>
        <v>0</v>
      </c>
      <c r="DG106" s="115" t="str">
        <f aca="false">IF(NOT(Tasks[[#This Row],[_IsLeaf]]=1),"",IF(Tasks[[#This Row],[_AlapShift]]=0,Tasks[[#This Row],[_LeafCalcStart]],WORKDAY.INTL(Tasks[[#This Row],[_LeafCalcStart]],Tasks[[#This Row],[_AlapShift]],WorkWeek,Holidays)))</f>
        <v/>
      </c>
      <c r="DH106" s="115" t="str">
        <f aca="false">IF(NOT(Tasks[[#This Row],[_IsLeaf]]=1),"",IF(Tasks[[#This Row],[_AlapShift]]=0,Tasks[[#This Row],[_LeafCalcFinish]],WORKDAY.INTL(Tasks[[#This Row],[_LeafCalcFinish]],Tasks[[#This Row],[_AlapShift]],WorkWeek,Holidays)))</f>
        <v/>
      </c>
      <c r="DI106" s="115" t="str">
        <f aca="false">IF(NOT(Tasks[[#This Row],[_IsLeaf]]=1),"",IF(Tasks[[#This Row],[_AlapShift]]=0,Tasks[[#This Row],[_LeafFcstStart]],WORKDAY.INTL(Tasks[[#This Row],[_LeafFcstStart]],Tasks[[#This Row],[_AlapShift]],WorkWeek,Holidays)))</f>
        <v/>
      </c>
      <c r="DJ106" s="115" t="str">
        <f aca="false">IF(NOT(Tasks[[#This Row],[_IsLeaf]]=1),"",IF(Tasks[[#This Row],[_AlapShift]]=0,Tasks[[#This Row],[_LeafFcstFinish]],WORKDAY.INTL(Tasks[[#This Row],[_LeafFcstFinish]],Tasks[[#This Row],[_AlapShift]],WorkWeek,Holidays)))</f>
        <v/>
      </c>
      <c r="DK106" s="115" t="str">
        <f aca="false">IF(Tasks[[#This Row],[Task Name]]="","",IF(Tasks[[#This Row],[_IsSummary]],MIN(INDEX(Tasks[_ShownCalcStart],Tasks[[#This Row],[_Row]]+1):INDEX(Tasks[_ShownCalcStart],Tasks[[#This Row],[_Row]]+Tasks[[#This Row],[_Descendants]])),Tasks[[#This Row],[_ShownCalcStart]]))</f>
        <v/>
      </c>
      <c r="DL106" s="115" t="str">
        <f aca="false">IF(Tasks[[#This Row],[Task Name]]="","",IF(Tasks[[#This Row],[_IsSummary]],MAX(INDEX(Tasks[_ShownCalcFinish],Tasks[[#This Row],[_Row]]+1):INDEX(Tasks[_ShownCalcFinish],Tasks[[#This Row],[_Row]]+Tasks[[#This Row],[_Descendants]])),Tasks[[#This Row],[_ShownCalcFinish]]))</f>
        <v/>
      </c>
      <c r="DM10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6" s="32" t="n">
        <f aca="false">IF(AND(Tasks[[#This Row],[_IsLeaf]]=1,Tasks[[#This Row],[_LeafTotalWork]]&gt;0),NETWORKDAYS.INTL(ProjectStart,Tasks[[#This Row],[_ShownFcstStart]],WorkWeek,Holidays),0)</f>
        <v>0</v>
      </c>
      <c r="DZ106" s="32" t="n">
        <f aca="false">IF(AND(Tasks[[#This Row],[_IsLeaf]]=1,Tasks[[#This Row],[_LeafTotalWork]]&gt;0),MAX(Tasks[[#This Row],[_StartWorkday]],NETWORKDAYS.INTL(ProjectStart,Tasks[[#This Row],[_ShownFcstFinish]],WorkWeek,Holidays)),0)</f>
        <v>0</v>
      </c>
      <c r="EA106" s="32" t="n">
        <f aca="false">IF(AND(Tasks[[#This Row],[_IsLeaf]]=1,Tasks[[#This Row],[_LeafTotalWork]]&gt;0),Tasks[[#This Row],[_LeafWork]]/(Tasks[[#This Row],[_FinishWorkday]]-Tasks[[#This Row],[_StartWorkday]]+1),0)</f>
        <v>0</v>
      </c>
      <c r="EB106" s="32" t="n">
        <f aca="false">Tasks[[#This Row],[_WorkPerWorkday]]*(Tasks[[#This Row],[_StartWorkday]]-1)</f>
        <v>-0</v>
      </c>
      <c r="EC106" s="32" t="n">
        <f aca="false">IF(Tasks[[#This Row],[_IsLeaf]]=1,MAX(N(Tasks[[#This Row],[Duration]]),0.1),0)</f>
        <v>0</v>
      </c>
      <c r="ED106" s="32" t="n">
        <f aca="false">Tasks[[#This Row],[_WeightDur]]*Tasks[[#This Row],[_LeafProgress]]</f>
        <v>0</v>
      </c>
      <c r="EE10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6" s="32" t="str">
        <f aca="false">IF(AND(Tasks[[#This Row],[_IsLeaf]]=1,N(Tasks[[#This Row],[Duration]])=0,Tasks[[#This Row],[_LeafProgress]]&lt;1),Tasks[[#This Row],[_ShownFcstFinish]]+Tasks[[#This Row],[_Row]]/100000,"")</f>
        <v/>
      </c>
      <c r="EG10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6" s="32" t="n">
        <f aca="false">IF(NOT(Tasks[[#This Row],[_IsLeaf]]=1),0,IF(Tasks[[#This Row],[Baseline Cost]]="",Tasks[[#This Row],[_LeafTotalCost]],N(Tasks[[#This Row],[Baseline Cost]])))</f>
        <v>0</v>
      </c>
      <c r="EI106" s="32" t="n">
        <f aca="false">Tasks[[#This Row],[_LeafBudget]]*Tasks[[#This Row],[_PlannedPct]]</f>
        <v>0</v>
      </c>
      <c r="EJ106" s="32" t="n">
        <f aca="false">Tasks[[#This Row],[_LeafBudget]]*Tasks[[#This Row],[_LeafProgress]]</f>
        <v>0</v>
      </c>
      <c r="EK106" s="32" t="n">
        <f aca="false">IF(NOT(Tasks[[#This Row],[_IsLeaf]]=1),0,IF(Tasks[[#This Row],[Actual Cost]]="",Tasks[[#This Row],[_LeafTotalCost]]*Tasks[[#This Row],[_LeafProgress]],N(Tasks[[#This Row],[Actual Cost]])))</f>
        <v>0</v>
      </c>
      <c r="EL106" s="32" t="str">
        <f aca="false">IF(Tasks[[#This Row],[Task Name]]="","",LEFT(Tasks[[#This Row],[WBS]],FIND(".",Tasks[[#This Row],[WBS]]&amp;".")-1))</f>
        <v/>
      </c>
      <c r="EM106" s="32" t="str">
        <f aca="false">IF(AND(Tasks[[#This Row],[Task Name]]&lt;&gt;"",Tasks[[#This Row],[_Level]]=1),Tasks[[#This Row],[_Row]],"")</f>
        <v/>
      </c>
      <c r="EN106" s="32" t="str">
        <f aca="false">IF(AND(Tasks[[#This Row],[_IsLeaf]]=1,N(Tasks[[#This Row],[Duration]])=0),Tasks[[#This Row],[Planned Finish]]+Tasks[[#This Row],[_Row]]/100000,"")</f>
        <v/>
      </c>
      <c r="EO106" s="32" t="str">
        <f aca="false">IF(AND(Tasks[[#This Row],[_IsLeaf]]=1,Tasks[[#This Row],[_LeafProgress]]&lt;1,OR(N(Tasks[[#This Row],[Finish Var]])&gt;0,Tasks[[#This Row],[Status]]="Late Start")),MAX(0,Tasks[[#This Row],[Finish Var]])+1-Tasks[[#This Row],[_Row]]/1000000,"")</f>
        <v/>
      </c>
      <c r="EP106" s="32" t="str">
        <f aca="false">IF(AND(Tasks[[#This Row],[_IsLeaf]]=1,N(Tasks[[#This Row],[Actual Start]])=0,Tasks[[#This Row],[_ShownFcstStart]]&gt;=StatusDate,Tasks[[#This Row],[_ShownFcstStart]]&lt;=LookaheadEnd),Tasks[[#This Row],[_ShownFcstStart]]+Tasks[[#This Row],[_Row]]/100000,"")</f>
        <v/>
      </c>
      <c r="EQ106" s="32" t="str">
        <f aca="false">IF(AND(Tasks[[#This Row],[_IsLeaf]]=1,Tasks[[#This Row],[_LeafProgress]]&lt;1,Tasks[[#This Row],[_ShownFcstFinish]]&gt;=StatusDate,Tasks[[#This Row],[_ShownFcstFinish]]&lt;=LookaheadEnd),Tasks[[#This Row],[_ShownFcstFinish]]+Tasks[[#This Row],[_Row]]/100000,"")</f>
        <v/>
      </c>
      <c r="ER106" s="32" t="str">
        <f aca="false">IF(Tasks[[#This Row],[_LeafCritical]],Tasks[[#This Row],[_ShownFcstStart]]+Tasks[[#This Row],[_Row]]/100000,"")</f>
        <v/>
      </c>
      <c r="ES106" s="32" t="n">
        <f aca="false">Tasks[[#This Row],[_LeafWork]]*Tasks[[#This Row],[_LeafProgress]]</f>
        <v>0</v>
      </c>
      <c r="ET106" s="115" t="str">
        <f aca="false">IF(AND(Tasks[[#This Row],[_IsLeaf]]=1,Tasks[[#This Row],[_LeafProgress]]&gt;=1),IF(N(Tasks[[#This Row],[Actual Finish]])&gt;0,Tasks[[#This Row],[Actual Finish]],Tasks[[#This Row],[_ShownFcstFinish]]),"")</f>
        <v/>
      </c>
      <c r="EU106" s="32" t="n">
        <f aca="false">IF(Tasks[[#This Row],[_IsLeaf]]=1,N(Tasks[[#This Row],[Story Points]]),0)</f>
        <v>0</v>
      </c>
      <c r="EV106" s="32" t="str">
        <f aca="false">IF(AND(Tasks[[#This Row],[_IsLeaf]]=1,CurrentSprint&lt;&gt;"",Tasks[[#This Row],[Sprint]]=CurrentSprint),Tasks[[#This Row],[_Row]],"")</f>
        <v/>
      </c>
    </row>
    <row r="107" customFormat="false" ht="15" hidden="false" customHeight="false" outlineLevel="0" collapsed="false">
      <c r="A107" s="45" t="str">
        <f aca="false">IF(Tasks[[#This Row],[Task Name]]="","",COUNTA(Tasks[[#Headers],[Task Name]]:Tasks[[#This Row],[Task Name]])-1)</f>
        <v/>
      </c>
      <c r="B107" s="46" t="n">
        <v>102</v>
      </c>
      <c r="C10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7" s="46"/>
      <c r="E107" s="45" t="str">
        <f aca="false">IF(Tasks[[#This Row],[Task Name]]="","",IF(Tasks[[#This Row],[_Level]]&lt;=OutlineShowLevel,"Yes","No"))</f>
        <v/>
      </c>
      <c r="F107" s="47"/>
      <c r="G107" s="46"/>
      <c r="H107" s="46"/>
      <c r="I107" s="46"/>
      <c r="J107" s="46"/>
      <c r="K107" s="46"/>
      <c r="L107" s="46"/>
      <c r="M107" s="46"/>
      <c r="N107" s="46"/>
      <c r="O107" s="46"/>
      <c r="P107" s="46"/>
      <c r="Q107" s="46"/>
      <c r="R107" s="46"/>
      <c r="S107" s="46"/>
      <c r="T107" s="46"/>
      <c r="U107" s="47"/>
      <c r="V107" s="88"/>
      <c r="W107" s="88"/>
      <c r="X107" s="25" t="str">
        <f aca="false">IF(Tasks[[#This Row],[Task Name]]="","",IF(N(Tasks[[#This Row],[Baseline Start]])&gt;0,Tasks[[#This Row],[Baseline Start]],Tasks[[#This Row],[_CalcStart]]))</f>
        <v/>
      </c>
      <c r="Y107" s="25" t="str">
        <f aca="false">IF(Tasks[[#This Row],[Task Name]]="","",IF(N(Tasks[[#This Row],[Baseline Finish]])&gt;0,Tasks[[#This Row],[Baseline Finish]],Tasks[[#This Row],[_CalcFinish]]))</f>
        <v/>
      </c>
      <c r="Z107" s="88"/>
      <c r="AA107" s="88"/>
      <c r="AB107" s="25" t="str">
        <f aca="false">IF(Tasks[[#This Row],[Task Name]]="","",IF(Tasks[[#This Row],[_IsSummary]],MIN(INDEX(Tasks[_ShownFcstStart],Tasks[[#This Row],[_Row]]+1):INDEX(Tasks[_ShownFcstStart],Tasks[[#This Row],[_Row]]+Tasks[[#This Row],[_Descendants]])),Tasks[[#This Row],[_ShownFcstStart]]))</f>
        <v/>
      </c>
      <c r="AC107" s="25" t="str">
        <f aca="false">IF(Tasks[[#This Row],[Task Name]]="","",IF(Tasks[[#This Row],[_IsSummary]],MAX(INDEX(Tasks[_ShownFcstFinish],Tasks[[#This Row],[_Row]]+1):INDEX(Tasks[_ShownFcstFinish],Tasks[[#This Row],[_Row]]+Tasks[[#This Row],[_Descendants]])),Tasks[[#This Row],[_ShownFcstFinish]]))</f>
        <v/>
      </c>
      <c r="AD10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7" s="25" t="str">
        <f aca="false">IF(Tasks[[#This Row],[Task Name]]="","",IF(Tasks[[#This Row],[_IsSummary]],MIN(INDEX(Tasks[_LeafLateStart],Tasks[[#This Row],[_Row]]+1):INDEX(Tasks[_LeafLateStart],Tasks[[#This Row],[_Row]]+Tasks[[#This Row],[_Descendants]])),Tasks[[#This Row],[_LeafLateStart]]))</f>
        <v/>
      </c>
      <c r="AG107" s="25" t="str">
        <f aca="false">IF(Tasks[[#This Row],[Task Name]]="","",IF(Tasks[[#This Row],[_IsSummary]],MAX(INDEX(Tasks[_LeafLateFinish],Tasks[[#This Row],[_Row]]+1):INDEX(Tasks[_LeafLateFinish],Tasks[[#This Row],[_Row]]+Tasks[[#This Row],[_Descendants]])),Tasks[[#This Row],[_LeafLateFinish]]))</f>
        <v/>
      </c>
      <c r="AH107" s="56" t="str">
        <f aca="false">IF(Tasks[[#This Row],[Task Name]]="","",IF(Tasks[[#This Row],[_IsSummary]],MIN(INDEX(Tasks[_LeafTotalSlack],Tasks[[#This Row],[_Row]]+1):INDEX(Tasks[_LeafTotalSlack],Tasks[[#This Row],[_Row]]+Tasks[[#This Row],[_Descendants]])),Tasks[[#This Row],[_LeafTotalSlack]]))</f>
        <v/>
      </c>
      <c r="AI10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7" s="45" t="str">
        <f aca="false">IF(Tasks[[#This Row],[Task Name]]="","",IF(IF(Tasks[[#This Row],[_IsSummary]],COUNTIF(INDEX(Tasks[_LeafCritical],Tasks[[#This Row],[_Row]]+1):INDEX(Tasks[_LeafCritical],Tasks[[#This Row],[_Row]]+Tasks[[#This Row],[_Descendants]]),TRUE())&gt;0,Tasks[[#This Row],[_LeafCritical]]),"Yes",""))</f>
        <v/>
      </c>
      <c r="AK10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7" s="102"/>
      <c r="AN10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7" s="45" t="str">
        <f aca="false">IF(Tasks[[#This Row],[Task Name]]="","",IF(Tasks[[#This Row],[Progress]]&gt;=1,"Complete",IF(OR(N(Tasks[[#This Row],[Actual Start]])&gt;0,Tasks[[#This Row],[Progress]]&gt;0),IF(Tasks[[#This Row],[Finish Var]]&gt;0,"Behind","In Progress"),IF(Tasks[[#This Row],[Planned Start]]&lt;StatusDate,"Late Start","Not Started"))))</f>
        <v/>
      </c>
      <c r="AP107" s="47"/>
      <c r="AQ107" s="102"/>
      <c r="AR10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7" s="110" t="str">
        <f aca="false">IF(Tasks[[#This Row],[Task Name]]="","",IF(Tasks[[#This Row],[_IsSummary]],SUM(INDEX(Tasks[_LeafTotalWork],Tasks[[#This Row],[_Row]]+1):INDEX(Tasks[_LeafTotalWork],Tasks[[#This Row],[_Row]]+Tasks[[#This Row],[_Descendants]])),Tasks[[#This Row],[_LeafTotalWork]]))</f>
        <v/>
      </c>
      <c r="AU107" s="111" t="str">
        <f aca="false">IF(Tasks[[#This Row],[Task Name]]="","",IF(Tasks[[#This Row],[_IsSummary]],SUM(INDEX(Tasks[_LeafTotalCost],Tasks[[#This Row],[_Row]]+1):INDEX(Tasks[_LeafTotalCost],Tasks[[#This Row],[_Row]]+Tasks[[#This Row],[_Descendants]])),Tasks[[#This Row],[_LeafTotalCost]]))</f>
        <v/>
      </c>
      <c r="AV107" s="112"/>
      <c r="AW107" s="46"/>
      <c r="AX10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7" s="96"/>
      <c r="AZ10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7" s="47"/>
      <c r="BB107" s="25" t="str">
        <f aca="false">IF(Tasks[[#This Row],[Task Name]]="","",Tasks[[#This Row],[Forecast Start]])</f>
        <v/>
      </c>
      <c r="BC107" s="25" t="str">
        <f aca="false">IF(Tasks[[#This Row],[Task Name]]="","",Tasks[[#This Row],[Forecast Finish]])</f>
        <v/>
      </c>
      <c r="BD107" s="45" t="str">
        <f aca="false">IF(Tasks[[#This Row],[Task Name]]="","",IF(Tasks[[#This Row],[_IsSummary]],NETWORKDAYS.INTL(Tasks[[#This Row],[Forecast Start]],Tasks[[#This Row],[Forecast Finish]],WorkWeek,Holidays),N(Tasks[[#This Row],[Duration]])))</f>
        <v/>
      </c>
      <c r="BE107" s="110" t="str">
        <f aca="false">IF(Tasks[[#This Row],[Task Name]]="","",Tasks[[#This Row],[Work]])</f>
        <v/>
      </c>
      <c r="BF107" s="111" t="str">
        <f aca="false">IF(Tasks[[#This Row],[Task Name]]="","",Tasks[[#This Row],[Cost]])</f>
        <v/>
      </c>
      <c r="BG107" s="88"/>
      <c r="BH107" s="88"/>
      <c r="BI107" s="46"/>
      <c r="BJ107" s="113"/>
      <c r="BK107" s="112"/>
      <c r="BL107" s="45" t="str">
        <f aca="false">IF(OR(Tasks[[#This Row],[Task Name]]="",Tasks[[#This Row],[Baseline Duration]]=""),"",Tasks[[#This Row],[BL Source Duration]]-N(Tasks[[#This Row],[Baseline Duration]]))</f>
        <v/>
      </c>
      <c r="BM107" s="110" t="str">
        <f aca="false">IF(OR(Tasks[[#This Row],[Task Name]]="",Tasks[[#This Row],[Baseline Work]]=""),"",Tasks[[#This Row],[Work]]-N(Tasks[[#This Row],[Baseline Work]]))</f>
        <v/>
      </c>
      <c r="BN107" s="111" t="str">
        <f aca="false">IF(OR(Tasks[[#This Row],[Task Name]]="",Tasks[[#This Row],[Baseline Cost]]=""),"",Tasks[[#This Row],[Cost]]-N(Tasks[[#This Row],[Baseline Cost]]))</f>
        <v/>
      </c>
      <c r="BO107" s="111" t="str">
        <f aca="false">IF(Tasks[[#This Row],[Task Name]]="","",IF(Tasks[[#This Row],[_IsSummary]],SUM(INDEX(Tasks[_LeafBudget],Tasks[[#This Row],[_Row]]+1):INDEX(Tasks[_LeafBudget],Tasks[[#This Row],[_Row]]+Tasks[[#This Row],[_Descendants]])),Tasks[[#This Row],[_LeafBudget]]))</f>
        <v/>
      </c>
      <c r="BP107" s="111" t="str">
        <f aca="false">IF(Tasks[[#This Row],[Task Name]]="","",IF(Tasks[[#This Row],[_IsSummary]],SUM(INDEX(Tasks[_LeafPV],Tasks[[#This Row],[_Row]]+1):INDEX(Tasks[_LeafPV],Tasks[[#This Row],[_Row]]+Tasks[[#This Row],[_Descendants]])),Tasks[[#This Row],[_LeafPV]]))</f>
        <v/>
      </c>
      <c r="BQ107" s="111" t="str">
        <f aca="false">IF(Tasks[[#This Row],[Task Name]]="","",IF(Tasks[[#This Row],[_IsSummary]],SUM(INDEX(Tasks[_LeafEV],Tasks[[#This Row],[_Row]]+1):INDEX(Tasks[_LeafEV],Tasks[[#This Row],[_Row]]+Tasks[[#This Row],[_Descendants]])),Tasks[[#This Row],[_LeafEV]]))</f>
        <v/>
      </c>
      <c r="BR107" s="111" t="str">
        <f aca="false">IF(Tasks[[#This Row],[Task Name]]="","",IF(Tasks[[#This Row],[_IsSummary]],SUM(INDEX(Tasks[_LeafAC],Tasks[[#This Row],[_Row]]+1):INDEX(Tasks[_LeafAC],Tasks[[#This Row],[_Row]]+Tasks[[#This Row],[_Descendants]])),Tasks[[#This Row],[_LeafAC]]))</f>
        <v/>
      </c>
      <c r="BS107" s="32" t="str">
        <f aca="false">IF(Tasks[[#This Row],[Task Name]]="","",MAX(1,N(Tasks[[#This Row],[Level]])))</f>
        <v/>
      </c>
      <c r="BT107" s="32" t="n">
        <f aca="false">ROW()-ROW(Tasks[[#Headers],[ID]])</f>
        <v>102</v>
      </c>
      <c r="BU107" s="32" t="n">
        <f aca="false">IF(OR(Tasks[[#This Row],[Task Name]]="",Tasks[[#This Row],[_Level]]&lt;=1),0,IFERROR(LOOKUP(2,1/(Tasks[[#Headers],[_Level]]:Tasks[[#This Row],[_Level]]=Tasks[[#This Row],[_Level]]-1),ROW(Tasks[[#Headers],[_Level]]:Tasks[[#This Row],[_Level]])),0))</f>
        <v>0</v>
      </c>
      <c r="BV107" s="32" t="n">
        <f aca="false">IFERROR(N(INDEX(Tasks[_Level],Tasks[[#This Row],[_Row]]+1)),0)</f>
        <v>0</v>
      </c>
      <c r="BW107" s="114" t="b">
        <f aca="false">AND(Tasks[[#This Row],[Task Name]]&lt;&gt;"",Tasks[[#This Row],[_NextLevel]]&gt;Tasks[[#This Row],[_Level]])</f>
        <v>0</v>
      </c>
      <c r="BX107" s="32" t="n">
        <f aca="false">IF(Tasks[[#This Row],[_IsSummary]],COUNTIF(Tasks[WBS],Tasks[[#This Row],[WBS]]&amp;".*"),0)</f>
        <v>0</v>
      </c>
      <c r="BY107" s="32" t="n">
        <f aca="false">IF(AND(Tasks[[#This Row],[Task Name]]&lt;&gt;"",NOT(Tasks[[#This Row],[_IsSummary]])),1,0)</f>
        <v>0</v>
      </c>
      <c r="BZ107" s="32" t="n">
        <f aca="false">IF(N(Tasks[[#This Row],[Pred1 UID]])=0,0,IFERROR(MATCH(Tasks[[#This Row],[Pred1 UID]],Tasks[UID],0),-1))</f>
        <v>0</v>
      </c>
      <c r="CA107" s="32" t="n">
        <f aca="false">IF(N(Tasks[[#This Row],[Pred2 UID]])=0,0,IFERROR(MATCH(Tasks[[#This Row],[Pred2 UID]],Tasks[UID],0),-1))</f>
        <v>0</v>
      </c>
      <c r="CB107" s="32" t="n">
        <f aca="false">IF(N(Tasks[[#This Row],[Pred3 UID]])=0,0,IFERROR(MATCH(Tasks[[#This Row],[Pred3 UID]],Tasks[UID],0),-1))</f>
        <v>0</v>
      </c>
      <c r="CC107" s="32" t="n">
        <f aca="false">IF(N(Tasks[[#This Row],[Pred4 UID]])=0,0,IFERROR(MATCH(Tasks[[#This Row],[Pred4 UID]],Tasks[UID],0),-1))</f>
        <v>0</v>
      </c>
      <c r="CD10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7" s="115" t="n">
        <f aca="false">IF(OR(Tasks[[#This Row],[_ConstraintCode]]=2,Tasks[[#This Row],[_ConstraintCode]]=3,Tasks[[#This Row],[_ConstraintCode]]=4,Tasks[[#This Row],[_ConstraintCode]]=6),Tasks[[#This Row],[_ConstraintStart]],0)</f>
        <v>0</v>
      </c>
      <c r="CG107" s="115" t="n">
        <f aca="false">IF(OR(Tasks[[#This Row],[_ConstraintCode]]=2,Tasks[[#This Row],[_ConstraintCode]]=3,Tasks[[#This Row],[_ConstraintCode]]=5,Tasks[[#This Row],[_ConstraintCode]]=7),Tasks[[#This Row],[_ConstraintStart]],2958465)</f>
        <v>2958465</v>
      </c>
      <c r="CH10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7" s="115" t="str">
        <f aca="false">IF(NOT(Tasks[[#This Row],[_IsLeaf]]=1),"",IF(N(Tasks[[#This Row],[Duration]])&lt;=0,Tasks[[#This Row],[_LeafCalcStart]],WORKDAY.INTL(Tasks[[#This Row],[_LeafCalcStart]],Tasks[[#This Row],[Duration]]-1,WorkWeek,Holidays)))</f>
        <v/>
      </c>
      <c r="CJ10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7" s="32" t="n">
        <f aca="false">IF(NOT(Tasks[[#This Row],[_IsLeaf]]=1),0,IF(N(Tasks[[#This Row],[Actual Finish]])&gt;0,1,MIN(1,N(Tasks[[#This Row],[% Complete]]))))</f>
        <v>0</v>
      </c>
      <c r="CM107" s="32" t="n">
        <f aca="false">IF(OR(NOT(Tasks[[#This Row],[_IsLeaf]]=1),Tasks[[#This Row],[Resource]]=""),0,N(Tasks[[#This Row],[Duration]])*HoursPerDay*IF(Tasks[[#This Row],[Units]]="",DefaultUnits,Tasks[[#This Row],[Units]]))</f>
        <v>0</v>
      </c>
      <c r="CN107" s="32" t="n">
        <f aca="false">IF(Tasks[[#This Row],[_LeafWork]]=0,0,Tasks[[#This Row],[_LeafWork]]*IFERROR(INDEX(res_Rate,MATCH(Tasks[[#This Row],[Resource]],res_Name,0)),0))</f>
        <v>0</v>
      </c>
      <c r="CO107" s="32" t="n">
        <f aca="false">Tasks[[#This Row],[_LeafWork]]+IF(Tasks[[#This Row],[_IsLeaf]]=1,SUMIFS(asg_Work,asg_TaskUID,Tasks[[#This Row],[UID]],asg_Valid,1),0)</f>
        <v>0</v>
      </c>
      <c r="CP107" s="32" t="n">
        <f aca="false">Tasks[[#This Row],[_LeafCost]]+IF(Tasks[[#This Row],[_IsLeaf]]=1,SUMIFS(asg_Cost,asg_TaskUID,Tasks[[#This Row],[UID]],asg_Valid,1),0)</f>
        <v>0</v>
      </c>
      <c r="CQ107" s="32" t="n">
        <f aca="false">IF(Tasks[[#This Row],[_LeafTotalCost]]=0,Tasks[[#This Row],[_LeafAC]],Tasks[[#This Row],[_LeafAC]]*Tasks[[#This Row],[_LeafCost]]/Tasks[[#This Row],[_LeafTotalCost]])</f>
        <v>0</v>
      </c>
      <c r="CR10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7" s="32" t="n">
        <f aca="false">IF(NOT(Tasks[[#This Row],[_IsLeaf]]=1),0,MAX(_xlfn.MAXIFS(Tasks[_Row],Tasks[Pred1 UID],Tasks[[#This Row],[UID]]),_xlfn.MAXIFS(Tasks[_Row],Tasks[Pred2 UID],Tasks[[#This Row],[UID]]),_xlfn.MAXIFS(Tasks[_Row],Tasks[Pred3 UID],Tasks[[#This Row],[UID]]),_xlfn.MAXIFS(Tasks[_Row],Tasks[Pred4 UID],Tasks[[#This Row],[UID]])))</f>
        <v>0</v>
      </c>
      <c r="DA10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7" s="115" t="str">
        <f aca="false">IF(NOT(Tasks[[#This Row],[_IsLeaf]]=1),"",IF(N(Tasks[[#This Row],[Duration]])&lt;=0,Tasks[[#This Row],[_LeafLateFinish]],WORKDAY.INTL(Tasks[[#This Row],[_LeafLateFinish]],-(Tasks[[#This Row],[Duration]]-1),WorkWeek,Holidays)))</f>
        <v/>
      </c>
      <c r="DD10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7" s="114" t="b">
        <f aca="false">AND(Tasks[[#This Row],[_IsLeaf]]=1,Tasks[[#This Row],[_LeafProgress]]&lt;1,N(Tasks[[#This Row],[_LeafTotalSlack]])&lt;=CriticalSlackDays)</f>
        <v>0</v>
      </c>
      <c r="DF107" s="32" t="n">
        <f aca="false">IF(AND(Tasks[[#This Row],[_IsLeaf]]=1,Tasks[[#This Row],[_ConstraintCode]]=1,Tasks[[#This Row],[Mode]]&lt;&gt;"Manual",N(Tasks[[#This Row],[Actual Start]])=0),MAX(0,N(Tasks[[#This Row],[Free Slack]])),0)</f>
        <v>0</v>
      </c>
      <c r="DG107" s="115" t="str">
        <f aca="false">IF(NOT(Tasks[[#This Row],[_IsLeaf]]=1),"",IF(Tasks[[#This Row],[_AlapShift]]=0,Tasks[[#This Row],[_LeafCalcStart]],WORKDAY.INTL(Tasks[[#This Row],[_LeafCalcStart]],Tasks[[#This Row],[_AlapShift]],WorkWeek,Holidays)))</f>
        <v/>
      </c>
      <c r="DH107" s="115" t="str">
        <f aca="false">IF(NOT(Tasks[[#This Row],[_IsLeaf]]=1),"",IF(Tasks[[#This Row],[_AlapShift]]=0,Tasks[[#This Row],[_LeafCalcFinish]],WORKDAY.INTL(Tasks[[#This Row],[_LeafCalcFinish]],Tasks[[#This Row],[_AlapShift]],WorkWeek,Holidays)))</f>
        <v/>
      </c>
      <c r="DI107" s="115" t="str">
        <f aca="false">IF(NOT(Tasks[[#This Row],[_IsLeaf]]=1),"",IF(Tasks[[#This Row],[_AlapShift]]=0,Tasks[[#This Row],[_LeafFcstStart]],WORKDAY.INTL(Tasks[[#This Row],[_LeafFcstStart]],Tasks[[#This Row],[_AlapShift]],WorkWeek,Holidays)))</f>
        <v/>
      </c>
      <c r="DJ107" s="115" t="str">
        <f aca="false">IF(NOT(Tasks[[#This Row],[_IsLeaf]]=1),"",IF(Tasks[[#This Row],[_AlapShift]]=0,Tasks[[#This Row],[_LeafFcstFinish]],WORKDAY.INTL(Tasks[[#This Row],[_LeafFcstFinish]],Tasks[[#This Row],[_AlapShift]],WorkWeek,Holidays)))</f>
        <v/>
      </c>
      <c r="DK107" s="115" t="str">
        <f aca="false">IF(Tasks[[#This Row],[Task Name]]="","",IF(Tasks[[#This Row],[_IsSummary]],MIN(INDEX(Tasks[_ShownCalcStart],Tasks[[#This Row],[_Row]]+1):INDEX(Tasks[_ShownCalcStart],Tasks[[#This Row],[_Row]]+Tasks[[#This Row],[_Descendants]])),Tasks[[#This Row],[_ShownCalcStart]]))</f>
        <v/>
      </c>
      <c r="DL107" s="115" t="str">
        <f aca="false">IF(Tasks[[#This Row],[Task Name]]="","",IF(Tasks[[#This Row],[_IsSummary]],MAX(INDEX(Tasks[_ShownCalcFinish],Tasks[[#This Row],[_Row]]+1):INDEX(Tasks[_ShownCalcFinish],Tasks[[#This Row],[_Row]]+Tasks[[#This Row],[_Descendants]])),Tasks[[#This Row],[_ShownCalcFinish]]))</f>
        <v/>
      </c>
      <c r="DM10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7" s="32" t="n">
        <f aca="false">IF(AND(Tasks[[#This Row],[_IsLeaf]]=1,Tasks[[#This Row],[_LeafTotalWork]]&gt;0),NETWORKDAYS.INTL(ProjectStart,Tasks[[#This Row],[_ShownFcstStart]],WorkWeek,Holidays),0)</f>
        <v>0</v>
      </c>
      <c r="DZ107" s="32" t="n">
        <f aca="false">IF(AND(Tasks[[#This Row],[_IsLeaf]]=1,Tasks[[#This Row],[_LeafTotalWork]]&gt;0),MAX(Tasks[[#This Row],[_StartWorkday]],NETWORKDAYS.INTL(ProjectStart,Tasks[[#This Row],[_ShownFcstFinish]],WorkWeek,Holidays)),0)</f>
        <v>0</v>
      </c>
      <c r="EA107" s="32" t="n">
        <f aca="false">IF(AND(Tasks[[#This Row],[_IsLeaf]]=1,Tasks[[#This Row],[_LeafTotalWork]]&gt;0),Tasks[[#This Row],[_LeafWork]]/(Tasks[[#This Row],[_FinishWorkday]]-Tasks[[#This Row],[_StartWorkday]]+1),0)</f>
        <v>0</v>
      </c>
      <c r="EB107" s="32" t="n">
        <f aca="false">Tasks[[#This Row],[_WorkPerWorkday]]*(Tasks[[#This Row],[_StartWorkday]]-1)</f>
        <v>-0</v>
      </c>
      <c r="EC107" s="32" t="n">
        <f aca="false">IF(Tasks[[#This Row],[_IsLeaf]]=1,MAX(N(Tasks[[#This Row],[Duration]]),0.1),0)</f>
        <v>0</v>
      </c>
      <c r="ED107" s="32" t="n">
        <f aca="false">Tasks[[#This Row],[_WeightDur]]*Tasks[[#This Row],[_LeafProgress]]</f>
        <v>0</v>
      </c>
      <c r="EE10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7" s="32" t="str">
        <f aca="false">IF(AND(Tasks[[#This Row],[_IsLeaf]]=1,N(Tasks[[#This Row],[Duration]])=0,Tasks[[#This Row],[_LeafProgress]]&lt;1),Tasks[[#This Row],[_ShownFcstFinish]]+Tasks[[#This Row],[_Row]]/100000,"")</f>
        <v/>
      </c>
      <c r="EG10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7" s="32" t="n">
        <f aca="false">IF(NOT(Tasks[[#This Row],[_IsLeaf]]=1),0,IF(Tasks[[#This Row],[Baseline Cost]]="",Tasks[[#This Row],[_LeafTotalCost]],N(Tasks[[#This Row],[Baseline Cost]])))</f>
        <v>0</v>
      </c>
      <c r="EI107" s="32" t="n">
        <f aca="false">Tasks[[#This Row],[_LeafBudget]]*Tasks[[#This Row],[_PlannedPct]]</f>
        <v>0</v>
      </c>
      <c r="EJ107" s="32" t="n">
        <f aca="false">Tasks[[#This Row],[_LeafBudget]]*Tasks[[#This Row],[_LeafProgress]]</f>
        <v>0</v>
      </c>
      <c r="EK107" s="32" t="n">
        <f aca="false">IF(NOT(Tasks[[#This Row],[_IsLeaf]]=1),0,IF(Tasks[[#This Row],[Actual Cost]]="",Tasks[[#This Row],[_LeafTotalCost]]*Tasks[[#This Row],[_LeafProgress]],N(Tasks[[#This Row],[Actual Cost]])))</f>
        <v>0</v>
      </c>
      <c r="EL107" s="32" t="str">
        <f aca="false">IF(Tasks[[#This Row],[Task Name]]="","",LEFT(Tasks[[#This Row],[WBS]],FIND(".",Tasks[[#This Row],[WBS]]&amp;".")-1))</f>
        <v/>
      </c>
      <c r="EM107" s="32" t="str">
        <f aca="false">IF(AND(Tasks[[#This Row],[Task Name]]&lt;&gt;"",Tasks[[#This Row],[_Level]]=1),Tasks[[#This Row],[_Row]],"")</f>
        <v/>
      </c>
      <c r="EN107" s="32" t="str">
        <f aca="false">IF(AND(Tasks[[#This Row],[_IsLeaf]]=1,N(Tasks[[#This Row],[Duration]])=0),Tasks[[#This Row],[Planned Finish]]+Tasks[[#This Row],[_Row]]/100000,"")</f>
        <v/>
      </c>
      <c r="EO107" s="32" t="str">
        <f aca="false">IF(AND(Tasks[[#This Row],[_IsLeaf]]=1,Tasks[[#This Row],[_LeafProgress]]&lt;1,OR(N(Tasks[[#This Row],[Finish Var]])&gt;0,Tasks[[#This Row],[Status]]="Late Start")),MAX(0,Tasks[[#This Row],[Finish Var]])+1-Tasks[[#This Row],[_Row]]/1000000,"")</f>
        <v/>
      </c>
      <c r="EP107" s="32" t="str">
        <f aca="false">IF(AND(Tasks[[#This Row],[_IsLeaf]]=1,N(Tasks[[#This Row],[Actual Start]])=0,Tasks[[#This Row],[_ShownFcstStart]]&gt;=StatusDate,Tasks[[#This Row],[_ShownFcstStart]]&lt;=LookaheadEnd),Tasks[[#This Row],[_ShownFcstStart]]+Tasks[[#This Row],[_Row]]/100000,"")</f>
        <v/>
      </c>
      <c r="EQ107" s="32" t="str">
        <f aca="false">IF(AND(Tasks[[#This Row],[_IsLeaf]]=1,Tasks[[#This Row],[_LeafProgress]]&lt;1,Tasks[[#This Row],[_ShownFcstFinish]]&gt;=StatusDate,Tasks[[#This Row],[_ShownFcstFinish]]&lt;=LookaheadEnd),Tasks[[#This Row],[_ShownFcstFinish]]+Tasks[[#This Row],[_Row]]/100000,"")</f>
        <v/>
      </c>
      <c r="ER107" s="32" t="str">
        <f aca="false">IF(Tasks[[#This Row],[_LeafCritical]],Tasks[[#This Row],[_ShownFcstStart]]+Tasks[[#This Row],[_Row]]/100000,"")</f>
        <v/>
      </c>
      <c r="ES107" s="32" t="n">
        <f aca="false">Tasks[[#This Row],[_LeafWork]]*Tasks[[#This Row],[_LeafProgress]]</f>
        <v>0</v>
      </c>
      <c r="ET107" s="115" t="str">
        <f aca="false">IF(AND(Tasks[[#This Row],[_IsLeaf]]=1,Tasks[[#This Row],[_LeafProgress]]&gt;=1),IF(N(Tasks[[#This Row],[Actual Finish]])&gt;0,Tasks[[#This Row],[Actual Finish]],Tasks[[#This Row],[_ShownFcstFinish]]),"")</f>
        <v/>
      </c>
      <c r="EU107" s="32" t="n">
        <f aca="false">IF(Tasks[[#This Row],[_IsLeaf]]=1,N(Tasks[[#This Row],[Story Points]]),0)</f>
        <v>0</v>
      </c>
      <c r="EV107" s="32" t="str">
        <f aca="false">IF(AND(Tasks[[#This Row],[_IsLeaf]]=1,CurrentSprint&lt;&gt;"",Tasks[[#This Row],[Sprint]]=CurrentSprint),Tasks[[#This Row],[_Row]],"")</f>
        <v/>
      </c>
    </row>
    <row r="108" customFormat="false" ht="15" hidden="false" customHeight="false" outlineLevel="0" collapsed="false">
      <c r="A108" s="45" t="str">
        <f aca="false">IF(Tasks[[#This Row],[Task Name]]="","",COUNTA(Tasks[[#Headers],[Task Name]]:Tasks[[#This Row],[Task Name]])-1)</f>
        <v/>
      </c>
      <c r="B108" s="46" t="n">
        <v>103</v>
      </c>
      <c r="C10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8" s="46"/>
      <c r="E108" s="45" t="str">
        <f aca="false">IF(Tasks[[#This Row],[Task Name]]="","",IF(Tasks[[#This Row],[_Level]]&lt;=OutlineShowLevel,"Yes","No"))</f>
        <v/>
      </c>
      <c r="F108" s="47"/>
      <c r="G108" s="46"/>
      <c r="H108" s="46"/>
      <c r="I108" s="46"/>
      <c r="J108" s="46"/>
      <c r="K108" s="46"/>
      <c r="L108" s="46"/>
      <c r="M108" s="46"/>
      <c r="N108" s="46"/>
      <c r="O108" s="46"/>
      <c r="P108" s="46"/>
      <c r="Q108" s="46"/>
      <c r="R108" s="46"/>
      <c r="S108" s="46"/>
      <c r="T108" s="46"/>
      <c r="U108" s="47"/>
      <c r="V108" s="88"/>
      <c r="W108" s="88"/>
      <c r="X108" s="25" t="str">
        <f aca="false">IF(Tasks[[#This Row],[Task Name]]="","",IF(N(Tasks[[#This Row],[Baseline Start]])&gt;0,Tasks[[#This Row],[Baseline Start]],Tasks[[#This Row],[_CalcStart]]))</f>
        <v/>
      </c>
      <c r="Y108" s="25" t="str">
        <f aca="false">IF(Tasks[[#This Row],[Task Name]]="","",IF(N(Tasks[[#This Row],[Baseline Finish]])&gt;0,Tasks[[#This Row],[Baseline Finish]],Tasks[[#This Row],[_CalcFinish]]))</f>
        <v/>
      </c>
      <c r="Z108" s="88"/>
      <c r="AA108" s="88"/>
      <c r="AB108" s="25" t="str">
        <f aca="false">IF(Tasks[[#This Row],[Task Name]]="","",IF(Tasks[[#This Row],[_IsSummary]],MIN(INDEX(Tasks[_ShownFcstStart],Tasks[[#This Row],[_Row]]+1):INDEX(Tasks[_ShownFcstStart],Tasks[[#This Row],[_Row]]+Tasks[[#This Row],[_Descendants]])),Tasks[[#This Row],[_ShownFcstStart]]))</f>
        <v/>
      </c>
      <c r="AC108" s="25" t="str">
        <f aca="false">IF(Tasks[[#This Row],[Task Name]]="","",IF(Tasks[[#This Row],[_IsSummary]],MAX(INDEX(Tasks[_ShownFcstFinish],Tasks[[#This Row],[_Row]]+1):INDEX(Tasks[_ShownFcstFinish],Tasks[[#This Row],[_Row]]+Tasks[[#This Row],[_Descendants]])),Tasks[[#This Row],[_ShownFcstFinish]]))</f>
        <v/>
      </c>
      <c r="AD10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8" s="25" t="str">
        <f aca="false">IF(Tasks[[#This Row],[Task Name]]="","",IF(Tasks[[#This Row],[_IsSummary]],MIN(INDEX(Tasks[_LeafLateStart],Tasks[[#This Row],[_Row]]+1):INDEX(Tasks[_LeafLateStart],Tasks[[#This Row],[_Row]]+Tasks[[#This Row],[_Descendants]])),Tasks[[#This Row],[_LeafLateStart]]))</f>
        <v/>
      </c>
      <c r="AG108" s="25" t="str">
        <f aca="false">IF(Tasks[[#This Row],[Task Name]]="","",IF(Tasks[[#This Row],[_IsSummary]],MAX(INDEX(Tasks[_LeafLateFinish],Tasks[[#This Row],[_Row]]+1):INDEX(Tasks[_LeafLateFinish],Tasks[[#This Row],[_Row]]+Tasks[[#This Row],[_Descendants]])),Tasks[[#This Row],[_LeafLateFinish]]))</f>
        <v/>
      </c>
      <c r="AH108" s="56" t="str">
        <f aca="false">IF(Tasks[[#This Row],[Task Name]]="","",IF(Tasks[[#This Row],[_IsSummary]],MIN(INDEX(Tasks[_LeafTotalSlack],Tasks[[#This Row],[_Row]]+1):INDEX(Tasks[_LeafTotalSlack],Tasks[[#This Row],[_Row]]+Tasks[[#This Row],[_Descendants]])),Tasks[[#This Row],[_LeafTotalSlack]]))</f>
        <v/>
      </c>
      <c r="AI10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8" s="45" t="str">
        <f aca="false">IF(Tasks[[#This Row],[Task Name]]="","",IF(IF(Tasks[[#This Row],[_IsSummary]],COUNTIF(INDEX(Tasks[_LeafCritical],Tasks[[#This Row],[_Row]]+1):INDEX(Tasks[_LeafCritical],Tasks[[#This Row],[_Row]]+Tasks[[#This Row],[_Descendants]]),TRUE())&gt;0,Tasks[[#This Row],[_LeafCritical]]),"Yes",""))</f>
        <v/>
      </c>
      <c r="AK10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8" s="102"/>
      <c r="AN10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8" s="45" t="str">
        <f aca="false">IF(Tasks[[#This Row],[Task Name]]="","",IF(Tasks[[#This Row],[Progress]]&gt;=1,"Complete",IF(OR(N(Tasks[[#This Row],[Actual Start]])&gt;0,Tasks[[#This Row],[Progress]]&gt;0),IF(Tasks[[#This Row],[Finish Var]]&gt;0,"Behind","In Progress"),IF(Tasks[[#This Row],[Planned Start]]&lt;StatusDate,"Late Start","Not Started"))))</f>
        <v/>
      </c>
      <c r="AP108" s="47"/>
      <c r="AQ108" s="102"/>
      <c r="AR10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8" s="110" t="str">
        <f aca="false">IF(Tasks[[#This Row],[Task Name]]="","",IF(Tasks[[#This Row],[_IsSummary]],SUM(INDEX(Tasks[_LeafTotalWork],Tasks[[#This Row],[_Row]]+1):INDEX(Tasks[_LeafTotalWork],Tasks[[#This Row],[_Row]]+Tasks[[#This Row],[_Descendants]])),Tasks[[#This Row],[_LeafTotalWork]]))</f>
        <v/>
      </c>
      <c r="AU108" s="111" t="str">
        <f aca="false">IF(Tasks[[#This Row],[Task Name]]="","",IF(Tasks[[#This Row],[_IsSummary]],SUM(INDEX(Tasks[_LeafTotalCost],Tasks[[#This Row],[_Row]]+1):INDEX(Tasks[_LeafTotalCost],Tasks[[#This Row],[_Row]]+Tasks[[#This Row],[_Descendants]])),Tasks[[#This Row],[_LeafTotalCost]]))</f>
        <v/>
      </c>
      <c r="AV108" s="112"/>
      <c r="AW108" s="46"/>
      <c r="AX10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8" s="96"/>
      <c r="AZ10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8" s="47"/>
      <c r="BB108" s="25" t="str">
        <f aca="false">IF(Tasks[[#This Row],[Task Name]]="","",Tasks[[#This Row],[Forecast Start]])</f>
        <v/>
      </c>
      <c r="BC108" s="25" t="str">
        <f aca="false">IF(Tasks[[#This Row],[Task Name]]="","",Tasks[[#This Row],[Forecast Finish]])</f>
        <v/>
      </c>
      <c r="BD108" s="45" t="str">
        <f aca="false">IF(Tasks[[#This Row],[Task Name]]="","",IF(Tasks[[#This Row],[_IsSummary]],NETWORKDAYS.INTL(Tasks[[#This Row],[Forecast Start]],Tasks[[#This Row],[Forecast Finish]],WorkWeek,Holidays),N(Tasks[[#This Row],[Duration]])))</f>
        <v/>
      </c>
      <c r="BE108" s="110" t="str">
        <f aca="false">IF(Tasks[[#This Row],[Task Name]]="","",Tasks[[#This Row],[Work]])</f>
        <v/>
      </c>
      <c r="BF108" s="111" t="str">
        <f aca="false">IF(Tasks[[#This Row],[Task Name]]="","",Tasks[[#This Row],[Cost]])</f>
        <v/>
      </c>
      <c r="BG108" s="88"/>
      <c r="BH108" s="88"/>
      <c r="BI108" s="46"/>
      <c r="BJ108" s="113"/>
      <c r="BK108" s="112"/>
      <c r="BL108" s="45" t="str">
        <f aca="false">IF(OR(Tasks[[#This Row],[Task Name]]="",Tasks[[#This Row],[Baseline Duration]]=""),"",Tasks[[#This Row],[BL Source Duration]]-N(Tasks[[#This Row],[Baseline Duration]]))</f>
        <v/>
      </c>
      <c r="BM108" s="110" t="str">
        <f aca="false">IF(OR(Tasks[[#This Row],[Task Name]]="",Tasks[[#This Row],[Baseline Work]]=""),"",Tasks[[#This Row],[Work]]-N(Tasks[[#This Row],[Baseline Work]]))</f>
        <v/>
      </c>
      <c r="BN108" s="111" t="str">
        <f aca="false">IF(OR(Tasks[[#This Row],[Task Name]]="",Tasks[[#This Row],[Baseline Cost]]=""),"",Tasks[[#This Row],[Cost]]-N(Tasks[[#This Row],[Baseline Cost]]))</f>
        <v/>
      </c>
      <c r="BO108" s="111" t="str">
        <f aca="false">IF(Tasks[[#This Row],[Task Name]]="","",IF(Tasks[[#This Row],[_IsSummary]],SUM(INDEX(Tasks[_LeafBudget],Tasks[[#This Row],[_Row]]+1):INDEX(Tasks[_LeafBudget],Tasks[[#This Row],[_Row]]+Tasks[[#This Row],[_Descendants]])),Tasks[[#This Row],[_LeafBudget]]))</f>
        <v/>
      </c>
      <c r="BP108" s="111" t="str">
        <f aca="false">IF(Tasks[[#This Row],[Task Name]]="","",IF(Tasks[[#This Row],[_IsSummary]],SUM(INDEX(Tasks[_LeafPV],Tasks[[#This Row],[_Row]]+1):INDEX(Tasks[_LeafPV],Tasks[[#This Row],[_Row]]+Tasks[[#This Row],[_Descendants]])),Tasks[[#This Row],[_LeafPV]]))</f>
        <v/>
      </c>
      <c r="BQ108" s="111" t="str">
        <f aca="false">IF(Tasks[[#This Row],[Task Name]]="","",IF(Tasks[[#This Row],[_IsSummary]],SUM(INDEX(Tasks[_LeafEV],Tasks[[#This Row],[_Row]]+1):INDEX(Tasks[_LeafEV],Tasks[[#This Row],[_Row]]+Tasks[[#This Row],[_Descendants]])),Tasks[[#This Row],[_LeafEV]]))</f>
        <v/>
      </c>
      <c r="BR108" s="111" t="str">
        <f aca="false">IF(Tasks[[#This Row],[Task Name]]="","",IF(Tasks[[#This Row],[_IsSummary]],SUM(INDEX(Tasks[_LeafAC],Tasks[[#This Row],[_Row]]+1):INDEX(Tasks[_LeafAC],Tasks[[#This Row],[_Row]]+Tasks[[#This Row],[_Descendants]])),Tasks[[#This Row],[_LeafAC]]))</f>
        <v/>
      </c>
      <c r="BS108" s="32" t="str">
        <f aca="false">IF(Tasks[[#This Row],[Task Name]]="","",MAX(1,N(Tasks[[#This Row],[Level]])))</f>
        <v/>
      </c>
      <c r="BT108" s="32" t="n">
        <f aca="false">ROW()-ROW(Tasks[[#Headers],[ID]])</f>
        <v>103</v>
      </c>
      <c r="BU108" s="32" t="n">
        <f aca="false">IF(OR(Tasks[[#This Row],[Task Name]]="",Tasks[[#This Row],[_Level]]&lt;=1),0,IFERROR(LOOKUP(2,1/(Tasks[[#Headers],[_Level]]:Tasks[[#This Row],[_Level]]=Tasks[[#This Row],[_Level]]-1),ROW(Tasks[[#Headers],[_Level]]:Tasks[[#This Row],[_Level]])),0))</f>
        <v>0</v>
      </c>
      <c r="BV108" s="32" t="n">
        <f aca="false">IFERROR(N(INDEX(Tasks[_Level],Tasks[[#This Row],[_Row]]+1)),0)</f>
        <v>0</v>
      </c>
      <c r="BW108" s="114" t="b">
        <f aca="false">AND(Tasks[[#This Row],[Task Name]]&lt;&gt;"",Tasks[[#This Row],[_NextLevel]]&gt;Tasks[[#This Row],[_Level]])</f>
        <v>0</v>
      </c>
      <c r="BX108" s="32" t="n">
        <f aca="false">IF(Tasks[[#This Row],[_IsSummary]],COUNTIF(Tasks[WBS],Tasks[[#This Row],[WBS]]&amp;".*"),0)</f>
        <v>0</v>
      </c>
      <c r="BY108" s="32" t="n">
        <f aca="false">IF(AND(Tasks[[#This Row],[Task Name]]&lt;&gt;"",NOT(Tasks[[#This Row],[_IsSummary]])),1,0)</f>
        <v>0</v>
      </c>
      <c r="BZ108" s="32" t="n">
        <f aca="false">IF(N(Tasks[[#This Row],[Pred1 UID]])=0,0,IFERROR(MATCH(Tasks[[#This Row],[Pred1 UID]],Tasks[UID],0),-1))</f>
        <v>0</v>
      </c>
      <c r="CA108" s="32" t="n">
        <f aca="false">IF(N(Tasks[[#This Row],[Pred2 UID]])=0,0,IFERROR(MATCH(Tasks[[#This Row],[Pred2 UID]],Tasks[UID],0),-1))</f>
        <v>0</v>
      </c>
      <c r="CB108" s="32" t="n">
        <f aca="false">IF(N(Tasks[[#This Row],[Pred3 UID]])=0,0,IFERROR(MATCH(Tasks[[#This Row],[Pred3 UID]],Tasks[UID],0),-1))</f>
        <v>0</v>
      </c>
      <c r="CC108" s="32" t="n">
        <f aca="false">IF(N(Tasks[[#This Row],[Pred4 UID]])=0,0,IFERROR(MATCH(Tasks[[#This Row],[Pred4 UID]],Tasks[UID],0),-1))</f>
        <v>0</v>
      </c>
      <c r="CD10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8" s="115" t="n">
        <f aca="false">IF(OR(Tasks[[#This Row],[_ConstraintCode]]=2,Tasks[[#This Row],[_ConstraintCode]]=3,Tasks[[#This Row],[_ConstraintCode]]=4,Tasks[[#This Row],[_ConstraintCode]]=6),Tasks[[#This Row],[_ConstraintStart]],0)</f>
        <v>0</v>
      </c>
      <c r="CG108" s="115" t="n">
        <f aca="false">IF(OR(Tasks[[#This Row],[_ConstraintCode]]=2,Tasks[[#This Row],[_ConstraintCode]]=3,Tasks[[#This Row],[_ConstraintCode]]=5,Tasks[[#This Row],[_ConstraintCode]]=7),Tasks[[#This Row],[_ConstraintStart]],2958465)</f>
        <v>2958465</v>
      </c>
      <c r="CH10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8" s="115" t="str">
        <f aca="false">IF(NOT(Tasks[[#This Row],[_IsLeaf]]=1),"",IF(N(Tasks[[#This Row],[Duration]])&lt;=0,Tasks[[#This Row],[_LeafCalcStart]],WORKDAY.INTL(Tasks[[#This Row],[_LeafCalcStart]],Tasks[[#This Row],[Duration]]-1,WorkWeek,Holidays)))</f>
        <v/>
      </c>
      <c r="CJ10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8" s="32" t="n">
        <f aca="false">IF(NOT(Tasks[[#This Row],[_IsLeaf]]=1),0,IF(N(Tasks[[#This Row],[Actual Finish]])&gt;0,1,MIN(1,N(Tasks[[#This Row],[% Complete]]))))</f>
        <v>0</v>
      </c>
      <c r="CM108" s="32" t="n">
        <f aca="false">IF(OR(NOT(Tasks[[#This Row],[_IsLeaf]]=1),Tasks[[#This Row],[Resource]]=""),0,N(Tasks[[#This Row],[Duration]])*HoursPerDay*IF(Tasks[[#This Row],[Units]]="",DefaultUnits,Tasks[[#This Row],[Units]]))</f>
        <v>0</v>
      </c>
      <c r="CN108" s="32" t="n">
        <f aca="false">IF(Tasks[[#This Row],[_LeafWork]]=0,0,Tasks[[#This Row],[_LeafWork]]*IFERROR(INDEX(res_Rate,MATCH(Tasks[[#This Row],[Resource]],res_Name,0)),0))</f>
        <v>0</v>
      </c>
      <c r="CO108" s="32" t="n">
        <f aca="false">Tasks[[#This Row],[_LeafWork]]+IF(Tasks[[#This Row],[_IsLeaf]]=1,SUMIFS(asg_Work,asg_TaskUID,Tasks[[#This Row],[UID]],asg_Valid,1),0)</f>
        <v>0</v>
      </c>
      <c r="CP108" s="32" t="n">
        <f aca="false">Tasks[[#This Row],[_LeafCost]]+IF(Tasks[[#This Row],[_IsLeaf]]=1,SUMIFS(asg_Cost,asg_TaskUID,Tasks[[#This Row],[UID]],asg_Valid,1),0)</f>
        <v>0</v>
      </c>
      <c r="CQ108" s="32" t="n">
        <f aca="false">IF(Tasks[[#This Row],[_LeafTotalCost]]=0,Tasks[[#This Row],[_LeafAC]],Tasks[[#This Row],[_LeafAC]]*Tasks[[#This Row],[_LeafCost]]/Tasks[[#This Row],[_LeafTotalCost]])</f>
        <v>0</v>
      </c>
      <c r="CR10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8" s="32" t="n">
        <f aca="false">IF(NOT(Tasks[[#This Row],[_IsLeaf]]=1),0,MAX(_xlfn.MAXIFS(Tasks[_Row],Tasks[Pred1 UID],Tasks[[#This Row],[UID]]),_xlfn.MAXIFS(Tasks[_Row],Tasks[Pred2 UID],Tasks[[#This Row],[UID]]),_xlfn.MAXIFS(Tasks[_Row],Tasks[Pred3 UID],Tasks[[#This Row],[UID]]),_xlfn.MAXIFS(Tasks[_Row],Tasks[Pred4 UID],Tasks[[#This Row],[UID]])))</f>
        <v>0</v>
      </c>
      <c r="DA10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8" s="115" t="str">
        <f aca="false">IF(NOT(Tasks[[#This Row],[_IsLeaf]]=1),"",IF(N(Tasks[[#This Row],[Duration]])&lt;=0,Tasks[[#This Row],[_LeafLateFinish]],WORKDAY.INTL(Tasks[[#This Row],[_LeafLateFinish]],-(Tasks[[#This Row],[Duration]]-1),WorkWeek,Holidays)))</f>
        <v/>
      </c>
      <c r="DD10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8" s="114" t="b">
        <f aca="false">AND(Tasks[[#This Row],[_IsLeaf]]=1,Tasks[[#This Row],[_LeafProgress]]&lt;1,N(Tasks[[#This Row],[_LeafTotalSlack]])&lt;=CriticalSlackDays)</f>
        <v>0</v>
      </c>
      <c r="DF108" s="32" t="n">
        <f aca="false">IF(AND(Tasks[[#This Row],[_IsLeaf]]=1,Tasks[[#This Row],[_ConstraintCode]]=1,Tasks[[#This Row],[Mode]]&lt;&gt;"Manual",N(Tasks[[#This Row],[Actual Start]])=0),MAX(0,N(Tasks[[#This Row],[Free Slack]])),0)</f>
        <v>0</v>
      </c>
      <c r="DG108" s="115" t="str">
        <f aca="false">IF(NOT(Tasks[[#This Row],[_IsLeaf]]=1),"",IF(Tasks[[#This Row],[_AlapShift]]=0,Tasks[[#This Row],[_LeafCalcStart]],WORKDAY.INTL(Tasks[[#This Row],[_LeafCalcStart]],Tasks[[#This Row],[_AlapShift]],WorkWeek,Holidays)))</f>
        <v/>
      </c>
      <c r="DH108" s="115" t="str">
        <f aca="false">IF(NOT(Tasks[[#This Row],[_IsLeaf]]=1),"",IF(Tasks[[#This Row],[_AlapShift]]=0,Tasks[[#This Row],[_LeafCalcFinish]],WORKDAY.INTL(Tasks[[#This Row],[_LeafCalcFinish]],Tasks[[#This Row],[_AlapShift]],WorkWeek,Holidays)))</f>
        <v/>
      </c>
      <c r="DI108" s="115" t="str">
        <f aca="false">IF(NOT(Tasks[[#This Row],[_IsLeaf]]=1),"",IF(Tasks[[#This Row],[_AlapShift]]=0,Tasks[[#This Row],[_LeafFcstStart]],WORKDAY.INTL(Tasks[[#This Row],[_LeafFcstStart]],Tasks[[#This Row],[_AlapShift]],WorkWeek,Holidays)))</f>
        <v/>
      </c>
      <c r="DJ108" s="115" t="str">
        <f aca="false">IF(NOT(Tasks[[#This Row],[_IsLeaf]]=1),"",IF(Tasks[[#This Row],[_AlapShift]]=0,Tasks[[#This Row],[_LeafFcstFinish]],WORKDAY.INTL(Tasks[[#This Row],[_LeafFcstFinish]],Tasks[[#This Row],[_AlapShift]],WorkWeek,Holidays)))</f>
        <v/>
      </c>
      <c r="DK108" s="115" t="str">
        <f aca="false">IF(Tasks[[#This Row],[Task Name]]="","",IF(Tasks[[#This Row],[_IsSummary]],MIN(INDEX(Tasks[_ShownCalcStart],Tasks[[#This Row],[_Row]]+1):INDEX(Tasks[_ShownCalcStart],Tasks[[#This Row],[_Row]]+Tasks[[#This Row],[_Descendants]])),Tasks[[#This Row],[_ShownCalcStart]]))</f>
        <v/>
      </c>
      <c r="DL108" s="115" t="str">
        <f aca="false">IF(Tasks[[#This Row],[Task Name]]="","",IF(Tasks[[#This Row],[_IsSummary]],MAX(INDEX(Tasks[_ShownCalcFinish],Tasks[[#This Row],[_Row]]+1):INDEX(Tasks[_ShownCalcFinish],Tasks[[#This Row],[_Row]]+Tasks[[#This Row],[_Descendants]])),Tasks[[#This Row],[_ShownCalcFinish]]))</f>
        <v/>
      </c>
      <c r="DM10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8" s="32" t="n">
        <f aca="false">IF(AND(Tasks[[#This Row],[_IsLeaf]]=1,Tasks[[#This Row],[_LeafTotalWork]]&gt;0),NETWORKDAYS.INTL(ProjectStart,Tasks[[#This Row],[_ShownFcstStart]],WorkWeek,Holidays),0)</f>
        <v>0</v>
      </c>
      <c r="DZ108" s="32" t="n">
        <f aca="false">IF(AND(Tasks[[#This Row],[_IsLeaf]]=1,Tasks[[#This Row],[_LeafTotalWork]]&gt;0),MAX(Tasks[[#This Row],[_StartWorkday]],NETWORKDAYS.INTL(ProjectStart,Tasks[[#This Row],[_ShownFcstFinish]],WorkWeek,Holidays)),0)</f>
        <v>0</v>
      </c>
      <c r="EA108" s="32" t="n">
        <f aca="false">IF(AND(Tasks[[#This Row],[_IsLeaf]]=1,Tasks[[#This Row],[_LeafTotalWork]]&gt;0),Tasks[[#This Row],[_LeafWork]]/(Tasks[[#This Row],[_FinishWorkday]]-Tasks[[#This Row],[_StartWorkday]]+1),0)</f>
        <v>0</v>
      </c>
      <c r="EB108" s="32" t="n">
        <f aca="false">Tasks[[#This Row],[_WorkPerWorkday]]*(Tasks[[#This Row],[_StartWorkday]]-1)</f>
        <v>-0</v>
      </c>
      <c r="EC108" s="32" t="n">
        <f aca="false">IF(Tasks[[#This Row],[_IsLeaf]]=1,MAX(N(Tasks[[#This Row],[Duration]]),0.1),0)</f>
        <v>0</v>
      </c>
      <c r="ED108" s="32" t="n">
        <f aca="false">Tasks[[#This Row],[_WeightDur]]*Tasks[[#This Row],[_LeafProgress]]</f>
        <v>0</v>
      </c>
      <c r="EE10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8" s="32" t="str">
        <f aca="false">IF(AND(Tasks[[#This Row],[_IsLeaf]]=1,N(Tasks[[#This Row],[Duration]])=0,Tasks[[#This Row],[_LeafProgress]]&lt;1),Tasks[[#This Row],[_ShownFcstFinish]]+Tasks[[#This Row],[_Row]]/100000,"")</f>
        <v/>
      </c>
      <c r="EG10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8" s="32" t="n">
        <f aca="false">IF(NOT(Tasks[[#This Row],[_IsLeaf]]=1),0,IF(Tasks[[#This Row],[Baseline Cost]]="",Tasks[[#This Row],[_LeafTotalCost]],N(Tasks[[#This Row],[Baseline Cost]])))</f>
        <v>0</v>
      </c>
      <c r="EI108" s="32" t="n">
        <f aca="false">Tasks[[#This Row],[_LeafBudget]]*Tasks[[#This Row],[_PlannedPct]]</f>
        <v>0</v>
      </c>
      <c r="EJ108" s="32" t="n">
        <f aca="false">Tasks[[#This Row],[_LeafBudget]]*Tasks[[#This Row],[_LeafProgress]]</f>
        <v>0</v>
      </c>
      <c r="EK108" s="32" t="n">
        <f aca="false">IF(NOT(Tasks[[#This Row],[_IsLeaf]]=1),0,IF(Tasks[[#This Row],[Actual Cost]]="",Tasks[[#This Row],[_LeafTotalCost]]*Tasks[[#This Row],[_LeafProgress]],N(Tasks[[#This Row],[Actual Cost]])))</f>
        <v>0</v>
      </c>
      <c r="EL108" s="32" t="str">
        <f aca="false">IF(Tasks[[#This Row],[Task Name]]="","",LEFT(Tasks[[#This Row],[WBS]],FIND(".",Tasks[[#This Row],[WBS]]&amp;".")-1))</f>
        <v/>
      </c>
      <c r="EM108" s="32" t="str">
        <f aca="false">IF(AND(Tasks[[#This Row],[Task Name]]&lt;&gt;"",Tasks[[#This Row],[_Level]]=1),Tasks[[#This Row],[_Row]],"")</f>
        <v/>
      </c>
      <c r="EN108" s="32" t="str">
        <f aca="false">IF(AND(Tasks[[#This Row],[_IsLeaf]]=1,N(Tasks[[#This Row],[Duration]])=0),Tasks[[#This Row],[Planned Finish]]+Tasks[[#This Row],[_Row]]/100000,"")</f>
        <v/>
      </c>
      <c r="EO108" s="32" t="str">
        <f aca="false">IF(AND(Tasks[[#This Row],[_IsLeaf]]=1,Tasks[[#This Row],[_LeafProgress]]&lt;1,OR(N(Tasks[[#This Row],[Finish Var]])&gt;0,Tasks[[#This Row],[Status]]="Late Start")),MAX(0,Tasks[[#This Row],[Finish Var]])+1-Tasks[[#This Row],[_Row]]/1000000,"")</f>
        <v/>
      </c>
      <c r="EP108" s="32" t="str">
        <f aca="false">IF(AND(Tasks[[#This Row],[_IsLeaf]]=1,N(Tasks[[#This Row],[Actual Start]])=0,Tasks[[#This Row],[_ShownFcstStart]]&gt;=StatusDate,Tasks[[#This Row],[_ShownFcstStart]]&lt;=LookaheadEnd),Tasks[[#This Row],[_ShownFcstStart]]+Tasks[[#This Row],[_Row]]/100000,"")</f>
        <v/>
      </c>
      <c r="EQ108" s="32" t="str">
        <f aca="false">IF(AND(Tasks[[#This Row],[_IsLeaf]]=1,Tasks[[#This Row],[_LeafProgress]]&lt;1,Tasks[[#This Row],[_ShownFcstFinish]]&gt;=StatusDate,Tasks[[#This Row],[_ShownFcstFinish]]&lt;=LookaheadEnd),Tasks[[#This Row],[_ShownFcstFinish]]+Tasks[[#This Row],[_Row]]/100000,"")</f>
        <v/>
      </c>
      <c r="ER108" s="32" t="str">
        <f aca="false">IF(Tasks[[#This Row],[_LeafCritical]],Tasks[[#This Row],[_ShownFcstStart]]+Tasks[[#This Row],[_Row]]/100000,"")</f>
        <v/>
      </c>
      <c r="ES108" s="32" t="n">
        <f aca="false">Tasks[[#This Row],[_LeafWork]]*Tasks[[#This Row],[_LeafProgress]]</f>
        <v>0</v>
      </c>
      <c r="ET108" s="115" t="str">
        <f aca="false">IF(AND(Tasks[[#This Row],[_IsLeaf]]=1,Tasks[[#This Row],[_LeafProgress]]&gt;=1),IF(N(Tasks[[#This Row],[Actual Finish]])&gt;0,Tasks[[#This Row],[Actual Finish]],Tasks[[#This Row],[_ShownFcstFinish]]),"")</f>
        <v/>
      </c>
      <c r="EU108" s="32" t="n">
        <f aca="false">IF(Tasks[[#This Row],[_IsLeaf]]=1,N(Tasks[[#This Row],[Story Points]]),0)</f>
        <v>0</v>
      </c>
      <c r="EV108" s="32" t="str">
        <f aca="false">IF(AND(Tasks[[#This Row],[_IsLeaf]]=1,CurrentSprint&lt;&gt;"",Tasks[[#This Row],[Sprint]]=CurrentSprint),Tasks[[#This Row],[_Row]],"")</f>
        <v/>
      </c>
    </row>
    <row r="109" customFormat="false" ht="15" hidden="false" customHeight="false" outlineLevel="0" collapsed="false">
      <c r="A109" s="45" t="str">
        <f aca="false">IF(Tasks[[#This Row],[Task Name]]="","",COUNTA(Tasks[[#Headers],[Task Name]]:Tasks[[#This Row],[Task Name]])-1)</f>
        <v/>
      </c>
      <c r="B109" s="46" t="n">
        <v>104</v>
      </c>
      <c r="C10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09" s="46"/>
      <c r="E109" s="45" t="str">
        <f aca="false">IF(Tasks[[#This Row],[Task Name]]="","",IF(Tasks[[#This Row],[_Level]]&lt;=OutlineShowLevel,"Yes","No"))</f>
        <v/>
      </c>
      <c r="F109" s="47"/>
      <c r="G109" s="46"/>
      <c r="H109" s="46"/>
      <c r="I109" s="46"/>
      <c r="J109" s="46"/>
      <c r="K109" s="46"/>
      <c r="L109" s="46"/>
      <c r="M109" s="46"/>
      <c r="N109" s="46"/>
      <c r="O109" s="46"/>
      <c r="P109" s="46"/>
      <c r="Q109" s="46"/>
      <c r="R109" s="46"/>
      <c r="S109" s="46"/>
      <c r="T109" s="46"/>
      <c r="U109" s="47"/>
      <c r="V109" s="88"/>
      <c r="W109" s="88"/>
      <c r="X109" s="25" t="str">
        <f aca="false">IF(Tasks[[#This Row],[Task Name]]="","",IF(N(Tasks[[#This Row],[Baseline Start]])&gt;0,Tasks[[#This Row],[Baseline Start]],Tasks[[#This Row],[_CalcStart]]))</f>
        <v/>
      </c>
      <c r="Y109" s="25" t="str">
        <f aca="false">IF(Tasks[[#This Row],[Task Name]]="","",IF(N(Tasks[[#This Row],[Baseline Finish]])&gt;0,Tasks[[#This Row],[Baseline Finish]],Tasks[[#This Row],[_CalcFinish]]))</f>
        <v/>
      </c>
      <c r="Z109" s="88"/>
      <c r="AA109" s="88"/>
      <c r="AB109" s="25" t="str">
        <f aca="false">IF(Tasks[[#This Row],[Task Name]]="","",IF(Tasks[[#This Row],[_IsSummary]],MIN(INDEX(Tasks[_ShownFcstStart],Tasks[[#This Row],[_Row]]+1):INDEX(Tasks[_ShownFcstStart],Tasks[[#This Row],[_Row]]+Tasks[[#This Row],[_Descendants]])),Tasks[[#This Row],[_ShownFcstStart]]))</f>
        <v/>
      </c>
      <c r="AC109" s="25" t="str">
        <f aca="false">IF(Tasks[[#This Row],[Task Name]]="","",IF(Tasks[[#This Row],[_IsSummary]],MAX(INDEX(Tasks[_ShownFcstFinish],Tasks[[#This Row],[_Row]]+1):INDEX(Tasks[_ShownFcstFinish],Tasks[[#This Row],[_Row]]+Tasks[[#This Row],[_Descendants]])),Tasks[[#This Row],[_ShownFcstFinish]]))</f>
        <v/>
      </c>
      <c r="AD10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0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09" s="25" t="str">
        <f aca="false">IF(Tasks[[#This Row],[Task Name]]="","",IF(Tasks[[#This Row],[_IsSummary]],MIN(INDEX(Tasks[_LeafLateStart],Tasks[[#This Row],[_Row]]+1):INDEX(Tasks[_LeafLateStart],Tasks[[#This Row],[_Row]]+Tasks[[#This Row],[_Descendants]])),Tasks[[#This Row],[_LeafLateStart]]))</f>
        <v/>
      </c>
      <c r="AG109" s="25" t="str">
        <f aca="false">IF(Tasks[[#This Row],[Task Name]]="","",IF(Tasks[[#This Row],[_IsSummary]],MAX(INDEX(Tasks[_LeafLateFinish],Tasks[[#This Row],[_Row]]+1):INDEX(Tasks[_LeafLateFinish],Tasks[[#This Row],[_Row]]+Tasks[[#This Row],[_Descendants]])),Tasks[[#This Row],[_LeafLateFinish]]))</f>
        <v/>
      </c>
      <c r="AH109" s="56" t="str">
        <f aca="false">IF(Tasks[[#This Row],[Task Name]]="","",IF(Tasks[[#This Row],[_IsSummary]],MIN(INDEX(Tasks[_LeafTotalSlack],Tasks[[#This Row],[_Row]]+1):INDEX(Tasks[_LeafTotalSlack],Tasks[[#This Row],[_Row]]+Tasks[[#This Row],[_Descendants]])),Tasks[[#This Row],[_LeafTotalSlack]]))</f>
        <v/>
      </c>
      <c r="AI10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09" s="45" t="str">
        <f aca="false">IF(Tasks[[#This Row],[Task Name]]="","",IF(IF(Tasks[[#This Row],[_IsSummary]],COUNTIF(INDEX(Tasks[_LeafCritical],Tasks[[#This Row],[_Row]]+1):INDEX(Tasks[_LeafCritical],Tasks[[#This Row],[_Row]]+Tasks[[#This Row],[_Descendants]]),TRUE())&gt;0,Tasks[[#This Row],[_LeafCritical]]),"Yes",""))</f>
        <v/>
      </c>
      <c r="AK10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0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09" s="102"/>
      <c r="AN10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09" s="45" t="str">
        <f aca="false">IF(Tasks[[#This Row],[Task Name]]="","",IF(Tasks[[#This Row],[Progress]]&gt;=1,"Complete",IF(OR(N(Tasks[[#This Row],[Actual Start]])&gt;0,Tasks[[#This Row],[Progress]]&gt;0),IF(Tasks[[#This Row],[Finish Var]]&gt;0,"Behind","In Progress"),IF(Tasks[[#This Row],[Planned Start]]&lt;StatusDate,"Late Start","Not Started"))))</f>
        <v/>
      </c>
      <c r="AP109" s="47"/>
      <c r="AQ109" s="102"/>
      <c r="AR10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0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09" s="110" t="str">
        <f aca="false">IF(Tasks[[#This Row],[Task Name]]="","",IF(Tasks[[#This Row],[_IsSummary]],SUM(INDEX(Tasks[_LeafTotalWork],Tasks[[#This Row],[_Row]]+1):INDEX(Tasks[_LeafTotalWork],Tasks[[#This Row],[_Row]]+Tasks[[#This Row],[_Descendants]])),Tasks[[#This Row],[_LeafTotalWork]]))</f>
        <v/>
      </c>
      <c r="AU109" s="111" t="str">
        <f aca="false">IF(Tasks[[#This Row],[Task Name]]="","",IF(Tasks[[#This Row],[_IsSummary]],SUM(INDEX(Tasks[_LeafTotalCost],Tasks[[#This Row],[_Row]]+1):INDEX(Tasks[_LeafTotalCost],Tasks[[#This Row],[_Row]]+Tasks[[#This Row],[_Descendants]])),Tasks[[#This Row],[_LeafTotalCost]]))</f>
        <v/>
      </c>
      <c r="AV109" s="112"/>
      <c r="AW109" s="46"/>
      <c r="AX10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09" s="96"/>
      <c r="AZ10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09" s="47"/>
      <c r="BB109" s="25" t="str">
        <f aca="false">IF(Tasks[[#This Row],[Task Name]]="","",Tasks[[#This Row],[Forecast Start]])</f>
        <v/>
      </c>
      <c r="BC109" s="25" t="str">
        <f aca="false">IF(Tasks[[#This Row],[Task Name]]="","",Tasks[[#This Row],[Forecast Finish]])</f>
        <v/>
      </c>
      <c r="BD109" s="45" t="str">
        <f aca="false">IF(Tasks[[#This Row],[Task Name]]="","",IF(Tasks[[#This Row],[_IsSummary]],NETWORKDAYS.INTL(Tasks[[#This Row],[Forecast Start]],Tasks[[#This Row],[Forecast Finish]],WorkWeek,Holidays),N(Tasks[[#This Row],[Duration]])))</f>
        <v/>
      </c>
      <c r="BE109" s="110" t="str">
        <f aca="false">IF(Tasks[[#This Row],[Task Name]]="","",Tasks[[#This Row],[Work]])</f>
        <v/>
      </c>
      <c r="BF109" s="111" t="str">
        <f aca="false">IF(Tasks[[#This Row],[Task Name]]="","",Tasks[[#This Row],[Cost]])</f>
        <v/>
      </c>
      <c r="BG109" s="88"/>
      <c r="BH109" s="88"/>
      <c r="BI109" s="46"/>
      <c r="BJ109" s="113"/>
      <c r="BK109" s="112"/>
      <c r="BL109" s="45" t="str">
        <f aca="false">IF(OR(Tasks[[#This Row],[Task Name]]="",Tasks[[#This Row],[Baseline Duration]]=""),"",Tasks[[#This Row],[BL Source Duration]]-N(Tasks[[#This Row],[Baseline Duration]]))</f>
        <v/>
      </c>
      <c r="BM109" s="110" t="str">
        <f aca="false">IF(OR(Tasks[[#This Row],[Task Name]]="",Tasks[[#This Row],[Baseline Work]]=""),"",Tasks[[#This Row],[Work]]-N(Tasks[[#This Row],[Baseline Work]]))</f>
        <v/>
      </c>
      <c r="BN109" s="111" t="str">
        <f aca="false">IF(OR(Tasks[[#This Row],[Task Name]]="",Tasks[[#This Row],[Baseline Cost]]=""),"",Tasks[[#This Row],[Cost]]-N(Tasks[[#This Row],[Baseline Cost]]))</f>
        <v/>
      </c>
      <c r="BO109" s="111" t="str">
        <f aca="false">IF(Tasks[[#This Row],[Task Name]]="","",IF(Tasks[[#This Row],[_IsSummary]],SUM(INDEX(Tasks[_LeafBudget],Tasks[[#This Row],[_Row]]+1):INDEX(Tasks[_LeafBudget],Tasks[[#This Row],[_Row]]+Tasks[[#This Row],[_Descendants]])),Tasks[[#This Row],[_LeafBudget]]))</f>
        <v/>
      </c>
      <c r="BP109" s="111" t="str">
        <f aca="false">IF(Tasks[[#This Row],[Task Name]]="","",IF(Tasks[[#This Row],[_IsSummary]],SUM(INDEX(Tasks[_LeafPV],Tasks[[#This Row],[_Row]]+1):INDEX(Tasks[_LeafPV],Tasks[[#This Row],[_Row]]+Tasks[[#This Row],[_Descendants]])),Tasks[[#This Row],[_LeafPV]]))</f>
        <v/>
      </c>
      <c r="BQ109" s="111" t="str">
        <f aca="false">IF(Tasks[[#This Row],[Task Name]]="","",IF(Tasks[[#This Row],[_IsSummary]],SUM(INDEX(Tasks[_LeafEV],Tasks[[#This Row],[_Row]]+1):INDEX(Tasks[_LeafEV],Tasks[[#This Row],[_Row]]+Tasks[[#This Row],[_Descendants]])),Tasks[[#This Row],[_LeafEV]]))</f>
        <v/>
      </c>
      <c r="BR109" s="111" t="str">
        <f aca="false">IF(Tasks[[#This Row],[Task Name]]="","",IF(Tasks[[#This Row],[_IsSummary]],SUM(INDEX(Tasks[_LeafAC],Tasks[[#This Row],[_Row]]+1):INDEX(Tasks[_LeafAC],Tasks[[#This Row],[_Row]]+Tasks[[#This Row],[_Descendants]])),Tasks[[#This Row],[_LeafAC]]))</f>
        <v/>
      </c>
      <c r="BS109" s="32" t="str">
        <f aca="false">IF(Tasks[[#This Row],[Task Name]]="","",MAX(1,N(Tasks[[#This Row],[Level]])))</f>
        <v/>
      </c>
      <c r="BT109" s="32" t="n">
        <f aca="false">ROW()-ROW(Tasks[[#Headers],[ID]])</f>
        <v>104</v>
      </c>
      <c r="BU109" s="32" t="n">
        <f aca="false">IF(OR(Tasks[[#This Row],[Task Name]]="",Tasks[[#This Row],[_Level]]&lt;=1),0,IFERROR(LOOKUP(2,1/(Tasks[[#Headers],[_Level]]:Tasks[[#This Row],[_Level]]=Tasks[[#This Row],[_Level]]-1),ROW(Tasks[[#Headers],[_Level]]:Tasks[[#This Row],[_Level]])),0))</f>
        <v>0</v>
      </c>
      <c r="BV109" s="32" t="n">
        <f aca="false">IFERROR(N(INDEX(Tasks[_Level],Tasks[[#This Row],[_Row]]+1)),0)</f>
        <v>0</v>
      </c>
      <c r="BW109" s="114" t="b">
        <f aca="false">AND(Tasks[[#This Row],[Task Name]]&lt;&gt;"",Tasks[[#This Row],[_NextLevel]]&gt;Tasks[[#This Row],[_Level]])</f>
        <v>0</v>
      </c>
      <c r="BX109" s="32" t="n">
        <f aca="false">IF(Tasks[[#This Row],[_IsSummary]],COUNTIF(Tasks[WBS],Tasks[[#This Row],[WBS]]&amp;".*"),0)</f>
        <v>0</v>
      </c>
      <c r="BY109" s="32" t="n">
        <f aca="false">IF(AND(Tasks[[#This Row],[Task Name]]&lt;&gt;"",NOT(Tasks[[#This Row],[_IsSummary]])),1,0)</f>
        <v>0</v>
      </c>
      <c r="BZ109" s="32" t="n">
        <f aca="false">IF(N(Tasks[[#This Row],[Pred1 UID]])=0,0,IFERROR(MATCH(Tasks[[#This Row],[Pred1 UID]],Tasks[UID],0),-1))</f>
        <v>0</v>
      </c>
      <c r="CA109" s="32" t="n">
        <f aca="false">IF(N(Tasks[[#This Row],[Pred2 UID]])=0,0,IFERROR(MATCH(Tasks[[#This Row],[Pred2 UID]],Tasks[UID],0),-1))</f>
        <v>0</v>
      </c>
      <c r="CB109" s="32" t="n">
        <f aca="false">IF(N(Tasks[[#This Row],[Pred3 UID]])=0,0,IFERROR(MATCH(Tasks[[#This Row],[Pred3 UID]],Tasks[UID],0),-1))</f>
        <v>0</v>
      </c>
      <c r="CC109" s="32" t="n">
        <f aca="false">IF(N(Tasks[[#This Row],[Pred4 UID]])=0,0,IFERROR(MATCH(Tasks[[#This Row],[Pred4 UID]],Tasks[UID],0),-1))</f>
        <v>0</v>
      </c>
      <c r="CD10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0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09" s="115" t="n">
        <f aca="false">IF(OR(Tasks[[#This Row],[_ConstraintCode]]=2,Tasks[[#This Row],[_ConstraintCode]]=3,Tasks[[#This Row],[_ConstraintCode]]=4,Tasks[[#This Row],[_ConstraintCode]]=6),Tasks[[#This Row],[_ConstraintStart]],0)</f>
        <v>0</v>
      </c>
      <c r="CG109" s="115" t="n">
        <f aca="false">IF(OR(Tasks[[#This Row],[_ConstraintCode]]=2,Tasks[[#This Row],[_ConstraintCode]]=3,Tasks[[#This Row],[_ConstraintCode]]=5,Tasks[[#This Row],[_ConstraintCode]]=7),Tasks[[#This Row],[_ConstraintStart]],2958465)</f>
        <v>2958465</v>
      </c>
      <c r="CH10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09" s="115" t="str">
        <f aca="false">IF(NOT(Tasks[[#This Row],[_IsLeaf]]=1),"",IF(N(Tasks[[#This Row],[Duration]])&lt;=0,Tasks[[#This Row],[_LeafCalcStart]],WORKDAY.INTL(Tasks[[#This Row],[_LeafCalcStart]],Tasks[[#This Row],[Duration]]-1,WorkWeek,Holidays)))</f>
        <v/>
      </c>
      <c r="CJ10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0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09" s="32" t="n">
        <f aca="false">IF(NOT(Tasks[[#This Row],[_IsLeaf]]=1),0,IF(N(Tasks[[#This Row],[Actual Finish]])&gt;0,1,MIN(1,N(Tasks[[#This Row],[% Complete]]))))</f>
        <v>0</v>
      </c>
      <c r="CM109" s="32" t="n">
        <f aca="false">IF(OR(NOT(Tasks[[#This Row],[_IsLeaf]]=1),Tasks[[#This Row],[Resource]]=""),0,N(Tasks[[#This Row],[Duration]])*HoursPerDay*IF(Tasks[[#This Row],[Units]]="",DefaultUnits,Tasks[[#This Row],[Units]]))</f>
        <v>0</v>
      </c>
      <c r="CN109" s="32" t="n">
        <f aca="false">IF(Tasks[[#This Row],[_LeafWork]]=0,0,Tasks[[#This Row],[_LeafWork]]*IFERROR(INDEX(res_Rate,MATCH(Tasks[[#This Row],[Resource]],res_Name,0)),0))</f>
        <v>0</v>
      </c>
      <c r="CO109" s="32" t="n">
        <f aca="false">Tasks[[#This Row],[_LeafWork]]+IF(Tasks[[#This Row],[_IsLeaf]]=1,SUMIFS(asg_Work,asg_TaskUID,Tasks[[#This Row],[UID]],asg_Valid,1),0)</f>
        <v>0</v>
      </c>
      <c r="CP109" s="32" t="n">
        <f aca="false">Tasks[[#This Row],[_LeafCost]]+IF(Tasks[[#This Row],[_IsLeaf]]=1,SUMIFS(asg_Cost,asg_TaskUID,Tasks[[#This Row],[UID]],asg_Valid,1),0)</f>
        <v>0</v>
      </c>
      <c r="CQ109" s="32" t="n">
        <f aca="false">IF(Tasks[[#This Row],[_LeafTotalCost]]=0,Tasks[[#This Row],[_LeafAC]],Tasks[[#This Row],[_LeafAC]]*Tasks[[#This Row],[_LeafCost]]/Tasks[[#This Row],[_LeafTotalCost]])</f>
        <v>0</v>
      </c>
      <c r="CR10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0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0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0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0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0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0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0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09" s="32" t="n">
        <f aca="false">IF(NOT(Tasks[[#This Row],[_IsLeaf]]=1),0,MAX(_xlfn.MAXIFS(Tasks[_Row],Tasks[Pred1 UID],Tasks[[#This Row],[UID]]),_xlfn.MAXIFS(Tasks[_Row],Tasks[Pred2 UID],Tasks[[#This Row],[UID]]),_xlfn.MAXIFS(Tasks[_Row],Tasks[Pred3 UID],Tasks[[#This Row],[UID]]),_xlfn.MAXIFS(Tasks[_Row],Tasks[Pred4 UID],Tasks[[#This Row],[UID]])))</f>
        <v>0</v>
      </c>
      <c r="DA10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0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09" s="115" t="str">
        <f aca="false">IF(NOT(Tasks[[#This Row],[_IsLeaf]]=1),"",IF(N(Tasks[[#This Row],[Duration]])&lt;=0,Tasks[[#This Row],[_LeafLateFinish]],WORKDAY.INTL(Tasks[[#This Row],[_LeafLateFinish]],-(Tasks[[#This Row],[Duration]]-1),WorkWeek,Holidays)))</f>
        <v/>
      </c>
      <c r="DD10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09" s="114" t="b">
        <f aca="false">AND(Tasks[[#This Row],[_IsLeaf]]=1,Tasks[[#This Row],[_LeafProgress]]&lt;1,N(Tasks[[#This Row],[_LeafTotalSlack]])&lt;=CriticalSlackDays)</f>
        <v>0</v>
      </c>
      <c r="DF109" s="32" t="n">
        <f aca="false">IF(AND(Tasks[[#This Row],[_IsLeaf]]=1,Tasks[[#This Row],[_ConstraintCode]]=1,Tasks[[#This Row],[Mode]]&lt;&gt;"Manual",N(Tasks[[#This Row],[Actual Start]])=0),MAX(0,N(Tasks[[#This Row],[Free Slack]])),0)</f>
        <v>0</v>
      </c>
      <c r="DG109" s="115" t="str">
        <f aca="false">IF(NOT(Tasks[[#This Row],[_IsLeaf]]=1),"",IF(Tasks[[#This Row],[_AlapShift]]=0,Tasks[[#This Row],[_LeafCalcStart]],WORKDAY.INTL(Tasks[[#This Row],[_LeafCalcStart]],Tasks[[#This Row],[_AlapShift]],WorkWeek,Holidays)))</f>
        <v/>
      </c>
      <c r="DH109" s="115" t="str">
        <f aca="false">IF(NOT(Tasks[[#This Row],[_IsLeaf]]=1),"",IF(Tasks[[#This Row],[_AlapShift]]=0,Tasks[[#This Row],[_LeafCalcFinish]],WORKDAY.INTL(Tasks[[#This Row],[_LeafCalcFinish]],Tasks[[#This Row],[_AlapShift]],WorkWeek,Holidays)))</f>
        <v/>
      </c>
      <c r="DI109" s="115" t="str">
        <f aca="false">IF(NOT(Tasks[[#This Row],[_IsLeaf]]=1),"",IF(Tasks[[#This Row],[_AlapShift]]=0,Tasks[[#This Row],[_LeafFcstStart]],WORKDAY.INTL(Tasks[[#This Row],[_LeafFcstStart]],Tasks[[#This Row],[_AlapShift]],WorkWeek,Holidays)))</f>
        <v/>
      </c>
      <c r="DJ109" s="115" t="str">
        <f aca="false">IF(NOT(Tasks[[#This Row],[_IsLeaf]]=1),"",IF(Tasks[[#This Row],[_AlapShift]]=0,Tasks[[#This Row],[_LeafFcstFinish]],WORKDAY.INTL(Tasks[[#This Row],[_LeafFcstFinish]],Tasks[[#This Row],[_AlapShift]],WorkWeek,Holidays)))</f>
        <v/>
      </c>
      <c r="DK109" s="115" t="str">
        <f aca="false">IF(Tasks[[#This Row],[Task Name]]="","",IF(Tasks[[#This Row],[_IsSummary]],MIN(INDEX(Tasks[_ShownCalcStart],Tasks[[#This Row],[_Row]]+1):INDEX(Tasks[_ShownCalcStart],Tasks[[#This Row],[_Row]]+Tasks[[#This Row],[_Descendants]])),Tasks[[#This Row],[_ShownCalcStart]]))</f>
        <v/>
      </c>
      <c r="DL109" s="115" t="str">
        <f aca="false">IF(Tasks[[#This Row],[Task Name]]="","",IF(Tasks[[#This Row],[_IsSummary]],MAX(INDEX(Tasks[_ShownCalcFinish],Tasks[[#This Row],[_Row]]+1):INDEX(Tasks[_ShownCalcFinish],Tasks[[#This Row],[_Row]]+Tasks[[#This Row],[_Descendants]])),Tasks[[#This Row],[_ShownCalcFinish]]))</f>
        <v/>
      </c>
      <c r="DM10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0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0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0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0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0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0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0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0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0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0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0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09" s="32" t="n">
        <f aca="false">IF(AND(Tasks[[#This Row],[_IsLeaf]]=1,Tasks[[#This Row],[_LeafTotalWork]]&gt;0),NETWORKDAYS.INTL(ProjectStart,Tasks[[#This Row],[_ShownFcstStart]],WorkWeek,Holidays),0)</f>
        <v>0</v>
      </c>
      <c r="DZ109" s="32" t="n">
        <f aca="false">IF(AND(Tasks[[#This Row],[_IsLeaf]]=1,Tasks[[#This Row],[_LeafTotalWork]]&gt;0),MAX(Tasks[[#This Row],[_StartWorkday]],NETWORKDAYS.INTL(ProjectStart,Tasks[[#This Row],[_ShownFcstFinish]],WorkWeek,Holidays)),0)</f>
        <v>0</v>
      </c>
      <c r="EA109" s="32" t="n">
        <f aca="false">IF(AND(Tasks[[#This Row],[_IsLeaf]]=1,Tasks[[#This Row],[_LeafTotalWork]]&gt;0),Tasks[[#This Row],[_LeafWork]]/(Tasks[[#This Row],[_FinishWorkday]]-Tasks[[#This Row],[_StartWorkday]]+1),0)</f>
        <v>0</v>
      </c>
      <c r="EB109" s="32" t="n">
        <f aca="false">Tasks[[#This Row],[_WorkPerWorkday]]*(Tasks[[#This Row],[_StartWorkday]]-1)</f>
        <v>-0</v>
      </c>
      <c r="EC109" s="32" t="n">
        <f aca="false">IF(Tasks[[#This Row],[_IsLeaf]]=1,MAX(N(Tasks[[#This Row],[Duration]]),0.1),0)</f>
        <v>0</v>
      </c>
      <c r="ED109" s="32" t="n">
        <f aca="false">Tasks[[#This Row],[_WeightDur]]*Tasks[[#This Row],[_LeafProgress]]</f>
        <v>0</v>
      </c>
      <c r="EE10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09" s="32" t="str">
        <f aca="false">IF(AND(Tasks[[#This Row],[_IsLeaf]]=1,N(Tasks[[#This Row],[Duration]])=0,Tasks[[#This Row],[_LeafProgress]]&lt;1),Tasks[[#This Row],[_ShownFcstFinish]]+Tasks[[#This Row],[_Row]]/100000,"")</f>
        <v/>
      </c>
      <c r="EG10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09" s="32" t="n">
        <f aca="false">IF(NOT(Tasks[[#This Row],[_IsLeaf]]=1),0,IF(Tasks[[#This Row],[Baseline Cost]]="",Tasks[[#This Row],[_LeafTotalCost]],N(Tasks[[#This Row],[Baseline Cost]])))</f>
        <v>0</v>
      </c>
      <c r="EI109" s="32" t="n">
        <f aca="false">Tasks[[#This Row],[_LeafBudget]]*Tasks[[#This Row],[_PlannedPct]]</f>
        <v>0</v>
      </c>
      <c r="EJ109" s="32" t="n">
        <f aca="false">Tasks[[#This Row],[_LeafBudget]]*Tasks[[#This Row],[_LeafProgress]]</f>
        <v>0</v>
      </c>
      <c r="EK109" s="32" t="n">
        <f aca="false">IF(NOT(Tasks[[#This Row],[_IsLeaf]]=1),0,IF(Tasks[[#This Row],[Actual Cost]]="",Tasks[[#This Row],[_LeafTotalCost]]*Tasks[[#This Row],[_LeafProgress]],N(Tasks[[#This Row],[Actual Cost]])))</f>
        <v>0</v>
      </c>
      <c r="EL109" s="32" t="str">
        <f aca="false">IF(Tasks[[#This Row],[Task Name]]="","",LEFT(Tasks[[#This Row],[WBS]],FIND(".",Tasks[[#This Row],[WBS]]&amp;".")-1))</f>
        <v/>
      </c>
      <c r="EM109" s="32" t="str">
        <f aca="false">IF(AND(Tasks[[#This Row],[Task Name]]&lt;&gt;"",Tasks[[#This Row],[_Level]]=1),Tasks[[#This Row],[_Row]],"")</f>
        <v/>
      </c>
      <c r="EN109" s="32" t="str">
        <f aca="false">IF(AND(Tasks[[#This Row],[_IsLeaf]]=1,N(Tasks[[#This Row],[Duration]])=0),Tasks[[#This Row],[Planned Finish]]+Tasks[[#This Row],[_Row]]/100000,"")</f>
        <v/>
      </c>
      <c r="EO109" s="32" t="str">
        <f aca="false">IF(AND(Tasks[[#This Row],[_IsLeaf]]=1,Tasks[[#This Row],[_LeafProgress]]&lt;1,OR(N(Tasks[[#This Row],[Finish Var]])&gt;0,Tasks[[#This Row],[Status]]="Late Start")),MAX(0,Tasks[[#This Row],[Finish Var]])+1-Tasks[[#This Row],[_Row]]/1000000,"")</f>
        <v/>
      </c>
      <c r="EP109" s="32" t="str">
        <f aca="false">IF(AND(Tasks[[#This Row],[_IsLeaf]]=1,N(Tasks[[#This Row],[Actual Start]])=0,Tasks[[#This Row],[_ShownFcstStart]]&gt;=StatusDate,Tasks[[#This Row],[_ShownFcstStart]]&lt;=LookaheadEnd),Tasks[[#This Row],[_ShownFcstStart]]+Tasks[[#This Row],[_Row]]/100000,"")</f>
        <v/>
      </c>
      <c r="EQ109" s="32" t="str">
        <f aca="false">IF(AND(Tasks[[#This Row],[_IsLeaf]]=1,Tasks[[#This Row],[_LeafProgress]]&lt;1,Tasks[[#This Row],[_ShownFcstFinish]]&gt;=StatusDate,Tasks[[#This Row],[_ShownFcstFinish]]&lt;=LookaheadEnd),Tasks[[#This Row],[_ShownFcstFinish]]+Tasks[[#This Row],[_Row]]/100000,"")</f>
        <v/>
      </c>
      <c r="ER109" s="32" t="str">
        <f aca="false">IF(Tasks[[#This Row],[_LeafCritical]],Tasks[[#This Row],[_ShownFcstStart]]+Tasks[[#This Row],[_Row]]/100000,"")</f>
        <v/>
      </c>
      <c r="ES109" s="32" t="n">
        <f aca="false">Tasks[[#This Row],[_LeafWork]]*Tasks[[#This Row],[_LeafProgress]]</f>
        <v>0</v>
      </c>
      <c r="ET109" s="115" t="str">
        <f aca="false">IF(AND(Tasks[[#This Row],[_IsLeaf]]=1,Tasks[[#This Row],[_LeafProgress]]&gt;=1),IF(N(Tasks[[#This Row],[Actual Finish]])&gt;0,Tasks[[#This Row],[Actual Finish]],Tasks[[#This Row],[_ShownFcstFinish]]),"")</f>
        <v/>
      </c>
      <c r="EU109" s="32" t="n">
        <f aca="false">IF(Tasks[[#This Row],[_IsLeaf]]=1,N(Tasks[[#This Row],[Story Points]]),0)</f>
        <v>0</v>
      </c>
      <c r="EV109" s="32" t="str">
        <f aca="false">IF(AND(Tasks[[#This Row],[_IsLeaf]]=1,CurrentSprint&lt;&gt;"",Tasks[[#This Row],[Sprint]]=CurrentSprint),Tasks[[#This Row],[_Row]],"")</f>
        <v/>
      </c>
    </row>
    <row r="110" customFormat="false" ht="15" hidden="false" customHeight="false" outlineLevel="0" collapsed="false">
      <c r="A110" s="45" t="str">
        <f aca="false">IF(Tasks[[#This Row],[Task Name]]="","",COUNTA(Tasks[[#Headers],[Task Name]]:Tasks[[#This Row],[Task Name]])-1)</f>
        <v/>
      </c>
      <c r="B110" s="46" t="n">
        <v>105</v>
      </c>
      <c r="C11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0" s="46"/>
      <c r="E110" s="45" t="str">
        <f aca="false">IF(Tasks[[#This Row],[Task Name]]="","",IF(Tasks[[#This Row],[_Level]]&lt;=OutlineShowLevel,"Yes","No"))</f>
        <v/>
      </c>
      <c r="F110" s="47"/>
      <c r="G110" s="46"/>
      <c r="H110" s="46"/>
      <c r="I110" s="46"/>
      <c r="J110" s="46"/>
      <c r="K110" s="46"/>
      <c r="L110" s="46"/>
      <c r="M110" s="46"/>
      <c r="N110" s="46"/>
      <c r="O110" s="46"/>
      <c r="P110" s="46"/>
      <c r="Q110" s="46"/>
      <c r="R110" s="46"/>
      <c r="S110" s="46"/>
      <c r="T110" s="46"/>
      <c r="U110" s="47"/>
      <c r="V110" s="88"/>
      <c r="W110" s="88"/>
      <c r="X110" s="25" t="str">
        <f aca="false">IF(Tasks[[#This Row],[Task Name]]="","",IF(N(Tasks[[#This Row],[Baseline Start]])&gt;0,Tasks[[#This Row],[Baseline Start]],Tasks[[#This Row],[_CalcStart]]))</f>
        <v/>
      </c>
      <c r="Y110" s="25" t="str">
        <f aca="false">IF(Tasks[[#This Row],[Task Name]]="","",IF(N(Tasks[[#This Row],[Baseline Finish]])&gt;0,Tasks[[#This Row],[Baseline Finish]],Tasks[[#This Row],[_CalcFinish]]))</f>
        <v/>
      </c>
      <c r="Z110" s="88"/>
      <c r="AA110" s="88"/>
      <c r="AB110" s="25" t="str">
        <f aca="false">IF(Tasks[[#This Row],[Task Name]]="","",IF(Tasks[[#This Row],[_IsSummary]],MIN(INDEX(Tasks[_ShownFcstStart],Tasks[[#This Row],[_Row]]+1):INDEX(Tasks[_ShownFcstStart],Tasks[[#This Row],[_Row]]+Tasks[[#This Row],[_Descendants]])),Tasks[[#This Row],[_ShownFcstStart]]))</f>
        <v/>
      </c>
      <c r="AC110" s="25" t="str">
        <f aca="false">IF(Tasks[[#This Row],[Task Name]]="","",IF(Tasks[[#This Row],[_IsSummary]],MAX(INDEX(Tasks[_ShownFcstFinish],Tasks[[#This Row],[_Row]]+1):INDEX(Tasks[_ShownFcstFinish],Tasks[[#This Row],[_Row]]+Tasks[[#This Row],[_Descendants]])),Tasks[[#This Row],[_ShownFcstFinish]]))</f>
        <v/>
      </c>
      <c r="AD11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0" s="25" t="str">
        <f aca="false">IF(Tasks[[#This Row],[Task Name]]="","",IF(Tasks[[#This Row],[_IsSummary]],MIN(INDEX(Tasks[_LeafLateStart],Tasks[[#This Row],[_Row]]+1):INDEX(Tasks[_LeafLateStart],Tasks[[#This Row],[_Row]]+Tasks[[#This Row],[_Descendants]])),Tasks[[#This Row],[_LeafLateStart]]))</f>
        <v/>
      </c>
      <c r="AG110" s="25" t="str">
        <f aca="false">IF(Tasks[[#This Row],[Task Name]]="","",IF(Tasks[[#This Row],[_IsSummary]],MAX(INDEX(Tasks[_LeafLateFinish],Tasks[[#This Row],[_Row]]+1):INDEX(Tasks[_LeafLateFinish],Tasks[[#This Row],[_Row]]+Tasks[[#This Row],[_Descendants]])),Tasks[[#This Row],[_LeafLateFinish]]))</f>
        <v/>
      </c>
      <c r="AH110" s="56" t="str">
        <f aca="false">IF(Tasks[[#This Row],[Task Name]]="","",IF(Tasks[[#This Row],[_IsSummary]],MIN(INDEX(Tasks[_LeafTotalSlack],Tasks[[#This Row],[_Row]]+1):INDEX(Tasks[_LeafTotalSlack],Tasks[[#This Row],[_Row]]+Tasks[[#This Row],[_Descendants]])),Tasks[[#This Row],[_LeafTotalSlack]]))</f>
        <v/>
      </c>
      <c r="AI11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0" s="45" t="str">
        <f aca="false">IF(Tasks[[#This Row],[Task Name]]="","",IF(IF(Tasks[[#This Row],[_IsSummary]],COUNTIF(INDEX(Tasks[_LeafCritical],Tasks[[#This Row],[_Row]]+1):INDEX(Tasks[_LeafCritical],Tasks[[#This Row],[_Row]]+Tasks[[#This Row],[_Descendants]]),TRUE())&gt;0,Tasks[[#This Row],[_LeafCritical]]),"Yes",""))</f>
        <v/>
      </c>
      <c r="AK11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0" s="102"/>
      <c r="AN11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0" s="45" t="str">
        <f aca="false">IF(Tasks[[#This Row],[Task Name]]="","",IF(Tasks[[#This Row],[Progress]]&gt;=1,"Complete",IF(OR(N(Tasks[[#This Row],[Actual Start]])&gt;0,Tasks[[#This Row],[Progress]]&gt;0),IF(Tasks[[#This Row],[Finish Var]]&gt;0,"Behind","In Progress"),IF(Tasks[[#This Row],[Planned Start]]&lt;StatusDate,"Late Start","Not Started"))))</f>
        <v/>
      </c>
      <c r="AP110" s="47"/>
      <c r="AQ110" s="102"/>
      <c r="AR11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0" s="110" t="str">
        <f aca="false">IF(Tasks[[#This Row],[Task Name]]="","",IF(Tasks[[#This Row],[_IsSummary]],SUM(INDEX(Tasks[_LeafTotalWork],Tasks[[#This Row],[_Row]]+1):INDEX(Tasks[_LeafTotalWork],Tasks[[#This Row],[_Row]]+Tasks[[#This Row],[_Descendants]])),Tasks[[#This Row],[_LeafTotalWork]]))</f>
        <v/>
      </c>
      <c r="AU110" s="111" t="str">
        <f aca="false">IF(Tasks[[#This Row],[Task Name]]="","",IF(Tasks[[#This Row],[_IsSummary]],SUM(INDEX(Tasks[_LeafTotalCost],Tasks[[#This Row],[_Row]]+1):INDEX(Tasks[_LeafTotalCost],Tasks[[#This Row],[_Row]]+Tasks[[#This Row],[_Descendants]])),Tasks[[#This Row],[_LeafTotalCost]]))</f>
        <v/>
      </c>
      <c r="AV110" s="112"/>
      <c r="AW110" s="46"/>
      <c r="AX11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0" s="96"/>
      <c r="AZ11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0" s="47"/>
      <c r="BB110" s="25" t="str">
        <f aca="false">IF(Tasks[[#This Row],[Task Name]]="","",Tasks[[#This Row],[Forecast Start]])</f>
        <v/>
      </c>
      <c r="BC110" s="25" t="str">
        <f aca="false">IF(Tasks[[#This Row],[Task Name]]="","",Tasks[[#This Row],[Forecast Finish]])</f>
        <v/>
      </c>
      <c r="BD110" s="45" t="str">
        <f aca="false">IF(Tasks[[#This Row],[Task Name]]="","",IF(Tasks[[#This Row],[_IsSummary]],NETWORKDAYS.INTL(Tasks[[#This Row],[Forecast Start]],Tasks[[#This Row],[Forecast Finish]],WorkWeek,Holidays),N(Tasks[[#This Row],[Duration]])))</f>
        <v/>
      </c>
      <c r="BE110" s="110" t="str">
        <f aca="false">IF(Tasks[[#This Row],[Task Name]]="","",Tasks[[#This Row],[Work]])</f>
        <v/>
      </c>
      <c r="BF110" s="111" t="str">
        <f aca="false">IF(Tasks[[#This Row],[Task Name]]="","",Tasks[[#This Row],[Cost]])</f>
        <v/>
      </c>
      <c r="BG110" s="88"/>
      <c r="BH110" s="88"/>
      <c r="BI110" s="46"/>
      <c r="BJ110" s="113"/>
      <c r="BK110" s="112"/>
      <c r="BL110" s="45" t="str">
        <f aca="false">IF(OR(Tasks[[#This Row],[Task Name]]="",Tasks[[#This Row],[Baseline Duration]]=""),"",Tasks[[#This Row],[BL Source Duration]]-N(Tasks[[#This Row],[Baseline Duration]]))</f>
        <v/>
      </c>
      <c r="BM110" s="110" t="str">
        <f aca="false">IF(OR(Tasks[[#This Row],[Task Name]]="",Tasks[[#This Row],[Baseline Work]]=""),"",Tasks[[#This Row],[Work]]-N(Tasks[[#This Row],[Baseline Work]]))</f>
        <v/>
      </c>
      <c r="BN110" s="111" t="str">
        <f aca="false">IF(OR(Tasks[[#This Row],[Task Name]]="",Tasks[[#This Row],[Baseline Cost]]=""),"",Tasks[[#This Row],[Cost]]-N(Tasks[[#This Row],[Baseline Cost]]))</f>
        <v/>
      </c>
      <c r="BO110" s="111" t="str">
        <f aca="false">IF(Tasks[[#This Row],[Task Name]]="","",IF(Tasks[[#This Row],[_IsSummary]],SUM(INDEX(Tasks[_LeafBudget],Tasks[[#This Row],[_Row]]+1):INDEX(Tasks[_LeafBudget],Tasks[[#This Row],[_Row]]+Tasks[[#This Row],[_Descendants]])),Tasks[[#This Row],[_LeafBudget]]))</f>
        <v/>
      </c>
      <c r="BP110" s="111" t="str">
        <f aca="false">IF(Tasks[[#This Row],[Task Name]]="","",IF(Tasks[[#This Row],[_IsSummary]],SUM(INDEX(Tasks[_LeafPV],Tasks[[#This Row],[_Row]]+1):INDEX(Tasks[_LeafPV],Tasks[[#This Row],[_Row]]+Tasks[[#This Row],[_Descendants]])),Tasks[[#This Row],[_LeafPV]]))</f>
        <v/>
      </c>
      <c r="BQ110" s="111" t="str">
        <f aca="false">IF(Tasks[[#This Row],[Task Name]]="","",IF(Tasks[[#This Row],[_IsSummary]],SUM(INDEX(Tasks[_LeafEV],Tasks[[#This Row],[_Row]]+1):INDEX(Tasks[_LeafEV],Tasks[[#This Row],[_Row]]+Tasks[[#This Row],[_Descendants]])),Tasks[[#This Row],[_LeafEV]]))</f>
        <v/>
      </c>
      <c r="BR110" s="111" t="str">
        <f aca="false">IF(Tasks[[#This Row],[Task Name]]="","",IF(Tasks[[#This Row],[_IsSummary]],SUM(INDEX(Tasks[_LeafAC],Tasks[[#This Row],[_Row]]+1):INDEX(Tasks[_LeafAC],Tasks[[#This Row],[_Row]]+Tasks[[#This Row],[_Descendants]])),Tasks[[#This Row],[_LeafAC]]))</f>
        <v/>
      </c>
      <c r="BS110" s="32" t="str">
        <f aca="false">IF(Tasks[[#This Row],[Task Name]]="","",MAX(1,N(Tasks[[#This Row],[Level]])))</f>
        <v/>
      </c>
      <c r="BT110" s="32" t="n">
        <f aca="false">ROW()-ROW(Tasks[[#Headers],[ID]])</f>
        <v>105</v>
      </c>
      <c r="BU110" s="32" t="n">
        <f aca="false">IF(OR(Tasks[[#This Row],[Task Name]]="",Tasks[[#This Row],[_Level]]&lt;=1),0,IFERROR(LOOKUP(2,1/(Tasks[[#Headers],[_Level]]:Tasks[[#This Row],[_Level]]=Tasks[[#This Row],[_Level]]-1),ROW(Tasks[[#Headers],[_Level]]:Tasks[[#This Row],[_Level]])),0))</f>
        <v>0</v>
      </c>
      <c r="BV110" s="32" t="n">
        <f aca="false">IFERROR(N(INDEX(Tasks[_Level],Tasks[[#This Row],[_Row]]+1)),0)</f>
        <v>0</v>
      </c>
      <c r="BW110" s="114" t="b">
        <f aca="false">AND(Tasks[[#This Row],[Task Name]]&lt;&gt;"",Tasks[[#This Row],[_NextLevel]]&gt;Tasks[[#This Row],[_Level]])</f>
        <v>0</v>
      </c>
      <c r="BX110" s="32" t="n">
        <f aca="false">IF(Tasks[[#This Row],[_IsSummary]],COUNTIF(Tasks[WBS],Tasks[[#This Row],[WBS]]&amp;".*"),0)</f>
        <v>0</v>
      </c>
      <c r="BY110" s="32" t="n">
        <f aca="false">IF(AND(Tasks[[#This Row],[Task Name]]&lt;&gt;"",NOT(Tasks[[#This Row],[_IsSummary]])),1,0)</f>
        <v>0</v>
      </c>
      <c r="BZ110" s="32" t="n">
        <f aca="false">IF(N(Tasks[[#This Row],[Pred1 UID]])=0,0,IFERROR(MATCH(Tasks[[#This Row],[Pred1 UID]],Tasks[UID],0),-1))</f>
        <v>0</v>
      </c>
      <c r="CA110" s="32" t="n">
        <f aca="false">IF(N(Tasks[[#This Row],[Pred2 UID]])=0,0,IFERROR(MATCH(Tasks[[#This Row],[Pred2 UID]],Tasks[UID],0),-1))</f>
        <v>0</v>
      </c>
      <c r="CB110" s="32" t="n">
        <f aca="false">IF(N(Tasks[[#This Row],[Pred3 UID]])=0,0,IFERROR(MATCH(Tasks[[#This Row],[Pred3 UID]],Tasks[UID],0),-1))</f>
        <v>0</v>
      </c>
      <c r="CC110" s="32" t="n">
        <f aca="false">IF(N(Tasks[[#This Row],[Pred4 UID]])=0,0,IFERROR(MATCH(Tasks[[#This Row],[Pred4 UID]],Tasks[UID],0),-1))</f>
        <v>0</v>
      </c>
      <c r="CD11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0" s="115" t="n">
        <f aca="false">IF(OR(Tasks[[#This Row],[_ConstraintCode]]=2,Tasks[[#This Row],[_ConstraintCode]]=3,Tasks[[#This Row],[_ConstraintCode]]=4,Tasks[[#This Row],[_ConstraintCode]]=6),Tasks[[#This Row],[_ConstraintStart]],0)</f>
        <v>0</v>
      </c>
      <c r="CG110" s="115" t="n">
        <f aca="false">IF(OR(Tasks[[#This Row],[_ConstraintCode]]=2,Tasks[[#This Row],[_ConstraintCode]]=3,Tasks[[#This Row],[_ConstraintCode]]=5,Tasks[[#This Row],[_ConstraintCode]]=7),Tasks[[#This Row],[_ConstraintStart]],2958465)</f>
        <v>2958465</v>
      </c>
      <c r="CH11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0" s="115" t="str">
        <f aca="false">IF(NOT(Tasks[[#This Row],[_IsLeaf]]=1),"",IF(N(Tasks[[#This Row],[Duration]])&lt;=0,Tasks[[#This Row],[_LeafCalcStart]],WORKDAY.INTL(Tasks[[#This Row],[_LeafCalcStart]],Tasks[[#This Row],[Duration]]-1,WorkWeek,Holidays)))</f>
        <v/>
      </c>
      <c r="CJ11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0" s="32" t="n">
        <f aca="false">IF(NOT(Tasks[[#This Row],[_IsLeaf]]=1),0,IF(N(Tasks[[#This Row],[Actual Finish]])&gt;0,1,MIN(1,N(Tasks[[#This Row],[% Complete]]))))</f>
        <v>0</v>
      </c>
      <c r="CM110" s="32" t="n">
        <f aca="false">IF(OR(NOT(Tasks[[#This Row],[_IsLeaf]]=1),Tasks[[#This Row],[Resource]]=""),0,N(Tasks[[#This Row],[Duration]])*HoursPerDay*IF(Tasks[[#This Row],[Units]]="",DefaultUnits,Tasks[[#This Row],[Units]]))</f>
        <v>0</v>
      </c>
      <c r="CN110" s="32" t="n">
        <f aca="false">IF(Tasks[[#This Row],[_LeafWork]]=0,0,Tasks[[#This Row],[_LeafWork]]*IFERROR(INDEX(res_Rate,MATCH(Tasks[[#This Row],[Resource]],res_Name,0)),0))</f>
        <v>0</v>
      </c>
      <c r="CO110" s="32" t="n">
        <f aca="false">Tasks[[#This Row],[_LeafWork]]+IF(Tasks[[#This Row],[_IsLeaf]]=1,SUMIFS(asg_Work,asg_TaskUID,Tasks[[#This Row],[UID]],asg_Valid,1),0)</f>
        <v>0</v>
      </c>
      <c r="CP110" s="32" t="n">
        <f aca="false">Tasks[[#This Row],[_LeafCost]]+IF(Tasks[[#This Row],[_IsLeaf]]=1,SUMIFS(asg_Cost,asg_TaskUID,Tasks[[#This Row],[UID]],asg_Valid,1),0)</f>
        <v>0</v>
      </c>
      <c r="CQ110" s="32" t="n">
        <f aca="false">IF(Tasks[[#This Row],[_LeafTotalCost]]=0,Tasks[[#This Row],[_LeafAC]],Tasks[[#This Row],[_LeafAC]]*Tasks[[#This Row],[_LeafCost]]/Tasks[[#This Row],[_LeafTotalCost]])</f>
        <v>0</v>
      </c>
      <c r="CR11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0" s="32" t="n">
        <f aca="false">IF(NOT(Tasks[[#This Row],[_IsLeaf]]=1),0,MAX(_xlfn.MAXIFS(Tasks[_Row],Tasks[Pred1 UID],Tasks[[#This Row],[UID]]),_xlfn.MAXIFS(Tasks[_Row],Tasks[Pred2 UID],Tasks[[#This Row],[UID]]),_xlfn.MAXIFS(Tasks[_Row],Tasks[Pred3 UID],Tasks[[#This Row],[UID]]),_xlfn.MAXIFS(Tasks[_Row],Tasks[Pred4 UID],Tasks[[#This Row],[UID]])))</f>
        <v>0</v>
      </c>
      <c r="DA11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0" s="115" t="str">
        <f aca="false">IF(NOT(Tasks[[#This Row],[_IsLeaf]]=1),"",IF(N(Tasks[[#This Row],[Duration]])&lt;=0,Tasks[[#This Row],[_LeafLateFinish]],WORKDAY.INTL(Tasks[[#This Row],[_LeafLateFinish]],-(Tasks[[#This Row],[Duration]]-1),WorkWeek,Holidays)))</f>
        <v/>
      </c>
      <c r="DD11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0" s="114" t="b">
        <f aca="false">AND(Tasks[[#This Row],[_IsLeaf]]=1,Tasks[[#This Row],[_LeafProgress]]&lt;1,N(Tasks[[#This Row],[_LeafTotalSlack]])&lt;=CriticalSlackDays)</f>
        <v>0</v>
      </c>
      <c r="DF110" s="32" t="n">
        <f aca="false">IF(AND(Tasks[[#This Row],[_IsLeaf]]=1,Tasks[[#This Row],[_ConstraintCode]]=1,Tasks[[#This Row],[Mode]]&lt;&gt;"Manual",N(Tasks[[#This Row],[Actual Start]])=0),MAX(0,N(Tasks[[#This Row],[Free Slack]])),0)</f>
        <v>0</v>
      </c>
      <c r="DG110" s="115" t="str">
        <f aca="false">IF(NOT(Tasks[[#This Row],[_IsLeaf]]=1),"",IF(Tasks[[#This Row],[_AlapShift]]=0,Tasks[[#This Row],[_LeafCalcStart]],WORKDAY.INTL(Tasks[[#This Row],[_LeafCalcStart]],Tasks[[#This Row],[_AlapShift]],WorkWeek,Holidays)))</f>
        <v/>
      </c>
      <c r="DH110" s="115" t="str">
        <f aca="false">IF(NOT(Tasks[[#This Row],[_IsLeaf]]=1),"",IF(Tasks[[#This Row],[_AlapShift]]=0,Tasks[[#This Row],[_LeafCalcFinish]],WORKDAY.INTL(Tasks[[#This Row],[_LeafCalcFinish]],Tasks[[#This Row],[_AlapShift]],WorkWeek,Holidays)))</f>
        <v/>
      </c>
      <c r="DI110" s="115" t="str">
        <f aca="false">IF(NOT(Tasks[[#This Row],[_IsLeaf]]=1),"",IF(Tasks[[#This Row],[_AlapShift]]=0,Tasks[[#This Row],[_LeafFcstStart]],WORKDAY.INTL(Tasks[[#This Row],[_LeafFcstStart]],Tasks[[#This Row],[_AlapShift]],WorkWeek,Holidays)))</f>
        <v/>
      </c>
      <c r="DJ110" s="115" t="str">
        <f aca="false">IF(NOT(Tasks[[#This Row],[_IsLeaf]]=1),"",IF(Tasks[[#This Row],[_AlapShift]]=0,Tasks[[#This Row],[_LeafFcstFinish]],WORKDAY.INTL(Tasks[[#This Row],[_LeafFcstFinish]],Tasks[[#This Row],[_AlapShift]],WorkWeek,Holidays)))</f>
        <v/>
      </c>
      <c r="DK110" s="115" t="str">
        <f aca="false">IF(Tasks[[#This Row],[Task Name]]="","",IF(Tasks[[#This Row],[_IsSummary]],MIN(INDEX(Tasks[_ShownCalcStart],Tasks[[#This Row],[_Row]]+1):INDEX(Tasks[_ShownCalcStart],Tasks[[#This Row],[_Row]]+Tasks[[#This Row],[_Descendants]])),Tasks[[#This Row],[_ShownCalcStart]]))</f>
        <v/>
      </c>
      <c r="DL110" s="115" t="str">
        <f aca="false">IF(Tasks[[#This Row],[Task Name]]="","",IF(Tasks[[#This Row],[_IsSummary]],MAX(INDEX(Tasks[_ShownCalcFinish],Tasks[[#This Row],[_Row]]+1):INDEX(Tasks[_ShownCalcFinish],Tasks[[#This Row],[_Row]]+Tasks[[#This Row],[_Descendants]])),Tasks[[#This Row],[_ShownCalcFinish]]))</f>
        <v/>
      </c>
      <c r="DM11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0" s="32" t="n">
        <f aca="false">IF(AND(Tasks[[#This Row],[_IsLeaf]]=1,Tasks[[#This Row],[_LeafTotalWork]]&gt;0),NETWORKDAYS.INTL(ProjectStart,Tasks[[#This Row],[_ShownFcstStart]],WorkWeek,Holidays),0)</f>
        <v>0</v>
      </c>
      <c r="DZ110" s="32" t="n">
        <f aca="false">IF(AND(Tasks[[#This Row],[_IsLeaf]]=1,Tasks[[#This Row],[_LeafTotalWork]]&gt;0),MAX(Tasks[[#This Row],[_StartWorkday]],NETWORKDAYS.INTL(ProjectStart,Tasks[[#This Row],[_ShownFcstFinish]],WorkWeek,Holidays)),0)</f>
        <v>0</v>
      </c>
      <c r="EA110" s="32" t="n">
        <f aca="false">IF(AND(Tasks[[#This Row],[_IsLeaf]]=1,Tasks[[#This Row],[_LeafTotalWork]]&gt;0),Tasks[[#This Row],[_LeafWork]]/(Tasks[[#This Row],[_FinishWorkday]]-Tasks[[#This Row],[_StartWorkday]]+1),0)</f>
        <v>0</v>
      </c>
      <c r="EB110" s="32" t="n">
        <f aca="false">Tasks[[#This Row],[_WorkPerWorkday]]*(Tasks[[#This Row],[_StartWorkday]]-1)</f>
        <v>-0</v>
      </c>
      <c r="EC110" s="32" t="n">
        <f aca="false">IF(Tasks[[#This Row],[_IsLeaf]]=1,MAX(N(Tasks[[#This Row],[Duration]]),0.1),0)</f>
        <v>0</v>
      </c>
      <c r="ED110" s="32" t="n">
        <f aca="false">Tasks[[#This Row],[_WeightDur]]*Tasks[[#This Row],[_LeafProgress]]</f>
        <v>0</v>
      </c>
      <c r="EE11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0" s="32" t="str">
        <f aca="false">IF(AND(Tasks[[#This Row],[_IsLeaf]]=1,N(Tasks[[#This Row],[Duration]])=0,Tasks[[#This Row],[_LeafProgress]]&lt;1),Tasks[[#This Row],[_ShownFcstFinish]]+Tasks[[#This Row],[_Row]]/100000,"")</f>
        <v/>
      </c>
      <c r="EG11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0" s="32" t="n">
        <f aca="false">IF(NOT(Tasks[[#This Row],[_IsLeaf]]=1),0,IF(Tasks[[#This Row],[Baseline Cost]]="",Tasks[[#This Row],[_LeafTotalCost]],N(Tasks[[#This Row],[Baseline Cost]])))</f>
        <v>0</v>
      </c>
      <c r="EI110" s="32" t="n">
        <f aca="false">Tasks[[#This Row],[_LeafBudget]]*Tasks[[#This Row],[_PlannedPct]]</f>
        <v>0</v>
      </c>
      <c r="EJ110" s="32" t="n">
        <f aca="false">Tasks[[#This Row],[_LeafBudget]]*Tasks[[#This Row],[_LeafProgress]]</f>
        <v>0</v>
      </c>
      <c r="EK110" s="32" t="n">
        <f aca="false">IF(NOT(Tasks[[#This Row],[_IsLeaf]]=1),0,IF(Tasks[[#This Row],[Actual Cost]]="",Tasks[[#This Row],[_LeafTotalCost]]*Tasks[[#This Row],[_LeafProgress]],N(Tasks[[#This Row],[Actual Cost]])))</f>
        <v>0</v>
      </c>
      <c r="EL110" s="32" t="str">
        <f aca="false">IF(Tasks[[#This Row],[Task Name]]="","",LEFT(Tasks[[#This Row],[WBS]],FIND(".",Tasks[[#This Row],[WBS]]&amp;".")-1))</f>
        <v/>
      </c>
      <c r="EM110" s="32" t="str">
        <f aca="false">IF(AND(Tasks[[#This Row],[Task Name]]&lt;&gt;"",Tasks[[#This Row],[_Level]]=1),Tasks[[#This Row],[_Row]],"")</f>
        <v/>
      </c>
      <c r="EN110" s="32" t="str">
        <f aca="false">IF(AND(Tasks[[#This Row],[_IsLeaf]]=1,N(Tasks[[#This Row],[Duration]])=0),Tasks[[#This Row],[Planned Finish]]+Tasks[[#This Row],[_Row]]/100000,"")</f>
        <v/>
      </c>
      <c r="EO110" s="32" t="str">
        <f aca="false">IF(AND(Tasks[[#This Row],[_IsLeaf]]=1,Tasks[[#This Row],[_LeafProgress]]&lt;1,OR(N(Tasks[[#This Row],[Finish Var]])&gt;0,Tasks[[#This Row],[Status]]="Late Start")),MAX(0,Tasks[[#This Row],[Finish Var]])+1-Tasks[[#This Row],[_Row]]/1000000,"")</f>
        <v/>
      </c>
      <c r="EP110" s="32" t="str">
        <f aca="false">IF(AND(Tasks[[#This Row],[_IsLeaf]]=1,N(Tasks[[#This Row],[Actual Start]])=0,Tasks[[#This Row],[_ShownFcstStart]]&gt;=StatusDate,Tasks[[#This Row],[_ShownFcstStart]]&lt;=LookaheadEnd),Tasks[[#This Row],[_ShownFcstStart]]+Tasks[[#This Row],[_Row]]/100000,"")</f>
        <v/>
      </c>
      <c r="EQ110" s="32" t="str">
        <f aca="false">IF(AND(Tasks[[#This Row],[_IsLeaf]]=1,Tasks[[#This Row],[_LeafProgress]]&lt;1,Tasks[[#This Row],[_ShownFcstFinish]]&gt;=StatusDate,Tasks[[#This Row],[_ShownFcstFinish]]&lt;=LookaheadEnd),Tasks[[#This Row],[_ShownFcstFinish]]+Tasks[[#This Row],[_Row]]/100000,"")</f>
        <v/>
      </c>
      <c r="ER110" s="32" t="str">
        <f aca="false">IF(Tasks[[#This Row],[_LeafCritical]],Tasks[[#This Row],[_ShownFcstStart]]+Tasks[[#This Row],[_Row]]/100000,"")</f>
        <v/>
      </c>
      <c r="ES110" s="32" t="n">
        <f aca="false">Tasks[[#This Row],[_LeafWork]]*Tasks[[#This Row],[_LeafProgress]]</f>
        <v>0</v>
      </c>
      <c r="ET110" s="115" t="str">
        <f aca="false">IF(AND(Tasks[[#This Row],[_IsLeaf]]=1,Tasks[[#This Row],[_LeafProgress]]&gt;=1),IF(N(Tasks[[#This Row],[Actual Finish]])&gt;0,Tasks[[#This Row],[Actual Finish]],Tasks[[#This Row],[_ShownFcstFinish]]),"")</f>
        <v/>
      </c>
      <c r="EU110" s="32" t="n">
        <f aca="false">IF(Tasks[[#This Row],[_IsLeaf]]=1,N(Tasks[[#This Row],[Story Points]]),0)</f>
        <v>0</v>
      </c>
      <c r="EV110" s="32" t="str">
        <f aca="false">IF(AND(Tasks[[#This Row],[_IsLeaf]]=1,CurrentSprint&lt;&gt;"",Tasks[[#This Row],[Sprint]]=CurrentSprint),Tasks[[#This Row],[_Row]],"")</f>
        <v/>
      </c>
    </row>
    <row r="111" customFormat="false" ht="15" hidden="false" customHeight="false" outlineLevel="0" collapsed="false">
      <c r="A111" s="45" t="str">
        <f aca="false">IF(Tasks[[#This Row],[Task Name]]="","",COUNTA(Tasks[[#Headers],[Task Name]]:Tasks[[#This Row],[Task Name]])-1)</f>
        <v/>
      </c>
      <c r="B111" s="46" t="n">
        <v>106</v>
      </c>
      <c r="C11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1" s="46"/>
      <c r="E111" s="45" t="str">
        <f aca="false">IF(Tasks[[#This Row],[Task Name]]="","",IF(Tasks[[#This Row],[_Level]]&lt;=OutlineShowLevel,"Yes","No"))</f>
        <v/>
      </c>
      <c r="F111" s="47"/>
      <c r="G111" s="46"/>
      <c r="H111" s="46"/>
      <c r="I111" s="46"/>
      <c r="J111" s="46"/>
      <c r="K111" s="46"/>
      <c r="L111" s="46"/>
      <c r="M111" s="46"/>
      <c r="N111" s="46"/>
      <c r="O111" s="46"/>
      <c r="P111" s="46"/>
      <c r="Q111" s="46"/>
      <c r="R111" s="46"/>
      <c r="S111" s="46"/>
      <c r="T111" s="46"/>
      <c r="U111" s="47"/>
      <c r="V111" s="88"/>
      <c r="W111" s="88"/>
      <c r="X111" s="25" t="str">
        <f aca="false">IF(Tasks[[#This Row],[Task Name]]="","",IF(N(Tasks[[#This Row],[Baseline Start]])&gt;0,Tasks[[#This Row],[Baseline Start]],Tasks[[#This Row],[_CalcStart]]))</f>
        <v/>
      </c>
      <c r="Y111" s="25" t="str">
        <f aca="false">IF(Tasks[[#This Row],[Task Name]]="","",IF(N(Tasks[[#This Row],[Baseline Finish]])&gt;0,Tasks[[#This Row],[Baseline Finish]],Tasks[[#This Row],[_CalcFinish]]))</f>
        <v/>
      </c>
      <c r="Z111" s="88"/>
      <c r="AA111" s="88"/>
      <c r="AB111" s="25" t="str">
        <f aca="false">IF(Tasks[[#This Row],[Task Name]]="","",IF(Tasks[[#This Row],[_IsSummary]],MIN(INDEX(Tasks[_ShownFcstStart],Tasks[[#This Row],[_Row]]+1):INDEX(Tasks[_ShownFcstStart],Tasks[[#This Row],[_Row]]+Tasks[[#This Row],[_Descendants]])),Tasks[[#This Row],[_ShownFcstStart]]))</f>
        <v/>
      </c>
      <c r="AC111" s="25" t="str">
        <f aca="false">IF(Tasks[[#This Row],[Task Name]]="","",IF(Tasks[[#This Row],[_IsSummary]],MAX(INDEX(Tasks[_ShownFcstFinish],Tasks[[#This Row],[_Row]]+1):INDEX(Tasks[_ShownFcstFinish],Tasks[[#This Row],[_Row]]+Tasks[[#This Row],[_Descendants]])),Tasks[[#This Row],[_ShownFcstFinish]]))</f>
        <v/>
      </c>
      <c r="AD11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1" s="25" t="str">
        <f aca="false">IF(Tasks[[#This Row],[Task Name]]="","",IF(Tasks[[#This Row],[_IsSummary]],MIN(INDEX(Tasks[_LeafLateStart],Tasks[[#This Row],[_Row]]+1):INDEX(Tasks[_LeafLateStart],Tasks[[#This Row],[_Row]]+Tasks[[#This Row],[_Descendants]])),Tasks[[#This Row],[_LeafLateStart]]))</f>
        <v/>
      </c>
      <c r="AG111" s="25" t="str">
        <f aca="false">IF(Tasks[[#This Row],[Task Name]]="","",IF(Tasks[[#This Row],[_IsSummary]],MAX(INDEX(Tasks[_LeafLateFinish],Tasks[[#This Row],[_Row]]+1):INDEX(Tasks[_LeafLateFinish],Tasks[[#This Row],[_Row]]+Tasks[[#This Row],[_Descendants]])),Tasks[[#This Row],[_LeafLateFinish]]))</f>
        <v/>
      </c>
      <c r="AH111" s="56" t="str">
        <f aca="false">IF(Tasks[[#This Row],[Task Name]]="","",IF(Tasks[[#This Row],[_IsSummary]],MIN(INDEX(Tasks[_LeafTotalSlack],Tasks[[#This Row],[_Row]]+1):INDEX(Tasks[_LeafTotalSlack],Tasks[[#This Row],[_Row]]+Tasks[[#This Row],[_Descendants]])),Tasks[[#This Row],[_LeafTotalSlack]]))</f>
        <v/>
      </c>
      <c r="AI11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1" s="45" t="str">
        <f aca="false">IF(Tasks[[#This Row],[Task Name]]="","",IF(IF(Tasks[[#This Row],[_IsSummary]],COUNTIF(INDEX(Tasks[_LeafCritical],Tasks[[#This Row],[_Row]]+1):INDEX(Tasks[_LeafCritical],Tasks[[#This Row],[_Row]]+Tasks[[#This Row],[_Descendants]]),TRUE())&gt;0,Tasks[[#This Row],[_LeafCritical]]),"Yes",""))</f>
        <v/>
      </c>
      <c r="AK11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1" s="102"/>
      <c r="AN11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1" s="45" t="str">
        <f aca="false">IF(Tasks[[#This Row],[Task Name]]="","",IF(Tasks[[#This Row],[Progress]]&gt;=1,"Complete",IF(OR(N(Tasks[[#This Row],[Actual Start]])&gt;0,Tasks[[#This Row],[Progress]]&gt;0),IF(Tasks[[#This Row],[Finish Var]]&gt;0,"Behind","In Progress"),IF(Tasks[[#This Row],[Planned Start]]&lt;StatusDate,"Late Start","Not Started"))))</f>
        <v/>
      </c>
      <c r="AP111" s="47"/>
      <c r="AQ111" s="102"/>
      <c r="AR11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1" s="110" t="str">
        <f aca="false">IF(Tasks[[#This Row],[Task Name]]="","",IF(Tasks[[#This Row],[_IsSummary]],SUM(INDEX(Tasks[_LeafTotalWork],Tasks[[#This Row],[_Row]]+1):INDEX(Tasks[_LeafTotalWork],Tasks[[#This Row],[_Row]]+Tasks[[#This Row],[_Descendants]])),Tasks[[#This Row],[_LeafTotalWork]]))</f>
        <v/>
      </c>
      <c r="AU111" s="111" t="str">
        <f aca="false">IF(Tasks[[#This Row],[Task Name]]="","",IF(Tasks[[#This Row],[_IsSummary]],SUM(INDEX(Tasks[_LeafTotalCost],Tasks[[#This Row],[_Row]]+1):INDEX(Tasks[_LeafTotalCost],Tasks[[#This Row],[_Row]]+Tasks[[#This Row],[_Descendants]])),Tasks[[#This Row],[_LeafTotalCost]]))</f>
        <v/>
      </c>
      <c r="AV111" s="112"/>
      <c r="AW111" s="46"/>
      <c r="AX11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1" s="96"/>
      <c r="AZ11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1" s="47"/>
      <c r="BB111" s="25" t="str">
        <f aca="false">IF(Tasks[[#This Row],[Task Name]]="","",Tasks[[#This Row],[Forecast Start]])</f>
        <v/>
      </c>
      <c r="BC111" s="25" t="str">
        <f aca="false">IF(Tasks[[#This Row],[Task Name]]="","",Tasks[[#This Row],[Forecast Finish]])</f>
        <v/>
      </c>
      <c r="BD111" s="45" t="str">
        <f aca="false">IF(Tasks[[#This Row],[Task Name]]="","",IF(Tasks[[#This Row],[_IsSummary]],NETWORKDAYS.INTL(Tasks[[#This Row],[Forecast Start]],Tasks[[#This Row],[Forecast Finish]],WorkWeek,Holidays),N(Tasks[[#This Row],[Duration]])))</f>
        <v/>
      </c>
      <c r="BE111" s="110" t="str">
        <f aca="false">IF(Tasks[[#This Row],[Task Name]]="","",Tasks[[#This Row],[Work]])</f>
        <v/>
      </c>
      <c r="BF111" s="111" t="str">
        <f aca="false">IF(Tasks[[#This Row],[Task Name]]="","",Tasks[[#This Row],[Cost]])</f>
        <v/>
      </c>
      <c r="BG111" s="88"/>
      <c r="BH111" s="88"/>
      <c r="BI111" s="46"/>
      <c r="BJ111" s="113"/>
      <c r="BK111" s="112"/>
      <c r="BL111" s="45" t="str">
        <f aca="false">IF(OR(Tasks[[#This Row],[Task Name]]="",Tasks[[#This Row],[Baseline Duration]]=""),"",Tasks[[#This Row],[BL Source Duration]]-N(Tasks[[#This Row],[Baseline Duration]]))</f>
        <v/>
      </c>
      <c r="BM111" s="110" t="str">
        <f aca="false">IF(OR(Tasks[[#This Row],[Task Name]]="",Tasks[[#This Row],[Baseline Work]]=""),"",Tasks[[#This Row],[Work]]-N(Tasks[[#This Row],[Baseline Work]]))</f>
        <v/>
      </c>
      <c r="BN111" s="111" t="str">
        <f aca="false">IF(OR(Tasks[[#This Row],[Task Name]]="",Tasks[[#This Row],[Baseline Cost]]=""),"",Tasks[[#This Row],[Cost]]-N(Tasks[[#This Row],[Baseline Cost]]))</f>
        <v/>
      </c>
      <c r="BO111" s="111" t="str">
        <f aca="false">IF(Tasks[[#This Row],[Task Name]]="","",IF(Tasks[[#This Row],[_IsSummary]],SUM(INDEX(Tasks[_LeafBudget],Tasks[[#This Row],[_Row]]+1):INDEX(Tasks[_LeafBudget],Tasks[[#This Row],[_Row]]+Tasks[[#This Row],[_Descendants]])),Tasks[[#This Row],[_LeafBudget]]))</f>
        <v/>
      </c>
      <c r="BP111" s="111" t="str">
        <f aca="false">IF(Tasks[[#This Row],[Task Name]]="","",IF(Tasks[[#This Row],[_IsSummary]],SUM(INDEX(Tasks[_LeafPV],Tasks[[#This Row],[_Row]]+1):INDEX(Tasks[_LeafPV],Tasks[[#This Row],[_Row]]+Tasks[[#This Row],[_Descendants]])),Tasks[[#This Row],[_LeafPV]]))</f>
        <v/>
      </c>
      <c r="BQ111" s="111" t="str">
        <f aca="false">IF(Tasks[[#This Row],[Task Name]]="","",IF(Tasks[[#This Row],[_IsSummary]],SUM(INDEX(Tasks[_LeafEV],Tasks[[#This Row],[_Row]]+1):INDEX(Tasks[_LeafEV],Tasks[[#This Row],[_Row]]+Tasks[[#This Row],[_Descendants]])),Tasks[[#This Row],[_LeafEV]]))</f>
        <v/>
      </c>
      <c r="BR111" s="111" t="str">
        <f aca="false">IF(Tasks[[#This Row],[Task Name]]="","",IF(Tasks[[#This Row],[_IsSummary]],SUM(INDEX(Tasks[_LeafAC],Tasks[[#This Row],[_Row]]+1):INDEX(Tasks[_LeafAC],Tasks[[#This Row],[_Row]]+Tasks[[#This Row],[_Descendants]])),Tasks[[#This Row],[_LeafAC]]))</f>
        <v/>
      </c>
      <c r="BS111" s="32" t="str">
        <f aca="false">IF(Tasks[[#This Row],[Task Name]]="","",MAX(1,N(Tasks[[#This Row],[Level]])))</f>
        <v/>
      </c>
      <c r="BT111" s="32" t="n">
        <f aca="false">ROW()-ROW(Tasks[[#Headers],[ID]])</f>
        <v>106</v>
      </c>
      <c r="BU111" s="32" t="n">
        <f aca="false">IF(OR(Tasks[[#This Row],[Task Name]]="",Tasks[[#This Row],[_Level]]&lt;=1),0,IFERROR(LOOKUP(2,1/(Tasks[[#Headers],[_Level]]:Tasks[[#This Row],[_Level]]=Tasks[[#This Row],[_Level]]-1),ROW(Tasks[[#Headers],[_Level]]:Tasks[[#This Row],[_Level]])),0))</f>
        <v>0</v>
      </c>
      <c r="BV111" s="32" t="n">
        <f aca="false">IFERROR(N(INDEX(Tasks[_Level],Tasks[[#This Row],[_Row]]+1)),0)</f>
        <v>0</v>
      </c>
      <c r="BW111" s="114" t="b">
        <f aca="false">AND(Tasks[[#This Row],[Task Name]]&lt;&gt;"",Tasks[[#This Row],[_NextLevel]]&gt;Tasks[[#This Row],[_Level]])</f>
        <v>0</v>
      </c>
      <c r="BX111" s="32" t="n">
        <f aca="false">IF(Tasks[[#This Row],[_IsSummary]],COUNTIF(Tasks[WBS],Tasks[[#This Row],[WBS]]&amp;".*"),0)</f>
        <v>0</v>
      </c>
      <c r="BY111" s="32" t="n">
        <f aca="false">IF(AND(Tasks[[#This Row],[Task Name]]&lt;&gt;"",NOT(Tasks[[#This Row],[_IsSummary]])),1,0)</f>
        <v>0</v>
      </c>
      <c r="BZ111" s="32" t="n">
        <f aca="false">IF(N(Tasks[[#This Row],[Pred1 UID]])=0,0,IFERROR(MATCH(Tasks[[#This Row],[Pred1 UID]],Tasks[UID],0),-1))</f>
        <v>0</v>
      </c>
      <c r="CA111" s="32" t="n">
        <f aca="false">IF(N(Tasks[[#This Row],[Pred2 UID]])=0,0,IFERROR(MATCH(Tasks[[#This Row],[Pred2 UID]],Tasks[UID],0),-1))</f>
        <v>0</v>
      </c>
      <c r="CB111" s="32" t="n">
        <f aca="false">IF(N(Tasks[[#This Row],[Pred3 UID]])=0,0,IFERROR(MATCH(Tasks[[#This Row],[Pred3 UID]],Tasks[UID],0),-1))</f>
        <v>0</v>
      </c>
      <c r="CC111" s="32" t="n">
        <f aca="false">IF(N(Tasks[[#This Row],[Pred4 UID]])=0,0,IFERROR(MATCH(Tasks[[#This Row],[Pred4 UID]],Tasks[UID],0),-1))</f>
        <v>0</v>
      </c>
      <c r="CD11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1" s="115" t="n">
        <f aca="false">IF(OR(Tasks[[#This Row],[_ConstraintCode]]=2,Tasks[[#This Row],[_ConstraintCode]]=3,Tasks[[#This Row],[_ConstraintCode]]=4,Tasks[[#This Row],[_ConstraintCode]]=6),Tasks[[#This Row],[_ConstraintStart]],0)</f>
        <v>0</v>
      </c>
      <c r="CG111" s="115" t="n">
        <f aca="false">IF(OR(Tasks[[#This Row],[_ConstraintCode]]=2,Tasks[[#This Row],[_ConstraintCode]]=3,Tasks[[#This Row],[_ConstraintCode]]=5,Tasks[[#This Row],[_ConstraintCode]]=7),Tasks[[#This Row],[_ConstraintStart]],2958465)</f>
        <v>2958465</v>
      </c>
      <c r="CH11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1" s="115" t="str">
        <f aca="false">IF(NOT(Tasks[[#This Row],[_IsLeaf]]=1),"",IF(N(Tasks[[#This Row],[Duration]])&lt;=0,Tasks[[#This Row],[_LeafCalcStart]],WORKDAY.INTL(Tasks[[#This Row],[_LeafCalcStart]],Tasks[[#This Row],[Duration]]-1,WorkWeek,Holidays)))</f>
        <v/>
      </c>
      <c r="CJ11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1" s="32" t="n">
        <f aca="false">IF(NOT(Tasks[[#This Row],[_IsLeaf]]=1),0,IF(N(Tasks[[#This Row],[Actual Finish]])&gt;0,1,MIN(1,N(Tasks[[#This Row],[% Complete]]))))</f>
        <v>0</v>
      </c>
      <c r="CM111" s="32" t="n">
        <f aca="false">IF(OR(NOT(Tasks[[#This Row],[_IsLeaf]]=1),Tasks[[#This Row],[Resource]]=""),0,N(Tasks[[#This Row],[Duration]])*HoursPerDay*IF(Tasks[[#This Row],[Units]]="",DefaultUnits,Tasks[[#This Row],[Units]]))</f>
        <v>0</v>
      </c>
      <c r="CN111" s="32" t="n">
        <f aca="false">IF(Tasks[[#This Row],[_LeafWork]]=0,0,Tasks[[#This Row],[_LeafWork]]*IFERROR(INDEX(res_Rate,MATCH(Tasks[[#This Row],[Resource]],res_Name,0)),0))</f>
        <v>0</v>
      </c>
      <c r="CO111" s="32" t="n">
        <f aca="false">Tasks[[#This Row],[_LeafWork]]+IF(Tasks[[#This Row],[_IsLeaf]]=1,SUMIFS(asg_Work,asg_TaskUID,Tasks[[#This Row],[UID]],asg_Valid,1),0)</f>
        <v>0</v>
      </c>
      <c r="CP111" s="32" t="n">
        <f aca="false">Tasks[[#This Row],[_LeafCost]]+IF(Tasks[[#This Row],[_IsLeaf]]=1,SUMIFS(asg_Cost,asg_TaskUID,Tasks[[#This Row],[UID]],asg_Valid,1),0)</f>
        <v>0</v>
      </c>
      <c r="CQ111" s="32" t="n">
        <f aca="false">IF(Tasks[[#This Row],[_LeafTotalCost]]=0,Tasks[[#This Row],[_LeafAC]],Tasks[[#This Row],[_LeafAC]]*Tasks[[#This Row],[_LeafCost]]/Tasks[[#This Row],[_LeafTotalCost]])</f>
        <v>0</v>
      </c>
      <c r="CR11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1" s="32" t="n">
        <f aca="false">IF(NOT(Tasks[[#This Row],[_IsLeaf]]=1),0,MAX(_xlfn.MAXIFS(Tasks[_Row],Tasks[Pred1 UID],Tasks[[#This Row],[UID]]),_xlfn.MAXIFS(Tasks[_Row],Tasks[Pred2 UID],Tasks[[#This Row],[UID]]),_xlfn.MAXIFS(Tasks[_Row],Tasks[Pred3 UID],Tasks[[#This Row],[UID]]),_xlfn.MAXIFS(Tasks[_Row],Tasks[Pred4 UID],Tasks[[#This Row],[UID]])))</f>
        <v>0</v>
      </c>
      <c r="DA11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1" s="115" t="str">
        <f aca="false">IF(NOT(Tasks[[#This Row],[_IsLeaf]]=1),"",IF(N(Tasks[[#This Row],[Duration]])&lt;=0,Tasks[[#This Row],[_LeafLateFinish]],WORKDAY.INTL(Tasks[[#This Row],[_LeafLateFinish]],-(Tasks[[#This Row],[Duration]]-1),WorkWeek,Holidays)))</f>
        <v/>
      </c>
      <c r="DD11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1" s="114" t="b">
        <f aca="false">AND(Tasks[[#This Row],[_IsLeaf]]=1,Tasks[[#This Row],[_LeafProgress]]&lt;1,N(Tasks[[#This Row],[_LeafTotalSlack]])&lt;=CriticalSlackDays)</f>
        <v>0</v>
      </c>
      <c r="DF111" s="32" t="n">
        <f aca="false">IF(AND(Tasks[[#This Row],[_IsLeaf]]=1,Tasks[[#This Row],[_ConstraintCode]]=1,Tasks[[#This Row],[Mode]]&lt;&gt;"Manual",N(Tasks[[#This Row],[Actual Start]])=0),MAX(0,N(Tasks[[#This Row],[Free Slack]])),0)</f>
        <v>0</v>
      </c>
      <c r="DG111" s="115" t="str">
        <f aca="false">IF(NOT(Tasks[[#This Row],[_IsLeaf]]=1),"",IF(Tasks[[#This Row],[_AlapShift]]=0,Tasks[[#This Row],[_LeafCalcStart]],WORKDAY.INTL(Tasks[[#This Row],[_LeafCalcStart]],Tasks[[#This Row],[_AlapShift]],WorkWeek,Holidays)))</f>
        <v/>
      </c>
      <c r="DH111" s="115" t="str">
        <f aca="false">IF(NOT(Tasks[[#This Row],[_IsLeaf]]=1),"",IF(Tasks[[#This Row],[_AlapShift]]=0,Tasks[[#This Row],[_LeafCalcFinish]],WORKDAY.INTL(Tasks[[#This Row],[_LeafCalcFinish]],Tasks[[#This Row],[_AlapShift]],WorkWeek,Holidays)))</f>
        <v/>
      </c>
      <c r="DI111" s="115" t="str">
        <f aca="false">IF(NOT(Tasks[[#This Row],[_IsLeaf]]=1),"",IF(Tasks[[#This Row],[_AlapShift]]=0,Tasks[[#This Row],[_LeafFcstStart]],WORKDAY.INTL(Tasks[[#This Row],[_LeafFcstStart]],Tasks[[#This Row],[_AlapShift]],WorkWeek,Holidays)))</f>
        <v/>
      </c>
      <c r="DJ111" s="115" t="str">
        <f aca="false">IF(NOT(Tasks[[#This Row],[_IsLeaf]]=1),"",IF(Tasks[[#This Row],[_AlapShift]]=0,Tasks[[#This Row],[_LeafFcstFinish]],WORKDAY.INTL(Tasks[[#This Row],[_LeafFcstFinish]],Tasks[[#This Row],[_AlapShift]],WorkWeek,Holidays)))</f>
        <v/>
      </c>
      <c r="DK111" s="115" t="str">
        <f aca="false">IF(Tasks[[#This Row],[Task Name]]="","",IF(Tasks[[#This Row],[_IsSummary]],MIN(INDEX(Tasks[_ShownCalcStart],Tasks[[#This Row],[_Row]]+1):INDEX(Tasks[_ShownCalcStart],Tasks[[#This Row],[_Row]]+Tasks[[#This Row],[_Descendants]])),Tasks[[#This Row],[_ShownCalcStart]]))</f>
        <v/>
      </c>
      <c r="DL111" s="115" t="str">
        <f aca="false">IF(Tasks[[#This Row],[Task Name]]="","",IF(Tasks[[#This Row],[_IsSummary]],MAX(INDEX(Tasks[_ShownCalcFinish],Tasks[[#This Row],[_Row]]+1):INDEX(Tasks[_ShownCalcFinish],Tasks[[#This Row],[_Row]]+Tasks[[#This Row],[_Descendants]])),Tasks[[#This Row],[_ShownCalcFinish]]))</f>
        <v/>
      </c>
      <c r="DM11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1" s="32" t="n">
        <f aca="false">IF(AND(Tasks[[#This Row],[_IsLeaf]]=1,Tasks[[#This Row],[_LeafTotalWork]]&gt;0),NETWORKDAYS.INTL(ProjectStart,Tasks[[#This Row],[_ShownFcstStart]],WorkWeek,Holidays),0)</f>
        <v>0</v>
      </c>
      <c r="DZ111" s="32" t="n">
        <f aca="false">IF(AND(Tasks[[#This Row],[_IsLeaf]]=1,Tasks[[#This Row],[_LeafTotalWork]]&gt;0),MAX(Tasks[[#This Row],[_StartWorkday]],NETWORKDAYS.INTL(ProjectStart,Tasks[[#This Row],[_ShownFcstFinish]],WorkWeek,Holidays)),0)</f>
        <v>0</v>
      </c>
      <c r="EA111" s="32" t="n">
        <f aca="false">IF(AND(Tasks[[#This Row],[_IsLeaf]]=1,Tasks[[#This Row],[_LeafTotalWork]]&gt;0),Tasks[[#This Row],[_LeafWork]]/(Tasks[[#This Row],[_FinishWorkday]]-Tasks[[#This Row],[_StartWorkday]]+1),0)</f>
        <v>0</v>
      </c>
      <c r="EB111" s="32" t="n">
        <f aca="false">Tasks[[#This Row],[_WorkPerWorkday]]*(Tasks[[#This Row],[_StartWorkday]]-1)</f>
        <v>-0</v>
      </c>
      <c r="EC111" s="32" t="n">
        <f aca="false">IF(Tasks[[#This Row],[_IsLeaf]]=1,MAX(N(Tasks[[#This Row],[Duration]]),0.1),0)</f>
        <v>0</v>
      </c>
      <c r="ED111" s="32" t="n">
        <f aca="false">Tasks[[#This Row],[_WeightDur]]*Tasks[[#This Row],[_LeafProgress]]</f>
        <v>0</v>
      </c>
      <c r="EE11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1" s="32" t="str">
        <f aca="false">IF(AND(Tasks[[#This Row],[_IsLeaf]]=1,N(Tasks[[#This Row],[Duration]])=0,Tasks[[#This Row],[_LeafProgress]]&lt;1),Tasks[[#This Row],[_ShownFcstFinish]]+Tasks[[#This Row],[_Row]]/100000,"")</f>
        <v/>
      </c>
      <c r="EG11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1" s="32" t="n">
        <f aca="false">IF(NOT(Tasks[[#This Row],[_IsLeaf]]=1),0,IF(Tasks[[#This Row],[Baseline Cost]]="",Tasks[[#This Row],[_LeafTotalCost]],N(Tasks[[#This Row],[Baseline Cost]])))</f>
        <v>0</v>
      </c>
      <c r="EI111" s="32" t="n">
        <f aca="false">Tasks[[#This Row],[_LeafBudget]]*Tasks[[#This Row],[_PlannedPct]]</f>
        <v>0</v>
      </c>
      <c r="EJ111" s="32" t="n">
        <f aca="false">Tasks[[#This Row],[_LeafBudget]]*Tasks[[#This Row],[_LeafProgress]]</f>
        <v>0</v>
      </c>
      <c r="EK111" s="32" t="n">
        <f aca="false">IF(NOT(Tasks[[#This Row],[_IsLeaf]]=1),0,IF(Tasks[[#This Row],[Actual Cost]]="",Tasks[[#This Row],[_LeafTotalCost]]*Tasks[[#This Row],[_LeafProgress]],N(Tasks[[#This Row],[Actual Cost]])))</f>
        <v>0</v>
      </c>
      <c r="EL111" s="32" t="str">
        <f aca="false">IF(Tasks[[#This Row],[Task Name]]="","",LEFT(Tasks[[#This Row],[WBS]],FIND(".",Tasks[[#This Row],[WBS]]&amp;".")-1))</f>
        <v/>
      </c>
      <c r="EM111" s="32" t="str">
        <f aca="false">IF(AND(Tasks[[#This Row],[Task Name]]&lt;&gt;"",Tasks[[#This Row],[_Level]]=1),Tasks[[#This Row],[_Row]],"")</f>
        <v/>
      </c>
      <c r="EN111" s="32" t="str">
        <f aca="false">IF(AND(Tasks[[#This Row],[_IsLeaf]]=1,N(Tasks[[#This Row],[Duration]])=0),Tasks[[#This Row],[Planned Finish]]+Tasks[[#This Row],[_Row]]/100000,"")</f>
        <v/>
      </c>
      <c r="EO111" s="32" t="str">
        <f aca="false">IF(AND(Tasks[[#This Row],[_IsLeaf]]=1,Tasks[[#This Row],[_LeafProgress]]&lt;1,OR(N(Tasks[[#This Row],[Finish Var]])&gt;0,Tasks[[#This Row],[Status]]="Late Start")),MAX(0,Tasks[[#This Row],[Finish Var]])+1-Tasks[[#This Row],[_Row]]/1000000,"")</f>
        <v/>
      </c>
      <c r="EP111" s="32" t="str">
        <f aca="false">IF(AND(Tasks[[#This Row],[_IsLeaf]]=1,N(Tasks[[#This Row],[Actual Start]])=0,Tasks[[#This Row],[_ShownFcstStart]]&gt;=StatusDate,Tasks[[#This Row],[_ShownFcstStart]]&lt;=LookaheadEnd),Tasks[[#This Row],[_ShownFcstStart]]+Tasks[[#This Row],[_Row]]/100000,"")</f>
        <v/>
      </c>
      <c r="EQ111" s="32" t="str">
        <f aca="false">IF(AND(Tasks[[#This Row],[_IsLeaf]]=1,Tasks[[#This Row],[_LeafProgress]]&lt;1,Tasks[[#This Row],[_ShownFcstFinish]]&gt;=StatusDate,Tasks[[#This Row],[_ShownFcstFinish]]&lt;=LookaheadEnd),Tasks[[#This Row],[_ShownFcstFinish]]+Tasks[[#This Row],[_Row]]/100000,"")</f>
        <v/>
      </c>
      <c r="ER111" s="32" t="str">
        <f aca="false">IF(Tasks[[#This Row],[_LeafCritical]],Tasks[[#This Row],[_ShownFcstStart]]+Tasks[[#This Row],[_Row]]/100000,"")</f>
        <v/>
      </c>
      <c r="ES111" s="32" t="n">
        <f aca="false">Tasks[[#This Row],[_LeafWork]]*Tasks[[#This Row],[_LeafProgress]]</f>
        <v>0</v>
      </c>
      <c r="ET111" s="115" t="str">
        <f aca="false">IF(AND(Tasks[[#This Row],[_IsLeaf]]=1,Tasks[[#This Row],[_LeafProgress]]&gt;=1),IF(N(Tasks[[#This Row],[Actual Finish]])&gt;0,Tasks[[#This Row],[Actual Finish]],Tasks[[#This Row],[_ShownFcstFinish]]),"")</f>
        <v/>
      </c>
      <c r="EU111" s="32" t="n">
        <f aca="false">IF(Tasks[[#This Row],[_IsLeaf]]=1,N(Tasks[[#This Row],[Story Points]]),0)</f>
        <v>0</v>
      </c>
      <c r="EV111" s="32" t="str">
        <f aca="false">IF(AND(Tasks[[#This Row],[_IsLeaf]]=1,CurrentSprint&lt;&gt;"",Tasks[[#This Row],[Sprint]]=CurrentSprint),Tasks[[#This Row],[_Row]],"")</f>
        <v/>
      </c>
    </row>
    <row r="112" customFormat="false" ht="15" hidden="false" customHeight="false" outlineLevel="0" collapsed="false">
      <c r="A112" s="45" t="str">
        <f aca="false">IF(Tasks[[#This Row],[Task Name]]="","",COUNTA(Tasks[[#Headers],[Task Name]]:Tasks[[#This Row],[Task Name]])-1)</f>
        <v/>
      </c>
      <c r="B112" s="46" t="n">
        <v>107</v>
      </c>
      <c r="C11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2" s="46"/>
      <c r="E112" s="45" t="str">
        <f aca="false">IF(Tasks[[#This Row],[Task Name]]="","",IF(Tasks[[#This Row],[_Level]]&lt;=OutlineShowLevel,"Yes","No"))</f>
        <v/>
      </c>
      <c r="F112" s="47"/>
      <c r="G112" s="46"/>
      <c r="H112" s="46"/>
      <c r="I112" s="46"/>
      <c r="J112" s="46"/>
      <c r="K112" s="46"/>
      <c r="L112" s="46"/>
      <c r="M112" s="46"/>
      <c r="N112" s="46"/>
      <c r="O112" s="46"/>
      <c r="P112" s="46"/>
      <c r="Q112" s="46"/>
      <c r="R112" s="46"/>
      <c r="S112" s="46"/>
      <c r="T112" s="46"/>
      <c r="U112" s="47"/>
      <c r="V112" s="88"/>
      <c r="W112" s="88"/>
      <c r="X112" s="25" t="str">
        <f aca="false">IF(Tasks[[#This Row],[Task Name]]="","",IF(N(Tasks[[#This Row],[Baseline Start]])&gt;0,Tasks[[#This Row],[Baseline Start]],Tasks[[#This Row],[_CalcStart]]))</f>
        <v/>
      </c>
      <c r="Y112" s="25" t="str">
        <f aca="false">IF(Tasks[[#This Row],[Task Name]]="","",IF(N(Tasks[[#This Row],[Baseline Finish]])&gt;0,Tasks[[#This Row],[Baseline Finish]],Tasks[[#This Row],[_CalcFinish]]))</f>
        <v/>
      </c>
      <c r="Z112" s="88"/>
      <c r="AA112" s="88"/>
      <c r="AB112" s="25" t="str">
        <f aca="false">IF(Tasks[[#This Row],[Task Name]]="","",IF(Tasks[[#This Row],[_IsSummary]],MIN(INDEX(Tasks[_ShownFcstStart],Tasks[[#This Row],[_Row]]+1):INDEX(Tasks[_ShownFcstStart],Tasks[[#This Row],[_Row]]+Tasks[[#This Row],[_Descendants]])),Tasks[[#This Row],[_ShownFcstStart]]))</f>
        <v/>
      </c>
      <c r="AC112" s="25" t="str">
        <f aca="false">IF(Tasks[[#This Row],[Task Name]]="","",IF(Tasks[[#This Row],[_IsSummary]],MAX(INDEX(Tasks[_ShownFcstFinish],Tasks[[#This Row],[_Row]]+1):INDEX(Tasks[_ShownFcstFinish],Tasks[[#This Row],[_Row]]+Tasks[[#This Row],[_Descendants]])),Tasks[[#This Row],[_ShownFcstFinish]]))</f>
        <v/>
      </c>
      <c r="AD11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2" s="25" t="str">
        <f aca="false">IF(Tasks[[#This Row],[Task Name]]="","",IF(Tasks[[#This Row],[_IsSummary]],MIN(INDEX(Tasks[_LeafLateStart],Tasks[[#This Row],[_Row]]+1):INDEX(Tasks[_LeafLateStart],Tasks[[#This Row],[_Row]]+Tasks[[#This Row],[_Descendants]])),Tasks[[#This Row],[_LeafLateStart]]))</f>
        <v/>
      </c>
      <c r="AG112" s="25" t="str">
        <f aca="false">IF(Tasks[[#This Row],[Task Name]]="","",IF(Tasks[[#This Row],[_IsSummary]],MAX(INDEX(Tasks[_LeafLateFinish],Tasks[[#This Row],[_Row]]+1):INDEX(Tasks[_LeafLateFinish],Tasks[[#This Row],[_Row]]+Tasks[[#This Row],[_Descendants]])),Tasks[[#This Row],[_LeafLateFinish]]))</f>
        <v/>
      </c>
      <c r="AH112" s="56" t="str">
        <f aca="false">IF(Tasks[[#This Row],[Task Name]]="","",IF(Tasks[[#This Row],[_IsSummary]],MIN(INDEX(Tasks[_LeafTotalSlack],Tasks[[#This Row],[_Row]]+1):INDEX(Tasks[_LeafTotalSlack],Tasks[[#This Row],[_Row]]+Tasks[[#This Row],[_Descendants]])),Tasks[[#This Row],[_LeafTotalSlack]]))</f>
        <v/>
      </c>
      <c r="AI11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2" s="45" t="str">
        <f aca="false">IF(Tasks[[#This Row],[Task Name]]="","",IF(IF(Tasks[[#This Row],[_IsSummary]],COUNTIF(INDEX(Tasks[_LeafCritical],Tasks[[#This Row],[_Row]]+1):INDEX(Tasks[_LeafCritical],Tasks[[#This Row],[_Row]]+Tasks[[#This Row],[_Descendants]]),TRUE())&gt;0,Tasks[[#This Row],[_LeafCritical]]),"Yes",""))</f>
        <v/>
      </c>
      <c r="AK11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2" s="102"/>
      <c r="AN11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2" s="45" t="str">
        <f aca="false">IF(Tasks[[#This Row],[Task Name]]="","",IF(Tasks[[#This Row],[Progress]]&gt;=1,"Complete",IF(OR(N(Tasks[[#This Row],[Actual Start]])&gt;0,Tasks[[#This Row],[Progress]]&gt;0),IF(Tasks[[#This Row],[Finish Var]]&gt;0,"Behind","In Progress"),IF(Tasks[[#This Row],[Planned Start]]&lt;StatusDate,"Late Start","Not Started"))))</f>
        <v/>
      </c>
      <c r="AP112" s="47"/>
      <c r="AQ112" s="102"/>
      <c r="AR11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2" s="110" t="str">
        <f aca="false">IF(Tasks[[#This Row],[Task Name]]="","",IF(Tasks[[#This Row],[_IsSummary]],SUM(INDEX(Tasks[_LeafTotalWork],Tasks[[#This Row],[_Row]]+1):INDEX(Tasks[_LeafTotalWork],Tasks[[#This Row],[_Row]]+Tasks[[#This Row],[_Descendants]])),Tasks[[#This Row],[_LeafTotalWork]]))</f>
        <v/>
      </c>
      <c r="AU112" s="111" t="str">
        <f aca="false">IF(Tasks[[#This Row],[Task Name]]="","",IF(Tasks[[#This Row],[_IsSummary]],SUM(INDEX(Tasks[_LeafTotalCost],Tasks[[#This Row],[_Row]]+1):INDEX(Tasks[_LeafTotalCost],Tasks[[#This Row],[_Row]]+Tasks[[#This Row],[_Descendants]])),Tasks[[#This Row],[_LeafTotalCost]]))</f>
        <v/>
      </c>
      <c r="AV112" s="112"/>
      <c r="AW112" s="46"/>
      <c r="AX11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2" s="96"/>
      <c r="AZ11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2" s="47"/>
      <c r="BB112" s="25" t="str">
        <f aca="false">IF(Tasks[[#This Row],[Task Name]]="","",Tasks[[#This Row],[Forecast Start]])</f>
        <v/>
      </c>
      <c r="BC112" s="25" t="str">
        <f aca="false">IF(Tasks[[#This Row],[Task Name]]="","",Tasks[[#This Row],[Forecast Finish]])</f>
        <v/>
      </c>
      <c r="BD112" s="45" t="str">
        <f aca="false">IF(Tasks[[#This Row],[Task Name]]="","",IF(Tasks[[#This Row],[_IsSummary]],NETWORKDAYS.INTL(Tasks[[#This Row],[Forecast Start]],Tasks[[#This Row],[Forecast Finish]],WorkWeek,Holidays),N(Tasks[[#This Row],[Duration]])))</f>
        <v/>
      </c>
      <c r="BE112" s="110" t="str">
        <f aca="false">IF(Tasks[[#This Row],[Task Name]]="","",Tasks[[#This Row],[Work]])</f>
        <v/>
      </c>
      <c r="BF112" s="111" t="str">
        <f aca="false">IF(Tasks[[#This Row],[Task Name]]="","",Tasks[[#This Row],[Cost]])</f>
        <v/>
      </c>
      <c r="BG112" s="88"/>
      <c r="BH112" s="88"/>
      <c r="BI112" s="46"/>
      <c r="BJ112" s="113"/>
      <c r="BK112" s="112"/>
      <c r="BL112" s="45" t="str">
        <f aca="false">IF(OR(Tasks[[#This Row],[Task Name]]="",Tasks[[#This Row],[Baseline Duration]]=""),"",Tasks[[#This Row],[BL Source Duration]]-N(Tasks[[#This Row],[Baseline Duration]]))</f>
        <v/>
      </c>
      <c r="BM112" s="110" t="str">
        <f aca="false">IF(OR(Tasks[[#This Row],[Task Name]]="",Tasks[[#This Row],[Baseline Work]]=""),"",Tasks[[#This Row],[Work]]-N(Tasks[[#This Row],[Baseline Work]]))</f>
        <v/>
      </c>
      <c r="BN112" s="111" t="str">
        <f aca="false">IF(OR(Tasks[[#This Row],[Task Name]]="",Tasks[[#This Row],[Baseline Cost]]=""),"",Tasks[[#This Row],[Cost]]-N(Tasks[[#This Row],[Baseline Cost]]))</f>
        <v/>
      </c>
      <c r="BO112" s="111" t="str">
        <f aca="false">IF(Tasks[[#This Row],[Task Name]]="","",IF(Tasks[[#This Row],[_IsSummary]],SUM(INDEX(Tasks[_LeafBudget],Tasks[[#This Row],[_Row]]+1):INDEX(Tasks[_LeafBudget],Tasks[[#This Row],[_Row]]+Tasks[[#This Row],[_Descendants]])),Tasks[[#This Row],[_LeafBudget]]))</f>
        <v/>
      </c>
      <c r="BP112" s="111" t="str">
        <f aca="false">IF(Tasks[[#This Row],[Task Name]]="","",IF(Tasks[[#This Row],[_IsSummary]],SUM(INDEX(Tasks[_LeafPV],Tasks[[#This Row],[_Row]]+1):INDEX(Tasks[_LeafPV],Tasks[[#This Row],[_Row]]+Tasks[[#This Row],[_Descendants]])),Tasks[[#This Row],[_LeafPV]]))</f>
        <v/>
      </c>
      <c r="BQ112" s="111" t="str">
        <f aca="false">IF(Tasks[[#This Row],[Task Name]]="","",IF(Tasks[[#This Row],[_IsSummary]],SUM(INDEX(Tasks[_LeafEV],Tasks[[#This Row],[_Row]]+1):INDEX(Tasks[_LeafEV],Tasks[[#This Row],[_Row]]+Tasks[[#This Row],[_Descendants]])),Tasks[[#This Row],[_LeafEV]]))</f>
        <v/>
      </c>
      <c r="BR112" s="111" t="str">
        <f aca="false">IF(Tasks[[#This Row],[Task Name]]="","",IF(Tasks[[#This Row],[_IsSummary]],SUM(INDEX(Tasks[_LeafAC],Tasks[[#This Row],[_Row]]+1):INDEX(Tasks[_LeafAC],Tasks[[#This Row],[_Row]]+Tasks[[#This Row],[_Descendants]])),Tasks[[#This Row],[_LeafAC]]))</f>
        <v/>
      </c>
      <c r="BS112" s="32" t="str">
        <f aca="false">IF(Tasks[[#This Row],[Task Name]]="","",MAX(1,N(Tasks[[#This Row],[Level]])))</f>
        <v/>
      </c>
      <c r="BT112" s="32" t="n">
        <f aca="false">ROW()-ROW(Tasks[[#Headers],[ID]])</f>
        <v>107</v>
      </c>
      <c r="BU112" s="32" t="n">
        <f aca="false">IF(OR(Tasks[[#This Row],[Task Name]]="",Tasks[[#This Row],[_Level]]&lt;=1),0,IFERROR(LOOKUP(2,1/(Tasks[[#Headers],[_Level]]:Tasks[[#This Row],[_Level]]=Tasks[[#This Row],[_Level]]-1),ROW(Tasks[[#Headers],[_Level]]:Tasks[[#This Row],[_Level]])),0))</f>
        <v>0</v>
      </c>
      <c r="BV112" s="32" t="n">
        <f aca="false">IFERROR(N(INDEX(Tasks[_Level],Tasks[[#This Row],[_Row]]+1)),0)</f>
        <v>0</v>
      </c>
      <c r="BW112" s="114" t="b">
        <f aca="false">AND(Tasks[[#This Row],[Task Name]]&lt;&gt;"",Tasks[[#This Row],[_NextLevel]]&gt;Tasks[[#This Row],[_Level]])</f>
        <v>0</v>
      </c>
      <c r="BX112" s="32" t="n">
        <f aca="false">IF(Tasks[[#This Row],[_IsSummary]],COUNTIF(Tasks[WBS],Tasks[[#This Row],[WBS]]&amp;".*"),0)</f>
        <v>0</v>
      </c>
      <c r="BY112" s="32" t="n">
        <f aca="false">IF(AND(Tasks[[#This Row],[Task Name]]&lt;&gt;"",NOT(Tasks[[#This Row],[_IsSummary]])),1,0)</f>
        <v>0</v>
      </c>
      <c r="BZ112" s="32" t="n">
        <f aca="false">IF(N(Tasks[[#This Row],[Pred1 UID]])=0,0,IFERROR(MATCH(Tasks[[#This Row],[Pred1 UID]],Tasks[UID],0),-1))</f>
        <v>0</v>
      </c>
      <c r="CA112" s="32" t="n">
        <f aca="false">IF(N(Tasks[[#This Row],[Pred2 UID]])=0,0,IFERROR(MATCH(Tasks[[#This Row],[Pred2 UID]],Tasks[UID],0),-1))</f>
        <v>0</v>
      </c>
      <c r="CB112" s="32" t="n">
        <f aca="false">IF(N(Tasks[[#This Row],[Pred3 UID]])=0,0,IFERROR(MATCH(Tasks[[#This Row],[Pred3 UID]],Tasks[UID],0),-1))</f>
        <v>0</v>
      </c>
      <c r="CC112" s="32" t="n">
        <f aca="false">IF(N(Tasks[[#This Row],[Pred4 UID]])=0,0,IFERROR(MATCH(Tasks[[#This Row],[Pred4 UID]],Tasks[UID],0),-1))</f>
        <v>0</v>
      </c>
      <c r="CD11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2" s="115" t="n">
        <f aca="false">IF(OR(Tasks[[#This Row],[_ConstraintCode]]=2,Tasks[[#This Row],[_ConstraintCode]]=3,Tasks[[#This Row],[_ConstraintCode]]=4,Tasks[[#This Row],[_ConstraintCode]]=6),Tasks[[#This Row],[_ConstraintStart]],0)</f>
        <v>0</v>
      </c>
      <c r="CG112" s="115" t="n">
        <f aca="false">IF(OR(Tasks[[#This Row],[_ConstraintCode]]=2,Tasks[[#This Row],[_ConstraintCode]]=3,Tasks[[#This Row],[_ConstraintCode]]=5,Tasks[[#This Row],[_ConstraintCode]]=7),Tasks[[#This Row],[_ConstraintStart]],2958465)</f>
        <v>2958465</v>
      </c>
      <c r="CH11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2" s="115" t="str">
        <f aca="false">IF(NOT(Tasks[[#This Row],[_IsLeaf]]=1),"",IF(N(Tasks[[#This Row],[Duration]])&lt;=0,Tasks[[#This Row],[_LeafCalcStart]],WORKDAY.INTL(Tasks[[#This Row],[_LeafCalcStart]],Tasks[[#This Row],[Duration]]-1,WorkWeek,Holidays)))</f>
        <v/>
      </c>
      <c r="CJ11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2" s="32" t="n">
        <f aca="false">IF(NOT(Tasks[[#This Row],[_IsLeaf]]=1),0,IF(N(Tasks[[#This Row],[Actual Finish]])&gt;0,1,MIN(1,N(Tasks[[#This Row],[% Complete]]))))</f>
        <v>0</v>
      </c>
      <c r="CM112" s="32" t="n">
        <f aca="false">IF(OR(NOT(Tasks[[#This Row],[_IsLeaf]]=1),Tasks[[#This Row],[Resource]]=""),0,N(Tasks[[#This Row],[Duration]])*HoursPerDay*IF(Tasks[[#This Row],[Units]]="",DefaultUnits,Tasks[[#This Row],[Units]]))</f>
        <v>0</v>
      </c>
      <c r="CN112" s="32" t="n">
        <f aca="false">IF(Tasks[[#This Row],[_LeafWork]]=0,0,Tasks[[#This Row],[_LeafWork]]*IFERROR(INDEX(res_Rate,MATCH(Tasks[[#This Row],[Resource]],res_Name,0)),0))</f>
        <v>0</v>
      </c>
      <c r="CO112" s="32" t="n">
        <f aca="false">Tasks[[#This Row],[_LeafWork]]+IF(Tasks[[#This Row],[_IsLeaf]]=1,SUMIFS(asg_Work,asg_TaskUID,Tasks[[#This Row],[UID]],asg_Valid,1),0)</f>
        <v>0</v>
      </c>
      <c r="CP112" s="32" t="n">
        <f aca="false">Tasks[[#This Row],[_LeafCost]]+IF(Tasks[[#This Row],[_IsLeaf]]=1,SUMIFS(asg_Cost,asg_TaskUID,Tasks[[#This Row],[UID]],asg_Valid,1),0)</f>
        <v>0</v>
      </c>
      <c r="CQ112" s="32" t="n">
        <f aca="false">IF(Tasks[[#This Row],[_LeafTotalCost]]=0,Tasks[[#This Row],[_LeafAC]],Tasks[[#This Row],[_LeafAC]]*Tasks[[#This Row],[_LeafCost]]/Tasks[[#This Row],[_LeafTotalCost]])</f>
        <v>0</v>
      </c>
      <c r="CR11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2" s="32" t="n">
        <f aca="false">IF(NOT(Tasks[[#This Row],[_IsLeaf]]=1),0,MAX(_xlfn.MAXIFS(Tasks[_Row],Tasks[Pred1 UID],Tasks[[#This Row],[UID]]),_xlfn.MAXIFS(Tasks[_Row],Tasks[Pred2 UID],Tasks[[#This Row],[UID]]),_xlfn.MAXIFS(Tasks[_Row],Tasks[Pred3 UID],Tasks[[#This Row],[UID]]),_xlfn.MAXIFS(Tasks[_Row],Tasks[Pred4 UID],Tasks[[#This Row],[UID]])))</f>
        <v>0</v>
      </c>
      <c r="DA11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2" s="115" t="str">
        <f aca="false">IF(NOT(Tasks[[#This Row],[_IsLeaf]]=1),"",IF(N(Tasks[[#This Row],[Duration]])&lt;=0,Tasks[[#This Row],[_LeafLateFinish]],WORKDAY.INTL(Tasks[[#This Row],[_LeafLateFinish]],-(Tasks[[#This Row],[Duration]]-1),WorkWeek,Holidays)))</f>
        <v/>
      </c>
      <c r="DD11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2" s="114" t="b">
        <f aca="false">AND(Tasks[[#This Row],[_IsLeaf]]=1,Tasks[[#This Row],[_LeafProgress]]&lt;1,N(Tasks[[#This Row],[_LeafTotalSlack]])&lt;=CriticalSlackDays)</f>
        <v>0</v>
      </c>
      <c r="DF112" s="32" t="n">
        <f aca="false">IF(AND(Tasks[[#This Row],[_IsLeaf]]=1,Tasks[[#This Row],[_ConstraintCode]]=1,Tasks[[#This Row],[Mode]]&lt;&gt;"Manual",N(Tasks[[#This Row],[Actual Start]])=0),MAX(0,N(Tasks[[#This Row],[Free Slack]])),0)</f>
        <v>0</v>
      </c>
      <c r="DG112" s="115" t="str">
        <f aca="false">IF(NOT(Tasks[[#This Row],[_IsLeaf]]=1),"",IF(Tasks[[#This Row],[_AlapShift]]=0,Tasks[[#This Row],[_LeafCalcStart]],WORKDAY.INTL(Tasks[[#This Row],[_LeafCalcStart]],Tasks[[#This Row],[_AlapShift]],WorkWeek,Holidays)))</f>
        <v/>
      </c>
      <c r="DH112" s="115" t="str">
        <f aca="false">IF(NOT(Tasks[[#This Row],[_IsLeaf]]=1),"",IF(Tasks[[#This Row],[_AlapShift]]=0,Tasks[[#This Row],[_LeafCalcFinish]],WORKDAY.INTL(Tasks[[#This Row],[_LeafCalcFinish]],Tasks[[#This Row],[_AlapShift]],WorkWeek,Holidays)))</f>
        <v/>
      </c>
      <c r="DI112" s="115" t="str">
        <f aca="false">IF(NOT(Tasks[[#This Row],[_IsLeaf]]=1),"",IF(Tasks[[#This Row],[_AlapShift]]=0,Tasks[[#This Row],[_LeafFcstStart]],WORKDAY.INTL(Tasks[[#This Row],[_LeafFcstStart]],Tasks[[#This Row],[_AlapShift]],WorkWeek,Holidays)))</f>
        <v/>
      </c>
      <c r="DJ112" s="115" t="str">
        <f aca="false">IF(NOT(Tasks[[#This Row],[_IsLeaf]]=1),"",IF(Tasks[[#This Row],[_AlapShift]]=0,Tasks[[#This Row],[_LeafFcstFinish]],WORKDAY.INTL(Tasks[[#This Row],[_LeafFcstFinish]],Tasks[[#This Row],[_AlapShift]],WorkWeek,Holidays)))</f>
        <v/>
      </c>
      <c r="DK112" s="115" t="str">
        <f aca="false">IF(Tasks[[#This Row],[Task Name]]="","",IF(Tasks[[#This Row],[_IsSummary]],MIN(INDEX(Tasks[_ShownCalcStart],Tasks[[#This Row],[_Row]]+1):INDEX(Tasks[_ShownCalcStart],Tasks[[#This Row],[_Row]]+Tasks[[#This Row],[_Descendants]])),Tasks[[#This Row],[_ShownCalcStart]]))</f>
        <v/>
      </c>
      <c r="DL112" s="115" t="str">
        <f aca="false">IF(Tasks[[#This Row],[Task Name]]="","",IF(Tasks[[#This Row],[_IsSummary]],MAX(INDEX(Tasks[_ShownCalcFinish],Tasks[[#This Row],[_Row]]+1):INDEX(Tasks[_ShownCalcFinish],Tasks[[#This Row],[_Row]]+Tasks[[#This Row],[_Descendants]])),Tasks[[#This Row],[_ShownCalcFinish]]))</f>
        <v/>
      </c>
      <c r="DM11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2" s="32" t="n">
        <f aca="false">IF(AND(Tasks[[#This Row],[_IsLeaf]]=1,Tasks[[#This Row],[_LeafTotalWork]]&gt;0),NETWORKDAYS.INTL(ProjectStart,Tasks[[#This Row],[_ShownFcstStart]],WorkWeek,Holidays),0)</f>
        <v>0</v>
      </c>
      <c r="DZ112" s="32" t="n">
        <f aca="false">IF(AND(Tasks[[#This Row],[_IsLeaf]]=1,Tasks[[#This Row],[_LeafTotalWork]]&gt;0),MAX(Tasks[[#This Row],[_StartWorkday]],NETWORKDAYS.INTL(ProjectStart,Tasks[[#This Row],[_ShownFcstFinish]],WorkWeek,Holidays)),0)</f>
        <v>0</v>
      </c>
      <c r="EA112" s="32" t="n">
        <f aca="false">IF(AND(Tasks[[#This Row],[_IsLeaf]]=1,Tasks[[#This Row],[_LeafTotalWork]]&gt;0),Tasks[[#This Row],[_LeafWork]]/(Tasks[[#This Row],[_FinishWorkday]]-Tasks[[#This Row],[_StartWorkday]]+1),0)</f>
        <v>0</v>
      </c>
      <c r="EB112" s="32" t="n">
        <f aca="false">Tasks[[#This Row],[_WorkPerWorkday]]*(Tasks[[#This Row],[_StartWorkday]]-1)</f>
        <v>-0</v>
      </c>
      <c r="EC112" s="32" t="n">
        <f aca="false">IF(Tasks[[#This Row],[_IsLeaf]]=1,MAX(N(Tasks[[#This Row],[Duration]]),0.1),0)</f>
        <v>0</v>
      </c>
      <c r="ED112" s="32" t="n">
        <f aca="false">Tasks[[#This Row],[_WeightDur]]*Tasks[[#This Row],[_LeafProgress]]</f>
        <v>0</v>
      </c>
      <c r="EE11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2" s="32" t="str">
        <f aca="false">IF(AND(Tasks[[#This Row],[_IsLeaf]]=1,N(Tasks[[#This Row],[Duration]])=0,Tasks[[#This Row],[_LeafProgress]]&lt;1),Tasks[[#This Row],[_ShownFcstFinish]]+Tasks[[#This Row],[_Row]]/100000,"")</f>
        <v/>
      </c>
      <c r="EG11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2" s="32" t="n">
        <f aca="false">IF(NOT(Tasks[[#This Row],[_IsLeaf]]=1),0,IF(Tasks[[#This Row],[Baseline Cost]]="",Tasks[[#This Row],[_LeafTotalCost]],N(Tasks[[#This Row],[Baseline Cost]])))</f>
        <v>0</v>
      </c>
      <c r="EI112" s="32" t="n">
        <f aca="false">Tasks[[#This Row],[_LeafBudget]]*Tasks[[#This Row],[_PlannedPct]]</f>
        <v>0</v>
      </c>
      <c r="EJ112" s="32" t="n">
        <f aca="false">Tasks[[#This Row],[_LeafBudget]]*Tasks[[#This Row],[_LeafProgress]]</f>
        <v>0</v>
      </c>
      <c r="EK112" s="32" t="n">
        <f aca="false">IF(NOT(Tasks[[#This Row],[_IsLeaf]]=1),0,IF(Tasks[[#This Row],[Actual Cost]]="",Tasks[[#This Row],[_LeafTotalCost]]*Tasks[[#This Row],[_LeafProgress]],N(Tasks[[#This Row],[Actual Cost]])))</f>
        <v>0</v>
      </c>
      <c r="EL112" s="32" t="str">
        <f aca="false">IF(Tasks[[#This Row],[Task Name]]="","",LEFT(Tasks[[#This Row],[WBS]],FIND(".",Tasks[[#This Row],[WBS]]&amp;".")-1))</f>
        <v/>
      </c>
      <c r="EM112" s="32" t="str">
        <f aca="false">IF(AND(Tasks[[#This Row],[Task Name]]&lt;&gt;"",Tasks[[#This Row],[_Level]]=1),Tasks[[#This Row],[_Row]],"")</f>
        <v/>
      </c>
      <c r="EN112" s="32" t="str">
        <f aca="false">IF(AND(Tasks[[#This Row],[_IsLeaf]]=1,N(Tasks[[#This Row],[Duration]])=0),Tasks[[#This Row],[Planned Finish]]+Tasks[[#This Row],[_Row]]/100000,"")</f>
        <v/>
      </c>
      <c r="EO112" s="32" t="str">
        <f aca="false">IF(AND(Tasks[[#This Row],[_IsLeaf]]=1,Tasks[[#This Row],[_LeafProgress]]&lt;1,OR(N(Tasks[[#This Row],[Finish Var]])&gt;0,Tasks[[#This Row],[Status]]="Late Start")),MAX(0,Tasks[[#This Row],[Finish Var]])+1-Tasks[[#This Row],[_Row]]/1000000,"")</f>
        <v/>
      </c>
      <c r="EP112" s="32" t="str">
        <f aca="false">IF(AND(Tasks[[#This Row],[_IsLeaf]]=1,N(Tasks[[#This Row],[Actual Start]])=0,Tasks[[#This Row],[_ShownFcstStart]]&gt;=StatusDate,Tasks[[#This Row],[_ShownFcstStart]]&lt;=LookaheadEnd),Tasks[[#This Row],[_ShownFcstStart]]+Tasks[[#This Row],[_Row]]/100000,"")</f>
        <v/>
      </c>
      <c r="EQ112" s="32" t="str">
        <f aca="false">IF(AND(Tasks[[#This Row],[_IsLeaf]]=1,Tasks[[#This Row],[_LeafProgress]]&lt;1,Tasks[[#This Row],[_ShownFcstFinish]]&gt;=StatusDate,Tasks[[#This Row],[_ShownFcstFinish]]&lt;=LookaheadEnd),Tasks[[#This Row],[_ShownFcstFinish]]+Tasks[[#This Row],[_Row]]/100000,"")</f>
        <v/>
      </c>
      <c r="ER112" s="32" t="str">
        <f aca="false">IF(Tasks[[#This Row],[_LeafCritical]],Tasks[[#This Row],[_ShownFcstStart]]+Tasks[[#This Row],[_Row]]/100000,"")</f>
        <v/>
      </c>
      <c r="ES112" s="32" t="n">
        <f aca="false">Tasks[[#This Row],[_LeafWork]]*Tasks[[#This Row],[_LeafProgress]]</f>
        <v>0</v>
      </c>
      <c r="ET112" s="115" t="str">
        <f aca="false">IF(AND(Tasks[[#This Row],[_IsLeaf]]=1,Tasks[[#This Row],[_LeafProgress]]&gt;=1),IF(N(Tasks[[#This Row],[Actual Finish]])&gt;0,Tasks[[#This Row],[Actual Finish]],Tasks[[#This Row],[_ShownFcstFinish]]),"")</f>
        <v/>
      </c>
      <c r="EU112" s="32" t="n">
        <f aca="false">IF(Tasks[[#This Row],[_IsLeaf]]=1,N(Tasks[[#This Row],[Story Points]]),0)</f>
        <v>0</v>
      </c>
      <c r="EV112" s="32" t="str">
        <f aca="false">IF(AND(Tasks[[#This Row],[_IsLeaf]]=1,CurrentSprint&lt;&gt;"",Tasks[[#This Row],[Sprint]]=CurrentSprint),Tasks[[#This Row],[_Row]],"")</f>
        <v/>
      </c>
    </row>
    <row r="113" customFormat="false" ht="15" hidden="false" customHeight="false" outlineLevel="0" collapsed="false">
      <c r="A113" s="45" t="str">
        <f aca="false">IF(Tasks[[#This Row],[Task Name]]="","",COUNTA(Tasks[[#Headers],[Task Name]]:Tasks[[#This Row],[Task Name]])-1)</f>
        <v/>
      </c>
      <c r="B113" s="46" t="n">
        <v>108</v>
      </c>
      <c r="C11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3" s="46"/>
      <c r="E113" s="45" t="str">
        <f aca="false">IF(Tasks[[#This Row],[Task Name]]="","",IF(Tasks[[#This Row],[_Level]]&lt;=OutlineShowLevel,"Yes","No"))</f>
        <v/>
      </c>
      <c r="F113" s="47"/>
      <c r="G113" s="46"/>
      <c r="H113" s="46"/>
      <c r="I113" s="46"/>
      <c r="J113" s="46"/>
      <c r="K113" s="46"/>
      <c r="L113" s="46"/>
      <c r="M113" s="46"/>
      <c r="N113" s="46"/>
      <c r="O113" s="46"/>
      <c r="P113" s="46"/>
      <c r="Q113" s="46"/>
      <c r="R113" s="46"/>
      <c r="S113" s="46"/>
      <c r="T113" s="46"/>
      <c r="U113" s="47"/>
      <c r="V113" s="88"/>
      <c r="W113" s="88"/>
      <c r="X113" s="25" t="str">
        <f aca="false">IF(Tasks[[#This Row],[Task Name]]="","",IF(N(Tasks[[#This Row],[Baseline Start]])&gt;0,Tasks[[#This Row],[Baseline Start]],Tasks[[#This Row],[_CalcStart]]))</f>
        <v/>
      </c>
      <c r="Y113" s="25" t="str">
        <f aca="false">IF(Tasks[[#This Row],[Task Name]]="","",IF(N(Tasks[[#This Row],[Baseline Finish]])&gt;0,Tasks[[#This Row],[Baseline Finish]],Tasks[[#This Row],[_CalcFinish]]))</f>
        <v/>
      </c>
      <c r="Z113" s="88"/>
      <c r="AA113" s="88"/>
      <c r="AB113" s="25" t="str">
        <f aca="false">IF(Tasks[[#This Row],[Task Name]]="","",IF(Tasks[[#This Row],[_IsSummary]],MIN(INDEX(Tasks[_ShownFcstStart],Tasks[[#This Row],[_Row]]+1):INDEX(Tasks[_ShownFcstStart],Tasks[[#This Row],[_Row]]+Tasks[[#This Row],[_Descendants]])),Tasks[[#This Row],[_ShownFcstStart]]))</f>
        <v/>
      </c>
      <c r="AC113" s="25" t="str">
        <f aca="false">IF(Tasks[[#This Row],[Task Name]]="","",IF(Tasks[[#This Row],[_IsSummary]],MAX(INDEX(Tasks[_ShownFcstFinish],Tasks[[#This Row],[_Row]]+1):INDEX(Tasks[_ShownFcstFinish],Tasks[[#This Row],[_Row]]+Tasks[[#This Row],[_Descendants]])),Tasks[[#This Row],[_ShownFcstFinish]]))</f>
        <v/>
      </c>
      <c r="AD11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3" s="25" t="str">
        <f aca="false">IF(Tasks[[#This Row],[Task Name]]="","",IF(Tasks[[#This Row],[_IsSummary]],MIN(INDEX(Tasks[_LeafLateStart],Tasks[[#This Row],[_Row]]+1):INDEX(Tasks[_LeafLateStart],Tasks[[#This Row],[_Row]]+Tasks[[#This Row],[_Descendants]])),Tasks[[#This Row],[_LeafLateStart]]))</f>
        <v/>
      </c>
      <c r="AG113" s="25" t="str">
        <f aca="false">IF(Tasks[[#This Row],[Task Name]]="","",IF(Tasks[[#This Row],[_IsSummary]],MAX(INDEX(Tasks[_LeafLateFinish],Tasks[[#This Row],[_Row]]+1):INDEX(Tasks[_LeafLateFinish],Tasks[[#This Row],[_Row]]+Tasks[[#This Row],[_Descendants]])),Tasks[[#This Row],[_LeafLateFinish]]))</f>
        <v/>
      </c>
      <c r="AH113" s="56" t="str">
        <f aca="false">IF(Tasks[[#This Row],[Task Name]]="","",IF(Tasks[[#This Row],[_IsSummary]],MIN(INDEX(Tasks[_LeafTotalSlack],Tasks[[#This Row],[_Row]]+1):INDEX(Tasks[_LeafTotalSlack],Tasks[[#This Row],[_Row]]+Tasks[[#This Row],[_Descendants]])),Tasks[[#This Row],[_LeafTotalSlack]]))</f>
        <v/>
      </c>
      <c r="AI11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3" s="45" t="str">
        <f aca="false">IF(Tasks[[#This Row],[Task Name]]="","",IF(IF(Tasks[[#This Row],[_IsSummary]],COUNTIF(INDEX(Tasks[_LeafCritical],Tasks[[#This Row],[_Row]]+1):INDEX(Tasks[_LeafCritical],Tasks[[#This Row],[_Row]]+Tasks[[#This Row],[_Descendants]]),TRUE())&gt;0,Tasks[[#This Row],[_LeafCritical]]),"Yes",""))</f>
        <v/>
      </c>
      <c r="AK11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3" s="102"/>
      <c r="AN11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3" s="45" t="str">
        <f aca="false">IF(Tasks[[#This Row],[Task Name]]="","",IF(Tasks[[#This Row],[Progress]]&gt;=1,"Complete",IF(OR(N(Tasks[[#This Row],[Actual Start]])&gt;0,Tasks[[#This Row],[Progress]]&gt;0),IF(Tasks[[#This Row],[Finish Var]]&gt;0,"Behind","In Progress"),IF(Tasks[[#This Row],[Planned Start]]&lt;StatusDate,"Late Start","Not Started"))))</f>
        <v/>
      </c>
      <c r="AP113" s="47"/>
      <c r="AQ113" s="102"/>
      <c r="AR11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3" s="110" t="str">
        <f aca="false">IF(Tasks[[#This Row],[Task Name]]="","",IF(Tasks[[#This Row],[_IsSummary]],SUM(INDEX(Tasks[_LeafTotalWork],Tasks[[#This Row],[_Row]]+1):INDEX(Tasks[_LeafTotalWork],Tasks[[#This Row],[_Row]]+Tasks[[#This Row],[_Descendants]])),Tasks[[#This Row],[_LeafTotalWork]]))</f>
        <v/>
      </c>
      <c r="AU113" s="111" t="str">
        <f aca="false">IF(Tasks[[#This Row],[Task Name]]="","",IF(Tasks[[#This Row],[_IsSummary]],SUM(INDEX(Tasks[_LeafTotalCost],Tasks[[#This Row],[_Row]]+1):INDEX(Tasks[_LeafTotalCost],Tasks[[#This Row],[_Row]]+Tasks[[#This Row],[_Descendants]])),Tasks[[#This Row],[_LeafTotalCost]]))</f>
        <v/>
      </c>
      <c r="AV113" s="112"/>
      <c r="AW113" s="46"/>
      <c r="AX11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3" s="96"/>
      <c r="AZ11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3" s="47"/>
      <c r="BB113" s="25" t="str">
        <f aca="false">IF(Tasks[[#This Row],[Task Name]]="","",Tasks[[#This Row],[Forecast Start]])</f>
        <v/>
      </c>
      <c r="BC113" s="25" t="str">
        <f aca="false">IF(Tasks[[#This Row],[Task Name]]="","",Tasks[[#This Row],[Forecast Finish]])</f>
        <v/>
      </c>
      <c r="BD113" s="45" t="str">
        <f aca="false">IF(Tasks[[#This Row],[Task Name]]="","",IF(Tasks[[#This Row],[_IsSummary]],NETWORKDAYS.INTL(Tasks[[#This Row],[Forecast Start]],Tasks[[#This Row],[Forecast Finish]],WorkWeek,Holidays),N(Tasks[[#This Row],[Duration]])))</f>
        <v/>
      </c>
      <c r="BE113" s="110" t="str">
        <f aca="false">IF(Tasks[[#This Row],[Task Name]]="","",Tasks[[#This Row],[Work]])</f>
        <v/>
      </c>
      <c r="BF113" s="111" t="str">
        <f aca="false">IF(Tasks[[#This Row],[Task Name]]="","",Tasks[[#This Row],[Cost]])</f>
        <v/>
      </c>
      <c r="BG113" s="88"/>
      <c r="BH113" s="88"/>
      <c r="BI113" s="46"/>
      <c r="BJ113" s="113"/>
      <c r="BK113" s="112"/>
      <c r="BL113" s="45" t="str">
        <f aca="false">IF(OR(Tasks[[#This Row],[Task Name]]="",Tasks[[#This Row],[Baseline Duration]]=""),"",Tasks[[#This Row],[BL Source Duration]]-N(Tasks[[#This Row],[Baseline Duration]]))</f>
        <v/>
      </c>
      <c r="BM113" s="110" t="str">
        <f aca="false">IF(OR(Tasks[[#This Row],[Task Name]]="",Tasks[[#This Row],[Baseline Work]]=""),"",Tasks[[#This Row],[Work]]-N(Tasks[[#This Row],[Baseline Work]]))</f>
        <v/>
      </c>
      <c r="BN113" s="111" t="str">
        <f aca="false">IF(OR(Tasks[[#This Row],[Task Name]]="",Tasks[[#This Row],[Baseline Cost]]=""),"",Tasks[[#This Row],[Cost]]-N(Tasks[[#This Row],[Baseline Cost]]))</f>
        <v/>
      </c>
      <c r="BO113" s="111" t="str">
        <f aca="false">IF(Tasks[[#This Row],[Task Name]]="","",IF(Tasks[[#This Row],[_IsSummary]],SUM(INDEX(Tasks[_LeafBudget],Tasks[[#This Row],[_Row]]+1):INDEX(Tasks[_LeafBudget],Tasks[[#This Row],[_Row]]+Tasks[[#This Row],[_Descendants]])),Tasks[[#This Row],[_LeafBudget]]))</f>
        <v/>
      </c>
      <c r="BP113" s="111" t="str">
        <f aca="false">IF(Tasks[[#This Row],[Task Name]]="","",IF(Tasks[[#This Row],[_IsSummary]],SUM(INDEX(Tasks[_LeafPV],Tasks[[#This Row],[_Row]]+1):INDEX(Tasks[_LeafPV],Tasks[[#This Row],[_Row]]+Tasks[[#This Row],[_Descendants]])),Tasks[[#This Row],[_LeafPV]]))</f>
        <v/>
      </c>
      <c r="BQ113" s="111" t="str">
        <f aca="false">IF(Tasks[[#This Row],[Task Name]]="","",IF(Tasks[[#This Row],[_IsSummary]],SUM(INDEX(Tasks[_LeafEV],Tasks[[#This Row],[_Row]]+1):INDEX(Tasks[_LeafEV],Tasks[[#This Row],[_Row]]+Tasks[[#This Row],[_Descendants]])),Tasks[[#This Row],[_LeafEV]]))</f>
        <v/>
      </c>
      <c r="BR113" s="111" t="str">
        <f aca="false">IF(Tasks[[#This Row],[Task Name]]="","",IF(Tasks[[#This Row],[_IsSummary]],SUM(INDEX(Tasks[_LeafAC],Tasks[[#This Row],[_Row]]+1):INDEX(Tasks[_LeafAC],Tasks[[#This Row],[_Row]]+Tasks[[#This Row],[_Descendants]])),Tasks[[#This Row],[_LeafAC]]))</f>
        <v/>
      </c>
      <c r="BS113" s="32" t="str">
        <f aca="false">IF(Tasks[[#This Row],[Task Name]]="","",MAX(1,N(Tasks[[#This Row],[Level]])))</f>
        <v/>
      </c>
      <c r="BT113" s="32" t="n">
        <f aca="false">ROW()-ROW(Tasks[[#Headers],[ID]])</f>
        <v>108</v>
      </c>
      <c r="BU113" s="32" t="n">
        <f aca="false">IF(OR(Tasks[[#This Row],[Task Name]]="",Tasks[[#This Row],[_Level]]&lt;=1),0,IFERROR(LOOKUP(2,1/(Tasks[[#Headers],[_Level]]:Tasks[[#This Row],[_Level]]=Tasks[[#This Row],[_Level]]-1),ROW(Tasks[[#Headers],[_Level]]:Tasks[[#This Row],[_Level]])),0))</f>
        <v>0</v>
      </c>
      <c r="BV113" s="32" t="n">
        <f aca="false">IFERROR(N(INDEX(Tasks[_Level],Tasks[[#This Row],[_Row]]+1)),0)</f>
        <v>0</v>
      </c>
      <c r="BW113" s="114" t="b">
        <f aca="false">AND(Tasks[[#This Row],[Task Name]]&lt;&gt;"",Tasks[[#This Row],[_NextLevel]]&gt;Tasks[[#This Row],[_Level]])</f>
        <v>0</v>
      </c>
      <c r="BX113" s="32" t="n">
        <f aca="false">IF(Tasks[[#This Row],[_IsSummary]],COUNTIF(Tasks[WBS],Tasks[[#This Row],[WBS]]&amp;".*"),0)</f>
        <v>0</v>
      </c>
      <c r="BY113" s="32" t="n">
        <f aca="false">IF(AND(Tasks[[#This Row],[Task Name]]&lt;&gt;"",NOT(Tasks[[#This Row],[_IsSummary]])),1,0)</f>
        <v>0</v>
      </c>
      <c r="BZ113" s="32" t="n">
        <f aca="false">IF(N(Tasks[[#This Row],[Pred1 UID]])=0,0,IFERROR(MATCH(Tasks[[#This Row],[Pred1 UID]],Tasks[UID],0),-1))</f>
        <v>0</v>
      </c>
      <c r="CA113" s="32" t="n">
        <f aca="false">IF(N(Tasks[[#This Row],[Pred2 UID]])=0,0,IFERROR(MATCH(Tasks[[#This Row],[Pred2 UID]],Tasks[UID],0),-1))</f>
        <v>0</v>
      </c>
      <c r="CB113" s="32" t="n">
        <f aca="false">IF(N(Tasks[[#This Row],[Pred3 UID]])=0,0,IFERROR(MATCH(Tasks[[#This Row],[Pred3 UID]],Tasks[UID],0),-1))</f>
        <v>0</v>
      </c>
      <c r="CC113" s="32" t="n">
        <f aca="false">IF(N(Tasks[[#This Row],[Pred4 UID]])=0,0,IFERROR(MATCH(Tasks[[#This Row],[Pred4 UID]],Tasks[UID],0),-1))</f>
        <v>0</v>
      </c>
      <c r="CD11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3" s="115" t="n">
        <f aca="false">IF(OR(Tasks[[#This Row],[_ConstraintCode]]=2,Tasks[[#This Row],[_ConstraintCode]]=3,Tasks[[#This Row],[_ConstraintCode]]=4,Tasks[[#This Row],[_ConstraintCode]]=6),Tasks[[#This Row],[_ConstraintStart]],0)</f>
        <v>0</v>
      </c>
      <c r="CG113" s="115" t="n">
        <f aca="false">IF(OR(Tasks[[#This Row],[_ConstraintCode]]=2,Tasks[[#This Row],[_ConstraintCode]]=3,Tasks[[#This Row],[_ConstraintCode]]=5,Tasks[[#This Row],[_ConstraintCode]]=7),Tasks[[#This Row],[_ConstraintStart]],2958465)</f>
        <v>2958465</v>
      </c>
      <c r="CH11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3" s="115" t="str">
        <f aca="false">IF(NOT(Tasks[[#This Row],[_IsLeaf]]=1),"",IF(N(Tasks[[#This Row],[Duration]])&lt;=0,Tasks[[#This Row],[_LeafCalcStart]],WORKDAY.INTL(Tasks[[#This Row],[_LeafCalcStart]],Tasks[[#This Row],[Duration]]-1,WorkWeek,Holidays)))</f>
        <v/>
      </c>
      <c r="CJ11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3" s="32" t="n">
        <f aca="false">IF(NOT(Tasks[[#This Row],[_IsLeaf]]=1),0,IF(N(Tasks[[#This Row],[Actual Finish]])&gt;0,1,MIN(1,N(Tasks[[#This Row],[% Complete]]))))</f>
        <v>0</v>
      </c>
      <c r="CM113" s="32" t="n">
        <f aca="false">IF(OR(NOT(Tasks[[#This Row],[_IsLeaf]]=1),Tasks[[#This Row],[Resource]]=""),0,N(Tasks[[#This Row],[Duration]])*HoursPerDay*IF(Tasks[[#This Row],[Units]]="",DefaultUnits,Tasks[[#This Row],[Units]]))</f>
        <v>0</v>
      </c>
      <c r="CN113" s="32" t="n">
        <f aca="false">IF(Tasks[[#This Row],[_LeafWork]]=0,0,Tasks[[#This Row],[_LeafWork]]*IFERROR(INDEX(res_Rate,MATCH(Tasks[[#This Row],[Resource]],res_Name,0)),0))</f>
        <v>0</v>
      </c>
      <c r="CO113" s="32" t="n">
        <f aca="false">Tasks[[#This Row],[_LeafWork]]+IF(Tasks[[#This Row],[_IsLeaf]]=1,SUMIFS(asg_Work,asg_TaskUID,Tasks[[#This Row],[UID]],asg_Valid,1),0)</f>
        <v>0</v>
      </c>
      <c r="CP113" s="32" t="n">
        <f aca="false">Tasks[[#This Row],[_LeafCost]]+IF(Tasks[[#This Row],[_IsLeaf]]=1,SUMIFS(asg_Cost,asg_TaskUID,Tasks[[#This Row],[UID]],asg_Valid,1),0)</f>
        <v>0</v>
      </c>
      <c r="CQ113" s="32" t="n">
        <f aca="false">IF(Tasks[[#This Row],[_LeafTotalCost]]=0,Tasks[[#This Row],[_LeafAC]],Tasks[[#This Row],[_LeafAC]]*Tasks[[#This Row],[_LeafCost]]/Tasks[[#This Row],[_LeafTotalCost]])</f>
        <v>0</v>
      </c>
      <c r="CR11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3" s="32" t="n">
        <f aca="false">IF(NOT(Tasks[[#This Row],[_IsLeaf]]=1),0,MAX(_xlfn.MAXIFS(Tasks[_Row],Tasks[Pred1 UID],Tasks[[#This Row],[UID]]),_xlfn.MAXIFS(Tasks[_Row],Tasks[Pred2 UID],Tasks[[#This Row],[UID]]),_xlfn.MAXIFS(Tasks[_Row],Tasks[Pred3 UID],Tasks[[#This Row],[UID]]),_xlfn.MAXIFS(Tasks[_Row],Tasks[Pred4 UID],Tasks[[#This Row],[UID]])))</f>
        <v>0</v>
      </c>
      <c r="DA11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3" s="115" t="str">
        <f aca="false">IF(NOT(Tasks[[#This Row],[_IsLeaf]]=1),"",IF(N(Tasks[[#This Row],[Duration]])&lt;=0,Tasks[[#This Row],[_LeafLateFinish]],WORKDAY.INTL(Tasks[[#This Row],[_LeafLateFinish]],-(Tasks[[#This Row],[Duration]]-1),WorkWeek,Holidays)))</f>
        <v/>
      </c>
      <c r="DD11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3" s="114" t="b">
        <f aca="false">AND(Tasks[[#This Row],[_IsLeaf]]=1,Tasks[[#This Row],[_LeafProgress]]&lt;1,N(Tasks[[#This Row],[_LeafTotalSlack]])&lt;=CriticalSlackDays)</f>
        <v>0</v>
      </c>
      <c r="DF113" s="32" t="n">
        <f aca="false">IF(AND(Tasks[[#This Row],[_IsLeaf]]=1,Tasks[[#This Row],[_ConstraintCode]]=1,Tasks[[#This Row],[Mode]]&lt;&gt;"Manual",N(Tasks[[#This Row],[Actual Start]])=0),MAX(0,N(Tasks[[#This Row],[Free Slack]])),0)</f>
        <v>0</v>
      </c>
      <c r="DG113" s="115" t="str">
        <f aca="false">IF(NOT(Tasks[[#This Row],[_IsLeaf]]=1),"",IF(Tasks[[#This Row],[_AlapShift]]=0,Tasks[[#This Row],[_LeafCalcStart]],WORKDAY.INTL(Tasks[[#This Row],[_LeafCalcStart]],Tasks[[#This Row],[_AlapShift]],WorkWeek,Holidays)))</f>
        <v/>
      </c>
      <c r="DH113" s="115" t="str">
        <f aca="false">IF(NOT(Tasks[[#This Row],[_IsLeaf]]=1),"",IF(Tasks[[#This Row],[_AlapShift]]=0,Tasks[[#This Row],[_LeafCalcFinish]],WORKDAY.INTL(Tasks[[#This Row],[_LeafCalcFinish]],Tasks[[#This Row],[_AlapShift]],WorkWeek,Holidays)))</f>
        <v/>
      </c>
      <c r="DI113" s="115" t="str">
        <f aca="false">IF(NOT(Tasks[[#This Row],[_IsLeaf]]=1),"",IF(Tasks[[#This Row],[_AlapShift]]=0,Tasks[[#This Row],[_LeafFcstStart]],WORKDAY.INTL(Tasks[[#This Row],[_LeafFcstStart]],Tasks[[#This Row],[_AlapShift]],WorkWeek,Holidays)))</f>
        <v/>
      </c>
      <c r="DJ113" s="115" t="str">
        <f aca="false">IF(NOT(Tasks[[#This Row],[_IsLeaf]]=1),"",IF(Tasks[[#This Row],[_AlapShift]]=0,Tasks[[#This Row],[_LeafFcstFinish]],WORKDAY.INTL(Tasks[[#This Row],[_LeafFcstFinish]],Tasks[[#This Row],[_AlapShift]],WorkWeek,Holidays)))</f>
        <v/>
      </c>
      <c r="DK113" s="115" t="str">
        <f aca="false">IF(Tasks[[#This Row],[Task Name]]="","",IF(Tasks[[#This Row],[_IsSummary]],MIN(INDEX(Tasks[_ShownCalcStart],Tasks[[#This Row],[_Row]]+1):INDEX(Tasks[_ShownCalcStart],Tasks[[#This Row],[_Row]]+Tasks[[#This Row],[_Descendants]])),Tasks[[#This Row],[_ShownCalcStart]]))</f>
        <v/>
      </c>
      <c r="DL113" s="115" t="str">
        <f aca="false">IF(Tasks[[#This Row],[Task Name]]="","",IF(Tasks[[#This Row],[_IsSummary]],MAX(INDEX(Tasks[_ShownCalcFinish],Tasks[[#This Row],[_Row]]+1):INDEX(Tasks[_ShownCalcFinish],Tasks[[#This Row],[_Row]]+Tasks[[#This Row],[_Descendants]])),Tasks[[#This Row],[_ShownCalcFinish]]))</f>
        <v/>
      </c>
      <c r="DM11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3" s="32" t="n">
        <f aca="false">IF(AND(Tasks[[#This Row],[_IsLeaf]]=1,Tasks[[#This Row],[_LeafTotalWork]]&gt;0),NETWORKDAYS.INTL(ProjectStart,Tasks[[#This Row],[_ShownFcstStart]],WorkWeek,Holidays),0)</f>
        <v>0</v>
      </c>
      <c r="DZ113" s="32" t="n">
        <f aca="false">IF(AND(Tasks[[#This Row],[_IsLeaf]]=1,Tasks[[#This Row],[_LeafTotalWork]]&gt;0),MAX(Tasks[[#This Row],[_StartWorkday]],NETWORKDAYS.INTL(ProjectStart,Tasks[[#This Row],[_ShownFcstFinish]],WorkWeek,Holidays)),0)</f>
        <v>0</v>
      </c>
      <c r="EA113" s="32" t="n">
        <f aca="false">IF(AND(Tasks[[#This Row],[_IsLeaf]]=1,Tasks[[#This Row],[_LeafTotalWork]]&gt;0),Tasks[[#This Row],[_LeafWork]]/(Tasks[[#This Row],[_FinishWorkday]]-Tasks[[#This Row],[_StartWorkday]]+1),0)</f>
        <v>0</v>
      </c>
      <c r="EB113" s="32" t="n">
        <f aca="false">Tasks[[#This Row],[_WorkPerWorkday]]*(Tasks[[#This Row],[_StartWorkday]]-1)</f>
        <v>-0</v>
      </c>
      <c r="EC113" s="32" t="n">
        <f aca="false">IF(Tasks[[#This Row],[_IsLeaf]]=1,MAX(N(Tasks[[#This Row],[Duration]]),0.1),0)</f>
        <v>0</v>
      </c>
      <c r="ED113" s="32" t="n">
        <f aca="false">Tasks[[#This Row],[_WeightDur]]*Tasks[[#This Row],[_LeafProgress]]</f>
        <v>0</v>
      </c>
      <c r="EE11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3" s="32" t="str">
        <f aca="false">IF(AND(Tasks[[#This Row],[_IsLeaf]]=1,N(Tasks[[#This Row],[Duration]])=0,Tasks[[#This Row],[_LeafProgress]]&lt;1),Tasks[[#This Row],[_ShownFcstFinish]]+Tasks[[#This Row],[_Row]]/100000,"")</f>
        <v/>
      </c>
      <c r="EG11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3" s="32" t="n">
        <f aca="false">IF(NOT(Tasks[[#This Row],[_IsLeaf]]=1),0,IF(Tasks[[#This Row],[Baseline Cost]]="",Tasks[[#This Row],[_LeafTotalCost]],N(Tasks[[#This Row],[Baseline Cost]])))</f>
        <v>0</v>
      </c>
      <c r="EI113" s="32" t="n">
        <f aca="false">Tasks[[#This Row],[_LeafBudget]]*Tasks[[#This Row],[_PlannedPct]]</f>
        <v>0</v>
      </c>
      <c r="EJ113" s="32" t="n">
        <f aca="false">Tasks[[#This Row],[_LeafBudget]]*Tasks[[#This Row],[_LeafProgress]]</f>
        <v>0</v>
      </c>
      <c r="EK113" s="32" t="n">
        <f aca="false">IF(NOT(Tasks[[#This Row],[_IsLeaf]]=1),0,IF(Tasks[[#This Row],[Actual Cost]]="",Tasks[[#This Row],[_LeafTotalCost]]*Tasks[[#This Row],[_LeafProgress]],N(Tasks[[#This Row],[Actual Cost]])))</f>
        <v>0</v>
      </c>
      <c r="EL113" s="32" t="str">
        <f aca="false">IF(Tasks[[#This Row],[Task Name]]="","",LEFT(Tasks[[#This Row],[WBS]],FIND(".",Tasks[[#This Row],[WBS]]&amp;".")-1))</f>
        <v/>
      </c>
      <c r="EM113" s="32" t="str">
        <f aca="false">IF(AND(Tasks[[#This Row],[Task Name]]&lt;&gt;"",Tasks[[#This Row],[_Level]]=1),Tasks[[#This Row],[_Row]],"")</f>
        <v/>
      </c>
      <c r="EN113" s="32" t="str">
        <f aca="false">IF(AND(Tasks[[#This Row],[_IsLeaf]]=1,N(Tasks[[#This Row],[Duration]])=0),Tasks[[#This Row],[Planned Finish]]+Tasks[[#This Row],[_Row]]/100000,"")</f>
        <v/>
      </c>
      <c r="EO113" s="32" t="str">
        <f aca="false">IF(AND(Tasks[[#This Row],[_IsLeaf]]=1,Tasks[[#This Row],[_LeafProgress]]&lt;1,OR(N(Tasks[[#This Row],[Finish Var]])&gt;0,Tasks[[#This Row],[Status]]="Late Start")),MAX(0,Tasks[[#This Row],[Finish Var]])+1-Tasks[[#This Row],[_Row]]/1000000,"")</f>
        <v/>
      </c>
      <c r="EP113" s="32" t="str">
        <f aca="false">IF(AND(Tasks[[#This Row],[_IsLeaf]]=1,N(Tasks[[#This Row],[Actual Start]])=0,Tasks[[#This Row],[_ShownFcstStart]]&gt;=StatusDate,Tasks[[#This Row],[_ShownFcstStart]]&lt;=LookaheadEnd),Tasks[[#This Row],[_ShownFcstStart]]+Tasks[[#This Row],[_Row]]/100000,"")</f>
        <v/>
      </c>
      <c r="EQ113" s="32" t="str">
        <f aca="false">IF(AND(Tasks[[#This Row],[_IsLeaf]]=1,Tasks[[#This Row],[_LeafProgress]]&lt;1,Tasks[[#This Row],[_ShownFcstFinish]]&gt;=StatusDate,Tasks[[#This Row],[_ShownFcstFinish]]&lt;=LookaheadEnd),Tasks[[#This Row],[_ShownFcstFinish]]+Tasks[[#This Row],[_Row]]/100000,"")</f>
        <v/>
      </c>
      <c r="ER113" s="32" t="str">
        <f aca="false">IF(Tasks[[#This Row],[_LeafCritical]],Tasks[[#This Row],[_ShownFcstStart]]+Tasks[[#This Row],[_Row]]/100000,"")</f>
        <v/>
      </c>
      <c r="ES113" s="32" t="n">
        <f aca="false">Tasks[[#This Row],[_LeafWork]]*Tasks[[#This Row],[_LeafProgress]]</f>
        <v>0</v>
      </c>
      <c r="ET113" s="115" t="str">
        <f aca="false">IF(AND(Tasks[[#This Row],[_IsLeaf]]=1,Tasks[[#This Row],[_LeafProgress]]&gt;=1),IF(N(Tasks[[#This Row],[Actual Finish]])&gt;0,Tasks[[#This Row],[Actual Finish]],Tasks[[#This Row],[_ShownFcstFinish]]),"")</f>
        <v/>
      </c>
      <c r="EU113" s="32" t="n">
        <f aca="false">IF(Tasks[[#This Row],[_IsLeaf]]=1,N(Tasks[[#This Row],[Story Points]]),0)</f>
        <v>0</v>
      </c>
      <c r="EV113" s="32" t="str">
        <f aca="false">IF(AND(Tasks[[#This Row],[_IsLeaf]]=1,CurrentSprint&lt;&gt;"",Tasks[[#This Row],[Sprint]]=CurrentSprint),Tasks[[#This Row],[_Row]],"")</f>
        <v/>
      </c>
    </row>
    <row r="114" customFormat="false" ht="15" hidden="false" customHeight="false" outlineLevel="0" collapsed="false">
      <c r="A114" s="45" t="str">
        <f aca="false">IF(Tasks[[#This Row],[Task Name]]="","",COUNTA(Tasks[[#Headers],[Task Name]]:Tasks[[#This Row],[Task Name]])-1)</f>
        <v/>
      </c>
      <c r="B114" s="46" t="n">
        <v>109</v>
      </c>
      <c r="C11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4" s="46"/>
      <c r="E114" s="45" t="str">
        <f aca="false">IF(Tasks[[#This Row],[Task Name]]="","",IF(Tasks[[#This Row],[_Level]]&lt;=OutlineShowLevel,"Yes","No"))</f>
        <v/>
      </c>
      <c r="F114" s="47"/>
      <c r="G114" s="46"/>
      <c r="H114" s="46"/>
      <c r="I114" s="46"/>
      <c r="J114" s="46"/>
      <c r="K114" s="46"/>
      <c r="L114" s="46"/>
      <c r="M114" s="46"/>
      <c r="N114" s="46"/>
      <c r="O114" s="46"/>
      <c r="P114" s="46"/>
      <c r="Q114" s="46"/>
      <c r="R114" s="46"/>
      <c r="S114" s="46"/>
      <c r="T114" s="46"/>
      <c r="U114" s="47"/>
      <c r="V114" s="88"/>
      <c r="W114" s="88"/>
      <c r="X114" s="25" t="str">
        <f aca="false">IF(Tasks[[#This Row],[Task Name]]="","",IF(N(Tasks[[#This Row],[Baseline Start]])&gt;0,Tasks[[#This Row],[Baseline Start]],Tasks[[#This Row],[_CalcStart]]))</f>
        <v/>
      </c>
      <c r="Y114" s="25" t="str">
        <f aca="false">IF(Tasks[[#This Row],[Task Name]]="","",IF(N(Tasks[[#This Row],[Baseline Finish]])&gt;0,Tasks[[#This Row],[Baseline Finish]],Tasks[[#This Row],[_CalcFinish]]))</f>
        <v/>
      </c>
      <c r="Z114" s="88"/>
      <c r="AA114" s="88"/>
      <c r="AB114" s="25" t="str">
        <f aca="false">IF(Tasks[[#This Row],[Task Name]]="","",IF(Tasks[[#This Row],[_IsSummary]],MIN(INDEX(Tasks[_ShownFcstStart],Tasks[[#This Row],[_Row]]+1):INDEX(Tasks[_ShownFcstStart],Tasks[[#This Row],[_Row]]+Tasks[[#This Row],[_Descendants]])),Tasks[[#This Row],[_ShownFcstStart]]))</f>
        <v/>
      </c>
      <c r="AC114" s="25" t="str">
        <f aca="false">IF(Tasks[[#This Row],[Task Name]]="","",IF(Tasks[[#This Row],[_IsSummary]],MAX(INDEX(Tasks[_ShownFcstFinish],Tasks[[#This Row],[_Row]]+1):INDEX(Tasks[_ShownFcstFinish],Tasks[[#This Row],[_Row]]+Tasks[[#This Row],[_Descendants]])),Tasks[[#This Row],[_ShownFcstFinish]]))</f>
        <v/>
      </c>
      <c r="AD11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4" s="25" t="str">
        <f aca="false">IF(Tasks[[#This Row],[Task Name]]="","",IF(Tasks[[#This Row],[_IsSummary]],MIN(INDEX(Tasks[_LeafLateStart],Tasks[[#This Row],[_Row]]+1):INDEX(Tasks[_LeafLateStart],Tasks[[#This Row],[_Row]]+Tasks[[#This Row],[_Descendants]])),Tasks[[#This Row],[_LeafLateStart]]))</f>
        <v/>
      </c>
      <c r="AG114" s="25" t="str">
        <f aca="false">IF(Tasks[[#This Row],[Task Name]]="","",IF(Tasks[[#This Row],[_IsSummary]],MAX(INDEX(Tasks[_LeafLateFinish],Tasks[[#This Row],[_Row]]+1):INDEX(Tasks[_LeafLateFinish],Tasks[[#This Row],[_Row]]+Tasks[[#This Row],[_Descendants]])),Tasks[[#This Row],[_LeafLateFinish]]))</f>
        <v/>
      </c>
      <c r="AH114" s="56" t="str">
        <f aca="false">IF(Tasks[[#This Row],[Task Name]]="","",IF(Tasks[[#This Row],[_IsSummary]],MIN(INDEX(Tasks[_LeafTotalSlack],Tasks[[#This Row],[_Row]]+1):INDEX(Tasks[_LeafTotalSlack],Tasks[[#This Row],[_Row]]+Tasks[[#This Row],[_Descendants]])),Tasks[[#This Row],[_LeafTotalSlack]]))</f>
        <v/>
      </c>
      <c r="AI11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4" s="45" t="str">
        <f aca="false">IF(Tasks[[#This Row],[Task Name]]="","",IF(IF(Tasks[[#This Row],[_IsSummary]],COUNTIF(INDEX(Tasks[_LeafCritical],Tasks[[#This Row],[_Row]]+1):INDEX(Tasks[_LeafCritical],Tasks[[#This Row],[_Row]]+Tasks[[#This Row],[_Descendants]]),TRUE())&gt;0,Tasks[[#This Row],[_LeafCritical]]),"Yes",""))</f>
        <v/>
      </c>
      <c r="AK11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4" s="102"/>
      <c r="AN11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4" s="45" t="str">
        <f aca="false">IF(Tasks[[#This Row],[Task Name]]="","",IF(Tasks[[#This Row],[Progress]]&gt;=1,"Complete",IF(OR(N(Tasks[[#This Row],[Actual Start]])&gt;0,Tasks[[#This Row],[Progress]]&gt;0),IF(Tasks[[#This Row],[Finish Var]]&gt;0,"Behind","In Progress"),IF(Tasks[[#This Row],[Planned Start]]&lt;StatusDate,"Late Start","Not Started"))))</f>
        <v/>
      </c>
      <c r="AP114" s="47"/>
      <c r="AQ114" s="102"/>
      <c r="AR11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4" s="110" t="str">
        <f aca="false">IF(Tasks[[#This Row],[Task Name]]="","",IF(Tasks[[#This Row],[_IsSummary]],SUM(INDEX(Tasks[_LeafTotalWork],Tasks[[#This Row],[_Row]]+1):INDEX(Tasks[_LeafTotalWork],Tasks[[#This Row],[_Row]]+Tasks[[#This Row],[_Descendants]])),Tasks[[#This Row],[_LeafTotalWork]]))</f>
        <v/>
      </c>
      <c r="AU114" s="111" t="str">
        <f aca="false">IF(Tasks[[#This Row],[Task Name]]="","",IF(Tasks[[#This Row],[_IsSummary]],SUM(INDEX(Tasks[_LeafTotalCost],Tasks[[#This Row],[_Row]]+1):INDEX(Tasks[_LeafTotalCost],Tasks[[#This Row],[_Row]]+Tasks[[#This Row],[_Descendants]])),Tasks[[#This Row],[_LeafTotalCost]]))</f>
        <v/>
      </c>
      <c r="AV114" s="112"/>
      <c r="AW114" s="46"/>
      <c r="AX11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4" s="96"/>
      <c r="AZ11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4" s="47"/>
      <c r="BB114" s="25" t="str">
        <f aca="false">IF(Tasks[[#This Row],[Task Name]]="","",Tasks[[#This Row],[Forecast Start]])</f>
        <v/>
      </c>
      <c r="BC114" s="25" t="str">
        <f aca="false">IF(Tasks[[#This Row],[Task Name]]="","",Tasks[[#This Row],[Forecast Finish]])</f>
        <v/>
      </c>
      <c r="BD114" s="45" t="str">
        <f aca="false">IF(Tasks[[#This Row],[Task Name]]="","",IF(Tasks[[#This Row],[_IsSummary]],NETWORKDAYS.INTL(Tasks[[#This Row],[Forecast Start]],Tasks[[#This Row],[Forecast Finish]],WorkWeek,Holidays),N(Tasks[[#This Row],[Duration]])))</f>
        <v/>
      </c>
      <c r="BE114" s="110" t="str">
        <f aca="false">IF(Tasks[[#This Row],[Task Name]]="","",Tasks[[#This Row],[Work]])</f>
        <v/>
      </c>
      <c r="BF114" s="111" t="str">
        <f aca="false">IF(Tasks[[#This Row],[Task Name]]="","",Tasks[[#This Row],[Cost]])</f>
        <v/>
      </c>
      <c r="BG114" s="88"/>
      <c r="BH114" s="88"/>
      <c r="BI114" s="46"/>
      <c r="BJ114" s="113"/>
      <c r="BK114" s="112"/>
      <c r="BL114" s="45" t="str">
        <f aca="false">IF(OR(Tasks[[#This Row],[Task Name]]="",Tasks[[#This Row],[Baseline Duration]]=""),"",Tasks[[#This Row],[BL Source Duration]]-N(Tasks[[#This Row],[Baseline Duration]]))</f>
        <v/>
      </c>
      <c r="BM114" s="110" t="str">
        <f aca="false">IF(OR(Tasks[[#This Row],[Task Name]]="",Tasks[[#This Row],[Baseline Work]]=""),"",Tasks[[#This Row],[Work]]-N(Tasks[[#This Row],[Baseline Work]]))</f>
        <v/>
      </c>
      <c r="BN114" s="111" t="str">
        <f aca="false">IF(OR(Tasks[[#This Row],[Task Name]]="",Tasks[[#This Row],[Baseline Cost]]=""),"",Tasks[[#This Row],[Cost]]-N(Tasks[[#This Row],[Baseline Cost]]))</f>
        <v/>
      </c>
      <c r="BO114" s="111" t="str">
        <f aca="false">IF(Tasks[[#This Row],[Task Name]]="","",IF(Tasks[[#This Row],[_IsSummary]],SUM(INDEX(Tasks[_LeafBudget],Tasks[[#This Row],[_Row]]+1):INDEX(Tasks[_LeafBudget],Tasks[[#This Row],[_Row]]+Tasks[[#This Row],[_Descendants]])),Tasks[[#This Row],[_LeafBudget]]))</f>
        <v/>
      </c>
      <c r="BP114" s="111" t="str">
        <f aca="false">IF(Tasks[[#This Row],[Task Name]]="","",IF(Tasks[[#This Row],[_IsSummary]],SUM(INDEX(Tasks[_LeafPV],Tasks[[#This Row],[_Row]]+1):INDEX(Tasks[_LeafPV],Tasks[[#This Row],[_Row]]+Tasks[[#This Row],[_Descendants]])),Tasks[[#This Row],[_LeafPV]]))</f>
        <v/>
      </c>
      <c r="BQ114" s="111" t="str">
        <f aca="false">IF(Tasks[[#This Row],[Task Name]]="","",IF(Tasks[[#This Row],[_IsSummary]],SUM(INDEX(Tasks[_LeafEV],Tasks[[#This Row],[_Row]]+1):INDEX(Tasks[_LeafEV],Tasks[[#This Row],[_Row]]+Tasks[[#This Row],[_Descendants]])),Tasks[[#This Row],[_LeafEV]]))</f>
        <v/>
      </c>
      <c r="BR114" s="111" t="str">
        <f aca="false">IF(Tasks[[#This Row],[Task Name]]="","",IF(Tasks[[#This Row],[_IsSummary]],SUM(INDEX(Tasks[_LeafAC],Tasks[[#This Row],[_Row]]+1):INDEX(Tasks[_LeafAC],Tasks[[#This Row],[_Row]]+Tasks[[#This Row],[_Descendants]])),Tasks[[#This Row],[_LeafAC]]))</f>
        <v/>
      </c>
      <c r="BS114" s="32" t="str">
        <f aca="false">IF(Tasks[[#This Row],[Task Name]]="","",MAX(1,N(Tasks[[#This Row],[Level]])))</f>
        <v/>
      </c>
      <c r="BT114" s="32" t="n">
        <f aca="false">ROW()-ROW(Tasks[[#Headers],[ID]])</f>
        <v>109</v>
      </c>
      <c r="BU114" s="32" t="n">
        <f aca="false">IF(OR(Tasks[[#This Row],[Task Name]]="",Tasks[[#This Row],[_Level]]&lt;=1),0,IFERROR(LOOKUP(2,1/(Tasks[[#Headers],[_Level]]:Tasks[[#This Row],[_Level]]=Tasks[[#This Row],[_Level]]-1),ROW(Tasks[[#Headers],[_Level]]:Tasks[[#This Row],[_Level]])),0))</f>
        <v>0</v>
      </c>
      <c r="BV114" s="32" t="n">
        <f aca="false">IFERROR(N(INDEX(Tasks[_Level],Tasks[[#This Row],[_Row]]+1)),0)</f>
        <v>0</v>
      </c>
      <c r="BW114" s="114" t="b">
        <f aca="false">AND(Tasks[[#This Row],[Task Name]]&lt;&gt;"",Tasks[[#This Row],[_NextLevel]]&gt;Tasks[[#This Row],[_Level]])</f>
        <v>0</v>
      </c>
      <c r="BX114" s="32" t="n">
        <f aca="false">IF(Tasks[[#This Row],[_IsSummary]],COUNTIF(Tasks[WBS],Tasks[[#This Row],[WBS]]&amp;".*"),0)</f>
        <v>0</v>
      </c>
      <c r="BY114" s="32" t="n">
        <f aca="false">IF(AND(Tasks[[#This Row],[Task Name]]&lt;&gt;"",NOT(Tasks[[#This Row],[_IsSummary]])),1,0)</f>
        <v>0</v>
      </c>
      <c r="BZ114" s="32" t="n">
        <f aca="false">IF(N(Tasks[[#This Row],[Pred1 UID]])=0,0,IFERROR(MATCH(Tasks[[#This Row],[Pred1 UID]],Tasks[UID],0),-1))</f>
        <v>0</v>
      </c>
      <c r="CA114" s="32" t="n">
        <f aca="false">IF(N(Tasks[[#This Row],[Pred2 UID]])=0,0,IFERROR(MATCH(Tasks[[#This Row],[Pred2 UID]],Tasks[UID],0),-1))</f>
        <v>0</v>
      </c>
      <c r="CB114" s="32" t="n">
        <f aca="false">IF(N(Tasks[[#This Row],[Pred3 UID]])=0,0,IFERROR(MATCH(Tasks[[#This Row],[Pred3 UID]],Tasks[UID],0),-1))</f>
        <v>0</v>
      </c>
      <c r="CC114" s="32" t="n">
        <f aca="false">IF(N(Tasks[[#This Row],[Pred4 UID]])=0,0,IFERROR(MATCH(Tasks[[#This Row],[Pred4 UID]],Tasks[UID],0),-1))</f>
        <v>0</v>
      </c>
      <c r="CD11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4" s="115" t="n">
        <f aca="false">IF(OR(Tasks[[#This Row],[_ConstraintCode]]=2,Tasks[[#This Row],[_ConstraintCode]]=3,Tasks[[#This Row],[_ConstraintCode]]=4,Tasks[[#This Row],[_ConstraintCode]]=6),Tasks[[#This Row],[_ConstraintStart]],0)</f>
        <v>0</v>
      </c>
      <c r="CG114" s="115" t="n">
        <f aca="false">IF(OR(Tasks[[#This Row],[_ConstraintCode]]=2,Tasks[[#This Row],[_ConstraintCode]]=3,Tasks[[#This Row],[_ConstraintCode]]=5,Tasks[[#This Row],[_ConstraintCode]]=7),Tasks[[#This Row],[_ConstraintStart]],2958465)</f>
        <v>2958465</v>
      </c>
      <c r="CH11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4" s="115" t="str">
        <f aca="false">IF(NOT(Tasks[[#This Row],[_IsLeaf]]=1),"",IF(N(Tasks[[#This Row],[Duration]])&lt;=0,Tasks[[#This Row],[_LeafCalcStart]],WORKDAY.INTL(Tasks[[#This Row],[_LeafCalcStart]],Tasks[[#This Row],[Duration]]-1,WorkWeek,Holidays)))</f>
        <v/>
      </c>
      <c r="CJ11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4" s="32" t="n">
        <f aca="false">IF(NOT(Tasks[[#This Row],[_IsLeaf]]=1),0,IF(N(Tasks[[#This Row],[Actual Finish]])&gt;0,1,MIN(1,N(Tasks[[#This Row],[% Complete]]))))</f>
        <v>0</v>
      </c>
      <c r="CM114" s="32" t="n">
        <f aca="false">IF(OR(NOT(Tasks[[#This Row],[_IsLeaf]]=1),Tasks[[#This Row],[Resource]]=""),0,N(Tasks[[#This Row],[Duration]])*HoursPerDay*IF(Tasks[[#This Row],[Units]]="",DefaultUnits,Tasks[[#This Row],[Units]]))</f>
        <v>0</v>
      </c>
      <c r="CN114" s="32" t="n">
        <f aca="false">IF(Tasks[[#This Row],[_LeafWork]]=0,0,Tasks[[#This Row],[_LeafWork]]*IFERROR(INDEX(res_Rate,MATCH(Tasks[[#This Row],[Resource]],res_Name,0)),0))</f>
        <v>0</v>
      </c>
      <c r="CO114" s="32" t="n">
        <f aca="false">Tasks[[#This Row],[_LeafWork]]+IF(Tasks[[#This Row],[_IsLeaf]]=1,SUMIFS(asg_Work,asg_TaskUID,Tasks[[#This Row],[UID]],asg_Valid,1),0)</f>
        <v>0</v>
      </c>
      <c r="CP114" s="32" t="n">
        <f aca="false">Tasks[[#This Row],[_LeafCost]]+IF(Tasks[[#This Row],[_IsLeaf]]=1,SUMIFS(asg_Cost,asg_TaskUID,Tasks[[#This Row],[UID]],asg_Valid,1),0)</f>
        <v>0</v>
      </c>
      <c r="CQ114" s="32" t="n">
        <f aca="false">IF(Tasks[[#This Row],[_LeafTotalCost]]=0,Tasks[[#This Row],[_LeafAC]],Tasks[[#This Row],[_LeafAC]]*Tasks[[#This Row],[_LeafCost]]/Tasks[[#This Row],[_LeafTotalCost]])</f>
        <v>0</v>
      </c>
      <c r="CR11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4" s="32" t="n">
        <f aca="false">IF(NOT(Tasks[[#This Row],[_IsLeaf]]=1),0,MAX(_xlfn.MAXIFS(Tasks[_Row],Tasks[Pred1 UID],Tasks[[#This Row],[UID]]),_xlfn.MAXIFS(Tasks[_Row],Tasks[Pred2 UID],Tasks[[#This Row],[UID]]),_xlfn.MAXIFS(Tasks[_Row],Tasks[Pred3 UID],Tasks[[#This Row],[UID]]),_xlfn.MAXIFS(Tasks[_Row],Tasks[Pred4 UID],Tasks[[#This Row],[UID]])))</f>
        <v>0</v>
      </c>
      <c r="DA11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4" s="115" t="str">
        <f aca="false">IF(NOT(Tasks[[#This Row],[_IsLeaf]]=1),"",IF(N(Tasks[[#This Row],[Duration]])&lt;=0,Tasks[[#This Row],[_LeafLateFinish]],WORKDAY.INTL(Tasks[[#This Row],[_LeafLateFinish]],-(Tasks[[#This Row],[Duration]]-1),WorkWeek,Holidays)))</f>
        <v/>
      </c>
      <c r="DD11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4" s="114" t="b">
        <f aca="false">AND(Tasks[[#This Row],[_IsLeaf]]=1,Tasks[[#This Row],[_LeafProgress]]&lt;1,N(Tasks[[#This Row],[_LeafTotalSlack]])&lt;=CriticalSlackDays)</f>
        <v>0</v>
      </c>
      <c r="DF114" s="32" t="n">
        <f aca="false">IF(AND(Tasks[[#This Row],[_IsLeaf]]=1,Tasks[[#This Row],[_ConstraintCode]]=1,Tasks[[#This Row],[Mode]]&lt;&gt;"Manual",N(Tasks[[#This Row],[Actual Start]])=0),MAX(0,N(Tasks[[#This Row],[Free Slack]])),0)</f>
        <v>0</v>
      </c>
      <c r="DG114" s="115" t="str">
        <f aca="false">IF(NOT(Tasks[[#This Row],[_IsLeaf]]=1),"",IF(Tasks[[#This Row],[_AlapShift]]=0,Tasks[[#This Row],[_LeafCalcStart]],WORKDAY.INTL(Tasks[[#This Row],[_LeafCalcStart]],Tasks[[#This Row],[_AlapShift]],WorkWeek,Holidays)))</f>
        <v/>
      </c>
      <c r="DH114" s="115" t="str">
        <f aca="false">IF(NOT(Tasks[[#This Row],[_IsLeaf]]=1),"",IF(Tasks[[#This Row],[_AlapShift]]=0,Tasks[[#This Row],[_LeafCalcFinish]],WORKDAY.INTL(Tasks[[#This Row],[_LeafCalcFinish]],Tasks[[#This Row],[_AlapShift]],WorkWeek,Holidays)))</f>
        <v/>
      </c>
      <c r="DI114" s="115" t="str">
        <f aca="false">IF(NOT(Tasks[[#This Row],[_IsLeaf]]=1),"",IF(Tasks[[#This Row],[_AlapShift]]=0,Tasks[[#This Row],[_LeafFcstStart]],WORKDAY.INTL(Tasks[[#This Row],[_LeafFcstStart]],Tasks[[#This Row],[_AlapShift]],WorkWeek,Holidays)))</f>
        <v/>
      </c>
      <c r="DJ114" s="115" t="str">
        <f aca="false">IF(NOT(Tasks[[#This Row],[_IsLeaf]]=1),"",IF(Tasks[[#This Row],[_AlapShift]]=0,Tasks[[#This Row],[_LeafFcstFinish]],WORKDAY.INTL(Tasks[[#This Row],[_LeafFcstFinish]],Tasks[[#This Row],[_AlapShift]],WorkWeek,Holidays)))</f>
        <v/>
      </c>
      <c r="DK114" s="115" t="str">
        <f aca="false">IF(Tasks[[#This Row],[Task Name]]="","",IF(Tasks[[#This Row],[_IsSummary]],MIN(INDEX(Tasks[_ShownCalcStart],Tasks[[#This Row],[_Row]]+1):INDEX(Tasks[_ShownCalcStart],Tasks[[#This Row],[_Row]]+Tasks[[#This Row],[_Descendants]])),Tasks[[#This Row],[_ShownCalcStart]]))</f>
        <v/>
      </c>
      <c r="DL114" s="115" t="str">
        <f aca="false">IF(Tasks[[#This Row],[Task Name]]="","",IF(Tasks[[#This Row],[_IsSummary]],MAX(INDEX(Tasks[_ShownCalcFinish],Tasks[[#This Row],[_Row]]+1):INDEX(Tasks[_ShownCalcFinish],Tasks[[#This Row],[_Row]]+Tasks[[#This Row],[_Descendants]])),Tasks[[#This Row],[_ShownCalcFinish]]))</f>
        <v/>
      </c>
      <c r="DM11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4" s="32" t="n">
        <f aca="false">IF(AND(Tasks[[#This Row],[_IsLeaf]]=1,Tasks[[#This Row],[_LeafTotalWork]]&gt;0),NETWORKDAYS.INTL(ProjectStart,Tasks[[#This Row],[_ShownFcstStart]],WorkWeek,Holidays),0)</f>
        <v>0</v>
      </c>
      <c r="DZ114" s="32" t="n">
        <f aca="false">IF(AND(Tasks[[#This Row],[_IsLeaf]]=1,Tasks[[#This Row],[_LeafTotalWork]]&gt;0),MAX(Tasks[[#This Row],[_StartWorkday]],NETWORKDAYS.INTL(ProjectStart,Tasks[[#This Row],[_ShownFcstFinish]],WorkWeek,Holidays)),0)</f>
        <v>0</v>
      </c>
      <c r="EA114" s="32" t="n">
        <f aca="false">IF(AND(Tasks[[#This Row],[_IsLeaf]]=1,Tasks[[#This Row],[_LeafTotalWork]]&gt;0),Tasks[[#This Row],[_LeafWork]]/(Tasks[[#This Row],[_FinishWorkday]]-Tasks[[#This Row],[_StartWorkday]]+1),0)</f>
        <v>0</v>
      </c>
      <c r="EB114" s="32" t="n">
        <f aca="false">Tasks[[#This Row],[_WorkPerWorkday]]*(Tasks[[#This Row],[_StartWorkday]]-1)</f>
        <v>-0</v>
      </c>
      <c r="EC114" s="32" t="n">
        <f aca="false">IF(Tasks[[#This Row],[_IsLeaf]]=1,MAX(N(Tasks[[#This Row],[Duration]]),0.1),0)</f>
        <v>0</v>
      </c>
      <c r="ED114" s="32" t="n">
        <f aca="false">Tasks[[#This Row],[_WeightDur]]*Tasks[[#This Row],[_LeafProgress]]</f>
        <v>0</v>
      </c>
      <c r="EE11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4" s="32" t="str">
        <f aca="false">IF(AND(Tasks[[#This Row],[_IsLeaf]]=1,N(Tasks[[#This Row],[Duration]])=0,Tasks[[#This Row],[_LeafProgress]]&lt;1),Tasks[[#This Row],[_ShownFcstFinish]]+Tasks[[#This Row],[_Row]]/100000,"")</f>
        <v/>
      </c>
      <c r="EG11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4" s="32" t="n">
        <f aca="false">IF(NOT(Tasks[[#This Row],[_IsLeaf]]=1),0,IF(Tasks[[#This Row],[Baseline Cost]]="",Tasks[[#This Row],[_LeafTotalCost]],N(Tasks[[#This Row],[Baseline Cost]])))</f>
        <v>0</v>
      </c>
      <c r="EI114" s="32" t="n">
        <f aca="false">Tasks[[#This Row],[_LeafBudget]]*Tasks[[#This Row],[_PlannedPct]]</f>
        <v>0</v>
      </c>
      <c r="EJ114" s="32" t="n">
        <f aca="false">Tasks[[#This Row],[_LeafBudget]]*Tasks[[#This Row],[_LeafProgress]]</f>
        <v>0</v>
      </c>
      <c r="EK114" s="32" t="n">
        <f aca="false">IF(NOT(Tasks[[#This Row],[_IsLeaf]]=1),0,IF(Tasks[[#This Row],[Actual Cost]]="",Tasks[[#This Row],[_LeafTotalCost]]*Tasks[[#This Row],[_LeafProgress]],N(Tasks[[#This Row],[Actual Cost]])))</f>
        <v>0</v>
      </c>
      <c r="EL114" s="32" t="str">
        <f aca="false">IF(Tasks[[#This Row],[Task Name]]="","",LEFT(Tasks[[#This Row],[WBS]],FIND(".",Tasks[[#This Row],[WBS]]&amp;".")-1))</f>
        <v/>
      </c>
      <c r="EM114" s="32" t="str">
        <f aca="false">IF(AND(Tasks[[#This Row],[Task Name]]&lt;&gt;"",Tasks[[#This Row],[_Level]]=1),Tasks[[#This Row],[_Row]],"")</f>
        <v/>
      </c>
      <c r="EN114" s="32" t="str">
        <f aca="false">IF(AND(Tasks[[#This Row],[_IsLeaf]]=1,N(Tasks[[#This Row],[Duration]])=0),Tasks[[#This Row],[Planned Finish]]+Tasks[[#This Row],[_Row]]/100000,"")</f>
        <v/>
      </c>
      <c r="EO114" s="32" t="str">
        <f aca="false">IF(AND(Tasks[[#This Row],[_IsLeaf]]=1,Tasks[[#This Row],[_LeafProgress]]&lt;1,OR(N(Tasks[[#This Row],[Finish Var]])&gt;0,Tasks[[#This Row],[Status]]="Late Start")),MAX(0,Tasks[[#This Row],[Finish Var]])+1-Tasks[[#This Row],[_Row]]/1000000,"")</f>
        <v/>
      </c>
      <c r="EP114" s="32" t="str">
        <f aca="false">IF(AND(Tasks[[#This Row],[_IsLeaf]]=1,N(Tasks[[#This Row],[Actual Start]])=0,Tasks[[#This Row],[_ShownFcstStart]]&gt;=StatusDate,Tasks[[#This Row],[_ShownFcstStart]]&lt;=LookaheadEnd),Tasks[[#This Row],[_ShownFcstStart]]+Tasks[[#This Row],[_Row]]/100000,"")</f>
        <v/>
      </c>
      <c r="EQ114" s="32" t="str">
        <f aca="false">IF(AND(Tasks[[#This Row],[_IsLeaf]]=1,Tasks[[#This Row],[_LeafProgress]]&lt;1,Tasks[[#This Row],[_ShownFcstFinish]]&gt;=StatusDate,Tasks[[#This Row],[_ShownFcstFinish]]&lt;=LookaheadEnd),Tasks[[#This Row],[_ShownFcstFinish]]+Tasks[[#This Row],[_Row]]/100000,"")</f>
        <v/>
      </c>
      <c r="ER114" s="32" t="str">
        <f aca="false">IF(Tasks[[#This Row],[_LeafCritical]],Tasks[[#This Row],[_ShownFcstStart]]+Tasks[[#This Row],[_Row]]/100000,"")</f>
        <v/>
      </c>
      <c r="ES114" s="32" t="n">
        <f aca="false">Tasks[[#This Row],[_LeafWork]]*Tasks[[#This Row],[_LeafProgress]]</f>
        <v>0</v>
      </c>
      <c r="ET114" s="115" t="str">
        <f aca="false">IF(AND(Tasks[[#This Row],[_IsLeaf]]=1,Tasks[[#This Row],[_LeafProgress]]&gt;=1),IF(N(Tasks[[#This Row],[Actual Finish]])&gt;0,Tasks[[#This Row],[Actual Finish]],Tasks[[#This Row],[_ShownFcstFinish]]),"")</f>
        <v/>
      </c>
      <c r="EU114" s="32" t="n">
        <f aca="false">IF(Tasks[[#This Row],[_IsLeaf]]=1,N(Tasks[[#This Row],[Story Points]]),0)</f>
        <v>0</v>
      </c>
      <c r="EV114" s="32" t="str">
        <f aca="false">IF(AND(Tasks[[#This Row],[_IsLeaf]]=1,CurrentSprint&lt;&gt;"",Tasks[[#This Row],[Sprint]]=CurrentSprint),Tasks[[#This Row],[_Row]],"")</f>
        <v/>
      </c>
    </row>
    <row r="115" customFormat="false" ht="15" hidden="false" customHeight="false" outlineLevel="0" collapsed="false">
      <c r="A115" s="45" t="str">
        <f aca="false">IF(Tasks[[#This Row],[Task Name]]="","",COUNTA(Tasks[[#Headers],[Task Name]]:Tasks[[#This Row],[Task Name]])-1)</f>
        <v/>
      </c>
      <c r="B115" s="46" t="n">
        <v>110</v>
      </c>
      <c r="C11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5" s="46"/>
      <c r="E115" s="45" t="str">
        <f aca="false">IF(Tasks[[#This Row],[Task Name]]="","",IF(Tasks[[#This Row],[_Level]]&lt;=OutlineShowLevel,"Yes","No"))</f>
        <v/>
      </c>
      <c r="F115" s="47"/>
      <c r="G115" s="46"/>
      <c r="H115" s="46"/>
      <c r="I115" s="46"/>
      <c r="J115" s="46"/>
      <c r="K115" s="46"/>
      <c r="L115" s="46"/>
      <c r="M115" s="46"/>
      <c r="N115" s="46"/>
      <c r="O115" s="46"/>
      <c r="P115" s="46"/>
      <c r="Q115" s="46"/>
      <c r="R115" s="46"/>
      <c r="S115" s="46"/>
      <c r="T115" s="46"/>
      <c r="U115" s="47"/>
      <c r="V115" s="88"/>
      <c r="W115" s="88"/>
      <c r="X115" s="25" t="str">
        <f aca="false">IF(Tasks[[#This Row],[Task Name]]="","",IF(N(Tasks[[#This Row],[Baseline Start]])&gt;0,Tasks[[#This Row],[Baseline Start]],Tasks[[#This Row],[_CalcStart]]))</f>
        <v/>
      </c>
      <c r="Y115" s="25" t="str">
        <f aca="false">IF(Tasks[[#This Row],[Task Name]]="","",IF(N(Tasks[[#This Row],[Baseline Finish]])&gt;0,Tasks[[#This Row],[Baseline Finish]],Tasks[[#This Row],[_CalcFinish]]))</f>
        <v/>
      </c>
      <c r="Z115" s="88"/>
      <c r="AA115" s="88"/>
      <c r="AB115" s="25" t="str">
        <f aca="false">IF(Tasks[[#This Row],[Task Name]]="","",IF(Tasks[[#This Row],[_IsSummary]],MIN(INDEX(Tasks[_ShownFcstStart],Tasks[[#This Row],[_Row]]+1):INDEX(Tasks[_ShownFcstStart],Tasks[[#This Row],[_Row]]+Tasks[[#This Row],[_Descendants]])),Tasks[[#This Row],[_ShownFcstStart]]))</f>
        <v/>
      </c>
      <c r="AC115" s="25" t="str">
        <f aca="false">IF(Tasks[[#This Row],[Task Name]]="","",IF(Tasks[[#This Row],[_IsSummary]],MAX(INDEX(Tasks[_ShownFcstFinish],Tasks[[#This Row],[_Row]]+1):INDEX(Tasks[_ShownFcstFinish],Tasks[[#This Row],[_Row]]+Tasks[[#This Row],[_Descendants]])),Tasks[[#This Row],[_ShownFcstFinish]]))</f>
        <v/>
      </c>
      <c r="AD11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5" s="25" t="str">
        <f aca="false">IF(Tasks[[#This Row],[Task Name]]="","",IF(Tasks[[#This Row],[_IsSummary]],MIN(INDEX(Tasks[_LeafLateStart],Tasks[[#This Row],[_Row]]+1):INDEX(Tasks[_LeafLateStart],Tasks[[#This Row],[_Row]]+Tasks[[#This Row],[_Descendants]])),Tasks[[#This Row],[_LeafLateStart]]))</f>
        <v/>
      </c>
      <c r="AG115" s="25" t="str">
        <f aca="false">IF(Tasks[[#This Row],[Task Name]]="","",IF(Tasks[[#This Row],[_IsSummary]],MAX(INDEX(Tasks[_LeafLateFinish],Tasks[[#This Row],[_Row]]+1):INDEX(Tasks[_LeafLateFinish],Tasks[[#This Row],[_Row]]+Tasks[[#This Row],[_Descendants]])),Tasks[[#This Row],[_LeafLateFinish]]))</f>
        <v/>
      </c>
      <c r="AH115" s="56" t="str">
        <f aca="false">IF(Tasks[[#This Row],[Task Name]]="","",IF(Tasks[[#This Row],[_IsSummary]],MIN(INDEX(Tasks[_LeafTotalSlack],Tasks[[#This Row],[_Row]]+1):INDEX(Tasks[_LeafTotalSlack],Tasks[[#This Row],[_Row]]+Tasks[[#This Row],[_Descendants]])),Tasks[[#This Row],[_LeafTotalSlack]]))</f>
        <v/>
      </c>
      <c r="AI11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5" s="45" t="str">
        <f aca="false">IF(Tasks[[#This Row],[Task Name]]="","",IF(IF(Tasks[[#This Row],[_IsSummary]],COUNTIF(INDEX(Tasks[_LeafCritical],Tasks[[#This Row],[_Row]]+1):INDEX(Tasks[_LeafCritical],Tasks[[#This Row],[_Row]]+Tasks[[#This Row],[_Descendants]]),TRUE())&gt;0,Tasks[[#This Row],[_LeafCritical]]),"Yes",""))</f>
        <v/>
      </c>
      <c r="AK11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5" s="102"/>
      <c r="AN11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5" s="45" t="str">
        <f aca="false">IF(Tasks[[#This Row],[Task Name]]="","",IF(Tasks[[#This Row],[Progress]]&gt;=1,"Complete",IF(OR(N(Tasks[[#This Row],[Actual Start]])&gt;0,Tasks[[#This Row],[Progress]]&gt;0),IF(Tasks[[#This Row],[Finish Var]]&gt;0,"Behind","In Progress"),IF(Tasks[[#This Row],[Planned Start]]&lt;StatusDate,"Late Start","Not Started"))))</f>
        <v/>
      </c>
      <c r="AP115" s="47"/>
      <c r="AQ115" s="102"/>
      <c r="AR11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5" s="110" t="str">
        <f aca="false">IF(Tasks[[#This Row],[Task Name]]="","",IF(Tasks[[#This Row],[_IsSummary]],SUM(INDEX(Tasks[_LeafTotalWork],Tasks[[#This Row],[_Row]]+1):INDEX(Tasks[_LeafTotalWork],Tasks[[#This Row],[_Row]]+Tasks[[#This Row],[_Descendants]])),Tasks[[#This Row],[_LeafTotalWork]]))</f>
        <v/>
      </c>
      <c r="AU115" s="111" t="str">
        <f aca="false">IF(Tasks[[#This Row],[Task Name]]="","",IF(Tasks[[#This Row],[_IsSummary]],SUM(INDEX(Tasks[_LeafTotalCost],Tasks[[#This Row],[_Row]]+1):INDEX(Tasks[_LeafTotalCost],Tasks[[#This Row],[_Row]]+Tasks[[#This Row],[_Descendants]])),Tasks[[#This Row],[_LeafTotalCost]]))</f>
        <v/>
      </c>
      <c r="AV115" s="112"/>
      <c r="AW115" s="46"/>
      <c r="AX11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5" s="96"/>
      <c r="AZ11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5" s="47"/>
      <c r="BB115" s="25" t="str">
        <f aca="false">IF(Tasks[[#This Row],[Task Name]]="","",Tasks[[#This Row],[Forecast Start]])</f>
        <v/>
      </c>
      <c r="BC115" s="25" t="str">
        <f aca="false">IF(Tasks[[#This Row],[Task Name]]="","",Tasks[[#This Row],[Forecast Finish]])</f>
        <v/>
      </c>
      <c r="BD115" s="45" t="str">
        <f aca="false">IF(Tasks[[#This Row],[Task Name]]="","",IF(Tasks[[#This Row],[_IsSummary]],NETWORKDAYS.INTL(Tasks[[#This Row],[Forecast Start]],Tasks[[#This Row],[Forecast Finish]],WorkWeek,Holidays),N(Tasks[[#This Row],[Duration]])))</f>
        <v/>
      </c>
      <c r="BE115" s="110" t="str">
        <f aca="false">IF(Tasks[[#This Row],[Task Name]]="","",Tasks[[#This Row],[Work]])</f>
        <v/>
      </c>
      <c r="BF115" s="111" t="str">
        <f aca="false">IF(Tasks[[#This Row],[Task Name]]="","",Tasks[[#This Row],[Cost]])</f>
        <v/>
      </c>
      <c r="BG115" s="88"/>
      <c r="BH115" s="88"/>
      <c r="BI115" s="46"/>
      <c r="BJ115" s="113"/>
      <c r="BK115" s="112"/>
      <c r="BL115" s="45" t="str">
        <f aca="false">IF(OR(Tasks[[#This Row],[Task Name]]="",Tasks[[#This Row],[Baseline Duration]]=""),"",Tasks[[#This Row],[BL Source Duration]]-N(Tasks[[#This Row],[Baseline Duration]]))</f>
        <v/>
      </c>
      <c r="BM115" s="110" t="str">
        <f aca="false">IF(OR(Tasks[[#This Row],[Task Name]]="",Tasks[[#This Row],[Baseline Work]]=""),"",Tasks[[#This Row],[Work]]-N(Tasks[[#This Row],[Baseline Work]]))</f>
        <v/>
      </c>
      <c r="BN115" s="111" t="str">
        <f aca="false">IF(OR(Tasks[[#This Row],[Task Name]]="",Tasks[[#This Row],[Baseline Cost]]=""),"",Tasks[[#This Row],[Cost]]-N(Tasks[[#This Row],[Baseline Cost]]))</f>
        <v/>
      </c>
      <c r="BO115" s="111" t="str">
        <f aca="false">IF(Tasks[[#This Row],[Task Name]]="","",IF(Tasks[[#This Row],[_IsSummary]],SUM(INDEX(Tasks[_LeafBudget],Tasks[[#This Row],[_Row]]+1):INDEX(Tasks[_LeafBudget],Tasks[[#This Row],[_Row]]+Tasks[[#This Row],[_Descendants]])),Tasks[[#This Row],[_LeafBudget]]))</f>
        <v/>
      </c>
      <c r="BP115" s="111" t="str">
        <f aca="false">IF(Tasks[[#This Row],[Task Name]]="","",IF(Tasks[[#This Row],[_IsSummary]],SUM(INDEX(Tasks[_LeafPV],Tasks[[#This Row],[_Row]]+1):INDEX(Tasks[_LeafPV],Tasks[[#This Row],[_Row]]+Tasks[[#This Row],[_Descendants]])),Tasks[[#This Row],[_LeafPV]]))</f>
        <v/>
      </c>
      <c r="BQ115" s="111" t="str">
        <f aca="false">IF(Tasks[[#This Row],[Task Name]]="","",IF(Tasks[[#This Row],[_IsSummary]],SUM(INDEX(Tasks[_LeafEV],Tasks[[#This Row],[_Row]]+1):INDEX(Tasks[_LeafEV],Tasks[[#This Row],[_Row]]+Tasks[[#This Row],[_Descendants]])),Tasks[[#This Row],[_LeafEV]]))</f>
        <v/>
      </c>
      <c r="BR115" s="111" t="str">
        <f aca="false">IF(Tasks[[#This Row],[Task Name]]="","",IF(Tasks[[#This Row],[_IsSummary]],SUM(INDEX(Tasks[_LeafAC],Tasks[[#This Row],[_Row]]+1):INDEX(Tasks[_LeafAC],Tasks[[#This Row],[_Row]]+Tasks[[#This Row],[_Descendants]])),Tasks[[#This Row],[_LeafAC]]))</f>
        <v/>
      </c>
      <c r="BS115" s="32" t="str">
        <f aca="false">IF(Tasks[[#This Row],[Task Name]]="","",MAX(1,N(Tasks[[#This Row],[Level]])))</f>
        <v/>
      </c>
      <c r="BT115" s="32" t="n">
        <f aca="false">ROW()-ROW(Tasks[[#Headers],[ID]])</f>
        <v>110</v>
      </c>
      <c r="BU115" s="32" t="n">
        <f aca="false">IF(OR(Tasks[[#This Row],[Task Name]]="",Tasks[[#This Row],[_Level]]&lt;=1),0,IFERROR(LOOKUP(2,1/(Tasks[[#Headers],[_Level]]:Tasks[[#This Row],[_Level]]=Tasks[[#This Row],[_Level]]-1),ROW(Tasks[[#Headers],[_Level]]:Tasks[[#This Row],[_Level]])),0))</f>
        <v>0</v>
      </c>
      <c r="BV115" s="32" t="n">
        <f aca="false">IFERROR(N(INDEX(Tasks[_Level],Tasks[[#This Row],[_Row]]+1)),0)</f>
        <v>0</v>
      </c>
      <c r="BW115" s="114" t="b">
        <f aca="false">AND(Tasks[[#This Row],[Task Name]]&lt;&gt;"",Tasks[[#This Row],[_NextLevel]]&gt;Tasks[[#This Row],[_Level]])</f>
        <v>0</v>
      </c>
      <c r="BX115" s="32" t="n">
        <f aca="false">IF(Tasks[[#This Row],[_IsSummary]],COUNTIF(Tasks[WBS],Tasks[[#This Row],[WBS]]&amp;".*"),0)</f>
        <v>0</v>
      </c>
      <c r="BY115" s="32" t="n">
        <f aca="false">IF(AND(Tasks[[#This Row],[Task Name]]&lt;&gt;"",NOT(Tasks[[#This Row],[_IsSummary]])),1,0)</f>
        <v>0</v>
      </c>
      <c r="BZ115" s="32" t="n">
        <f aca="false">IF(N(Tasks[[#This Row],[Pred1 UID]])=0,0,IFERROR(MATCH(Tasks[[#This Row],[Pred1 UID]],Tasks[UID],0),-1))</f>
        <v>0</v>
      </c>
      <c r="CA115" s="32" t="n">
        <f aca="false">IF(N(Tasks[[#This Row],[Pred2 UID]])=0,0,IFERROR(MATCH(Tasks[[#This Row],[Pred2 UID]],Tasks[UID],0),-1))</f>
        <v>0</v>
      </c>
      <c r="CB115" s="32" t="n">
        <f aca="false">IF(N(Tasks[[#This Row],[Pred3 UID]])=0,0,IFERROR(MATCH(Tasks[[#This Row],[Pred3 UID]],Tasks[UID],0),-1))</f>
        <v>0</v>
      </c>
      <c r="CC115" s="32" t="n">
        <f aca="false">IF(N(Tasks[[#This Row],[Pred4 UID]])=0,0,IFERROR(MATCH(Tasks[[#This Row],[Pred4 UID]],Tasks[UID],0),-1))</f>
        <v>0</v>
      </c>
      <c r="CD11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5" s="115" t="n">
        <f aca="false">IF(OR(Tasks[[#This Row],[_ConstraintCode]]=2,Tasks[[#This Row],[_ConstraintCode]]=3,Tasks[[#This Row],[_ConstraintCode]]=4,Tasks[[#This Row],[_ConstraintCode]]=6),Tasks[[#This Row],[_ConstraintStart]],0)</f>
        <v>0</v>
      </c>
      <c r="CG115" s="115" t="n">
        <f aca="false">IF(OR(Tasks[[#This Row],[_ConstraintCode]]=2,Tasks[[#This Row],[_ConstraintCode]]=3,Tasks[[#This Row],[_ConstraintCode]]=5,Tasks[[#This Row],[_ConstraintCode]]=7),Tasks[[#This Row],[_ConstraintStart]],2958465)</f>
        <v>2958465</v>
      </c>
      <c r="CH11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5" s="115" t="str">
        <f aca="false">IF(NOT(Tasks[[#This Row],[_IsLeaf]]=1),"",IF(N(Tasks[[#This Row],[Duration]])&lt;=0,Tasks[[#This Row],[_LeafCalcStart]],WORKDAY.INTL(Tasks[[#This Row],[_LeafCalcStart]],Tasks[[#This Row],[Duration]]-1,WorkWeek,Holidays)))</f>
        <v/>
      </c>
      <c r="CJ11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5" s="32" t="n">
        <f aca="false">IF(NOT(Tasks[[#This Row],[_IsLeaf]]=1),0,IF(N(Tasks[[#This Row],[Actual Finish]])&gt;0,1,MIN(1,N(Tasks[[#This Row],[% Complete]]))))</f>
        <v>0</v>
      </c>
      <c r="CM115" s="32" t="n">
        <f aca="false">IF(OR(NOT(Tasks[[#This Row],[_IsLeaf]]=1),Tasks[[#This Row],[Resource]]=""),0,N(Tasks[[#This Row],[Duration]])*HoursPerDay*IF(Tasks[[#This Row],[Units]]="",DefaultUnits,Tasks[[#This Row],[Units]]))</f>
        <v>0</v>
      </c>
      <c r="CN115" s="32" t="n">
        <f aca="false">IF(Tasks[[#This Row],[_LeafWork]]=0,0,Tasks[[#This Row],[_LeafWork]]*IFERROR(INDEX(res_Rate,MATCH(Tasks[[#This Row],[Resource]],res_Name,0)),0))</f>
        <v>0</v>
      </c>
      <c r="CO115" s="32" t="n">
        <f aca="false">Tasks[[#This Row],[_LeafWork]]+IF(Tasks[[#This Row],[_IsLeaf]]=1,SUMIFS(asg_Work,asg_TaskUID,Tasks[[#This Row],[UID]],asg_Valid,1),0)</f>
        <v>0</v>
      </c>
      <c r="CP115" s="32" t="n">
        <f aca="false">Tasks[[#This Row],[_LeafCost]]+IF(Tasks[[#This Row],[_IsLeaf]]=1,SUMIFS(asg_Cost,asg_TaskUID,Tasks[[#This Row],[UID]],asg_Valid,1),0)</f>
        <v>0</v>
      </c>
      <c r="CQ115" s="32" t="n">
        <f aca="false">IF(Tasks[[#This Row],[_LeafTotalCost]]=0,Tasks[[#This Row],[_LeafAC]],Tasks[[#This Row],[_LeafAC]]*Tasks[[#This Row],[_LeafCost]]/Tasks[[#This Row],[_LeafTotalCost]])</f>
        <v>0</v>
      </c>
      <c r="CR11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5" s="32" t="n">
        <f aca="false">IF(NOT(Tasks[[#This Row],[_IsLeaf]]=1),0,MAX(_xlfn.MAXIFS(Tasks[_Row],Tasks[Pred1 UID],Tasks[[#This Row],[UID]]),_xlfn.MAXIFS(Tasks[_Row],Tasks[Pred2 UID],Tasks[[#This Row],[UID]]),_xlfn.MAXIFS(Tasks[_Row],Tasks[Pred3 UID],Tasks[[#This Row],[UID]]),_xlfn.MAXIFS(Tasks[_Row],Tasks[Pred4 UID],Tasks[[#This Row],[UID]])))</f>
        <v>0</v>
      </c>
      <c r="DA11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5" s="115" t="str">
        <f aca="false">IF(NOT(Tasks[[#This Row],[_IsLeaf]]=1),"",IF(N(Tasks[[#This Row],[Duration]])&lt;=0,Tasks[[#This Row],[_LeafLateFinish]],WORKDAY.INTL(Tasks[[#This Row],[_LeafLateFinish]],-(Tasks[[#This Row],[Duration]]-1),WorkWeek,Holidays)))</f>
        <v/>
      </c>
      <c r="DD11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5" s="114" t="b">
        <f aca="false">AND(Tasks[[#This Row],[_IsLeaf]]=1,Tasks[[#This Row],[_LeafProgress]]&lt;1,N(Tasks[[#This Row],[_LeafTotalSlack]])&lt;=CriticalSlackDays)</f>
        <v>0</v>
      </c>
      <c r="DF115" s="32" t="n">
        <f aca="false">IF(AND(Tasks[[#This Row],[_IsLeaf]]=1,Tasks[[#This Row],[_ConstraintCode]]=1,Tasks[[#This Row],[Mode]]&lt;&gt;"Manual",N(Tasks[[#This Row],[Actual Start]])=0),MAX(0,N(Tasks[[#This Row],[Free Slack]])),0)</f>
        <v>0</v>
      </c>
      <c r="DG115" s="115" t="str">
        <f aca="false">IF(NOT(Tasks[[#This Row],[_IsLeaf]]=1),"",IF(Tasks[[#This Row],[_AlapShift]]=0,Tasks[[#This Row],[_LeafCalcStart]],WORKDAY.INTL(Tasks[[#This Row],[_LeafCalcStart]],Tasks[[#This Row],[_AlapShift]],WorkWeek,Holidays)))</f>
        <v/>
      </c>
      <c r="DH115" s="115" t="str">
        <f aca="false">IF(NOT(Tasks[[#This Row],[_IsLeaf]]=1),"",IF(Tasks[[#This Row],[_AlapShift]]=0,Tasks[[#This Row],[_LeafCalcFinish]],WORKDAY.INTL(Tasks[[#This Row],[_LeafCalcFinish]],Tasks[[#This Row],[_AlapShift]],WorkWeek,Holidays)))</f>
        <v/>
      </c>
      <c r="DI115" s="115" t="str">
        <f aca="false">IF(NOT(Tasks[[#This Row],[_IsLeaf]]=1),"",IF(Tasks[[#This Row],[_AlapShift]]=0,Tasks[[#This Row],[_LeafFcstStart]],WORKDAY.INTL(Tasks[[#This Row],[_LeafFcstStart]],Tasks[[#This Row],[_AlapShift]],WorkWeek,Holidays)))</f>
        <v/>
      </c>
      <c r="DJ115" s="115" t="str">
        <f aca="false">IF(NOT(Tasks[[#This Row],[_IsLeaf]]=1),"",IF(Tasks[[#This Row],[_AlapShift]]=0,Tasks[[#This Row],[_LeafFcstFinish]],WORKDAY.INTL(Tasks[[#This Row],[_LeafFcstFinish]],Tasks[[#This Row],[_AlapShift]],WorkWeek,Holidays)))</f>
        <v/>
      </c>
      <c r="DK115" s="115" t="str">
        <f aca="false">IF(Tasks[[#This Row],[Task Name]]="","",IF(Tasks[[#This Row],[_IsSummary]],MIN(INDEX(Tasks[_ShownCalcStart],Tasks[[#This Row],[_Row]]+1):INDEX(Tasks[_ShownCalcStart],Tasks[[#This Row],[_Row]]+Tasks[[#This Row],[_Descendants]])),Tasks[[#This Row],[_ShownCalcStart]]))</f>
        <v/>
      </c>
      <c r="DL115" s="115" t="str">
        <f aca="false">IF(Tasks[[#This Row],[Task Name]]="","",IF(Tasks[[#This Row],[_IsSummary]],MAX(INDEX(Tasks[_ShownCalcFinish],Tasks[[#This Row],[_Row]]+1):INDEX(Tasks[_ShownCalcFinish],Tasks[[#This Row],[_Row]]+Tasks[[#This Row],[_Descendants]])),Tasks[[#This Row],[_ShownCalcFinish]]))</f>
        <v/>
      </c>
      <c r="DM11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5" s="32" t="n">
        <f aca="false">IF(AND(Tasks[[#This Row],[_IsLeaf]]=1,Tasks[[#This Row],[_LeafTotalWork]]&gt;0),NETWORKDAYS.INTL(ProjectStart,Tasks[[#This Row],[_ShownFcstStart]],WorkWeek,Holidays),0)</f>
        <v>0</v>
      </c>
      <c r="DZ115" s="32" t="n">
        <f aca="false">IF(AND(Tasks[[#This Row],[_IsLeaf]]=1,Tasks[[#This Row],[_LeafTotalWork]]&gt;0),MAX(Tasks[[#This Row],[_StartWorkday]],NETWORKDAYS.INTL(ProjectStart,Tasks[[#This Row],[_ShownFcstFinish]],WorkWeek,Holidays)),0)</f>
        <v>0</v>
      </c>
      <c r="EA115" s="32" t="n">
        <f aca="false">IF(AND(Tasks[[#This Row],[_IsLeaf]]=1,Tasks[[#This Row],[_LeafTotalWork]]&gt;0),Tasks[[#This Row],[_LeafWork]]/(Tasks[[#This Row],[_FinishWorkday]]-Tasks[[#This Row],[_StartWorkday]]+1),0)</f>
        <v>0</v>
      </c>
      <c r="EB115" s="32" t="n">
        <f aca="false">Tasks[[#This Row],[_WorkPerWorkday]]*(Tasks[[#This Row],[_StartWorkday]]-1)</f>
        <v>-0</v>
      </c>
      <c r="EC115" s="32" t="n">
        <f aca="false">IF(Tasks[[#This Row],[_IsLeaf]]=1,MAX(N(Tasks[[#This Row],[Duration]]),0.1),0)</f>
        <v>0</v>
      </c>
      <c r="ED115" s="32" t="n">
        <f aca="false">Tasks[[#This Row],[_WeightDur]]*Tasks[[#This Row],[_LeafProgress]]</f>
        <v>0</v>
      </c>
      <c r="EE11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5" s="32" t="str">
        <f aca="false">IF(AND(Tasks[[#This Row],[_IsLeaf]]=1,N(Tasks[[#This Row],[Duration]])=0,Tasks[[#This Row],[_LeafProgress]]&lt;1),Tasks[[#This Row],[_ShownFcstFinish]]+Tasks[[#This Row],[_Row]]/100000,"")</f>
        <v/>
      </c>
      <c r="EG11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5" s="32" t="n">
        <f aca="false">IF(NOT(Tasks[[#This Row],[_IsLeaf]]=1),0,IF(Tasks[[#This Row],[Baseline Cost]]="",Tasks[[#This Row],[_LeafTotalCost]],N(Tasks[[#This Row],[Baseline Cost]])))</f>
        <v>0</v>
      </c>
      <c r="EI115" s="32" t="n">
        <f aca="false">Tasks[[#This Row],[_LeafBudget]]*Tasks[[#This Row],[_PlannedPct]]</f>
        <v>0</v>
      </c>
      <c r="EJ115" s="32" t="n">
        <f aca="false">Tasks[[#This Row],[_LeafBudget]]*Tasks[[#This Row],[_LeafProgress]]</f>
        <v>0</v>
      </c>
      <c r="EK115" s="32" t="n">
        <f aca="false">IF(NOT(Tasks[[#This Row],[_IsLeaf]]=1),0,IF(Tasks[[#This Row],[Actual Cost]]="",Tasks[[#This Row],[_LeafTotalCost]]*Tasks[[#This Row],[_LeafProgress]],N(Tasks[[#This Row],[Actual Cost]])))</f>
        <v>0</v>
      </c>
      <c r="EL115" s="32" t="str">
        <f aca="false">IF(Tasks[[#This Row],[Task Name]]="","",LEFT(Tasks[[#This Row],[WBS]],FIND(".",Tasks[[#This Row],[WBS]]&amp;".")-1))</f>
        <v/>
      </c>
      <c r="EM115" s="32" t="str">
        <f aca="false">IF(AND(Tasks[[#This Row],[Task Name]]&lt;&gt;"",Tasks[[#This Row],[_Level]]=1),Tasks[[#This Row],[_Row]],"")</f>
        <v/>
      </c>
      <c r="EN115" s="32" t="str">
        <f aca="false">IF(AND(Tasks[[#This Row],[_IsLeaf]]=1,N(Tasks[[#This Row],[Duration]])=0),Tasks[[#This Row],[Planned Finish]]+Tasks[[#This Row],[_Row]]/100000,"")</f>
        <v/>
      </c>
      <c r="EO115" s="32" t="str">
        <f aca="false">IF(AND(Tasks[[#This Row],[_IsLeaf]]=1,Tasks[[#This Row],[_LeafProgress]]&lt;1,OR(N(Tasks[[#This Row],[Finish Var]])&gt;0,Tasks[[#This Row],[Status]]="Late Start")),MAX(0,Tasks[[#This Row],[Finish Var]])+1-Tasks[[#This Row],[_Row]]/1000000,"")</f>
        <v/>
      </c>
      <c r="EP115" s="32" t="str">
        <f aca="false">IF(AND(Tasks[[#This Row],[_IsLeaf]]=1,N(Tasks[[#This Row],[Actual Start]])=0,Tasks[[#This Row],[_ShownFcstStart]]&gt;=StatusDate,Tasks[[#This Row],[_ShownFcstStart]]&lt;=LookaheadEnd),Tasks[[#This Row],[_ShownFcstStart]]+Tasks[[#This Row],[_Row]]/100000,"")</f>
        <v/>
      </c>
      <c r="EQ115" s="32" t="str">
        <f aca="false">IF(AND(Tasks[[#This Row],[_IsLeaf]]=1,Tasks[[#This Row],[_LeafProgress]]&lt;1,Tasks[[#This Row],[_ShownFcstFinish]]&gt;=StatusDate,Tasks[[#This Row],[_ShownFcstFinish]]&lt;=LookaheadEnd),Tasks[[#This Row],[_ShownFcstFinish]]+Tasks[[#This Row],[_Row]]/100000,"")</f>
        <v/>
      </c>
      <c r="ER115" s="32" t="str">
        <f aca="false">IF(Tasks[[#This Row],[_LeafCritical]],Tasks[[#This Row],[_ShownFcstStart]]+Tasks[[#This Row],[_Row]]/100000,"")</f>
        <v/>
      </c>
      <c r="ES115" s="32" t="n">
        <f aca="false">Tasks[[#This Row],[_LeafWork]]*Tasks[[#This Row],[_LeafProgress]]</f>
        <v>0</v>
      </c>
      <c r="ET115" s="115" t="str">
        <f aca="false">IF(AND(Tasks[[#This Row],[_IsLeaf]]=1,Tasks[[#This Row],[_LeafProgress]]&gt;=1),IF(N(Tasks[[#This Row],[Actual Finish]])&gt;0,Tasks[[#This Row],[Actual Finish]],Tasks[[#This Row],[_ShownFcstFinish]]),"")</f>
        <v/>
      </c>
      <c r="EU115" s="32" t="n">
        <f aca="false">IF(Tasks[[#This Row],[_IsLeaf]]=1,N(Tasks[[#This Row],[Story Points]]),0)</f>
        <v>0</v>
      </c>
      <c r="EV115" s="32" t="str">
        <f aca="false">IF(AND(Tasks[[#This Row],[_IsLeaf]]=1,CurrentSprint&lt;&gt;"",Tasks[[#This Row],[Sprint]]=CurrentSprint),Tasks[[#This Row],[_Row]],"")</f>
        <v/>
      </c>
    </row>
    <row r="116" customFormat="false" ht="15" hidden="false" customHeight="false" outlineLevel="0" collapsed="false">
      <c r="A116" s="45" t="str">
        <f aca="false">IF(Tasks[[#This Row],[Task Name]]="","",COUNTA(Tasks[[#Headers],[Task Name]]:Tasks[[#This Row],[Task Name]])-1)</f>
        <v/>
      </c>
      <c r="B116" s="46" t="n">
        <v>111</v>
      </c>
      <c r="C11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6" s="46"/>
      <c r="E116" s="45" t="str">
        <f aca="false">IF(Tasks[[#This Row],[Task Name]]="","",IF(Tasks[[#This Row],[_Level]]&lt;=OutlineShowLevel,"Yes","No"))</f>
        <v/>
      </c>
      <c r="F116" s="47"/>
      <c r="G116" s="46"/>
      <c r="H116" s="46"/>
      <c r="I116" s="46"/>
      <c r="J116" s="46"/>
      <c r="K116" s="46"/>
      <c r="L116" s="46"/>
      <c r="M116" s="46"/>
      <c r="N116" s="46"/>
      <c r="O116" s="46"/>
      <c r="P116" s="46"/>
      <c r="Q116" s="46"/>
      <c r="R116" s="46"/>
      <c r="S116" s="46"/>
      <c r="T116" s="46"/>
      <c r="U116" s="47"/>
      <c r="V116" s="88"/>
      <c r="W116" s="88"/>
      <c r="X116" s="25" t="str">
        <f aca="false">IF(Tasks[[#This Row],[Task Name]]="","",IF(N(Tasks[[#This Row],[Baseline Start]])&gt;0,Tasks[[#This Row],[Baseline Start]],Tasks[[#This Row],[_CalcStart]]))</f>
        <v/>
      </c>
      <c r="Y116" s="25" t="str">
        <f aca="false">IF(Tasks[[#This Row],[Task Name]]="","",IF(N(Tasks[[#This Row],[Baseline Finish]])&gt;0,Tasks[[#This Row],[Baseline Finish]],Tasks[[#This Row],[_CalcFinish]]))</f>
        <v/>
      </c>
      <c r="Z116" s="88"/>
      <c r="AA116" s="88"/>
      <c r="AB116" s="25" t="str">
        <f aca="false">IF(Tasks[[#This Row],[Task Name]]="","",IF(Tasks[[#This Row],[_IsSummary]],MIN(INDEX(Tasks[_ShownFcstStart],Tasks[[#This Row],[_Row]]+1):INDEX(Tasks[_ShownFcstStart],Tasks[[#This Row],[_Row]]+Tasks[[#This Row],[_Descendants]])),Tasks[[#This Row],[_ShownFcstStart]]))</f>
        <v/>
      </c>
      <c r="AC116" s="25" t="str">
        <f aca="false">IF(Tasks[[#This Row],[Task Name]]="","",IF(Tasks[[#This Row],[_IsSummary]],MAX(INDEX(Tasks[_ShownFcstFinish],Tasks[[#This Row],[_Row]]+1):INDEX(Tasks[_ShownFcstFinish],Tasks[[#This Row],[_Row]]+Tasks[[#This Row],[_Descendants]])),Tasks[[#This Row],[_ShownFcstFinish]]))</f>
        <v/>
      </c>
      <c r="AD11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6" s="25" t="str">
        <f aca="false">IF(Tasks[[#This Row],[Task Name]]="","",IF(Tasks[[#This Row],[_IsSummary]],MIN(INDEX(Tasks[_LeafLateStart],Tasks[[#This Row],[_Row]]+1):INDEX(Tasks[_LeafLateStart],Tasks[[#This Row],[_Row]]+Tasks[[#This Row],[_Descendants]])),Tasks[[#This Row],[_LeafLateStart]]))</f>
        <v/>
      </c>
      <c r="AG116" s="25" t="str">
        <f aca="false">IF(Tasks[[#This Row],[Task Name]]="","",IF(Tasks[[#This Row],[_IsSummary]],MAX(INDEX(Tasks[_LeafLateFinish],Tasks[[#This Row],[_Row]]+1):INDEX(Tasks[_LeafLateFinish],Tasks[[#This Row],[_Row]]+Tasks[[#This Row],[_Descendants]])),Tasks[[#This Row],[_LeafLateFinish]]))</f>
        <v/>
      </c>
      <c r="AH116" s="56" t="str">
        <f aca="false">IF(Tasks[[#This Row],[Task Name]]="","",IF(Tasks[[#This Row],[_IsSummary]],MIN(INDEX(Tasks[_LeafTotalSlack],Tasks[[#This Row],[_Row]]+1):INDEX(Tasks[_LeafTotalSlack],Tasks[[#This Row],[_Row]]+Tasks[[#This Row],[_Descendants]])),Tasks[[#This Row],[_LeafTotalSlack]]))</f>
        <v/>
      </c>
      <c r="AI11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6" s="45" t="str">
        <f aca="false">IF(Tasks[[#This Row],[Task Name]]="","",IF(IF(Tasks[[#This Row],[_IsSummary]],COUNTIF(INDEX(Tasks[_LeafCritical],Tasks[[#This Row],[_Row]]+1):INDEX(Tasks[_LeafCritical],Tasks[[#This Row],[_Row]]+Tasks[[#This Row],[_Descendants]]),TRUE())&gt;0,Tasks[[#This Row],[_LeafCritical]]),"Yes",""))</f>
        <v/>
      </c>
      <c r="AK11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6" s="102"/>
      <c r="AN11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6" s="45" t="str">
        <f aca="false">IF(Tasks[[#This Row],[Task Name]]="","",IF(Tasks[[#This Row],[Progress]]&gt;=1,"Complete",IF(OR(N(Tasks[[#This Row],[Actual Start]])&gt;0,Tasks[[#This Row],[Progress]]&gt;0),IF(Tasks[[#This Row],[Finish Var]]&gt;0,"Behind","In Progress"),IF(Tasks[[#This Row],[Planned Start]]&lt;StatusDate,"Late Start","Not Started"))))</f>
        <v/>
      </c>
      <c r="AP116" s="47"/>
      <c r="AQ116" s="102"/>
      <c r="AR11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6" s="110" t="str">
        <f aca="false">IF(Tasks[[#This Row],[Task Name]]="","",IF(Tasks[[#This Row],[_IsSummary]],SUM(INDEX(Tasks[_LeafTotalWork],Tasks[[#This Row],[_Row]]+1):INDEX(Tasks[_LeafTotalWork],Tasks[[#This Row],[_Row]]+Tasks[[#This Row],[_Descendants]])),Tasks[[#This Row],[_LeafTotalWork]]))</f>
        <v/>
      </c>
      <c r="AU116" s="111" t="str">
        <f aca="false">IF(Tasks[[#This Row],[Task Name]]="","",IF(Tasks[[#This Row],[_IsSummary]],SUM(INDEX(Tasks[_LeafTotalCost],Tasks[[#This Row],[_Row]]+1):INDEX(Tasks[_LeafTotalCost],Tasks[[#This Row],[_Row]]+Tasks[[#This Row],[_Descendants]])),Tasks[[#This Row],[_LeafTotalCost]]))</f>
        <v/>
      </c>
      <c r="AV116" s="112"/>
      <c r="AW116" s="46"/>
      <c r="AX11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6" s="96"/>
      <c r="AZ11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6" s="47"/>
      <c r="BB116" s="25" t="str">
        <f aca="false">IF(Tasks[[#This Row],[Task Name]]="","",Tasks[[#This Row],[Forecast Start]])</f>
        <v/>
      </c>
      <c r="BC116" s="25" t="str">
        <f aca="false">IF(Tasks[[#This Row],[Task Name]]="","",Tasks[[#This Row],[Forecast Finish]])</f>
        <v/>
      </c>
      <c r="BD116" s="45" t="str">
        <f aca="false">IF(Tasks[[#This Row],[Task Name]]="","",IF(Tasks[[#This Row],[_IsSummary]],NETWORKDAYS.INTL(Tasks[[#This Row],[Forecast Start]],Tasks[[#This Row],[Forecast Finish]],WorkWeek,Holidays),N(Tasks[[#This Row],[Duration]])))</f>
        <v/>
      </c>
      <c r="BE116" s="110" t="str">
        <f aca="false">IF(Tasks[[#This Row],[Task Name]]="","",Tasks[[#This Row],[Work]])</f>
        <v/>
      </c>
      <c r="BF116" s="111" t="str">
        <f aca="false">IF(Tasks[[#This Row],[Task Name]]="","",Tasks[[#This Row],[Cost]])</f>
        <v/>
      </c>
      <c r="BG116" s="88"/>
      <c r="BH116" s="88"/>
      <c r="BI116" s="46"/>
      <c r="BJ116" s="113"/>
      <c r="BK116" s="112"/>
      <c r="BL116" s="45" t="str">
        <f aca="false">IF(OR(Tasks[[#This Row],[Task Name]]="",Tasks[[#This Row],[Baseline Duration]]=""),"",Tasks[[#This Row],[BL Source Duration]]-N(Tasks[[#This Row],[Baseline Duration]]))</f>
        <v/>
      </c>
      <c r="BM116" s="110" t="str">
        <f aca="false">IF(OR(Tasks[[#This Row],[Task Name]]="",Tasks[[#This Row],[Baseline Work]]=""),"",Tasks[[#This Row],[Work]]-N(Tasks[[#This Row],[Baseline Work]]))</f>
        <v/>
      </c>
      <c r="BN116" s="111" t="str">
        <f aca="false">IF(OR(Tasks[[#This Row],[Task Name]]="",Tasks[[#This Row],[Baseline Cost]]=""),"",Tasks[[#This Row],[Cost]]-N(Tasks[[#This Row],[Baseline Cost]]))</f>
        <v/>
      </c>
      <c r="BO116" s="111" t="str">
        <f aca="false">IF(Tasks[[#This Row],[Task Name]]="","",IF(Tasks[[#This Row],[_IsSummary]],SUM(INDEX(Tasks[_LeafBudget],Tasks[[#This Row],[_Row]]+1):INDEX(Tasks[_LeafBudget],Tasks[[#This Row],[_Row]]+Tasks[[#This Row],[_Descendants]])),Tasks[[#This Row],[_LeafBudget]]))</f>
        <v/>
      </c>
      <c r="BP116" s="111" t="str">
        <f aca="false">IF(Tasks[[#This Row],[Task Name]]="","",IF(Tasks[[#This Row],[_IsSummary]],SUM(INDEX(Tasks[_LeafPV],Tasks[[#This Row],[_Row]]+1):INDEX(Tasks[_LeafPV],Tasks[[#This Row],[_Row]]+Tasks[[#This Row],[_Descendants]])),Tasks[[#This Row],[_LeafPV]]))</f>
        <v/>
      </c>
      <c r="BQ116" s="111" t="str">
        <f aca="false">IF(Tasks[[#This Row],[Task Name]]="","",IF(Tasks[[#This Row],[_IsSummary]],SUM(INDEX(Tasks[_LeafEV],Tasks[[#This Row],[_Row]]+1):INDEX(Tasks[_LeafEV],Tasks[[#This Row],[_Row]]+Tasks[[#This Row],[_Descendants]])),Tasks[[#This Row],[_LeafEV]]))</f>
        <v/>
      </c>
      <c r="BR116" s="111" t="str">
        <f aca="false">IF(Tasks[[#This Row],[Task Name]]="","",IF(Tasks[[#This Row],[_IsSummary]],SUM(INDEX(Tasks[_LeafAC],Tasks[[#This Row],[_Row]]+1):INDEX(Tasks[_LeafAC],Tasks[[#This Row],[_Row]]+Tasks[[#This Row],[_Descendants]])),Tasks[[#This Row],[_LeafAC]]))</f>
        <v/>
      </c>
      <c r="BS116" s="32" t="str">
        <f aca="false">IF(Tasks[[#This Row],[Task Name]]="","",MAX(1,N(Tasks[[#This Row],[Level]])))</f>
        <v/>
      </c>
      <c r="BT116" s="32" t="n">
        <f aca="false">ROW()-ROW(Tasks[[#Headers],[ID]])</f>
        <v>111</v>
      </c>
      <c r="BU116" s="32" t="n">
        <f aca="false">IF(OR(Tasks[[#This Row],[Task Name]]="",Tasks[[#This Row],[_Level]]&lt;=1),0,IFERROR(LOOKUP(2,1/(Tasks[[#Headers],[_Level]]:Tasks[[#This Row],[_Level]]=Tasks[[#This Row],[_Level]]-1),ROW(Tasks[[#Headers],[_Level]]:Tasks[[#This Row],[_Level]])),0))</f>
        <v>0</v>
      </c>
      <c r="BV116" s="32" t="n">
        <f aca="false">IFERROR(N(INDEX(Tasks[_Level],Tasks[[#This Row],[_Row]]+1)),0)</f>
        <v>0</v>
      </c>
      <c r="BW116" s="114" t="b">
        <f aca="false">AND(Tasks[[#This Row],[Task Name]]&lt;&gt;"",Tasks[[#This Row],[_NextLevel]]&gt;Tasks[[#This Row],[_Level]])</f>
        <v>0</v>
      </c>
      <c r="BX116" s="32" t="n">
        <f aca="false">IF(Tasks[[#This Row],[_IsSummary]],COUNTIF(Tasks[WBS],Tasks[[#This Row],[WBS]]&amp;".*"),0)</f>
        <v>0</v>
      </c>
      <c r="BY116" s="32" t="n">
        <f aca="false">IF(AND(Tasks[[#This Row],[Task Name]]&lt;&gt;"",NOT(Tasks[[#This Row],[_IsSummary]])),1,0)</f>
        <v>0</v>
      </c>
      <c r="BZ116" s="32" t="n">
        <f aca="false">IF(N(Tasks[[#This Row],[Pred1 UID]])=0,0,IFERROR(MATCH(Tasks[[#This Row],[Pred1 UID]],Tasks[UID],0),-1))</f>
        <v>0</v>
      </c>
      <c r="CA116" s="32" t="n">
        <f aca="false">IF(N(Tasks[[#This Row],[Pred2 UID]])=0,0,IFERROR(MATCH(Tasks[[#This Row],[Pred2 UID]],Tasks[UID],0),-1))</f>
        <v>0</v>
      </c>
      <c r="CB116" s="32" t="n">
        <f aca="false">IF(N(Tasks[[#This Row],[Pred3 UID]])=0,0,IFERROR(MATCH(Tasks[[#This Row],[Pred3 UID]],Tasks[UID],0),-1))</f>
        <v>0</v>
      </c>
      <c r="CC116" s="32" t="n">
        <f aca="false">IF(N(Tasks[[#This Row],[Pred4 UID]])=0,0,IFERROR(MATCH(Tasks[[#This Row],[Pred4 UID]],Tasks[UID],0),-1))</f>
        <v>0</v>
      </c>
      <c r="CD11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6" s="115" t="n">
        <f aca="false">IF(OR(Tasks[[#This Row],[_ConstraintCode]]=2,Tasks[[#This Row],[_ConstraintCode]]=3,Tasks[[#This Row],[_ConstraintCode]]=4,Tasks[[#This Row],[_ConstraintCode]]=6),Tasks[[#This Row],[_ConstraintStart]],0)</f>
        <v>0</v>
      </c>
      <c r="CG116" s="115" t="n">
        <f aca="false">IF(OR(Tasks[[#This Row],[_ConstraintCode]]=2,Tasks[[#This Row],[_ConstraintCode]]=3,Tasks[[#This Row],[_ConstraintCode]]=5,Tasks[[#This Row],[_ConstraintCode]]=7),Tasks[[#This Row],[_ConstraintStart]],2958465)</f>
        <v>2958465</v>
      </c>
      <c r="CH11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6" s="115" t="str">
        <f aca="false">IF(NOT(Tasks[[#This Row],[_IsLeaf]]=1),"",IF(N(Tasks[[#This Row],[Duration]])&lt;=0,Tasks[[#This Row],[_LeafCalcStart]],WORKDAY.INTL(Tasks[[#This Row],[_LeafCalcStart]],Tasks[[#This Row],[Duration]]-1,WorkWeek,Holidays)))</f>
        <v/>
      </c>
      <c r="CJ11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6" s="32" t="n">
        <f aca="false">IF(NOT(Tasks[[#This Row],[_IsLeaf]]=1),0,IF(N(Tasks[[#This Row],[Actual Finish]])&gt;0,1,MIN(1,N(Tasks[[#This Row],[% Complete]]))))</f>
        <v>0</v>
      </c>
      <c r="CM116" s="32" t="n">
        <f aca="false">IF(OR(NOT(Tasks[[#This Row],[_IsLeaf]]=1),Tasks[[#This Row],[Resource]]=""),0,N(Tasks[[#This Row],[Duration]])*HoursPerDay*IF(Tasks[[#This Row],[Units]]="",DefaultUnits,Tasks[[#This Row],[Units]]))</f>
        <v>0</v>
      </c>
      <c r="CN116" s="32" t="n">
        <f aca="false">IF(Tasks[[#This Row],[_LeafWork]]=0,0,Tasks[[#This Row],[_LeafWork]]*IFERROR(INDEX(res_Rate,MATCH(Tasks[[#This Row],[Resource]],res_Name,0)),0))</f>
        <v>0</v>
      </c>
      <c r="CO116" s="32" t="n">
        <f aca="false">Tasks[[#This Row],[_LeafWork]]+IF(Tasks[[#This Row],[_IsLeaf]]=1,SUMIFS(asg_Work,asg_TaskUID,Tasks[[#This Row],[UID]],asg_Valid,1),0)</f>
        <v>0</v>
      </c>
      <c r="CP116" s="32" t="n">
        <f aca="false">Tasks[[#This Row],[_LeafCost]]+IF(Tasks[[#This Row],[_IsLeaf]]=1,SUMIFS(asg_Cost,asg_TaskUID,Tasks[[#This Row],[UID]],asg_Valid,1),0)</f>
        <v>0</v>
      </c>
      <c r="CQ116" s="32" t="n">
        <f aca="false">IF(Tasks[[#This Row],[_LeafTotalCost]]=0,Tasks[[#This Row],[_LeafAC]],Tasks[[#This Row],[_LeafAC]]*Tasks[[#This Row],[_LeafCost]]/Tasks[[#This Row],[_LeafTotalCost]])</f>
        <v>0</v>
      </c>
      <c r="CR11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6" s="32" t="n">
        <f aca="false">IF(NOT(Tasks[[#This Row],[_IsLeaf]]=1),0,MAX(_xlfn.MAXIFS(Tasks[_Row],Tasks[Pred1 UID],Tasks[[#This Row],[UID]]),_xlfn.MAXIFS(Tasks[_Row],Tasks[Pred2 UID],Tasks[[#This Row],[UID]]),_xlfn.MAXIFS(Tasks[_Row],Tasks[Pred3 UID],Tasks[[#This Row],[UID]]),_xlfn.MAXIFS(Tasks[_Row],Tasks[Pred4 UID],Tasks[[#This Row],[UID]])))</f>
        <v>0</v>
      </c>
      <c r="DA11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6" s="115" t="str">
        <f aca="false">IF(NOT(Tasks[[#This Row],[_IsLeaf]]=1),"",IF(N(Tasks[[#This Row],[Duration]])&lt;=0,Tasks[[#This Row],[_LeafLateFinish]],WORKDAY.INTL(Tasks[[#This Row],[_LeafLateFinish]],-(Tasks[[#This Row],[Duration]]-1),WorkWeek,Holidays)))</f>
        <v/>
      </c>
      <c r="DD11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6" s="114" t="b">
        <f aca="false">AND(Tasks[[#This Row],[_IsLeaf]]=1,Tasks[[#This Row],[_LeafProgress]]&lt;1,N(Tasks[[#This Row],[_LeafTotalSlack]])&lt;=CriticalSlackDays)</f>
        <v>0</v>
      </c>
      <c r="DF116" s="32" t="n">
        <f aca="false">IF(AND(Tasks[[#This Row],[_IsLeaf]]=1,Tasks[[#This Row],[_ConstraintCode]]=1,Tasks[[#This Row],[Mode]]&lt;&gt;"Manual",N(Tasks[[#This Row],[Actual Start]])=0),MAX(0,N(Tasks[[#This Row],[Free Slack]])),0)</f>
        <v>0</v>
      </c>
      <c r="DG116" s="115" t="str">
        <f aca="false">IF(NOT(Tasks[[#This Row],[_IsLeaf]]=1),"",IF(Tasks[[#This Row],[_AlapShift]]=0,Tasks[[#This Row],[_LeafCalcStart]],WORKDAY.INTL(Tasks[[#This Row],[_LeafCalcStart]],Tasks[[#This Row],[_AlapShift]],WorkWeek,Holidays)))</f>
        <v/>
      </c>
      <c r="DH116" s="115" t="str">
        <f aca="false">IF(NOT(Tasks[[#This Row],[_IsLeaf]]=1),"",IF(Tasks[[#This Row],[_AlapShift]]=0,Tasks[[#This Row],[_LeafCalcFinish]],WORKDAY.INTL(Tasks[[#This Row],[_LeafCalcFinish]],Tasks[[#This Row],[_AlapShift]],WorkWeek,Holidays)))</f>
        <v/>
      </c>
      <c r="DI116" s="115" t="str">
        <f aca="false">IF(NOT(Tasks[[#This Row],[_IsLeaf]]=1),"",IF(Tasks[[#This Row],[_AlapShift]]=0,Tasks[[#This Row],[_LeafFcstStart]],WORKDAY.INTL(Tasks[[#This Row],[_LeafFcstStart]],Tasks[[#This Row],[_AlapShift]],WorkWeek,Holidays)))</f>
        <v/>
      </c>
      <c r="DJ116" s="115" t="str">
        <f aca="false">IF(NOT(Tasks[[#This Row],[_IsLeaf]]=1),"",IF(Tasks[[#This Row],[_AlapShift]]=0,Tasks[[#This Row],[_LeafFcstFinish]],WORKDAY.INTL(Tasks[[#This Row],[_LeafFcstFinish]],Tasks[[#This Row],[_AlapShift]],WorkWeek,Holidays)))</f>
        <v/>
      </c>
      <c r="DK116" s="115" t="str">
        <f aca="false">IF(Tasks[[#This Row],[Task Name]]="","",IF(Tasks[[#This Row],[_IsSummary]],MIN(INDEX(Tasks[_ShownCalcStart],Tasks[[#This Row],[_Row]]+1):INDEX(Tasks[_ShownCalcStart],Tasks[[#This Row],[_Row]]+Tasks[[#This Row],[_Descendants]])),Tasks[[#This Row],[_ShownCalcStart]]))</f>
        <v/>
      </c>
      <c r="DL116" s="115" t="str">
        <f aca="false">IF(Tasks[[#This Row],[Task Name]]="","",IF(Tasks[[#This Row],[_IsSummary]],MAX(INDEX(Tasks[_ShownCalcFinish],Tasks[[#This Row],[_Row]]+1):INDEX(Tasks[_ShownCalcFinish],Tasks[[#This Row],[_Row]]+Tasks[[#This Row],[_Descendants]])),Tasks[[#This Row],[_ShownCalcFinish]]))</f>
        <v/>
      </c>
      <c r="DM11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6" s="32" t="n">
        <f aca="false">IF(AND(Tasks[[#This Row],[_IsLeaf]]=1,Tasks[[#This Row],[_LeafTotalWork]]&gt;0),NETWORKDAYS.INTL(ProjectStart,Tasks[[#This Row],[_ShownFcstStart]],WorkWeek,Holidays),0)</f>
        <v>0</v>
      </c>
      <c r="DZ116" s="32" t="n">
        <f aca="false">IF(AND(Tasks[[#This Row],[_IsLeaf]]=1,Tasks[[#This Row],[_LeafTotalWork]]&gt;0),MAX(Tasks[[#This Row],[_StartWorkday]],NETWORKDAYS.INTL(ProjectStart,Tasks[[#This Row],[_ShownFcstFinish]],WorkWeek,Holidays)),0)</f>
        <v>0</v>
      </c>
      <c r="EA116" s="32" t="n">
        <f aca="false">IF(AND(Tasks[[#This Row],[_IsLeaf]]=1,Tasks[[#This Row],[_LeafTotalWork]]&gt;0),Tasks[[#This Row],[_LeafWork]]/(Tasks[[#This Row],[_FinishWorkday]]-Tasks[[#This Row],[_StartWorkday]]+1),0)</f>
        <v>0</v>
      </c>
      <c r="EB116" s="32" t="n">
        <f aca="false">Tasks[[#This Row],[_WorkPerWorkday]]*(Tasks[[#This Row],[_StartWorkday]]-1)</f>
        <v>-0</v>
      </c>
      <c r="EC116" s="32" t="n">
        <f aca="false">IF(Tasks[[#This Row],[_IsLeaf]]=1,MAX(N(Tasks[[#This Row],[Duration]]),0.1),0)</f>
        <v>0</v>
      </c>
      <c r="ED116" s="32" t="n">
        <f aca="false">Tasks[[#This Row],[_WeightDur]]*Tasks[[#This Row],[_LeafProgress]]</f>
        <v>0</v>
      </c>
      <c r="EE11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6" s="32" t="str">
        <f aca="false">IF(AND(Tasks[[#This Row],[_IsLeaf]]=1,N(Tasks[[#This Row],[Duration]])=0,Tasks[[#This Row],[_LeafProgress]]&lt;1),Tasks[[#This Row],[_ShownFcstFinish]]+Tasks[[#This Row],[_Row]]/100000,"")</f>
        <v/>
      </c>
      <c r="EG11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6" s="32" t="n">
        <f aca="false">IF(NOT(Tasks[[#This Row],[_IsLeaf]]=1),0,IF(Tasks[[#This Row],[Baseline Cost]]="",Tasks[[#This Row],[_LeafTotalCost]],N(Tasks[[#This Row],[Baseline Cost]])))</f>
        <v>0</v>
      </c>
      <c r="EI116" s="32" t="n">
        <f aca="false">Tasks[[#This Row],[_LeafBudget]]*Tasks[[#This Row],[_PlannedPct]]</f>
        <v>0</v>
      </c>
      <c r="EJ116" s="32" t="n">
        <f aca="false">Tasks[[#This Row],[_LeafBudget]]*Tasks[[#This Row],[_LeafProgress]]</f>
        <v>0</v>
      </c>
      <c r="EK116" s="32" t="n">
        <f aca="false">IF(NOT(Tasks[[#This Row],[_IsLeaf]]=1),0,IF(Tasks[[#This Row],[Actual Cost]]="",Tasks[[#This Row],[_LeafTotalCost]]*Tasks[[#This Row],[_LeafProgress]],N(Tasks[[#This Row],[Actual Cost]])))</f>
        <v>0</v>
      </c>
      <c r="EL116" s="32" t="str">
        <f aca="false">IF(Tasks[[#This Row],[Task Name]]="","",LEFT(Tasks[[#This Row],[WBS]],FIND(".",Tasks[[#This Row],[WBS]]&amp;".")-1))</f>
        <v/>
      </c>
      <c r="EM116" s="32" t="str">
        <f aca="false">IF(AND(Tasks[[#This Row],[Task Name]]&lt;&gt;"",Tasks[[#This Row],[_Level]]=1),Tasks[[#This Row],[_Row]],"")</f>
        <v/>
      </c>
      <c r="EN116" s="32" t="str">
        <f aca="false">IF(AND(Tasks[[#This Row],[_IsLeaf]]=1,N(Tasks[[#This Row],[Duration]])=0),Tasks[[#This Row],[Planned Finish]]+Tasks[[#This Row],[_Row]]/100000,"")</f>
        <v/>
      </c>
      <c r="EO116" s="32" t="str">
        <f aca="false">IF(AND(Tasks[[#This Row],[_IsLeaf]]=1,Tasks[[#This Row],[_LeafProgress]]&lt;1,OR(N(Tasks[[#This Row],[Finish Var]])&gt;0,Tasks[[#This Row],[Status]]="Late Start")),MAX(0,Tasks[[#This Row],[Finish Var]])+1-Tasks[[#This Row],[_Row]]/1000000,"")</f>
        <v/>
      </c>
      <c r="EP116" s="32" t="str">
        <f aca="false">IF(AND(Tasks[[#This Row],[_IsLeaf]]=1,N(Tasks[[#This Row],[Actual Start]])=0,Tasks[[#This Row],[_ShownFcstStart]]&gt;=StatusDate,Tasks[[#This Row],[_ShownFcstStart]]&lt;=LookaheadEnd),Tasks[[#This Row],[_ShownFcstStart]]+Tasks[[#This Row],[_Row]]/100000,"")</f>
        <v/>
      </c>
      <c r="EQ116" s="32" t="str">
        <f aca="false">IF(AND(Tasks[[#This Row],[_IsLeaf]]=1,Tasks[[#This Row],[_LeafProgress]]&lt;1,Tasks[[#This Row],[_ShownFcstFinish]]&gt;=StatusDate,Tasks[[#This Row],[_ShownFcstFinish]]&lt;=LookaheadEnd),Tasks[[#This Row],[_ShownFcstFinish]]+Tasks[[#This Row],[_Row]]/100000,"")</f>
        <v/>
      </c>
      <c r="ER116" s="32" t="str">
        <f aca="false">IF(Tasks[[#This Row],[_LeafCritical]],Tasks[[#This Row],[_ShownFcstStart]]+Tasks[[#This Row],[_Row]]/100000,"")</f>
        <v/>
      </c>
      <c r="ES116" s="32" t="n">
        <f aca="false">Tasks[[#This Row],[_LeafWork]]*Tasks[[#This Row],[_LeafProgress]]</f>
        <v>0</v>
      </c>
      <c r="ET116" s="115" t="str">
        <f aca="false">IF(AND(Tasks[[#This Row],[_IsLeaf]]=1,Tasks[[#This Row],[_LeafProgress]]&gt;=1),IF(N(Tasks[[#This Row],[Actual Finish]])&gt;0,Tasks[[#This Row],[Actual Finish]],Tasks[[#This Row],[_ShownFcstFinish]]),"")</f>
        <v/>
      </c>
      <c r="EU116" s="32" t="n">
        <f aca="false">IF(Tasks[[#This Row],[_IsLeaf]]=1,N(Tasks[[#This Row],[Story Points]]),0)</f>
        <v>0</v>
      </c>
      <c r="EV116" s="32" t="str">
        <f aca="false">IF(AND(Tasks[[#This Row],[_IsLeaf]]=1,CurrentSprint&lt;&gt;"",Tasks[[#This Row],[Sprint]]=CurrentSprint),Tasks[[#This Row],[_Row]],"")</f>
        <v/>
      </c>
    </row>
    <row r="117" customFormat="false" ht="15" hidden="false" customHeight="false" outlineLevel="0" collapsed="false">
      <c r="A117" s="45" t="str">
        <f aca="false">IF(Tasks[[#This Row],[Task Name]]="","",COUNTA(Tasks[[#Headers],[Task Name]]:Tasks[[#This Row],[Task Name]])-1)</f>
        <v/>
      </c>
      <c r="B117" s="46" t="n">
        <v>112</v>
      </c>
      <c r="C11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7" s="46"/>
      <c r="E117" s="45" t="str">
        <f aca="false">IF(Tasks[[#This Row],[Task Name]]="","",IF(Tasks[[#This Row],[_Level]]&lt;=OutlineShowLevel,"Yes","No"))</f>
        <v/>
      </c>
      <c r="F117" s="47"/>
      <c r="G117" s="46"/>
      <c r="H117" s="46"/>
      <c r="I117" s="46"/>
      <c r="J117" s="46"/>
      <c r="K117" s="46"/>
      <c r="L117" s="46"/>
      <c r="M117" s="46"/>
      <c r="N117" s="46"/>
      <c r="O117" s="46"/>
      <c r="P117" s="46"/>
      <c r="Q117" s="46"/>
      <c r="R117" s="46"/>
      <c r="S117" s="46"/>
      <c r="T117" s="46"/>
      <c r="U117" s="47"/>
      <c r="V117" s="88"/>
      <c r="W117" s="88"/>
      <c r="X117" s="25" t="str">
        <f aca="false">IF(Tasks[[#This Row],[Task Name]]="","",IF(N(Tasks[[#This Row],[Baseline Start]])&gt;0,Tasks[[#This Row],[Baseline Start]],Tasks[[#This Row],[_CalcStart]]))</f>
        <v/>
      </c>
      <c r="Y117" s="25" t="str">
        <f aca="false">IF(Tasks[[#This Row],[Task Name]]="","",IF(N(Tasks[[#This Row],[Baseline Finish]])&gt;0,Tasks[[#This Row],[Baseline Finish]],Tasks[[#This Row],[_CalcFinish]]))</f>
        <v/>
      </c>
      <c r="Z117" s="88"/>
      <c r="AA117" s="88"/>
      <c r="AB117" s="25" t="str">
        <f aca="false">IF(Tasks[[#This Row],[Task Name]]="","",IF(Tasks[[#This Row],[_IsSummary]],MIN(INDEX(Tasks[_ShownFcstStart],Tasks[[#This Row],[_Row]]+1):INDEX(Tasks[_ShownFcstStart],Tasks[[#This Row],[_Row]]+Tasks[[#This Row],[_Descendants]])),Tasks[[#This Row],[_ShownFcstStart]]))</f>
        <v/>
      </c>
      <c r="AC117" s="25" t="str">
        <f aca="false">IF(Tasks[[#This Row],[Task Name]]="","",IF(Tasks[[#This Row],[_IsSummary]],MAX(INDEX(Tasks[_ShownFcstFinish],Tasks[[#This Row],[_Row]]+1):INDEX(Tasks[_ShownFcstFinish],Tasks[[#This Row],[_Row]]+Tasks[[#This Row],[_Descendants]])),Tasks[[#This Row],[_ShownFcstFinish]]))</f>
        <v/>
      </c>
      <c r="AD11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7" s="25" t="str">
        <f aca="false">IF(Tasks[[#This Row],[Task Name]]="","",IF(Tasks[[#This Row],[_IsSummary]],MIN(INDEX(Tasks[_LeafLateStart],Tasks[[#This Row],[_Row]]+1):INDEX(Tasks[_LeafLateStart],Tasks[[#This Row],[_Row]]+Tasks[[#This Row],[_Descendants]])),Tasks[[#This Row],[_LeafLateStart]]))</f>
        <v/>
      </c>
      <c r="AG117" s="25" t="str">
        <f aca="false">IF(Tasks[[#This Row],[Task Name]]="","",IF(Tasks[[#This Row],[_IsSummary]],MAX(INDEX(Tasks[_LeafLateFinish],Tasks[[#This Row],[_Row]]+1):INDEX(Tasks[_LeafLateFinish],Tasks[[#This Row],[_Row]]+Tasks[[#This Row],[_Descendants]])),Tasks[[#This Row],[_LeafLateFinish]]))</f>
        <v/>
      </c>
      <c r="AH117" s="56" t="str">
        <f aca="false">IF(Tasks[[#This Row],[Task Name]]="","",IF(Tasks[[#This Row],[_IsSummary]],MIN(INDEX(Tasks[_LeafTotalSlack],Tasks[[#This Row],[_Row]]+1):INDEX(Tasks[_LeafTotalSlack],Tasks[[#This Row],[_Row]]+Tasks[[#This Row],[_Descendants]])),Tasks[[#This Row],[_LeafTotalSlack]]))</f>
        <v/>
      </c>
      <c r="AI11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7" s="45" t="str">
        <f aca="false">IF(Tasks[[#This Row],[Task Name]]="","",IF(IF(Tasks[[#This Row],[_IsSummary]],COUNTIF(INDEX(Tasks[_LeafCritical],Tasks[[#This Row],[_Row]]+1):INDEX(Tasks[_LeafCritical],Tasks[[#This Row],[_Row]]+Tasks[[#This Row],[_Descendants]]),TRUE())&gt;0,Tasks[[#This Row],[_LeafCritical]]),"Yes",""))</f>
        <v/>
      </c>
      <c r="AK11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7" s="102"/>
      <c r="AN11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7" s="45" t="str">
        <f aca="false">IF(Tasks[[#This Row],[Task Name]]="","",IF(Tasks[[#This Row],[Progress]]&gt;=1,"Complete",IF(OR(N(Tasks[[#This Row],[Actual Start]])&gt;0,Tasks[[#This Row],[Progress]]&gt;0),IF(Tasks[[#This Row],[Finish Var]]&gt;0,"Behind","In Progress"),IF(Tasks[[#This Row],[Planned Start]]&lt;StatusDate,"Late Start","Not Started"))))</f>
        <v/>
      </c>
      <c r="AP117" s="47"/>
      <c r="AQ117" s="102"/>
      <c r="AR11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7" s="110" t="str">
        <f aca="false">IF(Tasks[[#This Row],[Task Name]]="","",IF(Tasks[[#This Row],[_IsSummary]],SUM(INDEX(Tasks[_LeafTotalWork],Tasks[[#This Row],[_Row]]+1):INDEX(Tasks[_LeafTotalWork],Tasks[[#This Row],[_Row]]+Tasks[[#This Row],[_Descendants]])),Tasks[[#This Row],[_LeafTotalWork]]))</f>
        <v/>
      </c>
      <c r="AU117" s="111" t="str">
        <f aca="false">IF(Tasks[[#This Row],[Task Name]]="","",IF(Tasks[[#This Row],[_IsSummary]],SUM(INDEX(Tasks[_LeafTotalCost],Tasks[[#This Row],[_Row]]+1):INDEX(Tasks[_LeafTotalCost],Tasks[[#This Row],[_Row]]+Tasks[[#This Row],[_Descendants]])),Tasks[[#This Row],[_LeafTotalCost]]))</f>
        <v/>
      </c>
      <c r="AV117" s="112"/>
      <c r="AW117" s="46"/>
      <c r="AX11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7" s="96"/>
      <c r="AZ11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7" s="47"/>
      <c r="BB117" s="25" t="str">
        <f aca="false">IF(Tasks[[#This Row],[Task Name]]="","",Tasks[[#This Row],[Forecast Start]])</f>
        <v/>
      </c>
      <c r="BC117" s="25" t="str">
        <f aca="false">IF(Tasks[[#This Row],[Task Name]]="","",Tasks[[#This Row],[Forecast Finish]])</f>
        <v/>
      </c>
      <c r="BD117" s="45" t="str">
        <f aca="false">IF(Tasks[[#This Row],[Task Name]]="","",IF(Tasks[[#This Row],[_IsSummary]],NETWORKDAYS.INTL(Tasks[[#This Row],[Forecast Start]],Tasks[[#This Row],[Forecast Finish]],WorkWeek,Holidays),N(Tasks[[#This Row],[Duration]])))</f>
        <v/>
      </c>
      <c r="BE117" s="110" t="str">
        <f aca="false">IF(Tasks[[#This Row],[Task Name]]="","",Tasks[[#This Row],[Work]])</f>
        <v/>
      </c>
      <c r="BF117" s="111" t="str">
        <f aca="false">IF(Tasks[[#This Row],[Task Name]]="","",Tasks[[#This Row],[Cost]])</f>
        <v/>
      </c>
      <c r="BG117" s="88"/>
      <c r="BH117" s="88"/>
      <c r="BI117" s="46"/>
      <c r="BJ117" s="113"/>
      <c r="BK117" s="112"/>
      <c r="BL117" s="45" t="str">
        <f aca="false">IF(OR(Tasks[[#This Row],[Task Name]]="",Tasks[[#This Row],[Baseline Duration]]=""),"",Tasks[[#This Row],[BL Source Duration]]-N(Tasks[[#This Row],[Baseline Duration]]))</f>
        <v/>
      </c>
      <c r="BM117" s="110" t="str">
        <f aca="false">IF(OR(Tasks[[#This Row],[Task Name]]="",Tasks[[#This Row],[Baseline Work]]=""),"",Tasks[[#This Row],[Work]]-N(Tasks[[#This Row],[Baseline Work]]))</f>
        <v/>
      </c>
      <c r="BN117" s="111" t="str">
        <f aca="false">IF(OR(Tasks[[#This Row],[Task Name]]="",Tasks[[#This Row],[Baseline Cost]]=""),"",Tasks[[#This Row],[Cost]]-N(Tasks[[#This Row],[Baseline Cost]]))</f>
        <v/>
      </c>
      <c r="BO117" s="111" t="str">
        <f aca="false">IF(Tasks[[#This Row],[Task Name]]="","",IF(Tasks[[#This Row],[_IsSummary]],SUM(INDEX(Tasks[_LeafBudget],Tasks[[#This Row],[_Row]]+1):INDEX(Tasks[_LeafBudget],Tasks[[#This Row],[_Row]]+Tasks[[#This Row],[_Descendants]])),Tasks[[#This Row],[_LeafBudget]]))</f>
        <v/>
      </c>
      <c r="BP117" s="111" t="str">
        <f aca="false">IF(Tasks[[#This Row],[Task Name]]="","",IF(Tasks[[#This Row],[_IsSummary]],SUM(INDEX(Tasks[_LeafPV],Tasks[[#This Row],[_Row]]+1):INDEX(Tasks[_LeafPV],Tasks[[#This Row],[_Row]]+Tasks[[#This Row],[_Descendants]])),Tasks[[#This Row],[_LeafPV]]))</f>
        <v/>
      </c>
      <c r="BQ117" s="111" t="str">
        <f aca="false">IF(Tasks[[#This Row],[Task Name]]="","",IF(Tasks[[#This Row],[_IsSummary]],SUM(INDEX(Tasks[_LeafEV],Tasks[[#This Row],[_Row]]+1):INDEX(Tasks[_LeafEV],Tasks[[#This Row],[_Row]]+Tasks[[#This Row],[_Descendants]])),Tasks[[#This Row],[_LeafEV]]))</f>
        <v/>
      </c>
      <c r="BR117" s="111" t="str">
        <f aca="false">IF(Tasks[[#This Row],[Task Name]]="","",IF(Tasks[[#This Row],[_IsSummary]],SUM(INDEX(Tasks[_LeafAC],Tasks[[#This Row],[_Row]]+1):INDEX(Tasks[_LeafAC],Tasks[[#This Row],[_Row]]+Tasks[[#This Row],[_Descendants]])),Tasks[[#This Row],[_LeafAC]]))</f>
        <v/>
      </c>
      <c r="BS117" s="32" t="str">
        <f aca="false">IF(Tasks[[#This Row],[Task Name]]="","",MAX(1,N(Tasks[[#This Row],[Level]])))</f>
        <v/>
      </c>
      <c r="BT117" s="32" t="n">
        <f aca="false">ROW()-ROW(Tasks[[#Headers],[ID]])</f>
        <v>112</v>
      </c>
      <c r="BU117" s="32" t="n">
        <f aca="false">IF(OR(Tasks[[#This Row],[Task Name]]="",Tasks[[#This Row],[_Level]]&lt;=1),0,IFERROR(LOOKUP(2,1/(Tasks[[#Headers],[_Level]]:Tasks[[#This Row],[_Level]]=Tasks[[#This Row],[_Level]]-1),ROW(Tasks[[#Headers],[_Level]]:Tasks[[#This Row],[_Level]])),0))</f>
        <v>0</v>
      </c>
      <c r="BV117" s="32" t="n">
        <f aca="false">IFERROR(N(INDEX(Tasks[_Level],Tasks[[#This Row],[_Row]]+1)),0)</f>
        <v>0</v>
      </c>
      <c r="BW117" s="114" t="b">
        <f aca="false">AND(Tasks[[#This Row],[Task Name]]&lt;&gt;"",Tasks[[#This Row],[_NextLevel]]&gt;Tasks[[#This Row],[_Level]])</f>
        <v>0</v>
      </c>
      <c r="BX117" s="32" t="n">
        <f aca="false">IF(Tasks[[#This Row],[_IsSummary]],COUNTIF(Tasks[WBS],Tasks[[#This Row],[WBS]]&amp;".*"),0)</f>
        <v>0</v>
      </c>
      <c r="BY117" s="32" t="n">
        <f aca="false">IF(AND(Tasks[[#This Row],[Task Name]]&lt;&gt;"",NOT(Tasks[[#This Row],[_IsSummary]])),1,0)</f>
        <v>0</v>
      </c>
      <c r="BZ117" s="32" t="n">
        <f aca="false">IF(N(Tasks[[#This Row],[Pred1 UID]])=0,0,IFERROR(MATCH(Tasks[[#This Row],[Pred1 UID]],Tasks[UID],0),-1))</f>
        <v>0</v>
      </c>
      <c r="CA117" s="32" t="n">
        <f aca="false">IF(N(Tasks[[#This Row],[Pred2 UID]])=0,0,IFERROR(MATCH(Tasks[[#This Row],[Pred2 UID]],Tasks[UID],0),-1))</f>
        <v>0</v>
      </c>
      <c r="CB117" s="32" t="n">
        <f aca="false">IF(N(Tasks[[#This Row],[Pred3 UID]])=0,0,IFERROR(MATCH(Tasks[[#This Row],[Pred3 UID]],Tasks[UID],0),-1))</f>
        <v>0</v>
      </c>
      <c r="CC117" s="32" t="n">
        <f aca="false">IF(N(Tasks[[#This Row],[Pred4 UID]])=0,0,IFERROR(MATCH(Tasks[[#This Row],[Pred4 UID]],Tasks[UID],0),-1))</f>
        <v>0</v>
      </c>
      <c r="CD11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7" s="115" t="n">
        <f aca="false">IF(OR(Tasks[[#This Row],[_ConstraintCode]]=2,Tasks[[#This Row],[_ConstraintCode]]=3,Tasks[[#This Row],[_ConstraintCode]]=4,Tasks[[#This Row],[_ConstraintCode]]=6),Tasks[[#This Row],[_ConstraintStart]],0)</f>
        <v>0</v>
      </c>
      <c r="CG117" s="115" t="n">
        <f aca="false">IF(OR(Tasks[[#This Row],[_ConstraintCode]]=2,Tasks[[#This Row],[_ConstraintCode]]=3,Tasks[[#This Row],[_ConstraintCode]]=5,Tasks[[#This Row],[_ConstraintCode]]=7),Tasks[[#This Row],[_ConstraintStart]],2958465)</f>
        <v>2958465</v>
      </c>
      <c r="CH11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7" s="115" t="str">
        <f aca="false">IF(NOT(Tasks[[#This Row],[_IsLeaf]]=1),"",IF(N(Tasks[[#This Row],[Duration]])&lt;=0,Tasks[[#This Row],[_LeafCalcStart]],WORKDAY.INTL(Tasks[[#This Row],[_LeafCalcStart]],Tasks[[#This Row],[Duration]]-1,WorkWeek,Holidays)))</f>
        <v/>
      </c>
      <c r="CJ11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7" s="32" t="n">
        <f aca="false">IF(NOT(Tasks[[#This Row],[_IsLeaf]]=1),0,IF(N(Tasks[[#This Row],[Actual Finish]])&gt;0,1,MIN(1,N(Tasks[[#This Row],[% Complete]]))))</f>
        <v>0</v>
      </c>
      <c r="CM117" s="32" t="n">
        <f aca="false">IF(OR(NOT(Tasks[[#This Row],[_IsLeaf]]=1),Tasks[[#This Row],[Resource]]=""),0,N(Tasks[[#This Row],[Duration]])*HoursPerDay*IF(Tasks[[#This Row],[Units]]="",DefaultUnits,Tasks[[#This Row],[Units]]))</f>
        <v>0</v>
      </c>
      <c r="CN117" s="32" t="n">
        <f aca="false">IF(Tasks[[#This Row],[_LeafWork]]=0,0,Tasks[[#This Row],[_LeafWork]]*IFERROR(INDEX(res_Rate,MATCH(Tasks[[#This Row],[Resource]],res_Name,0)),0))</f>
        <v>0</v>
      </c>
      <c r="CO117" s="32" t="n">
        <f aca="false">Tasks[[#This Row],[_LeafWork]]+IF(Tasks[[#This Row],[_IsLeaf]]=1,SUMIFS(asg_Work,asg_TaskUID,Tasks[[#This Row],[UID]],asg_Valid,1),0)</f>
        <v>0</v>
      </c>
      <c r="CP117" s="32" t="n">
        <f aca="false">Tasks[[#This Row],[_LeafCost]]+IF(Tasks[[#This Row],[_IsLeaf]]=1,SUMIFS(asg_Cost,asg_TaskUID,Tasks[[#This Row],[UID]],asg_Valid,1),0)</f>
        <v>0</v>
      </c>
      <c r="CQ117" s="32" t="n">
        <f aca="false">IF(Tasks[[#This Row],[_LeafTotalCost]]=0,Tasks[[#This Row],[_LeafAC]],Tasks[[#This Row],[_LeafAC]]*Tasks[[#This Row],[_LeafCost]]/Tasks[[#This Row],[_LeafTotalCost]])</f>
        <v>0</v>
      </c>
      <c r="CR11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7" s="32" t="n">
        <f aca="false">IF(NOT(Tasks[[#This Row],[_IsLeaf]]=1),0,MAX(_xlfn.MAXIFS(Tasks[_Row],Tasks[Pred1 UID],Tasks[[#This Row],[UID]]),_xlfn.MAXIFS(Tasks[_Row],Tasks[Pred2 UID],Tasks[[#This Row],[UID]]),_xlfn.MAXIFS(Tasks[_Row],Tasks[Pred3 UID],Tasks[[#This Row],[UID]]),_xlfn.MAXIFS(Tasks[_Row],Tasks[Pred4 UID],Tasks[[#This Row],[UID]])))</f>
        <v>0</v>
      </c>
      <c r="DA11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7" s="115" t="str">
        <f aca="false">IF(NOT(Tasks[[#This Row],[_IsLeaf]]=1),"",IF(N(Tasks[[#This Row],[Duration]])&lt;=0,Tasks[[#This Row],[_LeafLateFinish]],WORKDAY.INTL(Tasks[[#This Row],[_LeafLateFinish]],-(Tasks[[#This Row],[Duration]]-1),WorkWeek,Holidays)))</f>
        <v/>
      </c>
      <c r="DD11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7" s="114" t="b">
        <f aca="false">AND(Tasks[[#This Row],[_IsLeaf]]=1,Tasks[[#This Row],[_LeafProgress]]&lt;1,N(Tasks[[#This Row],[_LeafTotalSlack]])&lt;=CriticalSlackDays)</f>
        <v>0</v>
      </c>
      <c r="DF117" s="32" t="n">
        <f aca="false">IF(AND(Tasks[[#This Row],[_IsLeaf]]=1,Tasks[[#This Row],[_ConstraintCode]]=1,Tasks[[#This Row],[Mode]]&lt;&gt;"Manual",N(Tasks[[#This Row],[Actual Start]])=0),MAX(0,N(Tasks[[#This Row],[Free Slack]])),0)</f>
        <v>0</v>
      </c>
      <c r="DG117" s="115" t="str">
        <f aca="false">IF(NOT(Tasks[[#This Row],[_IsLeaf]]=1),"",IF(Tasks[[#This Row],[_AlapShift]]=0,Tasks[[#This Row],[_LeafCalcStart]],WORKDAY.INTL(Tasks[[#This Row],[_LeafCalcStart]],Tasks[[#This Row],[_AlapShift]],WorkWeek,Holidays)))</f>
        <v/>
      </c>
      <c r="DH117" s="115" t="str">
        <f aca="false">IF(NOT(Tasks[[#This Row],[_IsLeaf]]=1),"",IF(Tasks[[#This Row],[_AlapShift]]=0,Tasks[[#This Row],[_LeafCalcFinish]],WORKDAY.INTL(Tasks[[#This Row],[_LeafCalcFinish]],Tasks[[#This Row],[_AlapShift]],WorkWeek,Holidays)))</f>
        <v/>
      </c>
      <c r="DI117" s="115" t="str">
        <f aca="false">IF(NOT(Tasks[[#This Row],[_IsLeaf]]=1),"",IF(Tasks[[#This Row],[_AlapShift]]=0,Tasks[[#This Row],[_LeafFcstStart]],WORKDAY.INTL(Tasks[[#This Row],[_LeafFcstStart]],Tasks[[#This Row],[_AlapShift]],WorkWeek,Holidays)))</f>
        <v/>
      </c>
      <c r="DJ117" s="115" t="str">
        <f aca="false">IF(NOT(Tasks[[#This Row],[_IsLeaf]]=1),"",IF(Tasks[[#This Row],[_AlapShift]]=0,Tasks[[#This Row],[_LeafFcstFinish]],WORKDAY.INTL(Tasks[[#This Row],[_LeafFcstFinish]],Tasks[[#This Row],[_AlapShift]],WorkWeek,Holidays)))</f>
        <v/>
      </c>
      <c r="DK117" s="115" t="str">
        <f aca="false">IF(Tasks[[#This Row],[Task Name]]="","",IF(Tasks[[#This Row],[_IsSummary]],MIN(INDEX(Tasks[_ShownCalcStart],Tasks[[#This Row],[_Row]]+1):INDEX(Tasks[_ShownCalcStart],Tasks[[#This Row],[_Row]]+Tasks[[#This Row],[_Descendants]])),Tasks[[#This Row],[_ShownCalcStart]]))</f>
        <v/>
      </c>
      <c r="DL117" s="115" t="str">
        <f aca="false">IF(Tasks[[#This Row],[Task Name]]="","",IF(Tasks[[#This Row],[_IsSummary]],MAX(INDEX(Tasks[_ShownCalcFinish],Tasks[[#This Row],[_Row]]+1):INDEX(Tasks[_ShownCalcFinish],Tasks[[#This Row],[_Row]]+Tasks[[#This Row],[_Descendants]])),Tasks[[#This Row],[_ShownCalcFinish]]))</f>
        <v/>
      </c>
      <c r="DM11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7" s="32" t="n">
        <f aca="false">IF(AND(Tasks[[#This Row],[_IsLeaf]]=1,Tasks[[#This Row],[_LeafTotalWork]]&gt;0),NETWORKDAYS.INTL(ProjectStart,Tasks[[#This Row],[_ShownFcstStart]],WorkWeek,Holidays),0)</f>
        <v>0</v>
      </c>
      <c r="DZ117" s="32" t="n">
        <f aca="false">IF(AND(Tasks[[#This Row],[_IsLeaf]]=1,Tasks[[#This Row],[_LeafTotalWork]]&gt;0),MAX(Tasks[[#This Row],[_StartWorkday]],NETWORKDAYS.INTL(ProjectStart,Tasks[[#This Row],[_ShownFcstFinish]],WorkWeek,Holidays)),0)</f>
        <v>0</v>
      </c>
      <c r="EA117" s="32" t="n">
        <f aca="false">IF(AND(Tasks[[#This Row],[_IsLeaf]]=1,Tasks[[#This Row],[_LeafTotalWork]]&gt;0),Tasks[[#This Row],[_LeafWork]]/(Tasks[[#This Row],[_FinishWorkday]]-Tasks[[#This Row],[_StartWorkday]]+1),0)</f>
        <v>0</v>
      </c>
      <c r="EB117" s="32" t="n">
        <f aca="false">Tasks[[#This Row],[_WorkPerWorkday]]*(Tasks[[#This Row],[_StartWorkday]]-1)</f>
        <v>-0</v>
      </c>
      <c r="EC117" s="32" t="n">
        <f aca="false">IF(Tasks[[#This Row],[_IsLeaf]]=1,MAX(N(Tasks[[#This Row],[Duration]]),0.1),0)</f>
        <v>0</v>
      </c>
      <c r="ED117" s="32" t="n">
        <f aca="false">Tasks[[#This Row],[_WeightDur]]*Tasks[[#This Row],[_LeafProgress]]</f>
        <v>0</v>
      </c>
      <c r="EE11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7" s="32" t="str">
        <f aca="false">IF(AND(Tasks[[#This Row],[_IsLeaf]]=1,N(Tasks[[#This Row],[Duration]])=0,Tasks[[#This Row],[_LeafProgress]]&lt;1),Tasks[[#This Row],[_ShownFcstFinish]]+Tasks[[#This Row],[_Row]]/100000,"")</f>
        <v/>
      </c>
      <c r="EG11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7" s="32" t="n">
        <f aca="false">IF(NOT(Tasks[[#This Row],[_IsLeaf]]=1),0,IF(Tasks[[#This Row],[Baseline Cost]]="",Tasks[[#This Row],[_LeafTotalCost]],N(Tasks[[#This Row],[Baseline Cost]])))</f>
        <v>0</v>
      </c>
      <c r="EI117" s="32" t="n">
        <f aca="false">Tasks[[#This Row],[_LeafBudget]]*Tasks[[#This Row],[_PlannedPct]]</f>
        <v>0</v>
      </c>
      <c r="EJ117" s="32" t="n">
        <f aca="false">Tasks[[#This Row],[_LeafBudget]]*Tasks[[#This Row],[_LeafProgress]]</f>
        <v>0</v>
      </c>
      <c r="EK117" s="32" t="n">
        <f aca="false">IF(NOT(Tasks[[#This Row],[_IsLeaf]]=1),0,IF(Tasks[[#This Row],[Actual Cost]]="",Tasks[[#This Row],[_LeafTotalCost]]*Tasks[[#This Row],[_LeafProgress]],N(Tasks[[#This Row],[Actual Cost]])))</f>
        <v>0</v>
      </c>
      <c r="EL117" s="32" t="str">
        <f aca="false">IF(Tasks[[#This Row],[Task Name]]="","",LEFT(Tasks[[#This Row],[WBS]],FIND(".",Tasks[[#This Row],[WBS]]&amp;".")-1))</f>
        <v/>
      </c>
      <c r="EM117" s="32" t="str">
        <f aca="false">IF(AND(Tasks[[#This Row],[Task Name]]&lt;&gt;"",Tasks[[#This Row],[_Level]]=1),Tasks[[#This Row],[_Row]],"")</f>
        <v/>
      </c>
      <c r="EN117" s="32" t="str">
        <f aca="false">IF(AND(Tasks[[#This Row],[_IsLeaf]]=1,N(Tasks[[#This Row],[Duration]])=0),Tasks[[#This Row],[Planned Finish]]+Tasks[[#This Row],[_Row]]/100000,"")</f>
        <v/>
      </c>
      <c r="EO117" s="32" t="str">
        <f aca="false">IF(AND(Tasks[[#This Row],[_IsLeaf]]=1,Tasks[[#This Row],[_LeafProgress]]&lt;1,OR(N(Tasks[[#This Row],[Finish Var]])&gt;0,Tasks[[#This Row],[Status]]="Late Start")),MAX(0,Tasks[[#This Row],[Finish Var]])+1-Tasks[[#This Row],[_Row]]/1000000,"")</f>
        <v/>
      </c>
      <c r="EP117" s="32" t="str">
        <f aca="false">IF(AND(Tasks[[#This Row],[_IsLeaf]]=1,N(Tasks[[#This Row],[Actual Start]])=0,Tasks[[#This Row],[_ShownFcstStart]]&gt;=StatusDate,Tasks[[#This Row],[_ShownFcstStart]]&lt;=LookaheadEnd),Tasks[[#This Row],[_ShownFcstStart]]+Tasks[[#This Row],[_Row]]/100000,"")</f>
        <v/>
      </c>
      <c r="EQ117" s="32" t="str">
        <f aca="false">IF(AND(Tasks[[#This Row],[_IsLeaf]]=1,Tasks[[#This Row],[_LeafProgress]]&lt;1,Tasks[[#This Row],[_ShownFcstFinish]]&gt;=StatusDate,Tasks[[#This Row],[_ShownFcstFinish]]&lt;=LookaheadEnd),Tasks[[#This Row],[_ShownFcstFinish]]+Tasks[[#This Row],[_Row]]/100000,"")</f>
        <v/>
      </c>
      <c r="ER117" s="32" t="str">
        <f aca="false">IF(Tasks[[#This Row],[_LeafCritical]],Tasks[[#This Row],[_ShownFcstStart]]+Tasks[[#This Row],[_Row]]/100000,"")</f>
        <v/>
      </c>
      <c r="ES117" s="32" t="n">
        <f aca="false">Tasks[[#This Row],[_LeafWork]]*Tasks[[#This Row],[_LeafProgress]]</f>
        <v>0</v>
      </c>
      <c r="ET117" s="115" t="str">
        <f aca="false">IF(AND(Tasks[[#This Row],[_IsLeaf]]=1,Tasks[[#This Row],[_LeafProgress]]&gt;=1),IF(N(Tasks[[#This Row],[Actual Finish]])&gt;0,Tasks[[#This Row],[Actual Finish]],Tasks[[#This Row],[_ShownFcstFinish]]),"")</f>
        <v/>
      </c>
      <c r="EU117" s="32" t="n">
        <f aca="false">IF(Tasks[[#This Row],[_IsLeaf]]=1,N(Tasks[[#This Row],[Story Points]]),0)</f>
        <v>0</v>
      </c>
      <c r="EV117" s="32" t="str">
        <f aca="false">IF(AND(Tasks[[#This Row],[_IsLeaf]]=1,CurrentSprint&lt;&gt;"",Tasks[[#This Row],[Sprint]]=CurrentSprint),Tasks[[#This Row],[_Row]],"")</f>
        <v/>
      </c>
    </row>
    <row r="118" customFormat="false" ht="15" hidden="false" customHeight="false" outlineLevel="0" collapsed="false">
      <c r="A118" s="45" t="str">
        <f aca="false">IF(Tasks[[#This Row],[Task Name]]="","",COUNTA(Tasks[[#Headers],[Task Name]]:Tasks[[#This Row],[Task Name]])-1)</f>
        <v/>
      </c>
      <c r="B118" s="46" t="n">
        <v>113</v>
      </c>
      <c r="C11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8" s="46"/>
      <c r="E118" s="45" t="str">
        <f aca="false">IF(Tasks[[#This Row],[Task Name]]="","",IF(Tasks[[#This Row],[_Level]]&lt;=OutlineShowLevel,"Yes","No"))</f>
        <v/>
      </c>
      <c r="F118" s="47"/>
      <c r="G118" s="46"/>
      <c r="H118" s="46"/>
      <c r="I118" s="46"/>
      <c r="J118" s="46"/>
      <c r="K118" s="46"/>
      <c r="L118" s="46"/>
      <c r="M118" s="46"/>
      <c r="N118" s="46"/>
      <c r="O118" s="46"/>
      <c r="P118" s="46"/>
      <c r="Q118" s="46"/>
      <c r="R118" s="46"/>
      <c r="S118" s="46"/>
      <c r="T118" s="46"/>
      <c r="U118" s="47"/>
      <c r="V118" s="88"/>
      <c r="W118" s="88"/>
      <c r="X118" s="25" t="str">
        <f aca="false">IF(Tasks[[#This Row],[Task Name]]="","",IF(N(Tasks[[#This Row],[Baseline Start]])&gt;0,Tasks[[#This Row],[Baseline Start]],Tasks[[#This Row],[_CalcStart]]))</f>
        <v/>
      </c>
      <c r="Y118" s="25" t="str">
        <f aca="false">IF(Tasks[[#This Row],[Task Name]]="","",IF(N(Tasks[[#This Row],[Baseline Finish]])&gt;0,Tasks[[#This Row],[Baseline Finish]],Tasks[[#This Row],[_CalcFinish]]))</f>
        <v/>
      </c>
      <c r="Z118" s="88"/>
      <c r="AA118" s="88"/>
      <c r="AB118" s="25" t="str">
        <f aca="false">IF(Tasks[[#This Row],[Task Name]]="","",IF(Tasks[[#This Row],[_IsSummary]],MIN(INDEX(Tasks[_ShownFcstStart],Tasks[[#This Row],[_Row]]+1):INDEX(Tasks[_ShownFcstStart],Tasks[[#This Row],[_Row]]+Tasks[[#This Row],[_Descendants]])),Tasks[[#This Row],[_ShownFcstStart]]))</f>
        <v/>
      </c>
      <c r="AC118" s="25" t="str">
        <f aca="false">IF(Tasks[[#This Row],[Task Name]]="","",IF(Tasks[[#This Row],[_IsSummary]],MAX(INDEX(Tasks[_ShownFcstFinish],Tasks[[#This Row],[_Row]]+1):INDEX(Tasks[_ShownFcstFinish],Tasks[[#This Row],[_Row]]+Tasks[[#This Row],[_Descendants]])),Tasks[[#This Row],[_ShownFcstFinish]]))</f>
        <v/>
      </c>
      <c r="AD11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8" s="25" t="str">
        <f aca="false">IF(Tasks[[#This Row],[Task Name]]="","",IF(Tasks[[#This Row],[_IsSummary]],MIN(INDEX(Tasks[_LeafLateStart],Tasks[[#This Row],[_Row]]+1):INDEX(Tasks[_LeafLateStart],Tasks[[#This Row],[_Row]]+Tasks[[#This Row],[_Descendants]])),Tasks[[#This Row],[_LeafLateStart]]))</f>
        <v/>
      </c>
      <c r="AG118" s="25" t="str">
        <f aca="false">IF(Tasks[[#This Row],[Task Name]]="","",IF(Tasks[[#This Row],[_IsSummary]],MAX(INDEX(Tasks[_LeafLateFinish],Tasks[[#This Row],[_Row]]+1):INDEX(Tasks[_LeafLateFinish],Tasks[[#This Row],[_Row]]+Tasks[[#This Row],[_Descendants]])),Tasks[[#This Row],[_LeafLateFinish]]))</f>
        <v/>
      </c>
      <c r="AH118" s="56" t="str">
        <f aca="false">IF(Tasks[[#This Row],[Task Name]]="","",IF(Tasks[[#This Row],[_IsSummary]],MIN(INDEX(Tasks[_LeafTotalSlack],Tasks[[#This Row],[_Row]]+1):INDEX(Tasks[_LeafTotalSlack],Tasks[[#This Row],[_Row]]+Tasks[[#This Row],[_Descendants]])),Tasks[[#This Row],[_LeafTotalSlack]]))</f>
        <v/>
      </c>
      <c r="AI11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8" s="45" t="str">
        <f aca="false">IF(Tasks[[#This Row],[Task Name]]="","",IF(IF(Tasks[[#This Row],[_IsSummary]],COUNTIF(INDEX(Tasks[_LeafCritical],Tasks[[#This Row],[_Row]]+1):INDEX(Tasks[_LeafCritical],Tasks[[#This Row],[_Row]]+Tasks[[#This Row],[_Descendants]]),TRUE())&gt;0,Tasks[[#This Row],[_LeafCritical]]),"Yes",""))</f>
        <v/>
      </c>
      <c r="AK11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8" s="102"/>
      <c r="AN11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8" s="45" t="str">
        <f aca="false">IF(Tasks[[#This Row],[Task Name]]="","",IF(Tasks[[#This Row],[Progress]]&gt;=1,"Complete",IF(OR(N(Tasks[[#This Row],[Actual Start]])&gt;0,Tasks[[#This Row],[Progress]]&gt;0),IF(Tasks[[#This Row],[Finish Var]]&gt;0,"Behind","In Progress"),IF(Tasks[[#This Row],[Planned Start]]&lt;StatusDate,"Late Start","Not Started"))))</f>
        <v/>
      </c>
      <c r="AP118" s="47"/>
      <c r="AQ118" s="102"/>
      <c r="AR11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8" s="110" t="str">
        <f aca="false">IF(Tasks[[#This Row],[Task Name]]="","",IF(Tasks[[#This Row],[_IsSummary]],SUM(INDEX(Tasks[_LeafTotalWork],Tasks[[#This Row],[_Row]]+1):INDEX(Tasks[_LeafTotalWork],Tasks[[#This Row],[_Row]]+Tasks[[#This Row],[_Descendants]])),Tasks[[#This Row],[_LeafTotalWork]]))</f>
        <v/>
      </c>
      <c r="AU118" s="111" t="str">
        <f aca="false">IF(Tasks[[#This Row],[Task Name]]="","",IF(Tasks[[#This Row],[_IsSummary]],SUM(INDEX(Tasks[_LeafTotalCost],Tasks[[#This Row],[_Row]]+1):INDEX(Tasks[_LeafTotalCost],Tasks[[#This Row],[_Row]]+Tasks[[#This Row],[_Descendants]])),Tasks[[#This Row],[_LeafTotalCost]]))</f>
        <v/>
      </c>
      <c r="AV118" s="112"/>
      <c r="AW118" s="46"/>
      <c r="AX11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8" s="96"/>
      <c r="AZ11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8" s="47"/>
      <c r="BB118" s="25" t="str">
        <f aca="false">IF(Tasks[[#This Row],[Task Name]]="","",Tasks[[#This Row],[Forecast Start]])</f>
        <v/>
      </c>
      <c r="BC118" s="25" t="str">
        <f aca="false">IF(Tasks[[#This Row],[Task Name]]="","",Tasks[[#This Row],[Forecast Finish]])</f>
        <v/>
      </c>
      <c r="BD118" s="45" t="str">
        <f aca="false">IF(Tasks[[#This Row],[Task Name]]="","",IF(Tasks[[#This Row],[_IsSummary]],NETWORKDAYS.INTL(Tasks[[#This Row],[Forecast Start]],Tasks[[#This Row],[Forecast Finish]],WorkWeek,Holidays),N(Tasks[[#This Row],[Duration]])))</f>
        <v/>
      </c>
      <c r="BE118" s="110" t="str">
        <f aca="false">IF(Tasks[[#This Row],[Task Name]]="","",Tasks[[#This Row],[Work]])</f>
        <v/>
      </c>
      <c r="BF118" s="111" t="str">
        <f aca="false">IF(Tasks[[#This Row],[Task Name]]="","",Tasks[[#This Row],[Cost]])</f>
        <v/>
      </c>
      <c r="BG118" s="88"/>
      <c r="BH118" s="88"/>
      <c r="BI118" s="46"/>
      <c r="BJ118" s="113"/>
      <c r="BK118" s="112"/>
      <c r="BL118" s="45" t="str">
        <f aca="false">IF(OR(Tasks[[#This Row],[Task Name]]="",Tasks[[#This Row],[Baseline Duration]]=""),"",Tasks[[#This Row],[BL Source Duration]]-N(Tasks[[#This Row],[Baseline Duration]]))</f>
        <v/>
      </c>
      <c r="BM118" s="110" t="str">
        <f aca="false">IF(OR(Tasks[[#This Row],[Task Name]]="",Tasks[[#This Row],[Baseline Work]]=""),"",Tasks[[#This Row],[Work]]-N(Tasks[[#This Row],[Baseline Work]]))</f>
        <v/>
      </c>
      <c r="BN118" s="111" t="str">
        <f aca="false">IF(OR(Tasks[[#This Row],[Task Name]]="",Tasks[[#This Row],[Baseline Cost]]=""),"",Tasks[[#This Row],[Cost]]-N(Tasks[[#This Row],[Baseline Cost]]))</f>
        <v/>
      </c>
      <c r="BO118" s="111" t="str">
        <f aca="false">IF(Tasks[[#This Row],[Task Name]]="","",IF(Tasks[[#This Row],[_IsSummary]],SUM(INDEX(Tasks[_LeafBudget],Tasks[[#This Row],[_Row]]+1):INDEX(Tasks[_LeafBudget],Tasks[[#This Row],[_Row]]+Tasks[[#This Row],[_Descendants]])),Tasks[[#This Row],[_LeafBudget]]))</f>
        <v/>
      </c>
      <c r="BP118" s="111" t="str">
        <f aca="false">IF(Tasks[[#This Row],[Task Name]]="","",IF(Tasks[[#This Row],[_IsSummary]],SUM(INDEX(Tasks[_LeafPV],Tasks[[#This Row],[_Row]]+1):INDEX(Tasks[_LeafPV],Tasks[[#This Row],[_Row]]+Tasks[[#This Row],[_Descendants]])),Tasks[[#This Row],[_LeafPV]]))</f>
        <v/>
      </c>
      <c r="BQ118" s="111" t="str">
        <f aca="false">IF(Tasks[[#This Row],[Task Name]]="","",IF(Tasks[[#This Row],[_IsSummary]],SUM(INDEX(Tasks[_LeafEV],Tasks[[#This Row],[_Row]]+1):INDEX(Tasks[_LeafEV],Tasks[[#This Row],[_Row]]+Tasks[[#This Row],[_Descendants]])),Tasks[[#This Row],[_LeafEV]]))</f>
        <v/>
      </c>
      <c r="BR118" s="111" t="str">
        <f aca="false">IF(Tasks[[#This Row],[Task Name]]="","",IF(Tasks[[#This Row],[_IsSummary]],SUM(INDEX(Tasks[_LeafAC],Tasks[[#This Row],[_Row]]+1):INDEX(Tasks[_LeafAC],Tasks[[#This Row],[_Row]]+Tasks[[#This Row],[_Descendants]])),Tasks[[#This Row],[_LeafAC]]))</f>
        <v/>
      </c>
      <c r="BS118" s="32" t="str">
        <f aca="false">IF(Tasks[[#This Row],[Task Name]]="","",MAX(1,N(Tasks[[#This Row],[Level]])))</f>
        <v/>
      </c>
      <c r="BT118" s="32" t="n">
        <f aca="false">ROW()-ROW(Tasks[[#Headers],[ID]])</f>
        <v>113</v>
      </c>
      <c r="BU118" s="32" t="n">
        <f aca="false">IF(OR(Tasks[[#This Row],[Task Name]]="",Tasks[[#This Row],[_Level]]&lt;=1),0,IFERROR(LOOKUP(2,1/(Tasks[[#Headers],[_Level]]:Tasks[[#This Row],[_Level]]=Tasks[[#This Row],[_Level]]-1),ROW(Tasks[[#Headers],[_Level]]:Tasks[[#This Row],[_Level]])),0))</f>
        <v>0</v>
      </c>
      <c r="BV118" s="32" t="n">
        <f aca="false">IFERROR(N(INDEX(Tasks[_Level],Tasks[[#This Row],[_Row]]+1)),0)</f>
        <v>0</v>
      </c>
      <c r="BW118" s="114" t="b">
        <f aca="false">AND(Tasks[[#This Row],[Task Name]]&lt;&gt;"",Tasks[[#This Row],[_NextLevel]]&gt;Tasks[[#This Row],[_Level]])</f>
        <v>0</v>
      </c>
      <c r="BX118" s="32" t="n">
        <f aca="false">IF(Tasks[[#This Row],[_IsSummary]],COUNTIF(Tasks[WBS],Tasks[[#This Row],[WBS]]&amp;".*"),0)</f>
        <v>0</v>
      </c>
      <c r="BY118" s="32" t="n">
        <f aca="false">IF(AND(Tasks[[#This Row],[Task Name]]&lt;&gt;"",NOT(Tasks[[#This Row],[_IsSummary]])),1,0)</f>
        <v>0</v>
      </c>
      <c r="BZ118" s="32" t="n">
        <f aca="false">IF(N(Tasks[[#This Row],[Pred1 UID]])=0,0,IFERROR(MATCH(Tasks[[#This Row],[Pred1 UID]],Tasks[UID],0),-1))</f>
        <v>0</v>
      </c>
      <c r="CA118" s="32" t="n">
        <f aca="false">IF(N(Tasks[[#This Row],[Pred2 UID]])=0,0,IFERROR(MATCH(Tasks[[#This Row],[Pred2 UID]],Tasks[UID],0),-1))</f>
        <v>0</v>
      </c>
      <c r="CB118" s="32" t="n">
        <f aca="false">IF(N(Tasks[[#This Row],[Pred3 UID]])=0,0,IFERROR(MATCH(Tasks[[#This Row],[Pred3 UID]],Tasks[UID],0),-1))</f>
        <v>0</v>
      </c>
      <c r="CC118" s="32" t="n">
        <f aca="false">IF(N(Tasks[[#This Row],[Pred4 UID]])=0,0,IFERROR(MATCH(Tasks[[#This Row],[Pred4 UID]],Tasks[UID],0),-1))</f>
        <v>0</v>
      </c>
      <c r="CD11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8" s="115" t="n">
        <f aca="false">IF(OR(Tasks[[#This Row],[_ConstraintCode]]=2,Tasks[[#This Row],[_ConstraintCode]]=3,Tasks[[#This Row],[_ConstraintCode]]=4,Tasks[[#This Row],[_ConstraintCode]]=6),Tasks[[#This Row],[_ConstraintStart]],0)</f>
        <v>0</v>
      </c>
      <c r="CG118" s="115" t="n">
        <f aca="false">IF(OR(Tasks[[#This Row],[_ConstraintCode]]=2,Tasks[[#This Row],[_ConstraintCode]]=3,Tasks[[#This Row],[_ConstraintCode]]=5,Tasks[[#This Row],[_ConstraintCode]]=7),Tasks[[#This Row],[_ConstraintStart]],2958465)</f>
        <v>2958465</v>
      </c>
      <c r="CH11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8" s="115" t="str">
        <f aca="false">IF(NOT(Tasks[[#This Row],[_IsLeaf]]=1),"",IF(N(Tasks[[#This Row],[Duration]])&lt;=0,Tasks[[#This Row],[_LeafCalcStart]],WORKDAY.INTL(Tasks[[#This Row],[_LeafCalcStart]],Tasks[[#This Row],[Duration]]-1,WorkWeek,Holidays)))</f>
        <v/>
      </c>
      <c r="CJ11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8" s="32" t="n">
        <f aca="false">IF(NOT(Tasks[[#This Row],[_IsLeaf]]=1),0,IF(N(Tasks[[#This Row],[Actual Finish]])&gt;0,1,MIN(1,N(Tasks[[#This Row],[% Complete]]))))</f>
        <v>0</v>
      </c>
      <c r="CM118" s="32" t="n">
        <f aca="false">IF(OR(NOT(Tasks[[#This Row],[_IsLeaf]]=1),Tasks[[#This Row],[Resource]]=""),0,N(Tasks[[#This Row],[Duration]])*HoursPerDay*IF(Tasks[[#This Row],[Units]]="",DefaultUnits,Tasks[[#This Row],[Units]]))</f>
        <v>0</v>
      </c>
      <c r="CN118" s="32" t="n">
        <f aca="false">IF(Tasks[[#This Row],[_LeafWork]]=0,0,Tasks[[#This Row],[_LeafWork]]*IFERROR(INDEX(res_Rate,MATCH(Tasks[[#This Row],[Resource]],res_Name,0)),0))</f>
        <v>0</v>
      </c>
      <c r="CO118" s="32" t="n">
        <f aca="false">Tasks[[#This Row],[_LeafWork]]+IF(Tasks[[#This Row],[_IsLeaf]]=1,SUMIFS(asg_Work,asg_TaskUID,Tasks[[#This Row],[UID]],asg_Valid,1),0)</f>
        <v>0</v>
      </c>
      <c r="CP118" s="32" t="n">
        <f aca="false">Tasks[[#This Row],[_LeafCost]]+IF(Tasks[[#This Row],[_IsLeaf]]=1,SUMIFS(asg_Cost,asg_TaskUID,Tasks[[#This Row],[UID]],asg_Valid,1),0)</f>
        <v>0</v>
      </c>
      <c r="CQ118" s="32" t="n">
        <f aca="false">IF(Tasks[[#This Row],[_LeafTotalCost]]=0,Tasks[[#This Row],[_LeafAC]],Tasks[[#This Row],[_LeafAC]]*Tasks[[#This Row],[_LeafCost]]/Tasks[[#This Row],[_LeafTotalCost]])</f>
        <v>0</v>
      </c>
      <c r="CR11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8" s="32" t="n">
        <f aca="false">IF(NOT(Tasks[[#This Row],[_IsLeaf]]=1),0,MAX(_xlfn.MAXIFS(Tasks[_Row],Tasks[Pred1 UID],Tasks[[#This Row],[UID]]),_xlfn.MAXIFS(Tasks[_Row],Tasks[Pred2 UID],Tasks[[#This Row],[UID]]),_xlfn.MAXIFS(Tasks[_Row],Tasks[Pred3 UID],Tasks[[#This Row],[UID]]),_xlfn.MAXIFS(Tasks[_Row],Tasks[Pred4 UID],Tasks[[#This Row],[UID]])))</f>
        <v>0</v>
      </c>
      <c r="DA11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8" s="115" t="str">
        <f aca="false">IF(NOT(Tasks[[#This Row],[_IsLeaf]]=1),"",IF(N(Tasks[[#This Row],[Duration]])&lt;=0,Tasks[[#This Row],[_LeafLateFinish]],WORKDAY.INTL(Tasks[[#This Row],[_LeafLateFinish]],-(Tasks[[#This Row],[Duration]]-1),WorkWeek,Holidays)))</f>
        <v/>
      </c>
      <c r="DD11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8" s="114" t="b">
        <f aca="false">AND(Tasks[[#This Row],[_IsLeaf]]=1,Tasks[[#This Row],[_LeafProgress]]&lt;1,N(Tasks[[#This Row],[_LeafTotalSlack]])&lt;=CriticalSlackDays)</f>
        <v>0</v>
      </c>
      <c r="DF118" s="32" t="n">
        <f aca="false">IF(AND(Tasks[[#This Row],[_IsLeaf]]=1,Tasks[[#This Row],[_ConstraintCode]]=1,Tasks[[#This Row],[Mode]]&lt;&gt;"Manual",N(Tasks[[#This Row],[Actual Start]])=0),MAX(0,N(Tasks[[#This Row],[Free Slack]])),0)</f>
        <v>0</v>
      </c>
      <c r="DG118" s="115" t="str">
        <f aca="false">IF(NOT(Tasks[[#This Row],[_IsLeaf]]=1),"",IF(Tasks[[#This Row],[_AlapShift]]=0,Tasks[[#This Row],[_LeafCalcStart]],WORKDAY.INTL(Tasks[[#This Row],[_LeafCalcStart]],Tasks[[#This Row],[_AlapShift]],WorkWeek,Holidays)))</f>
        <v/>
      </c>
      <c r="DH118" s="115" t="str">
        <f aca="false">IF(NOT(Tasks[[#This Row],[_IsLeaf]]=1),"",IF(Tasks[[#This Row],[_AlapShift]]=0,Tasks[[#This Row],[_LeafCalcFinish]],WORKDAY.INTL(Tasks[[#This Row],[_LeafCalcFinish]],Tasks[[#This Row],[_AlapShift]],WorkWeek,Holidays)))</f>
        <v/>
      </c>
      <c r="DI118" s="115" t="str">
        <f aca="false">IF(NOT(Tasks[[#This Row],[_IsLeaf]]=1),"",IF(Tasks[[#This Row],[_AlapShift]]=0,Tasks[[#This Row],[_LeafFcstStart]],WORKDAY.INTL(Tasks[[#This Row],[_LeafFcstStart]],Tasks[[#This Row],[_AlapShift]],WorkWeek,Holidays)))</f>
        <v/>
      </c>
      <c r="DJ118" s="115" t="str">
        <f aca="false">IF(NOT(Tasks[[#This Row],[_IsLeaf]]=1),"",IF(Tasks[[#This Row],[_AlapShift]]=0,Tasks[[#This Row],[_LeafFcstFinish]],WORKDAY.INTL(Tasks[[#This Row],[_LeafFcstFinish]],Tasks[[#This Row],[_AlapShift]],WorkWeek,Holidays)))</f>
        <v/>
      </c>
      <c r="DK118" s="115" t="str">
        <f aca="false">IF(Tasks[[#This Row],[Task Name]]="","",IF(Tasks[[#This Row],[_IsSummary]],MIN(INDEX(Tasks[_ShownCalcStart],Tasks[[#This Row],[_Row]]+1):INDEX(Tasks[_ShownCalcStart],Tasks[[#This Row],[_Row]]+Tasks[[#This Row],[_Descendants]])),Tasks[[#This Row],[_ShownCalcStart]]))</f>
        <v/>
      </c>
      <c r="DL118" s="115" t="str">
        <f aca="false">IF(Tasks[[#This Row],[Task Name]]="","",IF(Tasks[[#This Row],[_IsSummary]],MAX(INDEX(Tasks[_ShownCalcFinish],Tasks[[#This Row],[_Row]]+1):INDEX(Tasks[_ShownCalcFinish],Tasks[[#This Row],[_Row]]+Tasks[[#This Row],[_Descendants]])),Tasks[[#This Row],[_ShownCalcFinish]]))</f>
        <v/>
      </c>
      <c r="DM11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8" s="32" t="n">
        <f aca="false">IF(AND(Tasks[[#This Row],[_IsLeaf]]=1,Tasks[[#This Row],[_LeafTotalWork]]&gt;0),NETWORKDAYS.INTL(ProjectStart,Tasks[[#This Row],[_ShownFcstStart]],WorkWeek,Holidays),0)</f>
        <v>0</v>
      </c>
      <c r="DZ118" s="32" t="n">
        <f aca="false">IF(AND(Tasks[[#This Row],[_IsLeaf]]=1,Tasks[[#This Row],[_LeafTotalWork]]&gt;0),MAX(Tasks[[#This Row],[_StartWorkday]],NETWORKDAYS.INTL(ProjectStart,Tasks[[#This Row],[_ShownFcstFinish]],WorkWeek,Holidays)),0)</f>
        <v>0</v>
      </c>
      <c r="EA118" s="32" t="n">
        <f aca="false">IF(AND(Tasks[[#This Row],[_IsLeaf]]=1,Tasks[[#This Row],[_LeafTotalWork]]&gt;0),Tasks[[#This Row],[_LeafWork]]/(Tasks[[#This Row],[_FinishWorkday]]-Tasks[[#This Row],[_StartWorkday]]+1),0)</f>
        <v>0</v>
      </c>
      <c r="EB118" s="32" t="n">
        <f aca="false">Tasks[[#This Row],[_WorkPerWorkday]]*(Tasks[[#This Row],[_StartWorkday]]-1)</f>
        <v>-0</v>
      </c>
      <c r="EC118" s="32" t="n">
        <f aca="false">IF(Tasks[[#This Row],[_IsLeaf]]=1,MAX(N(Tasks[[#This Row],[Duration]]),0.1),0)</f>
        <v>0</v>
      </c>
      <c r="ED118" s="32" t="n">
        <f aca="false">Tasks[[#This Row],[_WeightDur]]*Tasks[[#This Row],[_LeafProgress]]</f>
        <v>0</v>
      </c>
      <c r="EE11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8" s="32" t="str">
        <f aca="false">IF(AND(Tasks[[#This Row],[_IsLeaf]]=1,N(Tasks[[#This Row],[Duration]])=0,Tasks[[#This Row],[_LeafProgress]]&lt;1),Tasks[[#This Row],[_ShownFcstFinish]]+Tasks[[#This Row],[_Row]]/100000,"")</f>
        <v/>
      </c>
      <c r="EG11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8" s="32" t="n">
        <f aca="false">IF(NOT(Tasks[[#This Row],[_IsLeaf]]=1),0,IF(Tasks[[#This Row],[Baseline Cost]]="",Tasks[[#This Row],[_LeafTotalCost]],N(Tasks[[#This Row],[Baseline Cost]])))</f>
        <v>0</v>
      </c>
      <c r="EI118" s="32" t="n">
        <f aca="false">Tasks[[#This Row],[_LeafBudget]]*Tasks[[#This Row],[_PlannedPct]]</f>
        <v>0</v>
      </c>
      <c r="EJ118" s="32" t="n">
        <f aca="false">Tasks[[#This Row],[_LeafBudget]]*Tasks[[#This Row],[_LeafProgress]]</f>
        <v>0</v>
      </c>
      <c r="EK118" s="32" t="n">
        <f aca="false">IF(NOT(Tasks[[#This Row],[_IsLeaf]]=1),0,IF(Tasks[[#This Row],[Actual Cost]]="",Tasks[[#This Row],[_LeafTotalCost]]*Tasks[[#This Row],[_LeafProgress]],N(Tasks[[#This Row],[Actual Cost]])))</f>
        <v>0</v>
      </c>
      <c r="EL118" s="32" t="str">
        <f aca="false">IF(Tasks[[#This Row],[Task Name]]="","",LEFT(Tasks[[#This Row],[WBS]],FIND(".",Tasks[[#This Row],[WBS]]&amp;".")-1))</f>
        <v/>
      </c>
      <c r="EM118" s="32" t="str">
        <f aca="false">IF(AND(Tasks[[#This Row],[Task Name]]&lt;&gt;"",Tasks[[#This Row],[_Level]]=1),Tasks[[#This Row],[_Row]],"")</f>
        <v/>
      </c>
      <c r="EN118" s="32" t="str">
        <f aca="false">IF(AND(Tasks[[#This Row],[_IsLeaf]]=1,N(Tasks[[#This Row],[Duration]])=0),Tasks[[#This Row],[Planned Finish]]+Tasks[[#This Row],[_Row]]/100000,"")</f>
        <v/>
      </c>
      <c r="EO118" s="32" t="str">
        <f aca="false">IF(AND(Tasks[[#This Row],[_IsLeaf]]=1,Tasks[[#This Row],[_LeafProgress]]&lt;1,OR(N(Tasks[[#This Row],[Finish Var]])&gt;0,Tasks[[#This Row],[Status]]="Late Start")),MAX(0,Tasks[[#This Row],[Finish Var]])+1-Tasks[[#This Row],[_Row]]/1000000,"")</f>
        <v/>
      </c>
      <c r="EP118" s="32" t="str">
        <f aca="false">IF(AND(Tasks[[#This Row],[_IsLeaf]]=1,N(Tasks[[#This Row],[Actual Start]])=0,Tasks[[#This Row],[_ShownFcstStart]]&gt;=StatusDate,Tasks[[#This Row],[_ShownFcstStart]]&lt;=LookaheadEnd),Tasks[[#This Row],[_ShownFcstStart]]+Tasks[[#This Row],[_Row]]/100000,"")</f>
        <v/>
      </c>
      <c r="EQ118" s="32" t="str">
        <f aca="false">IF(AND(Tasks[[#This Row],[_IsLeaf]]=1,Tasks[[#This Row],[_LeafProgress]]&lt;1,Tasks[[#This Row],[_ShownFcstFinish]]&gt;=StatusDate,Tasks[[#This Row],[_ShownFcstFinish]]&lt;=LookaheadEnd),Tasks[[#This Row],[_ShownFcstFinish]]+Tasks[[#This Row],[_Row]]/100000,"")</f>
        <v/>
      </c>
      <c r="ER118" s="32" t="str">
        <f aca="false">IF(Tasks[[#This Row],[_LeafCritical]],Tasks[[#This Row],[_ShownFcstStart]]+Tasks[[#This Row],[_Row]]/100000,"")</f>
        <v/>
      </c>
      <c r="ES118" s="32" t="n">
        <f aca="false">Tasks[[#This Row],[_LeafWork]]*Tasks[[#This Row],[_LeafProgress]]</f>
        <v>0</v>
      </c>
      <c r="ET118" s="115" t="str">
        <f aca="false">IF(AND(Tasks[[#This Row],[_IsLeaf]]=1,Tasks[[#This Row],[_LeafProgress]]&gt;=1),IF(N(Tasks[[#This Row],[Actual Finish]])&gt;0,Tasks[[#This Row],[Actual Finish]],Tasks[[#This Row],[_ShownFcstFinish]]),"")</f>
        <v/>
      </c>
      <c r="EU118" s="32" t="n">
        <f aca="false">IF(Tasks[[#This Row],[_IsLeaf]]=1,N(Tasks[[#This Row],[Story Points]]),0)</f>
        <v>0</v>
      </c>
      <c r="EV118" s="32" t="str">
        <f aca="false">IF(AND(Tasks[[#This Row],[_IsLeaf]]=1,CurrentSprint&lt;&gt;"",Tasks[[#This Row],[Sprint]]=CurrentSprint),Tasks[[#This Row],[_Row]],"")</f>
        <v/>
      </c>
    </row>
    <row r="119" customFormat="false" ht="15" hidden="false" customHeight="false" outlineLevel="0" collapsed="false">
      <c r="A119" s="45" t="str">
        <f aca="false">IF(Tasks[[#This Row],[Task Name]]="","",COUNTA(Tasks[[#Headers],[Task Name]]:Tasks[[#This Row],[Task Name]])-1)</f>
        <v/>
      </c>
      <c r="B119" s="46" t="n">
        <v>114</v>
      </c>
      <c r="C11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19" s="46"/>
      <c r="E119" s="45" t="str">
        <f aca="false">IF(Tasks[[#This Row],[Task Name]]="","",IF(Tasks[[#This Row],[_Level]]&lt;=OutlineShowLevel,"Yes","No"))</f>
        <v/>
      </c>
      <c r="F119" s="47"/>
      <c r="G119" s="46"/>
      <c r="H119" s="46"/>
      <c r="I119" s="46"/>
      <c r="J119" s="46"/>
      <c r="K119" s="46"/>
      <c r="L119" s="46"/>
      <c r="M119" s="46"/>
      <c r="N119" s="46"/>
      <c r="O119" s="46"/>
      <c r="P119" s="46"/>
      <c r="Q119" s="46"/>
      <c r="R119" s="46"/>
      <c r="S119" s="46"/>
      <c r="T119" s="46"/>
      <c r="U119" s="47"/>
      <c r="V119" s="88"/>
      <c r="W119" s="88"/>
      <c r="X119" s="25" t="str">
        <f aca="false">IF(Tasks[[#This Row],[Task Name]]="","",IF(N(Tasks[[#This Row],[Baseline Start]])&gt;0,Tasks[[#This Row],[Baseline Start]],Tasks[[#This Row],[_CalcStart]]))</f>
        <v/>
      </c>
      <c r="Y119" s="25" t="str">
        <f aca="false">IF(Tasks[[#This Row],[Task Name]]="","",IF(N(Tasks[[#This Row],[Baseline Finish]])&gt;0,Tasks[[#This Row],[Baseline Finish]],Tasks[[#This Row],[_CalcFinish]]))</f>
        <v/>
      </c>
      <c r="Z119" s="88"/>
      <c r="AA119" s="88"/>
      <c r="AB119" s="25" t="str">
        <f aca="false">IF(Tasks[[#This Row],[Task Name]]="","",IF(Tasks[[#This Row],[_IsSummary]],MIN(INDEX(Tasks[_ShownFcstStart],Tasks[[#This Row],[_Row]]+1):INDEX(Tasks[_ShownFcstStart],Tasks[[#This Row],[_Row]]+Tasks[[#This Row],[_Descendants]])),Tasks[[#This Row],[_ShownFcstStart]]))</f>
        <v/>
      </c>
      <c r="AC119" s="25" t="str">
        <f aca="false">IF(Tasks[[#This Row],[Task Name]]="","",IF(Tasks[[#This Row],[_IsSummary]],MAX(INDEX(Tasks[_ShownFcstFinish],Tasks[[#This Row],[_Row]]+1):INDEX(Tasks[_ShownFcstFinish],Tasks[[#This Row],[_Row]]+Tasks[[#This Row],[_Descendants]])),Tasks[[#This Row],[_ShownFcstFinish]]))</f>
        <v/>
      </c>
      <c r="AD11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1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19" s="25" t="str">
        <f aca="false">IF(Tasks[[#This Row],[Task Name]]="","",IF(Tasks[[#This Row],[_IsSummary]],MIN(INDEX(Tasks[_LeafLateStart],Tasks[[#This Row],[_Row]]+1):INDEX(Tasks[_LeafLateStart],Tasks[[#This Row],[_Row]]+Tasks[[#This Row],[_Descendants]])),Tasks[[#This Row],[_LeafLateStart]]))</f>
        <v/>
      </c>
      <c r="AG119" s="25" t="str">
        <f aca="false">IF(Tasks[[#This Row],[Task Name]]="","",IF(Tasks[[#This Row],[_IsSummary]],MAX(INDEX(Tasks[_LeafLateFinish],Tasks[[#This Row],[_Row]]+1):INDEX(Tasks[_LeafLateFinish],Tasks[[#This Row],[_Row]]+Tasks[[#This Row],[_Descendants]])),Tasks[[#This Row],[_LeafLateFinish]]))</f>
        <v/>
      </c>
      <c r="AH119" s="56" t="str">
        <f aca="false">IF(Tasks[[#This Row],[Task Name]]="","",IF(Tasks[[#This Row],[_IsSummary]],MIN(INDEX(Tasks[_LeafTotalSlack],Tasks[[#This Row],[_Row]]+1):INDEX(Tasks[_LeafTotalSlack],Tasks[[#This Row],[_Row]]+Tasks[[#This Row],[_Descendants]])),Tasks[[#This Row],[_LeafTotalSlack]]))</f>
        <v/>
      </c>
      <c r="AI11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19" s="45" t="str">
        <f aca="false">IF(Tasks[[#This Row],[Task Name]]="","",IF(IF(Tasks[[#This Row],[_IsSummary]],COUNTIF(INDEX(Tasks[_LeafCritical],Tasks[[#This Row],[_Row]]+1):INDEX(Tasks[_LeafCritical],Tasks[[#This Row],[_Row]]+Tasks[[#This Row],[_Descendants]]),TRUE())&gt;0,Tasks[[#This Row],[_LeafCritical]]),"Yes",""))</f>
        <v/>
      </c>
      <c r="AK11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1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19" s="102"/>
      <c r="AN11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19" s="45" t="str">
        <f aca="false">IF(Tasks[[#This Row],[Task Name]]="","",IF(Tasks[[#This Row],[Progress]]&gt;=1,"Complete",IF(OR(N(Tasks[[#This Row],[Actual Start]])&gt;0,Tasks[[#This Row],[Progress]]&gt;0),IF(Tasks[[#This Row],[Finish Var]]&gt;0,"Behind","In Progress"),IF(Tasks[[#This Row],[Planned Start]]&lt;StatusDate,"Late Start","Not Started"))))</f>
        <v/>
      </c>
      <c r="AP119" s="47"/>
      <c r="AQ119" s="102"/>
      <c r="AR11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1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19" s="110" t="str">
        <f aca="false">IF(Tasks[[#This Row],[Task Name]]="","",IF(Tasks[[#This Row],[_IsSummary]],SUM(INDEX(Tasks[_LeafTotalWork],Tasks[[#This Row],[_Row]]+1):INDEX(Tasks[_LeafTotalWork],Tasks[[#This Row],[_Row]]+Tasks[[#This Row],[_Descendants]])),Tasks[[#This Row],[_LeafTotalWork]]))</f>
        <v/>
      </c>
      <c r="AU119" s="111" t="str">
        <f aca="false">IF(Tasks[[#This Row],[Task Name]]="","",IF(Tasks[[#This Row],[_IsSummary]],SUM(INDEX(Tasks[_LeafTotalCost],Tasks[[#This Row],[_Row]]+1):INDEX(Tasks[_LeafTotalCost],Tasks[[#This Row],[_Row]]+Tasks[[#This Row],[_Descendants]])),Tasks[[#This Row],[_LeafTotalCost]]))</f>
        <v/>
      </c>
      <c r="AV119" s="112"/>
      <c r="AW119" s="46"/>
      <c r="AX11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19" s="96"/>
      <c r="AZ11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19" s="47"/>
      <c r="BB119" s="25" t="str">
        <f aca="false">IF(Tasks[[#This Row],[Task Name]]="","",Tasks[[#This Row],[Forecast Start]])</f>
        <v/>
      </c>
      <c r="BC119" s="25" t="str">
        <f aca="false">IF(Tasks[[#This Row],[Task Name]]="","",Tasks[[#This Row],[Forecast Finish]])</f>
        <v/>
      </c>
      <c r="BD119" s="45" t="str">
        <f aca="false">IF(Tasks[[#This Row],[Task Name]]="","",IF(Tasks[[#This Row],[_IsSummary]],NETWORKDAYS.INTL(Tasks[[#This Row],[Forecast Start]],Tasks[[#This Row],[Forecast Finish]],WorkWeek,Holidays),N(Tasks[[#This Row],[Duration]])))</f>
        <v/>
      </c>
      <c r="BE119" s="110" t="str">
        <f aca="false">IF(Tasks[[#This Row],[Task Name]]="","",Tasks[[#This Row],[Work]])</f>
        <v/>
      </c>
      <c r="BF119" s="111" t="str">
        <f aca="false">IF(Tasks[[#This Row],[Task Name]]="","",Tasks[[#This Row],[Cost]])</f>
        <v/>
      </c>
      <c r="BG119" s="88"/>
      <c r="BH119" s="88"/>
      <c r="BI119" s="46"/>
      <c r="BJ119" s="113"/>
      <c r="BK119" s="112"/>
      <c r="BL119" s="45" t="str">
        <f aca="false">IF(OR(Tasks[[#This Row],[Task Name]]="",Tasks[[#This Row],[Baseline Duration]]=""),"",Tasks[[#This Row],[BL Source Duration]]-N(Tasks[[#This Row],[Baseline Duration]]))</f>
        <v/>
      </c>
      <c r="BM119" s="110" t="str">
        <f aca="false">IF(OR(Tasks[[#This Row],[Task Name]]="",Tasks[[#This Row],[Baseline Work]]=""),"",Tasks[[#This Row],[Work]]-N(Tasks[[#This Row],[Baseline Work]]))</f>
        <v/>
      </c>
      <c r="BN119" s="111" t="str">
        <f aca="false">IF(OR(Tasks[[#This Row],[Task Name]]="",Tasks[[#This Row],[Baseline Cost]]=""),"",Tasks[[#This Row],[Cost]]-N(Tasks[[#This Row],[Baseline Cost]]))</f>
        <v/>
      </c>
      <c r="BO119" s="111" t="str">
        <f aca="false">IF(Tasks[[#This Row],[Task Name]]="","",IF(Tasks[[#This Row],[_IsSummary]],SUM(INDEX(Tasks[_LeafBudget],Tasks[[#This Row],[_Row]]+1):INDEX(Tasks[_LeafBudget],Tasks[[#This Row],[_Row]]+Tasks[[#This Row],[_Descendants]])),Tasks[[#This Row],[_LeafBudget]]))</f>
        <v/>
      </c>
      <c r="BP119" s="111" t="str">
        <f aca="false">IF(Tasks[[#This Row],[Task Name]]="","",IF(Tasks[[#This Row],[_IsSummary]],SUM(INDEX(Tasks[_LeafPV],Tasks[[#This Row],[_Row]]+1):INDEX(Tasks[_LeafPV],Tasks[[#This Row],[_Row]]+Tasks[[#This Row],[_Descendants]])),Tasks[[#This Row],[_LeafPV]]))</f>
        <v/>
      </c>
      <c r="BQ119" s="111" t="str">
        <f aca="false">IF(Tasks[[#This Row],[Task Name]]="","",IF(Tasks[[#This Row],[_IsSummary]],SUM(INDEX(Tasks[_LeafEV],Tasks[[#This Row],[_Row]]+1):INDEX(Tasks[_LeafEV],Tasks[[#This Row],[_Row]]+Tasks[[#This Row],[_Descendants]])),Tasks[[#This Row],[_LeafEV]]))</f>
        <v/>
      </c>
      <c r="BR119" s="111" t="str">
        <f aca="false">IF(Tasks[[#This Row],[Task Name]]="","",IF(Tasks[[#This Row],[_IsSummary]],SUM(INDEX(Tasks[_LeafAC],Tasks[[#This Row],[_Row]]+1):INDEX(Tasks[_LeafAC],Tasks[[#This Row],[_Row]]+Tasks[[#This Row],[_Descendants]])),Tasks[[#This Row],[_LeafAC]]))</f>
        <v/>
      </c>
      <c r="BS119" s="32" t="str">
        <f aca="false">IF(Tasks[[#This Row],[Task Name]]="","",MAX(1,N(Tasks[[#This Row],[Level]])))</f>
        <v/>
      </c>
      <c r="BT119" s="32" t="n">
        <f aca="false">ROW()-ROW(Tasks[[#Headers],[ID]])</f>
        <v>114</v>
      </c>
      <c r="BU119" s="32" t="n">
        <f aca="false">IF(OR(Tasks[[#This Row],[Task Name]]="",Tasks[[#This Row],[_Level]]&lt;=1),0,IFERROR(LOOKUP(2,1/(Tasks[[#Headers],[_Level]]:Tasks[[#This Row],[_Level]]=Tasks[[#This Row],[_Level]]-1),ROW(Tasks[[#Headers],[_Level]]:Tasks[[#This Row],[_Level]])),0))</f>
        <v>0</v>
      </c>
      <c r="BV119" s="32" t="n">
        <f aca="false">IFERROR(N(INDEX(Tasks[_Level],Tasks[[#This Row],[_Row]]+1)),0)</f>
        <v>0</v>
      </c>
      <c r="BW119" s="114" t="b">
        <f aca="false">AND(Tasks[[#This Row],[Task Name]]&lt;&gt;"",Tasks[[#This Row],[_NextLevel]]&gt;Tasks[[#This Row],[_Level]])</f>
        <v>0</v>
      </c>
      <c r="BX119" s="32" t="n">
        <f aca="false">IF(Tasks[[#This Row],[_IsSummary]],COUNTIF(Tasks[WBS],Tasks[[#This Row],[WBS]]&amp;".*"),0)</f>
        <v>0</v>
      </c>
      <c r="BY119" s="32" t="n">
        <f aca="false">IF(AND(Tasks[[#This Row],[Task Name]]&lt;&gt;"",NOT(Tasks[[#This Row],[_IsSummary]])),1,0)</f>
        <v>0</v>
      </c>
      <c r="BZ119" s="32" t="n">
        <f aca="false">IF(N(Tasks[[#This Row],[Pred1 UID]])=0,0,IFERROR(MATCH(Tasks[[#This Row],[Pred1 UID]],Tasks[UID],0),-1))</f>
        <v>0</v>
      </c>
      <c r="CA119" s="32" t="n">
        <f aca="false">IF(N(Tasks[[#This Row],[Pred2 UID]])=0,0,IFERROR(MATCH(Tasks[[#This Row],[Pred2 UID]],Tasks[UID],0),-1))</f>
        <v>0</v>
      </c>
      <c r="CB119" s="32" t="n">
        <f aca="false">IF(N(Tasks[[#This Row],[Pred3 UID]])=0,0,IFERROR(MATCH(Tasks[[#This Row],[Pred3 UID]],Tasks[UID],0),-1))</f>
        <v>0</v>
      </c>
      <c r="CC119" s="32" t="n">
        <f aca="false">IF(N(Tasks[[#This Row],[Pred4 UID]])=0,0,IFERROR(MATCH(Tasks[[#This Row],[Pred4 UID]],Tasks[UID],0),-1))</f>
        <v>0</v>
      </c>
      <c r="CD11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1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19" s="115" t="n">
        <f aca="false">IF(OR(Tasks[[#This Row],[_ConstraintCode]]=2,Tasks[[#This Row],[_ConstraintCode]]=3,Tasks[[#This Row],[_ConstraintCode]]=4,Tasks[[#This Row],[_ConstraintCode]]=6),Tasks[[#This Row],[_ConstraintStart]],0)</f>
        <v>0</v>
      </c>
      <c r="CG119" s="115" t="n">
        <f aca="false">IF(OR(Tasks[[#This Row],[_ConstraintCode]]=2,Tasks[[#This Row],[_ConstraintCode]]=3,Tasks[[#This Row],[_ConstraintCode]]=5,Tasks[[#This Row],[_ConstraintCode]]=7),Tasks[[#This Row],[_ConstraintStart]],2958465)</f>
        <v>2958465</v>
      </c>
      <c r="CH11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19" s="115" t="str">
        <f aca="false">IF(NOT(Tasks[[#This Row],[_IsLeaf]]=1),"",IF(N(Tasks[[#This Row],[Duration]])&lt;=0,Tasks[[#This Row],[_LeafCalcStart]],WORKDAY.INTL(Tasks[[#This Row],[_LeafCalcStart]],Tasks[[#This Row],[Duration]]-1,WorkWeek,Holidays)))</f>
        <v/>
      </c>
      <c r="CJ11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1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19" s="32" t="n">
        <f aca="false">IF(NOT(Tasks[[#This Row],[_IsLeaf]]=1),0,IF(N(Tasks[[#This Row],[Actual Finish]])&gt;0,1,MIN(1,N(Tasks[[#This Row],[% Complete]]))))</f>
        <v>0</v>
      </c>
      <c r="CM119" s="32" t="n">
        <f aca="false">IF(OR(NOT(Tasks[[#This Row],[_IsLeaf]]=1),Tasks[[#This Row],[Resource]]=""),0,N(Tasks[[#This Row],[Duration]])*HoursPerDay*IF(Tasks[[#This Row],[Units]]="",DefaultUnits,Tasks[[#This Row],[Units]]))</f>
        <v>0</v>
      </c>
      <c r="CN119" s="32" t="n">
        <f aca="false">IF(Tasks[[#This Row],[_LeafWork]]=0,0,Tasks[[#This Row],[_LeafWork]]*IFERROR(INDEX(res_Rate,MATCH(Tasks[[#This Row],[Resource]],res_Name,0)),0))</f>
        <v>0</v>
      </c>
      <c r="CO119" s="32" t="n">
        <f aca="false">Tasks[[#This Row],[_LeafWork]]+IF(Tasks[[#This Row],[_IsLeaf]]=1,SUMIFS(asg_Work,asg_TaskUID,Tasks[[#This Row],[UID]],asg_Valid,1),0)</f>
        <v>0</v>
      </c>
      <c r="CP119" s="32" t="n">
        <f aca="false">Tasks[[#This Row],[_LeafCost]]+IF(Tasks[[#This Row],[_IsLeaf]]=1,SUMIFS(asg_Cost,asg_TaskUID,Tasks[[#This Row],[UID]],asg_Valid,1),0)</f>
        <v>0</v>
      </c>
      <c r="CQ119" s="32" t="n">
        <f aca="false">IF(Tasks[[#This Row],[_LeafTotalCost]]=0,Tasks[[#This Row],[_LeafAC]],Tasks[[#This Row],[_LeafAC]]*Tasks[[#This Row],[_LeafCost]]/Tasks[[#This Row],[_LeafTotalCost]])</f>
        <v>0</v>
      </c>
      <c r="CR11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1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1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1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1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1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1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1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19" s="32" t="n">
        <f aca="false">IF(NOT(Tasks[[#This Row],[_IsLeaf]]=1),0,MAX(_xlfn.MAXIFS(Tasks[_Row],Tasks[Pred1 UID],Tasks[[#This Row],[UID]]),_xlfn.MAXIFS(Tasks[_Row],Tasks[Pred2 UID],Tasks[[#This Row],[UID]]),_xlfn.MAXIFS(Tasks[_Row],Tasks[Pred3 UID],Tasks[[#This Row],[UID]]),_xlfn.MAXIFS(Tasks[_Row],Tasks[Pred4 UID],Tasks[[#This Row],[UID]])))</f>
        <v>0</v>
      </c>
      <c r="DA11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1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19" s="115" t="str">
        <f aca="false">IF(NOT(Tasks[[#This Row],[_IsLeaf]]=1),"",IF(N(Tasks[[#This Row],[Duration]])&lt;=0,Tasks[[#This Row],[_LeafLateFinish]],WORKDAY.INTL(Tasks[[#This Row],[_LeafLateFinish]],-(Tasks[[#This Row],[Duration]]-1),WorkWeek,Holidays)))</f>
        <v/>
      </c>
      <c r="DD11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19" s="114" t="b">
        <f aca="false">AND(Tasks[[#This Row],[_IsLeaf]]=1,Tasks[[#This Row],[_LeafProgress]]&lt;1,N(Tasks[[#This Row],[_LeafTotalSlack]])&lt;=CriticalSlackDays)</f>
        <v>0</v>
      </c>
      <c r="DF119" s="32" t="n">
        <f aca="false">IF(AND(Tasks[[#This Row],[_IsLeaf]]=1,Tasks[[#This Row],[_ConstraintCode]]=1,Tasks[[#This Row],[Mode]]&lt;&gt;"Manual",N(Tasks[[#This Row],[Actual Start]])=0),MAX(0,N(Tasks[[#This Row],[Free Slack]])),0)</f>
        <v>0</v>
      </c>
      <c r="DG119" s="115" t="str">
        <f aca="false">IF(NOT(Tasks[[#This Row],[_IsLeaf]]=1),"",IF(Tasks[[#This Row],[_AlapShift]]=0,Tasks[[#This Row],[_LeafCalcStart]],WORKDAY.INTL(Tasks[[#This Row],[_LeafCalcStart]],Tasks[[#This Row],[_AlapShift]],WorkWeek,Holidays)))</f>
        <v/>
      </c>
      <c r="DH119" s="115" t="str">
        <f aca="false">IF(NOT(Tasks[[#This Row],[_IsLeaf]]=1),"",IF(Tasks[[#This Row],[_AlapShift]]=0,Tasks[[#This Row],[_LeafCalcFinish]],WORKDAY.INTL(Tasks[[#This Row],[_LeafCalcFinish]],Tasks[[#This Row],[_AlapShift]],WorkWeek,Holidays)))</f>
        <v/>
      </c>
      <c r="DI119" s="115" t="str">
        <f aca="false">IF(NOT(Tasks[[#This Row],[_IsLeaf]]=1),"",IF(Tasks[[#This Row],[_AlapShift]]=0,Tasks[[#This Row],[_LeafFcstStart]],WORKDAY.INTL(Tasks[[#This Row],[_LeafFcstStart]],Tasks[[#This Row],[_AlapShift]],WorkWeek,Holidays)))</f>
        <v/>
      </c>
      <c r="DJ119" s="115" t="str">
        <f aca="false">IF(NOT(Tasks[[#This Row],[_IsLeaf]]=1),"",IF(Tasks[[#This Row],[_AlapShift]]=0,Tasks[[#This Row],[_LeafFcstFinish]],WORKDAY.INTL(Tasks[[#This Row],[_LeafFcstFinish]],Tasks[[#This Row],[_AlapShift]],WorkWeek,Holidays)))</f>
        <v/>
      </c>
      <c r="DK119" s="115" t="str">
        <f aca="false">IF(Tasks[[#This Row],[Task Name]]="","",IF(Tasks[[#This Row],[_IsSummary]],MIN(INDEX(Tasks[_ShownCalcStart],Tasks[[#This Row],[_Row]]+1):INDEX(Tasks[_ShownCalcStart],Tasks[[#This Row],[_Row]]+Tasks[[#This Row],[_Descendants]])),Tasks[[#This Row],[_ShownCalcStart]]))</f>
        <v/>
      </c>
      <c r="DL119" s="115" t="str">
        <f aca="false">IF(Tasks[[#This Row],[Task Name]]="","",IF(Tasks[[#This Row],[_IsSummary]],MAX(INDEX(Tasks[_ShownCalcFinish],Tasks[[#This Row],[_Row]]+1):INDEX(Tasks[_ShownCalcFinish],Tasks[[#This Row],[_Row]]+Tasks[[#This Row],[_Descendants]])),Tasks[[#This Row],[_ShownCalcFinish]]))</f>
        <v/>
      </c>
      <c r="DM11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1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1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1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1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1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1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1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1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1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1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1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19" s="32" t="n">
        <f aca="false">IF(AND(Tasks[[#This Row],[_IsLeaf]]=1,Tasks[[#This Row],[_LeafTotalWork]]&gt;0),NETWORKDAYS.INTL(ProjectStart,Tasks[[#This Row],[_ShownFcstStart]],WorkWeek,Holidays),0)</f>
        <v>0</v>
      </c>
      <c r="DZ119" s="32" t="n">
        <f aca="false">IF(AND(Tasks[[#This Row],[_IsLeaf]]=1,Tasks[[#This Row],[_LeafTotalWork]]&gt;0),MAX(Tasks[[#This Row],[_StartWorkday]],NETWORKDAYS.INTL(ProjectStart,Tasks[[#This Row],[_ShownFcstFinish]],WorkWeek,Holidays)),0)</f>
        <v>0</v>
      </c>
      <c r="EA119" s="32" t="n">
        <f aca="false">IF(AND(Tasks[[#This Row],[_IsLeaf]]=1,Tasks[[#This Row],[_LeafTotalWork]]&gt;0),Tasks[[#This Row],[_LeafWork]]/(Tasks[[#This Row],[_FinishWorkday]]-Tasks[[#This Row],[_StartWorkday]]+1),0)</f>
        <v>0</v>
      </c>
      <c r="EB119" s="32" t="n">
        <f aca="false">Tasks[[#This Row],[_WorkPerWorkday]]*(Tasks[[#This Row],[_StartWorkday]]-1)</f>
        <v>-0</v>
      </c>
      <c r="EC119" s="32" t="n">
        <f aca="false">IF(Tasks[[#This Row],[_IsLeaf]]=1,MAX(N(Tasks[[#This Row],[Duration]]),0.1),0)</f>
        <v>0</v>
      </c>
      <c r="ED119" s="32" t="n">
        <f aca="false">Tasks[[#This Row],[_WeightDur]]*Tasks[[#This Row],[_LeafProgress]]</f>
        <v>0</v>
      </c>
      <c r="EE11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19" s="32" t="str">
        <f aca="false">IF(AND(Tasks[[#This Row],[_IsLeaf]]=1,N(Tasks[[#This Row],[Duration]])=0,Tasks[[#This Row],[_LeafProgress]]&lt;1),Tasks[[#This Row],[_ShownFcstFinish]]+Tasks[[#This Row],[_Row]]/100000,"")</f>
        <v/>
      </c>
      <c r="EG11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19" s="32" t="n">
        <f aca="false">IF(NOT(Tasks[[#This Row],[_IsLeaf]]=1),0,IF(Tasks[[#This Row],[Baseline Cost]]="",Tasks[[#This Row],[_LeafTotalCost]],N(Tasks[[#This Row],[Baseline Cost]])))</f>
        <v>0</v>
      </c>
      <c r="EI119" s="32" t="n">
        <f aca="false">Tasks[[#This Row],[_LeafBudget]]*Tasks[[#This Row],[_PlannedPct]]</f>
        <v>0</v>
      </c>
      <c r="EJ119" s="32" t="n">
        <f aca="false">Tasks[[#This Row],[_LeafBudget]]*Tasks[[#This Row],[_LeafProgress]]</f>
        <v>0</v>
      </c>
      <c r="EK119" s="32" t="n">
        <f aca="false">IF(NOT(Tasks[[#This Row],[_IsLeaf]]=1),0,IF(Tasks[[#This Row],[Actual Cost]]="",Tasks[[#This Row],[_LeafTotalCost]]*Tasks[[#This Row],[_LeafProgress]],N(Tasks[[#This Row],[Actual Cost]])))</f>
        <v>0</v>
      </c>
      <c r="EL119" s="32" t="str">
        <f aca="false">IF(Tasks[[#This Row],[Task Name]]="","",LEFT(Tasks[[#This Row],[WBS]],FIND(".",Tasks[[#This Row],[WBS]]&amp;".")-1))</f>
        <v/>
      </c>
      <c r="EM119" s="32" t="str">
        <f aca="false">IF(AND(Tasks[[#This Row],[Task Name]]&lt;&gt;"",Tasks[[#This Row],[_Level]]=1),Tasks[[#This Row],[_Row]],"")</f>
        <v/>
      </c>
      <c r="EN119" s="32" t="str">
        <f aca="false">IF(AND(Tasks[[#This Row],[_IsLeaf]]=1,N(Tasks[[#This Row],[Duration]])=0),Tasks[[#This Row],[Planned Finish]]+Tasks[[#This Row],[_Row]]/100000,"")</f>
        <v/>
      </c>
      <c r="EO119" s="32" t="str">
        <f aca="false">IF(AND(Tasks[[#This Row],[_IsLeaf]]=1,Tasks[[#This Row],[_LeafProgress]]&lt;1,OR(N(Tasks[[#This Row],[Finish Var]])&gt;0,Tasks[[#This Row],[Status]]="Late Start")),MAX(0,Tasks[[#This Row],[Finish Var]])+1-Tasks[[#This Row],[_Row]]/1000000,"")</f>
        <v/>
      </c>
      <c r="EP119" s="32" t="str">
        <f aca="false">IF(AND(Tasks[[#This Row],[_IsLeaf]]=1,N(Tasks[[#This Row],[Actual Start]])=0,Tasks[[#This Row],[_ShownFcstStart]]&gt;=StatusDate,Tasks[[#This Row],[_ShownFcstStart]]&lt;=LookaheadEnd),Tasks[[#This Row],[_ShownFcstStart]]+Tasks[[#This Row],[_Row]]/100000,"")</f>
        <v/>
      </c>
      <c r="EQ119" s="32" t="str">
        <f aca="false">IF(AND(Tasks[[#This Row],[_IsLeaf]]=1,Tasks[[#This Row],[_LeafProgress]]&lt;1,Tasks[[#This Row],[_ShownFcstFinish]]&gt;=StatusDate,Tasks[[#This Row],[_ShownFcstFinish]]&lt;=LookaheadEnd),Tasks[[#This Row],[_ShownFcstFinish]]+Tasks[[#This Row],[_Row]]/100000,"")</f>
        <v/>
      </c>
      <c r="ER119" s="32" t="str">
        <f aca="false">IF(Tasks[[#This Row],[_LeafCritical]],Tasks[[#This Row],[_ShownFcstStart]]+Tasks[[#This Row],[_Row]]/100000,"")</f>
        <v/>
      </c>
      <c r="ES119" s="32" t="n">
        <f aca="false">Tasks[[#This Row],[_LeafWork]]*Tasks[[#This Row],[_LeafProgress]]</f>
        <v>0</v>
      </c>
      <c r="ET119" s="115" t="str">
        <f aca="false">IF(AND(Tasks[[#This Row],[_IsLeaf]]=1,Tasks[[#This Row],[_LeafProgress]]&gt;=1),IF(N(Tasks[[#This Row],[Actual Finish]])&gt;0,Tasks[[#This Row],[Actual Finish]],Tasks[[#This Row],[_ShownFcstFinish]]),"")</f>
        <v/>
      </c>
      <c r="EU119" s="32" t="n">
        <f aca="false">IF(Tasks[[#This Row],[_IsLeaf]]=1,N(Tasks[[#This Row],[Story Points]]),0)</f>
        <v>0</v>
      </c>
      <c r="EV119" s="32" t="str">
        <f aca="false">IF(AND(Tasks[[#This Row],[_IsLeaf]]=1,CurrentSprint&lt;&gt;"",Tasks[[#This Row],[Sprint]]=CurrentSprint),Tasks[[#This Row],[_Row]],"")</f>
        <v/>
      </c>
    </row>
    <row r="120" customFormat="false" ht="15" hidden="false" customHeight="false" outlineLevel="0" collapsed="false">
      <c r="A120" s="45" t="str">
        <f aca="false">IF(Tasks[[#This Row],[Task Name]]="","",COUNTA(Tasks[[#Headers],[Task Name]]:Tasks[[#This Row],[Task Name]])-1)</f>
        <v/>
      </c>
      <c r="B120" s="46" t="n">
        <v>115</v>
      </c>
      <c r="C12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0" s="46"/>
      <c r="E120" s="45" t="str">
        <f aca="false">IF(Tasks[[#This Row],[Task Name]]="","",IF(Tasks[[#This Row],[_Level]]&lt;=OutlineShowLevel,"Yes","No"))</f>
        <v/>
      </c>
      <c r="F120" s="47"/>
      <c r="G120" s="46"/>
      <c r="H120" s="46"/>
      <c r="I120" s="46"/>
      <c r="J120" s="46"/>
      <c r="K120" s="46"/>
      <c r="L120" s="46"/>
      <c r="M120" s="46"/>
      <c r="N120" s="46"/>
      <c r="O120" s="46"/>
      <c r="P120" s="46"/>
      <c r="Q120" s="46"/>
      <c r="R120" s="46"/>
      <c r="S120" s="46"/>
      <c r="T120" s="46"/>
      <c r="U120" s="47"/>
      <c r="V120" s="88"/>
      <c r="W120" s="88"/>
      <c r="X120" s="25" t="str">
        <f aca="false">IF(Tasks[[#This Row],[Task Name]]="","",IF(N(Tasks[[#This Row],[Baseline Start]])&gt;0,Tasks[[#This Row],[Baseline Start]],Tasks[[#This Row],[_CalcStart]]))</f>
        <v/>
      </c>
      <c r="Y120" s="25" t="str">
        <f aca="false">IF(Tasks[[#This Row],[Task Name]]="","",IF(N(Tasks[[#This Row],[Baseline Finish]])&gt;0,Tasks[[#This Row],[Baseline Finish]],Tasks[[#This Row],[_CalcFinish]]))</f>
        <v/>
      </c>
      <c r="Z120" s="88"/>
      <c r="AA120" s="88"/>
      <c r="AB120" s="25" t="str">
        <f aca="false">IF(Tasks[[#This Row],[Task Name]]="","",IF(Tasks[[#This Row],[_IsSummary]],MIN(INDEX(Tasks[_ShownFcstStart],Tasks[[#This Row],[_Row]]+1):INDEX(Tasks[_ShownFcstStart],Tasks[[#This Row],[_Row]]+Tasks[[#This Row],[_Descendants]])),Tasks[[#This Row],[_ShownFcstStart]]))</f>
        <v/>
      </c>
      <c r="AC120" s="25" t="str">
        <f aca="false">IF(Tasks[[#This Row],[Task Name]]="","",IF(Tasks[[#This Row],[_IsSummary]],MAX(INDEX(Tasks[_ShownFcstFinish],Tasks[[#This Row],[_Row]]+1):INDEX(Tasks[_ShownFcstFinish],Tasks[[#This Row],[_Row]]+Tasks[[#This Row],[_Descendants]])),Tasks[[#This Row],[_ShownFcstFinish]]))</f>
        <v/>
      </c>
      <c r="AD12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0" s="25" t="str">
        <f aca="false">IF(Tasks[[#This Row],[Task Name]]="","",IF(Tasks[[#This Row],[_IsSummary]],MIN(INDEX(Tasks[_LeafLateStart],Tasks[[#This Row],[_Row]]+1):INDEX(Tasks[_LeafLateStart],Tasks[[#This Row],[_Row]]+Tasks[[#This Row],[_Descendants]])),Tasks[[#This Row],[_LeafLateStart]]))</f>
        <v/>
      </c>
      <c r="AG120" s="25" t="str">
        <f aca="false">IF(Tasks[[#This Row],[Task Name]]="","",IF(Tasks[[#This Row],[_IsSummary]],MAX(INDEX(Tasks[_LeafLateFinish],Tasks[[#This Row],[_Row]]+1):INDEX(Tasks[_LeafLateFinish],Tasks[[#This Row],[_Row]]+Tasks[[#This Row],[_Descendants]])),Tasks[[#This Row],[_LeafLateFinish]]))</f>
        <v/>
      </c>
      <c r="AH120" s="56" t="str">
        <f aca="false">IF(Tasks[[#This Row],[Task Name]]="","",IF(Tasks[[#This Row],[_IsSummary]],MIN(INDEX(Tasks[_LeafTotalSlack],Tasks[[#This Row],[_Row]]+1):INDEX(Tasks[_LeafTotalSlack],Tasks[[#This Row],[_Row]]+Tasks[[#This Row],[_Descendants]])),Tasks[[#This Row],[_LeafTotalSlack]]))</f>
        <v/>
      </c>
      <c r="AI12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0" s="45" t="str">
        <f aca="false">IF(Tasks[[#This Row],[Task Name]]="","",IF(IF(Tasks[[#This Row],[_IsSummary]],COUNTIF(INDEX(Tasks[_LeafCritical],Tasks[[#This Row],[_Row]]+1):INDEX(Tasks[_LeafCritical],Tasks[[#This Row],[_Row]]+Tasks[[#This Row],[_Descendants]]),TRUE())&gt;0,Tasks[[#This Row],[_LeafCritical]]),"Yes",""))</f>
        <v/>
      </c>
      <c r="AK12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0" s="102"/>
      <c r="AN12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0" s="45" t="str">
        <f aca="false">IF(Tasks[[#This Row],[Task Name]]="","",IF(Tasks[[#This Row],[Progress]]&gt;=1,"Complete",IF(OR(N(Tasks[[#This Row],[Actual Start]])&gt;0,Tasks[[#This Row],[Progress]]&gt;0),IF(Tasks[[#This Row],[Finish Var]]&gt;0,"Behind","In Progress"),IF(Tasks[[#This Row],[Planned Start]]&lt;StatusDate,"Late Start","Not Started"))))</f>
        <v/>
      </c>
      <c r="AP120" s="47"/>
      <c r="AQ120" s="102"/>
      <c r="AR12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0" s="110" t="str">
        <f aca="false">IF(Tasks[[#This Row],[Task Name]]="","",IF(Tasks[[#This Row],[_IsSummary]],SUM(INDEX(Tasks[_LeafTotalWork],Tasks[[#This Row],[_Row]]+1):INDEX(Tasks[_LeafTotalWork],Tasks[[#This Row],[_Row]]+Tasks[[#This Row],[_Descendants]])),Tasks[[#This Row],[_LeafTotalWork]]))</f>
        <v/>
      </c>
      <c r="AU120" s="111" t="str">
        <f aca="false">IF(Tasks[[#This Row],[Task Name]]="","",IF(Tasks[[#This Row],[_IsSummary]],SUM(INDEX(Tasks[_LeafTotalCost],Tasks[[#This Row],[_Row]]+1):INDEX(Tasks[_LeafTotalCost],Tasks[[#This Row],[_Row]]+Tasks[[#This Row],[_Descendants]])),Tasks[[#This Row],[_LeafTotalCost]]))</f>
        <v/>
      </c>
      <c r="AV120" s="112"/>
      <c r="AW120" s="46"/>
      <c r="AX12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0" s="96"/>
      <c r="AZ12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0" s="47"/>
      <c r="BB120" s="25" t="str">
        <f aca="false">IF(Tasks[[#This Row],[Task Name]]="","",Tasks[[#This Row],[Forecast Start]])</f>
        <v/>
      </c>
      <c r="BC120" s="25" t="str">
        <f aca="false">IF(Tasks[[#This Row],[Task Name]]="","",Tasks[[#This Row],[Forecast Finish]])</f>
        <v/>
      </c>
      <c r="BD120" s="45" t="str">
        <f aca="false">IF(Tasks[[#This Row],[Task Name]]="","",IF(Tasks[[#This Row],[_IsSummary]],NETWORKDAYS.INTL(Tasks[[#This Row],[Forecast Start]],Tasks[[#This Row],[Forecast Finish]],WorkWeek,Holidays),N(Tasks[[#This Row],[Duration]])))</f>
        <v/>
      </c>
      <c r="BE120" s="110" t="str">
        <f aca="false">IF(Tasks[[#This Row],[Task Name]]="","",Tasks[[#This Row],[Work]])</f>
        <v/>
      </c>
      <c r="BF120" s="111" t="str">
        <f aca="false">IF(Tasks[[#This Row],[Task Name]]="","",Tasks[[#This Row],[Cost]])</f>
        <v/>
      </c>
      <c r="BG120" s="88"/>
      <c r="BH120" s="88"/>
      <c r="BI120" s="46"/>
      <c r="BJ120" s="113"/>
      <c r="BK120" s="112"/>
      <c r="BL120" s="45" t="str">
        <f aca="false">IF(OR(Tasks[[#This Row],[Task Name]]="",Tasks[[#This Row],[Baseline Duration]]=""),"",Tasks[[#This Row],[BL Source Duration]]-N(Tasks[[#This Row],[Baseline Duration]]))</f>
        <v/>
      </c>
      <c r="BM120" s="110" t="str">
        <f aca="false">IF(OR(Tasks[[#This Row],[Task Name]]="",Tasks[[#This Row],[Baseline Work]]=""),"",Tasks[[#This Row],[Work]]-N(Tasks[[#This Row],[Baseline Work]]))</f>
        <v/>
      </c>
      <c r="BN120" s="111" t="str">
        <f aca="false">IF(OR(Tasks[[#This Row],[Task Name]]="",Tasks[[#This Row],[Baseline Cost]]=""),"",Tasks[[#This Row],[Cost]]-N(Tasks[[#This Row],[Baseline Cost]]))</f>
        <v/>
      </c>
      <c r="BO120" s="111" t="str">
        <f aca="false">IF(Tasks[[#This Row],[Task Name]]="","",IF(Tasks[[#This Row],[_IsSummary]],SUM(INDEX(Tasks[_LeafBudget],Tasks[[#This Row],[_Row]]+1):INDEX(Tasks[_LeafBudget],Tasks[[#This Row],[_Row]]+Tasks[[#This Row],[_Descendants]])),Tasks[[#This Row],[_LeafBudget]]))</f>
        <v/>
      </c>
      <c r="BP120" s="111" t="str">
        <f aca="false">IF(Tasks[[#This Row],[Task Name]]="","",IF(Tasks[[#This Row],[_IsSummary]],SUM(INDEX(Tasks[_LeafPV],Tasks[[#This Row],[_Row]]+1):INDEX(Tasks[_LeafPV],Tasks[[#This Row],[_Row]]+Tasks[[#This Row],[_Descendants]])),Tasks[[#This Row],[_LeafPV]]))</f>
        <v/>
      </c>
      <c r="BQ120" s="111" t="str">
        <f aca="false">IF(Tasks[[#This Row],[Task Name]]="","",IF(Tasks[[#This Row],[_IsSummary]],SUM(INDEX(Tasks[_LeafEV],Tasks[[#This Row],[_Row]]+1):INDEX(Tasks[_LeafEV],Tasks[[#This Row],[_Row]]+Tasks[[#This Row],[_Descendants]])),Tasks[[#This Row],[_LeafEV]]))</f>
        <v/>
      </c>
      <c r="BR120" s="111" t="str">
        <f aca="false">IF(Tasks[[#This Row],[Task Name]]="","",IF(Tasks[[#This Row],[_IsSummary]],SUM(INDEX(Tasks[_LeafAC],Tasks[[#This Row],[_Row]]+1):INDEX(Tasks[_LeafAC],Tasks[[#This Row],[_Row]]+Tasks[[#This Row],[_Descendants]])),Tasks[[#This Row],[_LeafAC]]))</f>
        <v/>
      </c>
      <c r="BS120" s="32" t="str">
        <f aca="false">IF(Tasks[[#This Row],[Task Name]]="","",MAX(1,N(Tasks[[#This Row],[Level]])))</f>
        <v/>
      </c>
      <c r="BT120" s="32" t="n">
        <f aca="false">ROW()-ROW(Tasks[[#Headers],[ID]])</f>
        <v>115</v>
      </c>
      <c r="BU120" s="32" t="n">
        <f aca="false">IF(OR(Tasks[[#This Row],[Task Name]]="",Tasks[[#This Row],[_Level]]&lt;=1),0,IFERROR(LOOKUP(2,1/(Tasks[[#Headers],[_Level]]:Tasks[[#This Row],[_Level]]=Tasks[[#This Row],[_Level]]-1),ROW(Tasks[[#Headers],[_Level]]:Tasks[[#This Row],[_Level]])),0))</f>
        <v>0</v>
      </c>
      <c r="BV120" s="32" t="n">
        <f aca="false">IFERROR(N(INDEX(Tasks[_Level],Tasks[[#This Row],[_Row]]+1)),0)</f>
        <v>0</v>
      </c>
      <c r="BW120" s="114" t="b">
        <f aca="false">AND(Tasks[[#This Row],[Task Name]]&lt;&gt;"",Tasks[[#This Row],[_NextLevel]]&gt;Tasks[[#This Row],[_Level]])</f>
        <v>0</v>
      </c>
      <c r="BX120" s="32" t="n">
        <f aca="false">IF(Tasks[[#This Row],[_IsSummary]],COUNTIF(Tasks[WBS],Tasks[[#This Row],[WBS]]&amp;".*"),0)</f>
        <v>0</v>
      </c>
      <c r="BY120" s="32" t="n">
        <f aca="false">IF(AND(Tasks[[#This Row],[Task Name]]&lt;&gt;"",NOT(Tasks[[#This Row],[_IsSummary]])),1,0)</f>
        <v>0</v>
      </c>
      <c r="BZ120" s="32" t="n">
        <f aca="false">IF(N(Tasks[[#This Row],[Pred1 UID]])=0,0,IFERROR(MATCH(Tasks[[#This Row],[Pred1 UID]],Tasks[UID],0),-1))</f>
        <v>0</v>
      </c>
      <c r="CA120" s="32" t="n">
        <f aca="false">IF(N(Tasks[[#This Row],[Pred2 UID]])=0,0,IFERROR(MATCH(Tasks[[#This Row],[Pred2 UID]],Tasks[UID],0),-1))</f>
        <v>0</v>
      </c>
      <c r="CB120" s="32" t="n">
        <f aca="false">IF(N(Tasks[[#This Row],[Pred3 UID]])=0,0,IFERROR(MATCH(Tasks[[#This Row],[Pred3 UID]],Tasks[UID],0),-1))</f>
        <v>0</v>
      </c>
      <c r="CC120" s="32" t="n">
        <f aca="false">IF(N(Tasks[[#This Row],[Pred4 UID]])=0,0,IFERROR(MATCH(Tasks[[#This Row],[Pred4 UID]],Tasks[UID],0),-1))</f>
        <v>0</v>
      </c>
      <c r="CD12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0" s="115" t="n">
        <f aca="false">IF(OR(Tasks[[#This Row],[_ConstraintCode]]=2,Tasks[[#This Row],[_ConstraintCode]]=3,Tasks[[#This Row],[_ConstraintCode]]=4,Tasks[[#This Row],[_ConstraintCode]]=6),Tasks[[#This Row],[_ConstraintStart]],0)</f>
        <v>0</v>
      </c>
      <c r="CG120" s="115" t="n">
        <f aca="false">IF(OR(Tasks[[#This Row],[_ConstraintCode]]=2,Tasks[[#This Row],[_ConstraintCode]]=3,Tasks[[#This Row],[_ConstraintCode]]=5,Tasks[[#This Row],[_ConstraintCode]]=7),Tasks[[#This Row],[_ConstraintStart]],2958465)</f>
        <v>2958465</v>
      </c>
      <c r="CH12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0" s="115" t="str">
        <f aca="false">IF(NOT(Tasks[[#This Row],[_IsLeaf]]=1),"",IF(N(Tasks[[#This Row],[Duration]])&lt;=0,Tasks[[#This Row],[_LeafCalcStart]],WORKDAY.INTL(Tasks[[#This Row],[_LeafCalcStart]],Tasks[[#This Row],[Duration]]-1,WorkWeek,Holidays)))</f>
        <v/>
      </c>
      <c r="CJ12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0" s="32" t="n">
        <f aca="false">IF(NOT(Tasks[[#This Row],[_IsLeaf]]=1),0,IF(N(Tasks[[#This Row],[Actual Finish]])&gt;0,1,MIN(1,N(Tasks[[#This Row],[% Complete]]))))</f>
        <v>0</v>
      </c>
      <c r="CM120" s="32" t="n">
        <f aca="false">IF(OR(NOT(Tasks[[#This Row],[_IsLeaf]]=1),Tasks[[#This Row],[Resource]]=""),0,N(Tasks[[#This Row],[Duration]])*HoursPerDay*IF(Tasks[[#This Row],[Units]]="",DefaultUnits,Tasks[[#This Row],[Units]]))</f>
        <v>0</v>
      </c>
      <c r="CN120" s="32" t="n">
        <f aca="false">IF(Tasks[[#This Row],[_LeafWork]]=0,0,Tasks[[#This Row],[_LeafWork]]*IFERROR(INDEX(res_Rate,MATCH(Tasks[[#This Row],[Resource]],res_Name,0)),0))</f>
        <v>0</v>
      </c>
      <c r="CO120" s="32" t="n">
        <f aca="false">Tasks[[#This Row],[_LeafWork]]+IF(Tasks[[#This Row],[_IsLeaf]]=1,SUMIFS(asg_Work,asg_TaskUID,Tasks[[#This Row],[UID]],asg_Valid,1),0)</f>
        <v>0</v>
      </c>
      <c r="CP120" s="32" t="n">
        <f aca="false">Tasks[[#This Row],[_LeafCost]]+IF(Tasks[[#This Row],[_IsLeaf]]=1,SUMIFS(asg_Cost,asg_TaskUID,Tasks[[#This Row],[UID]],asg_Valid,1),0)</f>
        <v>0</v>
      </c>
      <c r="CQ120" s="32" t="n">
        <f aca="false">IF(Tasks[[#This Row],[_LeafTotalCost]]=0,Tasks[[#This Row],[_LeafAC]],Tasks[[#This Row],[_LeafAC]]*Tasks[[#This Row],[_LeafCost]]/Tasks[[#This Row],[_LeafTotalCost]])</f>
        <v>0</v>
      </c>
      <c r="CR12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0" s="32" t="n">
        <f aca="false">IF(NOT(Tasks[[#This Row],[_IsLeaf]]=1),0,MAX(_xlfn.MAXIFS(Tasks[_Row],Tasks[Pred1 UID],Tasks[[#This Row],[UID]]),_xlfn.MAXIFS(Tasks[_Row],Tasks[Pred2 UID],Tasks[[#This Row],[UID]]),_xlfn.MAXIFS(Tasks[_Row],Tasks[Pred3 UID],Tasks[[#This Row],[UID]]),_xlfn.MAXIFS(Tasks[_Row],Tasks[Pred4 UID],Tasks[[#This Row],[UID]])))</f>
        <v>0</v>
      </c>
      <c r="DA12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0" s="115" t="str">
        <f aca="false">IF(NOT(Tasks[[#This Row],[_IsLeaf]]=1),"",IF(N(Tasks[[#This Row],[Duration]])&lt;=0,Tasks[[#This Row],[_LeafLateFinish]],WORKDAY.INTL(Tasks[[#This Row],[_LeafLateFinish]],-(Tasks[[#This Row],[Duration]]-1),WorkWeek,Holidays)))</f>
        <v/>
      </c>
      <c r="DD12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0" s="114" t="b">
        <f aca="false">AND(Tasks[[#This Row],[_IsLeaf]]=1,Tasks[[#This Row],[_LeafProgress]]&lt;1,N(Tasks[[#This Row],[_LeafTotalSlack]])&lt;=CriticalSlackDays)</f>
        <v>0</v>
      </c>
      <c r="DF120" s="32" t="n">
        <f aca="false">IF(AND(Tasks[[#This Row],[_IsLeaf]]=1,Tasks[[#This Row],[_ConstraintCode]]=1,Tasks[[#This Row],[Mode]]&lt;&gt;"Manual",N(Tasks[[#This Row],[Actual Start]])=0),MAX(0,N(Tasks[[#This Row],[Free Slack]])),0)</f>
        <v>0</v>
      </c>
      <c r="DG120" s="115" t="str">
        <f aca="false">IF(NOT(Tasks[[#This Row],[_IsLeaf]]=1),"",IF(Tasks[[#This Row],[_AlapShift]]=0,Tasks[[#This Row],[_LeafCalcStart]],WORKDAY.INTL(Tasks[[#This Row],[_LeafCalcStart]],Tasks[[#This Row],[_AlapShift]],WorkWeek,Holidays)))</f>
        <v/>
      </c>
      <c r="DH120" s="115" t="str">
        <f aca="false">IF(NOT(Tasks[[#This Row],[_IsLeaf]]=1),"",IF(Tasks[[#This Row],[_AlapShift]]=0,Tasks[[#This Row],[_LeafCalcFinish]],WORKDAY.INTL(Tasks[[#This Row],[_LeafCalcFinish]],Tasks[[#This Row],[_AlapShift]],WorkWeek,Holidays)))</f>
        <v/>
      </c>
      <c r="DI120" s="115" t="str">
        <f aca="false">IF(NOT(Tasks[[#This Row],[_IsLeaf]]=1),"",IF(Tasks[[#This Row],[_AlapShift]]=0,Tasks[[#This Row],[_LeafFcstStart]],WORKDAY.INTL(Tasks[[#This Row],[_LeafFcstStart]],Tasks[[#This Row],[_AlapShift]],WorkWeek,Holidays)))</f>
        <v/>
      </c>
      <c r="DJ120" s="115" t="str">
        <f aca="false">IF(NOT(Tasks[[#This Row],[_IsLeaf]]=1),"",IF(Tasks[[#This Row],[_AlapShift]]=0,Tasks[[#This Row],[_LeafFcstFinish]],WORKDAY.INTL(Tasks[[#This Row],[_LeafFcstFinish]],Tasks[[#This Row],[_AlapShift]],WorkWeek,Holidays)))</f>
        <v/>
      </c>
      <c r="DK120" s="115" t="str">
        <f aca="false">IF(Tasks[[#This Row],[Task Name]]="","",IF(Tasks[[#This Row],[_IsSummary]],MIN(INDEX(Tasks[_ShownCalcStart],Tasks[[#This Row],[_Row]]+1):INDEX(Tasks[_ShownCalcStart],Tasks[[#This Row],[_Row]]+Tasks[[#This Row],[_Descendants]])),Tasks[[#This Row],[_ShownCalcStart]]))</f>
        <v/>
      </c>
      <c r="DL120" s="115" t="str">
        <f aca="false">IF(Tasks[[#This Row],[Task Name]]="","",IF(Tasks[[#This Row],[_IsSummary]],MAX(INDEX(Tasks[_ShownCalcFinish],Tasks[[#This Row],[_Row]]+1):INDEX(Tasks[_ShownCalcFinish],Tasks[[#This Row],[_Row]]+Tasks[[#This Row],[_Descendants]])),Tasks[[#This Row],[_ShownCalcFinish]]))</f>
        <v/>
      </c>
      <c r="DM12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0" s="32" t="n">
        <f aca="false">IF(AND(Tasks[[#This Row],[_IsLeaf]]=1,Tasks[[#This Row],[_LeafTotalWork]]&gt;0),NETWORKDAYS.INTL(ProjectStart,Tasks[[#This Row],[_ShownFcstStart]],WorkWeek,Holidays),0)</f>
        <v>0</v>
      </c>
      <c r="DZ120" s="32" t="n">
        <f aca="false">IF(AND(Tasks[[#This Row],[_IsLeaf]]=1,Tasks[[#This Row],[_LeafTotalWork]]&gt;0),MAX(Tasks[[#This Row],[_StartWorkday]],NETWORKDAYS.INTL(ProjectStart,Tasks[[#This Row],[_ShownFcstFinish]],WorkWeek,Holidays)),0)</f>
        <v>0</v>
      </c>
      <c r="EA120" s="32" t="n">
        <f aca="false">IF(AND(Tasks[[#This Row],[_IsLeaf]]=1,Tasks[[#This Row],[_LeafTotalWork]]&gt;0),Tasks[[#This Row],[_LeafWork]]/(Tasks[[#This Row],[_FinishWorkday]]-Tasks[[#This Row],[_StartWorkday]]+1),0)</f>
        <v>0</v>
      </c>
      <c r="EB120" s="32" t="n">
        <f aca="false">Tasks[[#This Row],[_WorkPerWorkday]]*(Tasks[[#This Row],[_StartWorkday]]-1)</f>
        <v>-0</v>
      </c>
      <c r="EC120" s="32" t="n">
        <f aca="false">IF(Tasks[[#This Row],[_IsLeaf]]=1,MAX(N(Tasks[[#This Row],[Duration]]),0.1),0)</f>
        <v>0</v>
      </c>
      <c r="ED120" s="32" t="n">
        <f aca="false">Tasks[[#This Row],[_WeightDur]]*Tasks[[#This Row],[_LeafProgress]]</f>
        <v>0</v>
      </c>
      <c r="EE12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0" s="32" t="str">
        <f aca="false">IF(AND(Tasks[[#This Row],[_IsLeaf]]=1,N(Tasks[[#This Row],[Duration]])=0,Tasks[[#This Row],[_LeafProgress]]&lt;1),Tasks[[#This Row],[_ShownFcstFinish]]+Tasks[[#This Row],[_Row]]/100000,"")</f>
        <v/>
      </c>
      <c r="EG12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0" s="32" t="n">
        <f aca="false">IF(NOT(Tasks[[#This Row],[_IsLeaf]]=1),0,IF(Tasks[[#This Row],[Baseline Cost]]="",Tasks[[#This Row],[_LeafTotalCost]],N(Tasks[[#This Row],[Baseline Cost]])))</f>
        <v>0</v>
      </c>
      <c r="EI120" s="32" t="n">
        <f aca="false">Tasks[[#This Row],[_LeafBudget]]*Tasks[[#This Row],[_PlannedPct]]</f>
        <v>0</v>
      </c>
      <c r="EJ120" s="32" t="n">
        <f aca="false">Tasks[[#This Row],[_LeafBudget]]*Tasks[[#This Row],[_LeafProgress]]</f>
        <v>0</v>
      </c>
      <c r="EK120" s="32" t="n">
        <f aca="false">IF(NOT(Tasks[[#This Row],[_IsLeaf]]=1),0,IF(Tasks[[#This Row],[Actual Cost]]="",Tasks[[#This Row],[_LeafTotalCost]]*Tasks[[#This Row],[_LeafProgress]],N(Tasks[[#This Row],[Actual Cost]])))</f>
        <v>0</v>
      </c>
      <c r="EL120" s="32" t="str">
        <f aca="false">IF(Tasks[[#This Row],[Task Name]]="","",LEFT(Tasks[[#This Row],[WBS]],FIND(".",Tasks[[#This Row],[WBS]]&amp;".")-1))</f>
        <v/>
      </c>
      <c r="EM120" s="32" t="str">
        <f aca="false">IF(AND(Tasks[[#This Row],[Task Name]]&lt;&gt;"",Tasks[[#This Row],[_Level]]=1),Tasks[[#This Row],[_Row]],"")</f>
        <v/>
      </c>
      <c r="EN120" s="32" t="str">
        <f aca="false">IF(AND(Tasks[[#This Row],[_IsLeaf]]=1,N(Tasks[[#This Row],[Duration]])=0),Tasks[[#This Row],[Planned Finish]]+Tasks[[#This Row],[_Row]]/100000,"")</f>
        <v/>
      </c>
      <c r="EO120" s="32" t="str">
        <f aca="false">IF(AND(Tasks[[#This Row],[_IsLeaf]]=1,Tasks[[#This Row],[_LeafProgress]]&lt;1,OR(N(Tasks[[#This Row],[Finish Var]])&gt;0,Tasks[[#This Row],[Status]]="Late Start")),MAX(0,Tasks[[#This Row],[Finish Var]])+1-Tasks[[#This Row],[_Row]]/1000000,"")</f>
        <v/>
      </c>
      <c r="EP120" s="32" t="str">
        <f aca="false">IF(AND(Tasks[[#This Row],[_IsLeaf]]=1,N(Tasks[[#This Row],[Actual Start]])=0,Tasks[[#This Row],[_ShownFcstStart]]&gt;=StatusDate,Tasks[[#This Row],[_ShownFcstStart]]&lt;=LookaheadEnd),Tasks[[#This Row],[_ShownFcstStart]]+Tasks[[#This Row],[_Row]]/100000,"")</f>
        <v/>
      </c>
      <c r="EQ120" s="32" t="str">
        <f aca="false">IF(AND(Tasks[[#This Row],[_IsLeaf]]=1,Tasks[[#This Row],[_LeafProgress]]&lt;1,Tasks[[#This Row],[_ShownFcstFinish]]&gt;=StatusDate,Tasks[[#This Row],[_ShownFcstFinish]]&lt;=LookaheadEnd),Tasks[[#This Row],[_ShownFcstFinish]]+Tasks[[#This Row],[_Row]]/100000,"")</f>
        <v/>
      </c>
      <c r="ER120" s="32" t="str">
        <f aca="false">IF(Tasks[[#This Row],[_LeafCritical]],Tasks[[#This Row],[_ShownFcstStart]]+Tasks[[#This Row],[_Row]]/100000,"")</f>
        <v/>
      </c>
      <c r="ES120" s="32" t="n">
        <f aca="false">Tasks[[#This Row],[_LeafWork]]*Tasks[[#This Row],[_LeafProgress]]</f>
        <v>0</v>
      </c>
      <c r="ET120" s="115" t="str">
        <f aca="false">IF(AND(Tasks[[#This Row],[_IsLeaf]]=1,Tasks[[#This Row],[_LeafProgress]]&gt;=1),IF(N(Tasks[[#This Row],[Actual Finish]])&gt;0,Tasks[[#This Row],[Actual Finish]],Tasks[[#This Row],[_ShownFcstFinish]]),"")</f>
        <v/>
      </c>
      <c r="EU120" s="32" t="n">
        <f aca="false">IF(Tasks[[#This Row],[_IsLeaf]]=1,N(Tasks[[#This Row],[Story Points]]),0)</f>
        <v>0</v>
      </c>
      <c r="EV120" s="32" t="str">
        <f aca="false">IF(AND(Tasks[[#This Row],[_IsLeaf]]=1,CurrentSprint&lt;&gt;"",Tasks[[#This Row],[Sprint]]=CurrentSprint),Tasks[[#This Row],[_Row]],"")</f>
        <v/>
      </c>
    </row>
    <row r="121" customFormat="false" ht="15" hidden="false" customHeight="false" outlineLevel="0" collapsed="false">
      <c r="A121" s="45" t="str">
        <f aca="false">IF(Tasks[[#This Row],[Task Name]]="","",COUNTA(Tasks[[#Headers],[Task Name]]:Tasks[[#This Row],[Task Name]])-1)</f>
        <v/>
      </c>
      <c r="B121" s="46" t="n">
        <v>116</v>
      </c>
      <c r="C12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1" s="46"/>
      <c r="E121" s="45" t="str">
        <f aca="false">IF(Tasks[[#This Row],[Task Name]]="","",IF(Tasks[[#This Row],[_Level]]&lt;=OutlineShowLevel,"Yes","No"))</f>
        <v/>
      </c>
      <c r="F121" s="47"/>
      <c r="G121" s="46"/>
      <c r="H121" s="46"/>
      <c r="I121" s="46"/>
      <c r="J121" s="46"/>
      <c r="K121" s="46"/>
      <c r="L121" s="46"/>
      <c r="M121" s="46"/>
      <c r="N121" s="46"/>
      <c r="O121" s="46"/>
      <c r="P121" s="46"/>
      <c r="Q121" s="46"/>
      <c r="R121" s="46"/>
      <c r="S121" s="46"/>
      <c r="T121" s="46"/>
      <c r="U121" s="47"/>
      <c r="V121" s="88"/>
      <c r="W121" s="88"/>
      <c r="X121" s="25" t="str">
        <f aca="false">IF(Tasks[[#This Row],[Task Name]]="","",IF(N(Tasks[[#This Row],[Baseline Start]])&gt;0,Tasks[[#This Row],[Baseline Start]],Tasks[[#This Row],[_CalcStart]]))</f>
        <v/>
      </c>
      <c r="Y121" s="25" t="str">
        <f aca="false">IF(Tasks[[#This Row],[Task Name]]="","",IF(N(Tasks[[#This Row],[Baseline Finish]])&gt;0,Tasks[[#This Row],[Baseline Finish]],Tasks[[#This Row],[_CalcFinish]]))</f>
        <v/>
      </c>
      <c r="Z121" s="88"/>
      <c r="AA121" s="88"/>
      <c r="AB121" s="25" t="str">
        <f aca="false">IF(Tasks[[#This Row],[Task Name]]="","",IF(Tasks[[#This Row],[_IsSummary]],MIN(INDEX(Tasks[_ShownFcstStart],Tasks[[#This Row],[_Row]]+1):INDEX(Tasks[_ShownFcstStart],Tasks[[#This Row],[_Row]]+Tasks[[#This Row],[_Descendants]])),Tasks[[#This Row],[_ShownFcstStart]]))</f>
        <v/>
      </c>
      <c r="AC121" s="25" t="str">
        <f aca="false">IF(Tasks[[#This Row],[Task Name]]="","",IF(Tasks[[#This Row],[_IsSummary]],MAX(INDEX(Tasks[_ShownFcstFinish],Tasks[[#This Row],[_Row]]+1):INDEX(Tasks[_ShownFcstFinish],Tasks[[#This Row],[_Row]]+Tasks[[#This Row],[_Descendants]])),Tasks[[#This Row],[_ShownFcstFinish]]))</f>
        <v/>
      </c>
      <c r="AD12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1" s="25" t="str">
        <f aca="false">IF(Tasks[[#This Row],[Task Name]]="","",IF(Tasks[[#This Row],[_IsSummary]],MIN(INDEX(Tasks[_LeafLateStart],Tasks[[#This Row],[_Row]]+1):INDEX(Tasks[_LeafLateStart],Tasks[[#This Row],[_Row]]+Tasks[[#This Row],[_Descendants]])),Tasks[[#This Row],[_LeafLateStart]]))</f>
        <v/>
      </c>
      <c r="AG121" s="25" t="str">
        <f aca="false">IF(Tasks[[#This Row],[Task Name]]="","",IF(Tasks[[#This Row],[_IsSummary]],MAX(INDEX(Tasks[_LeafLateFinish],Tasks[[#This Row],[_Row]]+1):INDEX(Tasks[_LeafLateFinish],Tasks[[#This Row],[_Row]]+Tasks[[#This Row],[_Descendants]])),Tasks[[#This Row],[_LeafLateFinish]]))</f>
        <v/>
      </c>
      <c r="AH121" s="56" t="str">
        <f aca="false">IF(Tasks[[#This Row],[Task Name]]="","",IF(Tasks[[#This Row],[_IsSummary]],MIN(INDEX(Tasks[_LeafTotalSlack],Tasks[[#This Row],[_Row]]+1):INDEX(Tasks[_LeafTotalSlack],Tasks[[#This Row],[_Row]]+Tasks[[#This Row],[_Descendants]])),Tasks[[#This Row],[_LeafTotalSlack]]))</f>
        <v/>
      </c>
      <c r="AI12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1" s="45" t="str">
        <f aca="false">IF(Tasks[[#This Row],[Task Name]]="","",IF(IF(Tasks[[#This Row],[_IsSummary]],COUNTIF(INDEX(Tasks[_LeafCritical],Tasks[[#This Row],[_Row]]+1):INDEX(Tasks[_LeafCritical],Tasks[[#This Row],[_Row]]+Tasks[[#This Row],[_Descendants]]),TRUE())&gt;0,Tasks[[#This Row],[_LeafCritical]]),"Yes",""))</f>
        <v/>
      </c>
      <c r="AK12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1" s="102"/>
      <c r="AN12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1" s="45" t="str">
        <f aca="false">IF(Tasks[[#This Row],[Task Name]]="","",IF(Tasks[[#This Row],[Progress]]&gt;=1,"Complete",IF(OR(N(Tasks[[#This Row],[Actual Start]])&gt;0,Tasks[[#This Row],[Progress]]&gt;0),IF(Tasks[[#This Row],[Finish Var]]&gt;0,"Behind","In Progress"),IF(Tasks[[#This Row],[Planned Start]]&lt;StatusDate,"Late Start","Not Started"))))</f>
        <v/>
      </c>
      <c r="AP121" s="47"/>
      <c r="AQ121" s="102"/>
      <c r="AR12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1" s="110" t="str">
        <f aca="false">IF(Tasks[[#This Row],[Task Name]]="","",IF(Tasks[[#This Row],[_IsSummary]],SUM(INDEX(Tasks[_LeafTotalWork],Tasks[[#This Row],[_Row]]+1):INDEX(Tasks[_LeafTotalWork],Tasks[[#This Row],[_Row]]+Tasks[[#This Row],[_Descendants]])),Tasks[[#This Row],[_LeafTotalWork]]))</f>
        <v/>
      </c>
      <c r="AU121" s="111" t="str">
        <f aca="false">IF(Tasks[[#This Row],[Task Name]]="","",IF(Tasks[[#This Row],[_IsSummary]],SUM(INDEX(Tasks[_LeafTotalCost],Tasks[[#This Row],[_Row]]+1):INDEX(Tasks[_LeafTotalCost],Tasks[[#This Row],[_Row]]+Tasks[[#This Row],[_Descendants]])),Tasks[[#This Row],[_LeafTotalCost]]))</f>
        <v/>
      </c>
      <c r="AV121" s="112"/>
      <c r="AW121" s="46"/>
      <c r="AX12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1" s="96"/>
      <c r="AZ12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1" s="47"/>
      <c r="BB121" s="25" t="str">
        <f aca="false">IF(Tasks[[#This Row],[Task Name]]="","",Tasks[[#This Row],[Forecast Start]])</f>
        <v/>
      </c>
      <c r="BC121" s="25" t="str">
        <f aca="false">IF(Tasks[[#This Row],[Task Name]]="","",Tasks[[#This Row],[Forecast Finish]])</f>
        <v/>
      </c>
      <c r="BD121" s="45" t="str">
        <f aca="false">IF(Tasks[[#This Row],[Task Name]]="","",IF(Tasks[[#This Row],[_IsSummary]],NETWORKDAYS.INTL(Tasks[[#This Row],[Forecast Start]],Tasks[[#This Row],[Forecast Finish]],WorkWeek,Holidays),N(Tasks[[#This Row],[Duration]])))</f>
        <v/>
      </c>
      <c r="BE121" s="110" t="str">
        <f aca="false">IF(Tasks[[#This Row],[Task Name]]="","",Tasks[[#This Row],[Work]])</f>
        <v/>
      </c>
      <c r="BF121" s="111" t="str">
        <f aca="false">IF(Tasks[[#This Row],[Task Name]]="","",Tasks[[#This Row],[Cost]])</f>
        <v/>
      </c>
      <c r="BG121" s="88"/>
      <c r="BH121" s="88"/>
      <c r="BI121" s="46"/>
      <c r="BJ121" s="113"/>
      <c r="BK121" s="112"/>
      <c r="BL121" s="45" t="str">
        <f aca="false">IF(OR(Tasks[[#This Row],[Task Name]]="",Tasks[[#This Row],[Baseline Duration]]=""),"",Tasks[[#This Row],[BL Source Duration]]-N(Tasks[[#This Row],[Baseline Duration]]))</f>
        <v/>
      </c>
      <c r="BM121" s="110" t="str">
        <f aca="false">IF(OR(Tasks[[#This Row],[Task Name]]="",Tasks[[#This Row],[Baseline Work]]=""),"",Tasks[[#This Row],[Work]]-N(Tasks[[#This Row],[Baseline Work]]))</f>
        <v/>
      </c>
      <c r="BN121" s="111" t="str">
        <f aca="false">IF(OR(Tasks[[#This Row],[Task Name]]="",Tasks[[#This Row],[Baseline Cost]]=""),"",Tasks[[#This Row],[Cost]]-N(Tasks[[#This Row],[Baseline Cost]]))</f>
        <v/>
      </c>
      <c r="BO121" s="111" t="str">
        <f aca="false">IF(Tasks[[#This Row],[Task Name]]="","",IF(Tasks[[#This Row],[_IsSummary]],SUM(INDEX(Tasks[_LeafBudget],Tasks[[#This Row],[_Row]]+1):INDEX(Tasks[_LeafBudget],Tasks[[#This Row],[_Row]]+Tasks[[#This Row],[_Descendants]])),Tasks[[#This Row],[_LeafBudget]]))</f>
        <v/>
      </c>
      <c r="BP121" s="111" t="str">
        <f aca="false">IF(Tasks[[#This Row],[Task Name]]="","",IF(Tasks[[#This Row],[_IsSummary]],SUM(INDEX(Tasks[_LeafPV],Tasks[[#This Row],[_Row]]+1):INDEX(Tasks[_LeafPV],Tasks[[#This Row],[_Row]]+Tasks[[#This Row],[_Descendants]])),Tasks[[#This Row],[_LeafPV]]))</f>
        <v/>
      </c>
      <c r="BQ121" s="111" t="str">
        <f aca="false">IF(Tasks[[#This Row],[Task Name]]="","",IF(Tasks[[#This Row],[_IsSummary]],SUM(INDEX(Tasks[_LeafEV],Tasks[[#This Row],[_Row]]+1):INDEX(Tasks[_LeafEV],Tasks[[#This Row],[_Row]]+Tasks[[#This Row],[_Descendants]])),Tasks[[#This Row],[_LeafEV]]))</f>
        <v/>
      </c>
      <c r="BR121" s="111" t="str">
        <f aca="false">IF(Tasks[[#This Row],[Task Name]]="","",IF(Tasks[[#This Row],[_IsSummary]],SUM(INDEX(Tasks[_LeafAC],Tasks[[#This Row],[_Row]]+1):INDEX(Tasks[_LeafAC],Tasks[[#This Row],[_Row]]+Tasks[[#This Row],[_Descendants]])),Tasks[[#This Row],[_LeafAC]]))</f>
        <v/>
      </c>
      <c r="BS121" s="32" t="str">
        <f aca="false">IF(Tasks[[#This Row],[Task Name]]="","",MAX(1,N(Tasks[[#This Row],[Level]])))</f>
        <v/>
      </c>
      <c r="BT121" s="32" t="n">
        <f aca="false">ROW()-ROW(Tasks[[#Headers],[ID]])</f>
        <v>116</v>
      </c>
      <c r="BU121" s="32" t="n">
        <f aca="false">IF(OR(Tasks[[#This Row],[Task Name]]="",Tasks[[#This Row],[_Level]]&lt;=1),0,IFERROR(LOOKUP(2,1/(Tasks[[#Headers],[_Level]]:Tasks[[#This Row],[_Level]]=Tasks[[#This Row],[_Level]]-1),ROW(Tasks[[#Headers],[_Level]]:Tasks[[#This Row],[_Level]])),0))</f>
        <v>0</v>
      </c>
      <c r="BV121" s="32" t="n">
        <f aca="false">IFERROR(N(INDEX(Tasks[_Level],Tasks[[#This Row],[_Row]]+1)),0)</f>
        <v>0</v>
      </c>
      <c r="BW121" s="114" t="b">
        <f aca="false">AND(Tasks[[#This Row],[Task Name]]&lt;&gt;"",Tasks[[#This Row],[_NextLevel]]&gt;Tasks[[#This Row],[_Level]])</f>
        <v>0</v>
      </c>
      <c r="BX121" s="32" t="n">
        <f aca="false">IF(Tasks[[#This Row],[_IsSummary]],COUNTIF(Tasks[WBS],Tasks[[#This Row],[WBS]]&amp;".*"),0)</f>
        <v>0</v>
      </c>
      <c r="BY121" s="32" t="n">
        <f aca="false">IF(AND(Tasks[[#This Row],[Task Name]]&lt;&gt;"",NOT(Tasks[[#This Row],[_IsSummary]])),1,0)</f>
        <v>0</v>
      </c>
      <c r="BZ121" s="32" t="n">
        <f aca="false">IF(N(Tasks[[#This Row],[Pred1 UID]])=0,0,IFERROR(MATCH(Tasks[[#This Row],[Pred1 UID]],Tasks[UID],0),-1))</f>
        <v>0</v>
      </c>
      <c r="CA121" s="32" t="n">
        <f aca="false">IF(N(Tasks[[#This Row],[Pred2 UID]])=0,0,IFERROR(MATCH(Tasks[[#This Row],[Pred2 UID]],Tasks[UID],0),-1))</f>
        <v>0</v>
      </c>
      <c r="CB121" s="32" t="n">
        <f aca="false">IF(N(Tasks[[#This Row],[Pred3 UID]])=0,0,IFERROR(MATCH(Tasks[[#This Row],[Pred3 UID]],Tasks[UID],0),-1))</f>
        <v>0</v>
      </c>
      <c r="CC121" s="32" t="n">
        <f aca="false">IF(N(Tasks[[#This Row],[Pred4 UID]])=0,0,IFERROR(MATCH(Tasks[[#This Row],[Pred4 UID]],Tasks[UID],0),-1))</f>
        <v>0</v>
      </c>
      <c r="CD12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1" s="115" t="n">
        <f aca="false">IF(OR(Tasks[[#This Row],[_ConstraintCode]]=2,Tasks[[#This Row],[_ConstraintCode]]=3,Tasks[[#This Row],[_ConstraintCode]]=4,Tasks[[#This Row],[_ConstraintCode]]=6),Tasks[[#This Row],[_ConstraintStart]],0)</f>
        <v>0</v>
      </c>
      <c r="CG121" s="115" t="n">
        <f aca="false">IF(OR(Tasks[[#This Row],[_ConstraintCode]]=2,Tasks[[#This Row],[_ConstraintCode]]=3,Tasks[[#This Row],[_ConstraintCode]]=5,Tasks[[#This Row],[_ConstraintCode]]=7),Tasks[[#This Row],[_ConstraintStart]],2958465)</f>
        <v>2958465</v>
      </c>
      <c r="CH12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1" s="115" t="str">
        <f aca="false">IF(NOT(Tasks[[#This Row],[_IsLeaf]]=1),"",IF(N(Tasks[[#This Row],[Duration]])&lt;=0,Tasks[[#This Row],[_LeafCalcStart]],WORKDAY.INTL(Tasks[[#This Row],[_LeafCalcStart]],Tasks[[#This Row],[Duration]]-1,WorkWeek,Holidays)))</f>
        <v/>
      </c>
      <c r="CJ12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1" s="32" t="n">
        <f aca="false">IF(NOT(Tasks[[#This Row],[_IsLeaf]]=1),0,IF(N(Tasks[[#This Row],[Actual Finish]])&gt;0,1,MIN(1,N(Tasks[[#This Row],[% Complete]]))))</f>
        <v>0</v>
      </c>
      <c r="CM121" s="32" t="n">
        <f aca="false">IF(OR(NOT(Tasks[[#This Row],[_IsLeaf]]=1),Tasks[[#This Row],[Resource]]=""),0,N(Tasks[[#This Row],[Duration]])*HoursPerDay*IF(Tasks[[#This Row],[Units]]="",DefaultUnits,Tasks[[#This Row],[Units]]))</f>
        <v>0</v>
      </c>
      <c r="CN121" s="32" t="n">
        <f aca="false">IF(Tasks[[#This Row],[_LeafWork]]=0,0,Tasks[[#This Row],[_LeafWork]]*IFERROR(INDEX(res_Rate,MATCH(Tasks[[#This Row],[Resource]],res_Name,0)),0))</f>
        <v>0</v>
      </c>
      <c r="CO121" s="32" t="n">
        <f aca="false">Tasks[[#This Row],[_LeafWork]]+IF(Tasks[[#This Row],[_IsLeaf]]=1,SUMIFS(asg_Work,asg_TaskUID,Tasks[[#This Row],[UID]],asg_Valid,1),0)</f>
        <v>0</v>
      </c>
      <c r="CP121" s="32" t="n">
        <f aca="false">Tasks[[#This Row],[_LeafCost]]+IF(Tasks[[#This Row],[_IsLeaf]]=1,SUMIFS(asg_Cost,asg_TaskUID,Tasks[[#This Row],[UID]],asg_Valid,1),0)</f>
        <v>0</v>
      </c>
      <c r="CQ121" s="32" t="n">
        <f aca="false">IF(Tasks[[#This Row],[_LeafTotalCost]]=0,Tasks[[#This Row],[_LeafAC]],Tasks[[#This Row],[_LeafAC]]*Tasks[[#This Row],[_LeafCost]]/Tasks[[#This Row],[_LeafTotalCost]])</f>
        <v>0</v>
      </c>
      <c r="CR12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1" s="32" t="n">
        <f aca="false">IF(NOT(Tasks[[#This Row],[_IsLeaf]]=1),0,MAX(_xlfn.MAXIFS(Tasks[_Row],Tasks[Pred1 UID],Tasks[[#This Row],[UID]]),_xlfn.MAXIFS(Tasks[_Row],Tasks[Pred2 UID],Tasks[[#This Row],[UID]]),_xlfn.MAXIFS(Tasks[_Row],Tasks[Pred3 UID],Tasks[[#This Row],[UID]]),_xlfn.MAXIFS(Tasks[_Row],Tasks[Pred4 UID],Tasks[[#This Row],[UID]])))</f>
        <v>0</v>
      </c>
      <c r="DA12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1" s="115" t="str">
        <f aca="false">IF(NOT(Tasks[[#This Row],[_IsLeaf]]=1),"",IF(N(Tasks[[#This Row],[Duration]])&lt;=0,Tasks[[#This Row],[_LeafLateFinish]],WORKDAY.INTL(Tasks[[#This Row],[_LeafLateFinish]],-(Tasks[[#This Row],[Duration]]-1),WorkWeek,Holidays)))</f>
        <v/>
      </c>
      <c r="DD12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1" s="114" t="b">
        <f aca="false">AND(Tasks[[#This Row],[_IsLeaf]]=1,Tasks[[#This Row],[_LeafProgress]]&lt;1,N(Tasks[[#This Row],[_LeafTotalSlack]])&lt;=CriticalSlackDays)</f>
        <v>0</v>
      </c>
      <c r="DF121" s="32" t="n">
        <f aca="false">IF(AND(Tasks[[#This Row],[_IsLeaf]]=1,Tasks[[#This Row],[_ConstraintCode]]=1,Tasks[[#This Row],[Mode]]&lt;&gt;"Manual",N(Tasks[[#This Row],[Actual Start]])=0),MAX(0,N(Tasks[[#This Row],[Free Slack]])),0)</f>
        <v>0</v>
      </c>
      <c r="DG121" s="115" t="str">
        <f aca="false">IF(NOT(Tasks[[#This Row],[_IsLeaf]]=1),"",IF(Tasks[[#This Row],[_AlapShift]]=0,Tasks[[#This Row],[_LeafCalcStart]],WORKDAY.INTL(Tasks[[#This Row],[_LeafCalcStart]],Tasks[[#This Row],[_AlapShift]],WorkWeek,Holidays)))</f>
        <v/>
      </c>
      <c r="DH121" s="115" t="str">
        <f aca="false">IF(NOT(Tasks[[#This Row],[_IsLeaf]]=1),"",IF(Tasks[[#This Row],[_AlapShift]]=0,Tasks[[#This Row],[_LeafCalcFinish]],WORKDAY.INTL(Tasks[[#This Row],[_LeafCalcFinish]],Tasks[[#This Row],[_AlapShift]],WorkWeek,Holidays)))</f>
        <v/>
      </c>
      <c r="DI121" s="115" t="str">
        <f aca="false">IF(NOT(Tasks[[#This Row],[_IsLeaf]]=1),"",IF(Tasks[[#This Row],[_AlapShift]]=0,Tasks[[#This Row],[_LeafFcstStart]],WORKDAY.INTL(Tasks[[#This Row],[_LeafFcstStart]],Tasks[[#This Row],[_AlapShift]],WorkWeek,Holidays)))</f>
        <v/>
      </c>
      <c r="DJ121" s="115" t="str">
        <f aca="false">IF(NOT(Tasks[[#This Row],[_IsLeaf]]=1),"",IF(Tasks[[#This Row],[_AlapShift]]=0,Tasks[[#This Row],[_LeafFcstFinish]],WORKDAY.INTL(Tasks[[#This Row],[_LeafFcstFinish]],Tasks[[#This Row],[_AlapShift]],WorkWeek,Holidays)))</f>
        <v/>
      </c>
      <c r="DK121" s="115" t="str">
        <f aca="false">IF(Tasks[[#This Row],[Task Name]]="","",IF(Tasks[[#This Row],[_IsSummary]],MIN(INDEX(Tasks[_ShownCalcStart],Tasks[[#This Row],[_Row]]+1):INDEX(Tasks[_ShownCalcStart],Tasks[[#This Row],[_Row]]+Tasks[[#This Row],[_Descendants]])),Tasks[[#This Row],[_ShownCalcStart]]))</f>
        <v/>
      </c>
      <c r="DL121" s="115" t="str">
        <f aca="false">IF(Tasks[[#This Row],[Task Name]]="","",IF(Tasks[[#This Row],[_IsSummary]],MAX(INDEX(Tasks[_ShownCalcFinish],Tasks[[#This Row],[_Row]]+1):INDEX(Tasks[_ShownCalcFinish],Tasks[[#This Row],[_Row]]+Tasks[[#This Row],[_Descendants]])),Tasks[[#This Row],[_ShownCalcFinish]]))</f>
        <v/>
      </c>
      <c r="DM12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1" s="32" t="n">
        <f aca="false">IF(AND(Tasks[[#This Row],[_IsLeaf]]=1,Tasks[[#This Row],[_LeafTotalWork]]&gt;0),NETWORKDAYS.INTL(ProjectStart,Tasks[[#This Row],[_ShownFcstStart]],WorkWeek,Holidays),0)</f>
        <v>0</v>
      </c>
      <c r="DZ121" s="32" t="n">
        <f aca="false">IF(AND(Tasks[[#This Row],[_IsLeaf]]=1,Tasks[[#This Row],[_LeafTotalWork]]&gt;0),MAX(Tasks[[#This Row],[_StartWorkday]],NETWORKDAYS.INTL(ProjectStart,Tasks[[#This Row],[_ShownFcstFinish]],WorkWeek,Holidays)),0)</f>
        <v>0</v>
      </c>
      <c r="EA121" s="32" t="n">
        <f aca="false">IF(AND(Tasks[[#This Row],[_IsLeaf]]=1,Tasks[[#This Row],[_LeafTotalWork]]&gt;0),Tasks[[#This Row],[_LeafWork]]/(Tasks[[#This Row],[_FinishWorkday]]-Tasks[[#This Row],[_StartWorkday]]+1),0)</f>
        <v>0</v>
      </c>
      <c r="EB121" s="32" t="n">
        <f aca="false">Tasks[[#This Row],[_WorkPerWorkday]]*(Tasks[[#This Row],[_StartWorkday]]-1)</f>
        <v>-0</v>
      </c>
      <c r="EC121" s="32" t="n">
        <f aca="false">IF(Tasks[[#This Row],[_IsLeaf]]=1,MAX(N(Tasks[[#This Row],[Duration]]),0.1),0)</f>
        <v>0</v>
      </c>
      <c r="ED121" s="32" t="n">
        <f aca="false">Tasks[[#This Row],[_WeightDur]]*Tasks[[#This Row],[_LeafProgress]]</f>
        <v>0</v>
      </c>
      <c r="EE12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1" s="32" t="str">
        <f aca="false">IF(AND(Tasks[[#This Row],[_IsLeaf]]=1,N(Tasks[[#This Row],[Duration]])=0,Tasks[[#This Row],[_LeafProgress]]&lt;1),Tasks[[#This Row],[_ShownFcstFinish]]+Tasks[[#This Row],[_Row]]/100000,"")</f>
        <v/>
      </c>
      <c r="EG12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1" s="32" t="n">
        <f aca="false">IF(NOT(Tasks[[#This Row],[_IsLeaf]]=1),0,IF(Tasks[[#This Row],[Baseline Cost]]="",Tasks[[#This Row],[_LeafTotalCost]],N(Tasks[[#This Row],[Baseline Cost]])))</f>
        <v>0</v>
      </c>
      <c r="EI121" s="32" t="n">
        <f aca="false">Tasks[[#This Row],[_LeafBudget]]*Tasks[[#This Row],[_PlannedPct]]</f>
        <v>0</v>
      </c>
      <c r="EJ121" s="32" t="n">
        <f aca="false">Tasks[[#This Row],[_LeafBudget]]*Tasks[[#This Row],[_LeafProgress]]</f>
        <v>0</v>
      </c>
      <c r="EK121" s="32" t="n">
        <f aca="false">IF(NOT(Tasks[[#This Row],[_IsLeaf]]=1),0,IF(Tasks[[#This Row],[Actual Cost]]="",Tasks[[#This Row],[_LeafTotalCost]]*Tasks[[#This Row],[_LeafProgress]],N(Tasks[[#This Row],[Actual Cost]])))</f>
        <v>0</v>
      </c>
      <c r="EL121" s="32" t="str">
        <f aca="false">IF(Tasks[[#This Row],[Task Name]]="","",LEFT(Tasks[[#This Row],[WBS]],FIND(".",Tasks[[#This Row],[WBS]]&amp;".")-1))</f>
        <v/>
      </c>
      <c r="EM121" s="32" t="str">
        <f aca="false">IF(AND(Tasks[[#This Row],[Task Name]]&lt;&gt;"",Tasks[[#This Row],[_Level]]=1),Tasks[[#This Row],[_Row]],"")</f>
        <v/>
      </c>
      <c r="EN121" s="32" t="str">
        <f aca="false">IF(AND(Tasks[[#This Row],[_IsLeaf]]=1,N(Tasks[[#This Row],[Duration]])=0),Tasks[[#This Row],[Planned Finish]]+Tasks[[#This Row],[_Row]]/100000,"")</f>
        <v/>
      </c>
      <c r="EO121" s="32" t="str">
        <f aca="false">IF(AND(Tasks[[#This Row],[_IsLeaf]]=1,Tasks[[#This Row],[_LeafProgress]]&lt;1,OR(N(Tasks[[#This Row],[Finish Var]])&gt;0,Tasks[[#This Row],[Status]]="Late Start")),MAX(0,Tasks[[#This Row],[Finish Var]])+1-Tasks[[#This Row],[_Row]]/1000000,"")</f>
        <v/>
      </c>
      <c r="EP121" s="32" t="str">
        <f aca="false">IF(AND(Tasks[[#This Row],[_IsLeaf]]=1,N(Tasks[[#This Row],[Actual Start]])=0,Tasks[[#This Row],[_ShownFcstStart]]&gt;=StatusDate,Tasks[[#This Row],[_ShownFcstStart]]&lt;=LookaheadEnd),Tasks[[#This Row],[_ShownFcstStart]]+Tasks[[#This Row],[_Row]]/100000,"")</f>
        <v/>
      </c>
      <c r="EQ121" s="32" t="str">
        <f aca="false">IF(AND(Tasks[[#This Row],[_IsLeaf]]=1,Tasks[[#This Row],[_LeafProgress]]&lt;1,Tasks[[#This Row],[_ShownFcstFinish]]&gt;=StatusDate,Tasks[[#This Row],[_ShownFcstFinish]]&lt;=LookaheadEnd),Tasks[[#This Row],[_ShownFcstFinish]]+Tasks[[#This Row],[_Row]]/100000,"")</f>
        <v/>
      </c>
      <c r="ER121" s="32" t="str">
        <f aca="false">IF(Tasks[[#This Row],[_LeafCritical]],Tasks[[#This Row],[_ShownFcstStart]]+Tasks[[#This Row],[_Row]]/100000,"")</f>
        <v/>
      </c>
      <c r="ES121" s="32" t="n">
        <f aca="false">Tasks[[#This Row],[_LeafWork]]*Tasks[[#This Row],[_LeafProgress]]</f>
        <v>0</v>
      </c>
      <c r="ET121" s="115" t="str">
        <f aca="false">IF(AND(Tasks[[#This Row],[_IsLeaf]]=1,Tasks[[#This Row],[_LeafProgress]]&gt;=1),IF(N(Tasks[[#This Row],[Actual Finish]])&gt;0,Tasks[[#This Row],[Actual Finish]],Tasks[[#This Row],[_ShownFcstFinish]]),"")</f>
        <v/>
      </c>
      <c r="EU121" s="32" t="n">
        <f aca="false">IF(Tasks[[#This Row],[_IsLeaf]]=1,N(Tasks[[#This Row],[Story Points]]),0)</f>
        <v>0</v>
      </c>
      <c r="EV121" s="32" t="str">
        <f aca="false">IF(AND(Tasks[[#This Row],[_IsLeaf]]=1,CurrentSprint&lt;&gt;"",Tasks[[#This Row],[Sprint]]=CurrentSprint),Tasks[[#This Row],[_Row]],"")</f>
        <v/>
      </c>
    </row>
    <row r="122" customFormat="false" ht="15" hidden="false" customHeight="false" outlineLevel="0" collapsed="false">
      <c r="A122" s="45" t="str">
        <f aca="false">IF(Tasks[[#This Row],[Task Name]]="","",COUNTA(Tasks[[#Headers],[Task Name]]:Tasks[[#This Row],[Task Name]])-1)</f>
        <v/>
      </c>
      <c r="B122" s="46" t="n">
        <v>117</v>
      </c>
      <c r="C12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2" s="46"/>
      <c r="E122" s="45" t="str">
        <f aca="false">IF(Tasks[[#This Row],[Task Name]]="","",IF(Tasks[[#This Row],[_Level]]&lt;=OutlineShowLevel,"Yes","No"))</f>
        <v/>
      </c>
      <c r="F122" s="47"/>
      <c r="G122" s="46"/>
      <c r="H122" s="46"/>
      <c r="I122" s="46"/>
      <c r="J122" s="46"/>
      <c r="K122" s="46"/>
      <c r="L122" s="46"/>
      <c r="M122" s="46"/>
      <c r="N122" s="46"/>
      <c r="O122" s="46"/>
      <c r="P122" s="46"/>
      <c r="Q122" s="46"/>
      <c r="R122" s="46"/>
      <c r="S122" s="46"/>
      <c r="T122" s="46"/>
      <c r="U122" s="47"/>
      <c r="V122" s="88"/>
      <c r="W122" s="88"/>
      <c r="X122" s="25" t="str">
        <f aca="false">IF(Tasks[[#This Row],[Task Name]]="","",IF(N(Tasks[[#This Row],[Baseline Start]])&gt;0,Tasks[[#This Row],[Baseline Start]],Tasks[[#This Row],[_CalcStart]]))</f>
        <v/>
      </c>
      <c r="Y122" s="25" t="str">
        <f aca="false">IF(Tasks[[#This Row],[Task Name]]="","",IF(N(Tasks[[#This Row],[Baseline Finish]])&gt;0,Tasks[[#This Row],[Baseline Finish]],Tasks[[#This Row],[_CalcFinish]]))</f>
        <v/>
      </c>
      <c r="Z122" s="88"/>
      <c r="AA122" s="88"/>
      <c r="AB122" s="25" t="str">
        <f aca="false">IF(Tasks[[#This Row],[Task Name]]="","",IF(Tasks[[#This Row],[_IsSummary]],MIN(INDEX(Tasks[_ShownFcstStart],Tasks[[#This Row],[_Row]]+1):INDEX(Tasks[_ShownFcstStart],Tasks[[#This Row],[_Row]]+Tasks[[#This Row],[_Descendants]])),Tasks[[#This Row],[_ShownFcstStart]]))</f>
        <v/>
      </c>
      <c r="AC122" s="25" t="str">
        <f aca="false">IF(Tasks[[#This Row],[Task Name]]="","",IF(Tasks[[#This Row],[_IsSummary]],MAX(INDEX(Tasks[_ShownFcstFinish],Tasks[[#This Row],[_Row]]+1):INDEX(Tasks[_ShownFcstFinish],Tasks[[#This Row],[_Row]]+Tasks[[#This Row],[_Descendants]])),Tasks[[#This Row],[_ShownFcstFinish]]))</f>
        <v/>
      </c>
      <c r="AD12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2" s="25" t="str">
        <f aca="false">IF(Tasks[[#This Row],[Task Name]]="","",IF(Tasks[[#This Row],[_IsSummary]],MIN(INDEX(Tasks[_LeafLateStart],Tasks[[#This Row],[_Row]]+1):INDEX(Tasks[_LeafLateStart],Tasks[[#This Row],[_Row]]+Tasks[[#This Row],[_Descendants]])),Tasks[[#This Row],[_LeafLateStart]]))</f>
        <v/>
      </c>
      <c r="AG122" s="25" t="str">
        <f aca="false">IF(Tasks[[#This Row],[Task Name]]="","",IF(Tasks[[#This Row],[_IsSummary]],MAX(INDEX(Tasks[_LeafLateFinish],Tasks[[#This Row],[_Row]]+1):INDEX(Tasks[_LeafLateFinish],Tasks[[#This Row],[_Row]]+Tasks[[#This Row],[_Descendants]])),Tasks[[#This Row],[_LeafLateFinish]]))</f>
        <v/>
      </c>
      <c r="AH122" s="56" t="str">
        <f aca="false">IF(Tasks[[#This Row],[Task Name]]="","",IF(Tasks[[#This Row],[_IsSummary]],MIN(INDEX(Tasks[_LeafTotalSlack],Tasks[[#This Row],[_Row]]+1):INDEX(Tasks[_LeafTotalSlack],Tasks[[#This Row],[_Row]]+Tasks[[#This Row],[_Descendants]])),Tasks[[#This Row],[_LeafTotalSlack]]))</f>
        <v/>
      </c>
      <c r="AI12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2" s="45" t="str">
        <f aca="false">IF(Tasks[[#This Row],[Task Name]]="","",IF(IF(Tasks[[#This Row],[_IsSummary]],COUNTIF(INDEX(Tasks[_LeafCritical],Tasks[[#This Row],[_Row]]+1):INDEX(Tasks[_LeafCritical],Tasks[[#This Row],[_Row]]+Tasks[[#This Row],[_Descendants]]),TRUE())&gt;0,Tasks[[#This Row],[_LeafCritical]]),"Yes",""))</f>
        <v/>
      </c>
      <c r="AK12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2" s="102"/>
      <c r="AN12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2" s="45" t="str">
        <f aca="false">IF(Tasks[[#This Row],[Task Name]]="","",IF(Tasks[[#This Row],[Progress]]&gt;=1,"Complete",IF(OR(N(Tasks[[#This Row],[Actual Start]])&gt;0,Tasks[[#This Row],[Progress]]&gt;0),IF(Tasks[[#This Row],[Finish Var]]&gt;0,"Behind","In Progress"),IF(Tasks[[#This Row],[Planned Start]]&lt;StatusDate,"Late Start","Not Started"))))</f>
        <v/>
      </c>
      <c r="AP122" s="47"/>
      <c r="AQ122" s="102"/>
      <c r="AR12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2" s="110" t="str">
        <f aca="false">IF(Tasks[[#This Row],[Task Name]]="","",IF(Tasks[[#This Row],[_IsSummary]],SUM(INDEX(Tasks[_LeafTotalWork],Tasks[[#This Row],[_Row]]+1):INDEX(Tasks[_LeafTotalWork],Tasks[[#This Row],[_Row]]+Tasks[[#This Row],[_Descendants]])),Tasks[[#This Row],[_LeafTotalWork]]))</f>
        <v/>
      </c>
      <c r="AU122" s="111" t="str">
        <f aca="false">IF(Tasks[[#This Row],[Task Name]]="","",IF(Tasks[[#This Row],[_IsSummary]],SUM(INDEX(Tasks[_LeafTotalCost],Tasks[[#This Row],[_Row]]+1):INDEX(Tasks[_LeafTotalCost],Tasks[[#This Row],[_Row]]+Tasks[[#This Row],[_Descendants]])),Tasks[[#This Row],[_LeafTotalCost]]))</f>
        <v/>
      </c>
      <c r="AV122" s="112"/>
      <c r="AW122" s="46"/>
      <c r="AX12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2" s="96"/>
      <c r="AZ12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2" s="47"/>
      <c r="BB122" s="25" t="str">
        <f aca="false">IF(Tasks[[#This Row],[Task Name]]="","",Tasks[[#This Row],[Forecast Start]])</f>
        <v/>
      </c>
      <c r="BC122" s="25" t="str">
        <f aca="false">IF(Tasks[[#This Row],[Task Name]]="","",Tasks[[#This Row],[Forecast Finish]])</f>
        <v/>
      </c>
      <c r="BD122" s="45" t="str">
        <f aca="false">IF(Tasks[[#This Row],[Task Name]]="","",IF(Tasks[[#This Row],[_IsSummary]],NETWORKDAYS.INTL(Tasks[[#This Row],[Forecast Start]],Tasks[[#This Row],[Forecast Finish]],WorkWeek,Holidays),N(Tasks[[#This Row],[Duration]])))</f>
        <v/>
      </c>
      <c r="BE122" s="110" t="str">
        <f aca="false">IF(Tasks[[#This Row],[Task Name]]="","",Tasks[[#This Row],[Work]])</f>
        <v/>
      </c>
      <c r="BF122" s="111" t="str">
        <f aca="false">IF(Tasks[[#This Row],[Task Name]]="","",Tasks[[#This Row],[Cost]])</f>
        <v/>
      </c>
      <c r="BG122" s="88"/>
      <c r="BH122" s="88"/>
      <c r="BI122" s="46"/>
      <c r="BJ122" s="113"/>
      <c r="BK122" s="112"/>
      <c r="BL122" s="45" t="str">
        <f aca="false">IF(OR(Tasks[[#This Row],[Task Name]]="",Tasks[[#This Row],[Baseline Duration]]=""),"",Tasks[[#This Row],[BL Source Duration]]-N(Tasks[[#This Row],[Baseline Duration]]))</f>
        <v/>
      </c>
      <c r="BM122" s="110" t="str">
        <f aca="false">IF(OR(Tasks[[#This Row],[Task Name]]="",Tasks[[#This Row],[Baseline Work]]=""),"",Tasks[[#This Row],[Work]]-N(Tasks[[#This Row],[Baseline Work]]))</f>
        <v/>
      </c>
      <c r="BN122" s="111" t="str">
        <f aca="false">IF(OR(Tasks[[#This Row],[Task Name]]="",Tasks[[#This Row],[Baseline Cost]]=""),"",Tasks[[#This Row],[Cost]]-N(Tasks[[#This Row],[Baseline Cost]]))</f>
        <v/>
      </c>
      <c r="BO122" s="111" t="str">
        <f aca="false">IF(Tasks[[#This Row],[Task Name]]="","",IF(Tasks[[#This Row],[_IsSummary]],SUM(INDEX(Tasks[_LeafBudget],Tasks[[#This Row],[_Row]]+1):INDEX(Tasks[_LeafBudget],Tasks[[#This Row],[_Row]]+Tasks[[#This Row],[_Descendants]])),Tasks[[#This Row],[_LeafBudget]]))</f>
        <v/>
      </c>
      <c r="BP122" s="111" t="str">
        <f aca="false">IF(Tasks[[#This Row],[Task Name]]="","",IF(Tasks[[#This Row],[_IsSummary]],SUM(INDEX(Tasks[_LeafPV],Tasks[[#This Row],[_Row]]+1):INDEX(Tasks[_LeafPV],Tasks[[#This Row],[_Row]]+Tasks[[#This Row],[_Descendants]])),Tasks[[#This Row],[_LeafPV]]))</f>
        <v/>
      </c>
      <c r="BQ122" s="111" t="str">
        <f aca="false">IF(Tasks[[#This Row],[Task Name]]="","",IF(Tasks[[#This Row],[_IsSummary]],SUM(INDEX(Tasks[_LeafEV],Tasks[[#This Row],[_Row]]+1):INDEX(Tasks[_LeafEV],Tasks[[#This Row],[_Row]]+Tasks[[#This Row],[_Descendants]])),Tasks[[#This Row],[_LeafEV]]))</f>
        <v/>
      </c>
      <c r="BR122" s="111" t="str">
        <f aca="false">IF(Tasks[[#This Row],[Task Name]]="","",IF(Tasks[[#This Row],[_IsSummary]],SUM(INDEX(Tasks[_LeafAC],Tasks[[#This Row],[_Row]]+1):INDEX(Tasks[_LeafAC],Tasks[[#This Row],[_Row]]+Tasks[[#This Row],[_Descendants]])),Tasks[[#This Row],[_LeafAC]]))</f>
        <v/>
      </c>
      <c r="BS122" s="32" t="str">
        <f aca="false">IF(Tasks[[#This Row],[Task Name]]="","",MAX(1,N(Tasks[[#This Row],[Level]])))</f>
        <v/>
      </c>
      <c r="BT122" s="32" t="n">
        <f aca="false">ROW()-ROW(Tasks[[#Headers],[ID]])</f>
        <v>117</v>
      </c>
      <c r="BU122" s="32" t="n">
        <f aca="false">IF(OR(Tasks[[#This Row],[Task Name]]="",Tasks[[#This Row],[_Level]]&lt;=1),0,IFERROR(LOOKUP(2,1/(Tasks[[#Headers],[_Level]]:Tasks[[#This Row],[_Level]]=Tasks[[#This Row],[_Level]]-1),ROW(Tasks[[#Headers],[_Level]]:Tasks[[#This Row],[_Level]])),0))</f>
        <v>0</v>
      </c>
      <c r="BV122" s="32" t="n">
        <f aca="false">IFERROR(N(INDEX(Tasks[_Level],Tasks[[#This Row],[_Row]]+1)),0)</f>
        <v>0</v>
      </c>
      <c r="BW122" s="114" t="b">
        <f aca="false">AND(Tasks[[#This Row],[Task Name]]&lt;&gt;"",Tasks[[#This Row],[_NextLevel]]&gt;Tasks[[#This Row],[_Level]])</f>
        <v>0</v>
      </c>
      <c r="BX122" s="32" t="n">
        <f aca="false">IF(Tasks[[#This Row],[_IsSummary]],COUNTIF(Tasks[WBS],Tasks[[#This Row],[WBS]]&amp;".*"),0)</f>
        <v>0</v>
      </c>
      <c r="BY122" s="32" t="n">
        <f aca="false">IF(AND(Tasks[[#This Row],[Task Name]]&lt;&gt;"",NOT(Tasks[[#This Row],[_IsSummary]])),1,0)</f>
        <v>0</v>
      </c>
      <c r="BZ122" s="32" t="n">
        <f aca="false">IF(N(Tasks[[#This Row],[Pred1 UID]])=0,0,IFERROR(MATCH(Tasks[[#This Row],[Pred1 UID]],Tasks[UID],0),-1))</f>
        <v>0</v>
      </c>
      <c r="CA122" s="32" t="n">
        <f aca="false">IF(N(Tasks[[#This Row],[Pred2 UID]])=0,0,IFERROR(MATCH(Tasks[[#This Row],[Pred2 UID]],Tasks[UID],0),-1))</f>
        <v>0</v>
      </c>
      <c r="CB122" s="32" t="n">
        <f aca="false">IF(N(Tasks[[#This Row],[Pred3 UID]])=0,0,IFERROR(MATCH(Tasks[[#This Row],[Pred3 UID]],Tasks[UID],0),-1))</f>
        <v>0</v>
      </c>
      <c r="CC122" s="32" t="n">
        <f aca="false">IF(N(Tasks[[#This Row],[Pred4 UID]])=0,0,IFERROR(MATCH(Tasks[[#This Row],[Pred4 UID]],Tasks[UID],0),-1))</f>
        <v>0</v>
      </c>
      <c r="CD12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2" s="115" t="n">
        <f aca="false">IF(OR(Tasks[[#This Row],[_ConstraintCode]]=2,Tasks[[#This Row],[_ConstraintCode]]=3,Tasks[[#This Row],[_ConstraintCode]]=4,Tasks[[#This Row],[_ConstraintCode]]=6),Tasks[[#This Row],[_ConstraintStart]],0)</f>
        <v>0</v>
      </c>
      <c r="CG122" s="115" t="n">
        <f aca="false">IF(OR(Tasks[[#This Row],[_ConstraintCode]]=2,Tasks[[#This Row],[_ConstraintCode]]=3,Tasks[[#This Row],[_ConstraintCode]]=5,Tasks[[#This Row],[_ConstraintCode]]=7),Tasks[[#This Row],[_ConstraintStart]],2958465)</f>
        <v>2958465</v>
      </c>
      <c r="CH12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2" s="115" t="str">
        <f aca="false">IF(NOT(Tasks[[#This Row],[_IsLeaf]]=1),"",IF(N(Tasks[[#This Row],[Duration]])&lt;=0,Tasks[[#This Row],[_LeafCalcStart]],WORKDAY.INTL(Tasks[[#This Row],[_LeafCalcStart]],Tasks[[#This Row],[Duration]]-1,WorkWeek,Holidays)))</f>
        <v/>
      </c>
      <c r="CJ12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2" s="32" t="n">
        <f aca="false">IF(NOT(Tasks[[#This Row],[_IsLeaf]]=1),0,IF(N(Tasks[[#This Row],[Actual Finish]])&gt;0,1,MIN(1,N(Tasks[[#This Row],[% Complete]]))))</f>
        <v>0</v>
      </c>
      <c r="CM122" s="32" t="n">
        <f aca="false">IF(OR(NOT(Tasks[[#This Row],[_IsLeaf]]=1),Tasks[[#This Row],[Resource]]=""),0,N(Tasks[[#This Row],[Duration]])*HoursPerDay*IF(Tasks[[#This Row],[Units]]="",DefaultUnits,Tasks[[#This Row],[Units]]))</f>
        <v>0</v>
      </c>
      <c r="CN122" s="32" t="n">
        <f aca="false">IF(Tasks[[#This Row],[_LeafWork]]=0,0,Tasks[[#This Row],[_LeafWork]]*IFERROR(INDEX(res_Rate,MATCH(Tasks[[#This Row],[Resource]],res_Name,0)),0))</f>
        <v>0</v>
      </c>
      <c r="CO122" s="32" t="n">
        <f aca="false">Tasks[[#This Row],[_LeafWork]]+IF(Tasks[[#This Row],[_IsLeaf]]=1,SUMIFS(asg_Work,asg_TaskUID,Tasks[[#This Row],[UID]],asg_Valid,1),0)</f>
        <v>0</v>
      </c>
      <c r="CP122" s="32" t="n">
        <f aca="false">Tasks[[#This Row],[_LeafCost]]+IF(Tasks[[#This Row],[_IsLeaf]]=1,SUMIFS(asg_Cost,asg_TaskUID,Tasks[[#This Row],[UID]],asg_Valid,1),0)</f>
        <v>0</v>
      </c>
      <c r="CQ122" s="32" t="n">
        <f aca="false">IF(Tasks[[#This Row],[_LeafTotalCost]]=0,Tasks[[#This Row],[_LeafAC]],Tasks[[#This Row],[_LeafAC]]*Tasks[[#This Row],[_LeafCost]]/Tasks[[#This Row],[_LeafTotalCost]])</f>
        <v>0</v>
      </c>
      <c r="CR12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2" s="32" t="n">
        <f aca="false">IF(NOT(Tasks[[#This Row],[_IsLeaf]]=1),0,MAX(_xlfn.MAXIFS(Tasks[_Row],Tasks[Pred1 UID],Tasks[[#This Row],[UID]]),_xlfn.MAXIFS(Tasks[_Row],Tasks[Pred2 UID],Tasks[[#This Row],[UID]]),_xlfn.MAXIFS(Tasks[_Row],Tasks[Pred3 UID],Tasks[[#This Row],[UID]]),_xlfn.MAXIFS(Tasks[_Row],Tasks[Pred4 UID],Tasks[[#This Row],[UID]])))</f>
        <v>0</v>
      </c>
      <c r="DA12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2" s="115" t="str">
        <f aca="false">IF(NOT(Tasks[[#This Row],[_IsLeaf]]=1),"",IF(N(Tasks[[#This Row],[Duration]])&lt;=0,Tasks[[#This Row],[_LeafLateFinish]],WORKDAY.INTL(Tasks[[#This Row],[_LeafLateFinish]],-(Tasks[[#This Row],[Duration]]-1),WorkWeek,Holidays)))</f>
        <v/>
      </c>
      <c r="DD12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2" s="114" t="b">
        <f aca="false">AND(Tasks[[#This Row],[_IsLeaf]]=1,Tasks[[#This Row],[_LeafProgress]]&lt;1,N(Tasks[[#This Row],[_LeafTotalSlack]])&lt;=CriticalSlackDays)</f>
        <v>0</v>
      </c>
      <c r="DF122" s="32" t="n">
        <f aca="false">IF(AND(Tasks[[#This Row],[_IsLeaf]]=1,Tasks[[#This Row],[_ConstraintCode]]=1,Tasks[[#This Row],[Mode]]&lt;&gt;"Manual",N(Tasks[[#This Row],[Actual Start]])=0),MAX(0,N(Tasks[[#This Row],[Free Slack]])),0)</f>
        <v>0</v>
      </c>
      <c r="DG122" s="115" t="str">
        <f aca="false">IF(NOT(Tasks[[#This Row],[_IsLeaf]]=1),"",IF(Tasks[[#This Row],[_AlapShift]]=0,Tasks[[#This Row],[_LeafCalcStart]],WORKDAY.INTL(Tasks[[#This Row],[_LeafCalcStart]],Tasks[[#This Row],[_AlapShift]],WorkWeek,Holidays)))</f>
        <v/>
      </c>
      <c r="DH122" s="115" t="str">
        <f aca="false">IF(NOT(Tasks[[#This Row],[_IsLeaf]]=1),"",IF(Tasks[[#This Row],[_AlapShift]]=0,Tasks[[#This Row],[_LeafCalcFinish]],WORKDAY.INTL(Tasks[[#This Row],[_LeafCalcFinish]],Tasks[[#This Row],[_AlapShift]],WorkWeek,Holidays)))</f>
        <v/>
      </c>
      <c r="DI122" s="115" t="str">
        <f aca="false">IF(NOT(Tasks[[#This Row],[_IsLeaf]]=1),"",IF(Tasks[[#This Row],[_AlapShift]]=0,Tasks[[#This Row],[_LeafFcstStart]],WORKDAY.INTL(Tasks[[#This Row],[_LeafFcstStart]],Tasks[[#This Row],[_AlapShift]],WorkWeek,Holidays)))</f>
        <v/>
      </c>
      <c r="DJ122" s="115" t="str">
        <f aca="false">IF(NOT(Tasks[[#This Row],[_IsLeaf]]=1),"",IF(Tasks[[#This Row],[_AlapShift]]=0,Tasks[[#This Row],[_LeafFcstFinish]],WORKDAY.INTL(Tasks[[#This Row],[_LeafFcstFinish]],Tasks[[#This Row],[_AlapShift]],WorkWeek,Holidays)))</f>
        <v/>
      </c>
      <c r="DK122" s="115" t="str">
        <f aca="false">IF(Tasks[[#This Row],[Task Name]]="","",IF(Tasks[[#This Row],[_IsSummary]],MIN(INDEX(Tasks[_ShownCalcStart],Tasks[[#This Row],[_Row]]+1):INDEX(Tasks[_ShownCalcStart],Tasks[[#This Row],[_Row]]+Tasks[[#This Row],[_Descendants]])),Tasks[[#This Row],[_ShownCalcStart]]))</f>
        <v/>
      </c>
      <c r="DL122" s="115" t="str">
        <f aca="false">IF(Tasks[[#This Row],[Task Name]]="","",IF(Tasks[[#This Row],[_IsSummary]],MAX(INDEX(Tasks[_ShownCalcFinish],Tasks[[#This Row],[_Row]]+1):INDEX(Tasks[_ShownCalcFinish],Tasks[[#This Row],[_Row]]+Tasks[[#This Row],[_Descendants]])),Tasks[[#This Row],[_ShownCalcFinish]]))</f>
        <v/>
      </c>
      <c r="DM12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2" s="32" t="n">
        <f aca="false">IF(AND(Tasks[[#This Row],[_IsLeaf]]=1,Tasks[[#This Row],[_LeafTotalWork]]&gt;0),NETWORKDAYS.INTL(ProjectStart,Tasks[[#This Row],[_ShownFcstStart]],WorkWeek,Holidays),0)</f>
        <v>0</v>
      </c>
      <c r="DZ122" s="32" t="n">
        <f aca="false">IF(AND(Tasks[[#This Row],[_IsLeaf]]=1,Tasks[[#This Row],[_LeafTotalWork]]&gt;0),MAX(Tasks[[#This Row],[_StartWorkday]],NETWORKDAYS.INTL(ProjectStart,Tasks[[#This Row],[_ShownFcstFinish]],WorkWeek,Holidays)),0)</f>
        <v>0</v>
      </c>
      <c r="EA122" s="32" t="n">
        <f aca="false">IF(AND(Tasks[[#This Row],[_IsLeaf]]=1,Tasks[[#This Row],[_LeafTotalWork]]&gt;0),Tasks[[#This Row],[_LeafWork]]/(Tasks[[#This Row],[_FinishWorkday]]-Tasks[[#This Row],[_StartWorkday]]+1),0)</f>
        <v>0</v>
      </c>
      <c r="EB122" s="32" t="n">
        <f aca="false">Tasks[[#This Row],[_WorkPerWorkday]]*(Tasks[[#This Row],[_StartWorkday]]-1)</f>
        <v>-0</v>
      </c>
      <c r="EC122" s="32" t="n">
        <f aca="false">IF(Tasks[[#This Row],[_IsLeaf]]=1,MAX(N(Tasks[[#This Row],[Duration]]),0.1),0)</f>
        <v>0</v>
      </c>
      <c r="ED122" s="32" t="n">
        <f aca="false">Tasks[[#This Row],[_WeightDur]]*Tasks[[#This Row],[_LeafProgress]]</f>
        <v>0</v>
      </c>
      <c r="EE12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2" s="32" t="str">
        <f aca="false">IF(AND(Tasks[[#This Row],[_IsLeaf]]=1,N(Tasks[[#This Row],[Duration]])=0,Tasks[[#This Row],[_LeafProgress]]&lt;1),Tasks[[#This Row],[_ShownFcstFinish]]+Tasks[[#This Row],[_Row]]/100000,"")</f>
        <v/>
      </c>
      <c r="EG12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2" s="32" t="n">
        <f aca="false">IF(NOT(Tasks[[#This Row],[_IsLeaf]]=1),0,IF(Tasks[[#This Row],[Baseline Cost]]="",Tasks[[#This Row],[_LeafTotalCost]],N(Tasks[[#This Row],[Baseline Cost]])))</f>
        <v>0</v>
      </c>
      <c r="EI122" s="32" t="n">
        <f aca="false">Tasks[[#This Row],[_LeafBudget]]*Tasks[[#This Row],[_PlannedPct]]</f>
        <v>0</v>
      </c>
      <c r="EJ122" s="32" t="n">
        <f aca="false">Tasks[[#This Row],[_LeafBudget]]*Tasks[[#This Row],[_LeafProgress]]</f>
        <v>0</v>
      </c>
      <c r="EK122" s="32" t="n">
        <f aca="false">IF(NOT(Tasks[[#This Row],[_IsLeaf]]=1),0,IF(Tasks[[#This Row],[Actual Cost]]="",Tasks[[#This Row],[_LeafTotalCost]]*Tasks[[#This Row],[_LeafProgress]],N(Tasks[[#This Row],[Actual Cost]])))</f>
        <v>0</v>
      </c>
      <c r="EL122" s="32" t="str">
        <f aca="false">IF(Tasks[[#This Row],[Task Name]]="","",LEFT(Tasks[[#This Row],[WBS]],FIND(".",Tasks[[#This Row],[WBS]]&amp;".")-1))</f>
        <v/>
      </c>
      <c r="EM122" s="32" t="str">
        <f aca="false">IF(AND(Tasks[[#This Row],[Task Name]]&lt;&gt;"",Tasks[[#This Row],[_Level]]=1),Tasks[[#This Row],[_Row]],"")</f>
        <v/>
      </c>
      <c r="EN122" s="32" t="str">
        <f aca="false">IF(AND(Tasks[[#This Row],[_IsLeaf]]=1,N(Tasks[[#This Row],[Duration]])=0),Tasks[[#This Row],[Planned Finish]]+Tasks[[#This Row],[_Row]]/100000,"")</f>
        <v/>
      </c>
      <c r="EO122" s="32" t="str">
        <f aca="false">IF(AND(Tasks[[#This Row],[_IsLeaf]]=1,Tasks[[#This Row],[_LeafProgress]]&lt;1,OR(N(Tasks[[#This Row],[Finish Var]])&gt;0,Tasks[[#This Row],[Status]]="Late Start")),MAX(0,Tasks[[#This Row],[Finish Var]])+1-Tasks[[#This Row],[_Row]]/1000000,"")</f>
        <v/>
      </c>
      <c r="EP122" s="32" t="str">
        <f aca="false">IF(AND(Tasks[[#This Row],[_IsLeaf]]=1,N(Tasks[[#This Row],[Actual Start]])=0,Tasks[[#This Row],[_ShownFcstStart]]&gt;=StatusDate,Tasks[[#This Row],[_ShownFcstStart]]&lt;=LookaheadEnd),Tasks[[#This Row],[_ShownFcstStart]]+Tasks[[#This Row],[_Row]]/100000,"")</f>
        <v/>
      </c>
      <c r="EQ122" s="32" t="str">
        <f aca="false">IF(AND(Tasks[[#This Row],[_IsLeaf]]=1,Tasks[[#This Row],[_LeafProgress]]&lt;1,Tasks[[#This Row],[_ShownFcstFinish]]&gt;=StatusDate,Tasks[[#This Row],[_ShownFcstFinish]]&lt;=LookaheadEnd),Tasks[[#This Row],[_ShownFcstFinish]]+Tasks[[#This Row],[_Row]]/100000,"")</f>
        <v/>
      </c>
      <c r="ER122" s="32" t="str">
        <f aca="false">IF(Tasks[[#This Row],[_LeafCritical]],Tasks[[#This Row],[_ShownFcstStart]]+Tasks[[#This Row],[_Row]]/100000,"")</f>
        <v/>
      </c>
      <c r="ES122" s="32" t="n">
        <f aca="false">Tasks[[#This Row],[_LeafWork]]*Tasks[[#This Row],[_LeafProgress]]</f>
        <v>0</v>
      </c>
      <c r="ET122" s="115" t="str">
        <f aca="false">IF(AND(Tasks[[#This Row],[_IsLeaf]]=1,Tasks[[#This Row],[_LeafProgress]]&gt;=1),IF(N(Tasks[[#This Row],[Actual Finish]])&gt;0,Tasks[[#This Row],[Actual Finish]],Tasks[[#This Row],[_ShownFcstFinish]]),"")</f>
        <v/>
      </c>
      <c r="EU122" s="32" t="n">
        <f aca="false">IF(Tasks[[#This Row],[_IsLeaf]]=1,N(Tasks[[#This Row],[Story Points]]),0)</f>
        <v>0</v>
      </c>
      <c r="EV122" s="32" t="str">
        <f aca="false">IF(AND(Tasks[[#This Row],[_IsLeaf]]=1,CurrentSprint&lt;&gt;"",Tasks[[#This Row],[Sprint]]=CurrentSprint),Tasks[[#This Row],[_Row]],"")</f>
        <v/>
      </c>
    </row>
    <row r="123" customFormat="false" ht="15" hidden="false" customHeight="false" outlineLevel="0" collapsed="false">
      <c r="A123" s="45" t="str">
        <f aca="false">IF(Tasks[[#This Row],[Task Name]]="","",COUNTA(Tasks[[#Headers],[Task Name]]:Tasks[[#This Row],[Task Name]])-1)</f>
        <v/>
      </c>
      <c r="B123" s="46" t="n">
        <v>118</v>
      </c>
      <c r="C12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3" s="46"/>
      <c r="E123" s="45" t="str">
        <f aca="false">IF(Tasks[[#This Row],[Task Name]]="","",IF(Tasks[[#This Row],[_Level]]&lt;=OutlineShowLevel,"Yes","No"))</f>
        <v/>
      </c>
      <c r="F123" s="47"/>
      <c r="G123" s="46"/>
      <c r="H123" s="46"/>
      <c r="I123" s="46"/>
      <c r="J123" s="46"/>
      <c r="K123" s="46"/>
      <c r="L123" s="46"/>
      <c r="M123" s="46"/>
      <c r="N123" s="46"/>
      <c r="O123" s="46"/>
      <c r="P123" s="46"/>
      <c r="Q123" s="46"/>
      <c r="R123" s="46"/>
      <c r="S123" s="46"/>
      <c r="T123" s="46"/>
      <c r="U123" s="47"/>
      <c r="V123" s="88"/>
      <c r="W123" s="88"/>
      <c r="X123" s="25" t="str">
        <f aca="false">IF(Tasks[[#This Row],[Task Name]]="","",IF(N(Tasks[[#This Row],[Baseline Start]])&gt;0,Tasks[[#This Row],[Baseline Start]],Tasks[[#This Row],[_CalcStart]]))</f>
        <v/>
      </c>
      <c r="Y123" s="25" t="str">
        <f aca="false">IF(Tasks[[#This Row],[Task Name]]="","",IF(N(Tasks[[#This Row],[Baseline Finish]])&gt;0,Tasks[[#This Row],[Baseline Finish]],Tasks[[#This Row],[_CalcFinish]]))</f>
        <v/>
      </c>
      <c r="Z123" s="88"/>
      <c r="AA123" s="88"/>
      <c r="AB123" s="25" t="str">
        <f aca="false">IF(Tasks[[#This Row],[Task Name]]="","",IF(Tasks[[#This Row],[_IsSummary]],MIN(INDEX(Tasks[_ShownFcstStart],Tasks[[#This Row],[_Row]]+1):INDEX(Tasks[_ShownFcstStart],Tasks[[#This Row],[_Row]]+Tasks[[#This Row],[_Descendants]])),Tasks[[#This Row],[_ShownFcstStart]]))</f>
        <v/>
      </c>
      <c r="AC123" s="25" t="str">
        <f aca="false">IF(Tasks[[#This Row],[Task Name]]="","",IF(Tasks[[#This Row],[_IsSummary]],MAX(INDEX(Tasks[_ShownFcstFinish],Tasks[[#This Row],[_Row]]+1):INDEX(Tasks[_ShownFcstFinish],Tasks[[#This Row],[_Row]]+Tasks[[#This Row],[_Descendants]])),Tasks[[#This Row],[_ShownFcstFinish]]))</f>
        <v/>
      </c>
      <c r="AD12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3" s="25" t="str">
        <f aca="false">IF(Tasks[[#This Row],[Task Name]]="","",IF(Tasks[[#This Row],[_IsSummary]],MIN(INDEX(Tasks[_LeafLateStart],Tasks[[#This Row],[_Row]]+1):INDEX(Tasks[_LeafLateStart],Tasks[[#This Row],[_Row]]+Tasks[[#This Row],[_Descendants]])),Tasks[[#This Row],[_LeafLateStart]]))</f>
        <v/>
      </c>
      <c r="AG123" s="25" t="str">
        <f aca="false">IF(Tasks[[#This Row],[Task Name]]="","",IF(Tasks[[#This Row],[_IsSummary]],MAX(INDEX(Tasks[_LeafLateFinish],Tasks[[#This Row],[_Row]]+1):INDEX(Tasks[_LeafLateFinish],Tasks[[#This Row],[_Row]]+Tasks[[#This Row],[_Descendants]])),Tasks[[#This Row],[_LeafLateFinish]]))</f>
        <v/>
      </c>
      <c r="AH123" s="56" t="str">
        <f aca="false">IF(Tasks[[#This Row],[Task Name]]="","",IF(Tasks[[#This Row],[_IsSummary]],MIN(INDEX(Tasks[_LeafTotalSlack],Tasks[[#This Row],[_Row]]+1):INDEX(Tasks[_LeafTotalSlack],Tasks[[#This Row],[_Row]]+Tasks[[#This Row],[_Descendants]])),Tasks[[#This Row],[_LeafTotalSlack]]))</f>
        <v/>
      </c>
      <c r="AI12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3" s="45" t="str">
        <f aca="false">IF(Tasks[[#This Row],[Task Name]]="","",IF(IF(Tasks[[#This Row],[_IsSummary]],COUNTIF(INDEX(Tasks[_LeafCritical],Tasks[[#This Row],[_Row]]+1):INDEX(Tasks[_LeafCritical],Tasks[[#This Row],[_Row]]+Tasks[[#This Row],[_Descendants]]),TRUE())&gt;0,Tasks[[#This Row],[_LeafCritical]]),"Yes",""))</f>
        <v/>
      </c>
      <c r="AK12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3" s="102"/>
      <c r="AN12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3" s="45" t="str">
        <f aca="false">IF(Tasks[[#This Row],[Task Name]]="","",IF(Tasks[[#This Row],[Progress]]&gt;=1,"Complete",IF(OR(N(Tasks[[#This Row],[Actual Start]])&gt;0,Tasks[[#This Row],[Progress]]&gt;0),IF(Tasks[[#This Row],[Finish Var]]&gt;0,"Behind","In Progress"),IF(Tasks[[#This Row],[Planned Start]]&lt;StatusDate,"Late Start","Not Started"))))</f>
        <v/>
      </c>
      <c r="AP123" s="47"/>
      <c r="AQ123" s="102"/>
      <c r="AR12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3" s="110" t="str">
        <f aca="false">IF(Tasks[[#This Row],[Task Name]]="","",IF(Tasks[[#This Row],[_IsSummary]],SUM(INDEX(Tasks[_LeafTotalWork],Tasks[[#This Row],[_Row]]+1):INDEX(Tasks[_LeafTotalWork],Tasks[[#This Row],[_Row]]+Tasks[[#This Row],[_Descendants]])),Tasks[[#This Row],[_LeafTotalWork]]))</f>
        <v/>
      </c>
      <c r="AU123" s="111" t="str">
        <f aca="false">IF(Tasks[[#This Row],[Task Name]]="","",IF(Tasks[[#This Row],[_IsSummary]],SUM(INDEX(Tasks[_LeafTotalCost],Tasks[[#This Row],[_Row]]+1):INDEX(Tasks[_LeafTotalCost],Tasks[[#This Row],[_Row]]+Tasks[[#This Row],[_Descendants]])),Tasks[[#This Row],[_LeafTotalCost]]))</f>
        <v/>
      </c>
      <c r="AV123" s="112"/>
      <c r="AW123" s="46"/>
      <c r="AX12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3" s="96"/>
      <c r="AZ12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3" s="47"/>
      <c r="BB123" s="25" t="str">
        <f aca="false">IF(Tasks[[#This Row],[Task Name]]="","",Tasks[[#This Row],[Forecast Start]])</f>
        <v/>
      </c>
      <c r="BC123" s="25" t="str">
        <f aca="false">IF(Tasks[[#This Row],[Task Name]]="","",Tasks[[#This Row],[Forecast Finish]])</f>
        <v/>
      </c>
      <c r="BD123" s="45" t="str">
        <f aca="false">IF(Tasks[[#This Row],[Task Name]]="","",IF(Tasks[[#This Row],[_IsSummary]],NETWORKDAYS.INTL(Tasks[[#This Row],[Forecast Start]],Tasks[[#This Row],[Forecast Finish]],WorkWeek,Holidays),N(Tasks[[#This Row],[Duration]])))</f>
        <v/>
      </c>
      <c r="BE123" s="110" t="str">
        <f aca="false">IF(Tasks[[#This Row],[Task Name]]="","",Tasks[[#This Row],[Work]])</f>
        <v/>
      </c>
      <c r="BF123" s="111" t="str">
        <f aca="false">IF(Tasks[[#This Row],[Task Name]]="","",Tasks[[#This Row],[Cost]])</f>
        <v/>
      </c>
      <c r="BG123" s="88"/>
      <c r="BH123" s="88"/>
      <c r="BI123" s="46"/>
      <c r="BJ123" s="113"/>
      <c r="BK123" s="112"/>
      <c r="BL123" s="45" t="str">
        <f aca="false">IF(OR(Tasks[[#This Row],[Task Name]]="",Tasks[[#This Row],[Baseline Duration]]=""),"",Tasks[[#This Row],[BL Source Duration]]-N(Tasks[[#This Row],[Baseline Duration]]))</f>
        <v/>
      </c>
      <c r="BM123" s="110" t="str">
        <f aca="false">IF(OR(Tasks[[#This Row],[Task Name]]="",Tasks[[#This Row],[Baseline Work]]=""),"",Tasks[[#This Row],[Work]]-N(Tasks[[#This Row],[Baseline Work]]))</f>
        <v/>
      </c>
      <c r="BN123" s="111" t="str">
        <f aca="false">IF(OR(Tasks[[#This Row],[Task Name]]="",Tasks[[#This Row],[Baseline Cost]]=""),"",Tasks[[#This Row],[Cost]]-N(Tasks[[#This Row],[Baseline Cost]]))</f>
        <v/>
      </c>
      <c r="BO123" s="111" t="str">
        <f aca="false">IF(Tasks[[#This Row],[Task Name]]="","",IF(Tasks[[#This Row],[_IsSummary]],SUM(INDEX(Tasks[_LeafBudget],Tasks[[#This Row],[_Row]]+1):INDEX(Tasks[_LeafBudget],Tasks[[#This Row],[_Row]]+Tasks[[#This Row],[_Descendants]])),Tasks[[#This Row],[_LeafBudget]]))</f>
        <v/>
      </c>
      <c r="BP123" s="111" t="str">
        <f aca="false">IF(Tasks[[#This Row],[Task Name]]="","",IF(Tasks[[#This Row],[_IsSummary]],SUM(INDEX(Tasks[_LeafPV],Tasks[[#This Row],[_Row]]+1):INDEX(Tasks[_LeafPV],Tasks[[#This Row],[_Row]]+Tasks[[#This Row],[_Descendants]])),Tasks[[#This Row],[_LeafPV]]))</f>
        <v/>
      </c>
      <c r="BQ123" s="111" t="str">
        <f aca="false">IF(Tasks[[#This Row],[Task Name]]="","",IF(Tasks[[#This Row],[_IsSummary]],SUM(INDEX(Tasks[_LeafEV],Tasks[[#This Row],[_Row]]+1):INDEX(Tasks[_LeafEV],Tasks[[#This Row],[_Row]]+Tasks[[#This Row],[_Descendants]])),Tasks[[#This Row],[_LeafEV]]))</f>
        <v/>
      </c>
      <c r="BR123" s="111" t="str">
        <f aca="false">IF(Tasks[[#This Row],[Task Name]]="","",IF(Tasks[[#This Row],[_IsSummary]],SUM(INDEX(Tasks[_LeafAC],Tasks[[#This Row],[_Row]]+1):INDEX(Tasks[_LeafAC],Tasks[[#This Row],[_Row]]+Tasks[[#This Row],[_Descendants]])),Tasks[[#This Row],[_LeafAC]]))</f>
        <v/>
      </c>
      <c r="BS123" s="32" t="str">
        <f aca="false">IF(Tasks[[#This Row],[Task Name]]="","",MAX(1,N(Tasks[[#This Row],[Level]])))</f>
        <v/>
      </c>
      <c r="BT123" s="32" t="n">
        <f aca="false">ROW()-ROW(Tasks[[#Headers],[ID]])</f>
        <v>118</v>
      </c>
      <c r="BU123" s="32" t="n">
        <f aca="false">IF(OR(Tasks[[#This Row],[Task Name]]="",Tasks[[#This Row],[_Level]]&lt;=1),0,IFERROR(LOOKUP(2,1/(Tasks[[#Headers],[_Level]]:Tasks[[#This Row],[_Level]]=Tasks[[#This Row],[_Level]]-1),ROW(Tasks[[#Headers],[_Level]]:Tasks[[#This Row],[_Level]])),0))</f>
        <v>0</v>
      </c>
      <c r="BV123" s="32" t="n">
        <f aca="false">IFERROR(N(INDEX(Tasks[_Level],Tasks[[#This Row],[_Row]]+1)),0)</f>
        <v>0</v>
      </c>
      <c r="BW123" s="114" t="b">
        <f aca="false">AND(Tasks[[#This Row],[Task Name]]&lt;&gt;"",Tasks[[#This Row],[_NextLevel]]&gt;Tasks[[#This Row],[_Level]])</f>
        <v>0</v>
      </c>
      <c r="BX123" s="32" t="n">
        <f aca="false">IF(Tasks[[#This Row],[_IsSummary]],COUNTIF(Tasks[WBS],Tasks[[#This Row],[WBS]]&amp;".*"),0)</f>
        <v>0</v>
      </c>
      <c r="BY123" s="32" t="n">
        <f aca="false">IF(AND(Tasks[[#This Row],[Task Name]]&lt;&gt;"",NOT(Tasks[[#This Row],[_IsSummary]])),1,0)</f>
        <v>0</v>
      </c>
      <c r="BZ123" s="32" t="n">
        <f aca="false">IF(N(Tasks[[#This Row],[Pred1 UID]])=0,0,IFERROR(MATCH(Tasks[[#This Row],[Pred1 UID]],Tasks[UID],0),-1))</f>
        <v>0</v>
      </c>
      <c r="CA123" s="32" t="n">
        <f aca="false">IF(N(Tasks[[#This Row],[Pred2 UID]])=0,0,IFERROR(MATCH(Tasks[[#This Row],[Pred2 UID]],Tasks[UID],0),-1))</f>
        <v>0</v>
      </c>
      <c r="CB123" s="32" t="n">
        <f aca="false">IF(N(Tasks[[#This Row],[Pred3 UID]])=0,0,IFERROR(MATCH(Tasks[[#This Row],[Pred3 UID]],Tasks[UID],0),-1))</f>
        <v>0</v>
      </c>
      <c r="CC123" s="32" t="n">
        <f aca="false">IF(N(Tasks[[#This Row],[Pred4 UID]])=0,0,IFERROR(MATCH(Tasks[[#This Row],[Pred4 UID]],Tasks[UID],0),-1))</f>
        <v>0</v>
      </c>
      <c r="CD12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3" s="115" t="n">
        <f aca="false">IF(OR(Tasks[[#This Row],[_ConstraintCode]]=2,Tasks[[#This Row],[_ConstraintCode]]=3,Tasks[[#This Row],[_ConstraintCode]]=4,Tasks[[#This Row],[_ConstraintCode]]=6),Tasks[[#This Row],[_ConstraintStart]],0)</f>
        <v>0</v>
      </c>
      <c r="CG123" s="115" t="n">
        <f aca="false">IF(OR(Tasks[[#This Row],[_ConstraintCode]]=2,Tasks[[#This Row],[_ConstraintCode]]=3,Tasks[[#This Row],[_ConstraintCode]]=5,Tasks[[#This Row],[_ConstraintCode]]=7),Tasks[[#This Row],[_ConstraintStart]],2958465)</f>
        <v>2958465</v>
      </c>
      <c r="CH12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3" s="115" t="str">
        <f aca="false">IF(NOT(Tasks[[#This Row],[_IsLeaf]]=1),"",IF(N(Tasks[[#This Row],[Duration]])&lt;=0,Tasks[[#This Row],[_LeafCalcStart]],WORKDAY.INTL(Tasks[[#This Row],[_LeafCalcStart]],Tasks[[#This Row],[Duration]]-1,WorkWeek,Holidays)))</f>
        <v/>
      </c>
      <c r="CJ12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3" s="32" t="n">
        <f aca="false">IF(NOT(Tasks[[#This Row],[_IsLeaf]]=1),0,IF(N(Tasks[[#This Row],[Actual Finish]])&gt;0,1,MIN(1,N(Tasks[[#This Row],[% Complete]]))))</f>
        <v>0</v>
      </c>
      <c r="CM123" s="32" t="n">
        <f aca="false">IF(OR(NOT(Tasks[[#This Row],[_IsLeaf]]=1),Tasks[[#This Row],[Resource]]=""),0,N(Tasks[[#This Row],[Duration]])*HoursPerDay*IF(Tasks[[#This Row],[Units]]="",DefaultUnits,Tasks[[#This Row],[Units]]))</f>
        <v>0</v>
      </c>
      <c r="CN123" s="32" t="n">
        <f aca="false">IF(Tasks[[#This Row],[_LeafWork]]=0,0,Tasks[[#This Row],[_LeafWork]]*IFERROR(INDEX(res_Rate,MATCH(Tasks[[#This Row],[Resource]],res_Name,0)),0))</f>
        <v>0</v>
      </c>
      <c r="CO123" s="32" t="n">
        <f aca="false">Tasks[[#This Row],[_LeafWork]]+IF(Tasks[[#This Row],[_IsLeaf]]=1,SUMIFS(asg_Work,asg_TaskUID,Tasks[[#This Row],[UID]],asg_Valid,1),0)</f>
        <v>0</v>
      </c>
      <c r="CP123" s="32" t="n">
        <f aca="false">Tasks[[#This Row],[_LeafCost]]+IF(Tasks[[#This Row],[_IsLeaf]]=1,SUMIFS(asg_Cost,asg_TaskUID,Tasks[[#This Row],[UID]],asg_Valid,1),0)</f>
        <v>0</v>
      </c>
      <c r="CQ123" s="32" t="n">
        <f aca="false">IF(Tasks[[#This Row],[_LeafTotalCost]]=0,Tasks[[#This Row],[_LeafAC]],Tasks[[#This Row],[_LeafAC]]*Tasks[[#This Row],[_LeafCost]]/Tasks[[#This Row],[_LeafTotalCost]])</f>
        <v>0</v>
      </c>
      <c r="CR12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3" s="32" t="n">
        <f aca="false">IF(NOT(Tasks[[#This Row],[_IsLeaf]]=1),0,MAX(_xlfn.MAXIFS(Tasks[_Row],Tasks[Pred1 UID],Tasks[[#This Row],[UID]]),_xlfn.MAXIFS(Tasks[_Row],Tasks[Pred2 UID],Tasks[[#This Row],[UID]]),_xlfn.MAXIFS(Tasks[_Row],Tasks[Pred3 UID],Tasks[[#This Row],[UID]]),_xlfn.MAXIFS(Tasks[_Row],Tasks[Pred4 UID],Tasks[[#This Row],[UID]])))</f>
        <v>0</v>
      </c>
      <c r="DA12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3" s="115" t="str">
        <f aca="false">IF(NOT(Tasks[[#This Row],[_IsLeaf]]=1),"",IF(N(Tasks[[#This Row],[Duration]])&lt;=0,Tasks[[#This Row],[_LeafLateFinish]],WORKDAY.INTL(Tasks[[#This Row],[_LeafLateFinish]],-(Tasks[[#This Row],[Duration]]-1),WorkWeek,Holidays)))</f>
        <v/>
      </c>
      <c r="DD12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3" s="114" t="b">
        <f aca="false">AND(Tasks[[#This Row],[_IsLeaf]]=1,Tasks[[#This Row],[_LeafProgress]]&lt;1,N(Tasks[[#This Row],[_LeafTotalSlack]])&lt;=CriticalSlackDays)</f>
        <v>0</v>
      </c>
      <c r="DF123" s="32" t="n">
        <f aca="false">IF(AND(Tasks[[#This Row],[_IsLeaf]]=1,Tasks[[#This Row],[_ConstraintCode]]=1,Tasks[[#This Row],[Mode]]&lt;&gt;"Manual",N(Tasks[[#This Row],[Actual Start]])=0),MAX(0,N(Tasks[[#This Row],[Free Slack]])),0)</f>
        <v>0</v>
      </c>
      <c r="DG123" s="115" t="str">
        <f aca="false">IF(NOT(Tasks[[#This Row],[_IsLeaf]]=1),"",IF(Tasks[[#This Row],[_AlapShift]]=0,Tasks[[#This Row],[_LeafCalcStart]],WORKDAY.INTL(Tasks[[#This Row],[_LeafCalcStart]],Tasks[[#This Row],[_AlapShift]],WorkWeek,Holidays)))</f>
        <v/>
      </c>
      <c r="DH123" s="115" t="str">
        <f aca="false">IF(NOT(Tasks[[#This Row],[_IsLeaf]]=1),"",IF(Tasks[[#This Row],[_AlapShift]]=0,Tasks[[#This Row],[_LeafCalcFinish]],WORKDAY.INTL(Tasks[[#This Row],[_LeafCalcFinish]],Tasks[[#This Row],[_AlapShift]],WorkWeek,Holidays)))</f>
        <v/>
      </c>
      <c r="DI123" s="115" t="str">
        <f aca="false">IF(NOT(Tasks[[#This Row],[_IsLeaf]]=1),"",IF(Tasks[[#This Row],[_AlapShift]]=0,Tasks[[#This Row],[_LeafFcstStart]],WORKDAY.INTL(Tasks[[#This Row],[_LeafFcstStart]],Tasks[[#This Row],[_AlapShift]],WorkWeek,Holidays)))</f>
        <v/>
      </c>
      <c r="DJ123" s="115" t="str">
        <f aca="false">IF(NOT(Tasks[[#This Row],[_IsLeaf]]=1),"",IF(Tasks[[#This Row],[_AlapShift]]=0,Tasks[[#This Row],[_LeafFcstFinish]],WORKDAY.INTL(Tasks[[#This Row],[_LeafFcstFinish]],Tasks[[#This Row],[_AlapShift]],WorkWeek,Holidays)))</f>
        <v/>
      </c>
      <c r="DK123" s="115" t="str">
        <f aca="false">IF(Tasks[[#This Row],[Task Name]]="","",IF(Tasks[[#This Row],[_IsSummary]],MIN(INDEX(Tasks[_ShownCalcStart],Tasks[[#This Row],[_Row]]+1):INDEX(Tasks[_ShownCalcStart],Tasks[[#This Row],[_Row]]+Tasks[[#This Row],[_Descendants]])),Tasks[[#This Row],[_ShownCalcStart]]))</f>
        <v/>
      </c>
      <c r="DL123" s="115" t="str">
        <f aca="false">IF(Tasks[[#This Row],[Task Name]]="","",IF(Tasks[[#This Row],[_IsSummary]],MAX(INDEX(Tasks[_ShownCalcFinish],Tasks[[#This Row],[_Row]]+1):INDEX(Tasks[_ShownCalcFinish],Tasks[[#This Row],[_Row]]+Tasks[[#This Row],[_Descendants]])),Tasks[[#This Row],[_ShownCalcFinish]]))</f>
        <v/>
      </c>
      <c r="DM12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3" s="32" t="n">
        <f aca="false">IF(AND(Tasks[[#This Row],[_IsLeaf]]=1,Tasks[[#This Row],[_LeafTotalWork]]&gt;0),NETWORKDAYS.INTL(ProjectStart,Tasks[[#This Row],[_ShownFcstStart]],WorkWeek,Holidays),0)</f>
        <v>0</v>
      </c>
      <c r="DZ123" s="32" t="n">
        <f aca="false">IF(AND(Tasks[[#This Row],[_IsLeaf]]=1,Tasks[[#This Row],[_LeafTotalWork]]&gt;0),MAX(Tasks[[#This Row],[_StartWorkday]],NETWORKDAYS.INTL(ProjectStart,Tasks[[#This Row],[_ShownFcstFinish]],WorkWeek,Holidays)),0)</f>
        <v>0</v>
      </c>
      <c r="EA123" s="32" t="n">
        <f aca="false">IF(AND(Tasks[[#This Row],[_IsLeaf]]=1,Tasks[[#This Row],[_LeafTotalWork]]&gt;0),Tasks[[#This Row],[_LeafWork]]/(Tasks[[#This Row],[_FinishWorkday]]-Tasks[[#This Row],[_StartWorkday]]+1),0)</f>
        <v>0</v>
      </c>
      <c r="EB123" s="32" t="n">
        <f aca="false">Tasks[[#This Row],[_WorkPerWorkday]]*(Tasks[[#This Row],[_StartWorkday]]-1)</f>
        <v>-0</v>
      </c>
      <c r="EC123" s="32" t="n">
        <f aca="false">IF(Tasks[[#This Row],[_IsLeaf]]=1,MAX(N(Tasks[[#This Row],[Duration]]),0.1),0)</f>
        <v>0</v>
      </c>
      <c r="ED123" s="32" t="n">
        <f aca="false">Tasks[[#This Row],[_WeightDur]]*Tasks[[#This Row],[_LeafProgress]]</f>
        <v>0</v>
      </c>
      <c r="EE12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3" s="32" t="str">
        <f aca="false">IF(AND(Tasks[[#This Row],[_IsLeaf]]=1,N(Tasks[[#This Row],[Duration]])=0,Tasks[[#This Row],[_LeafProgress]]&lt;1),Tasks[[#This Row],[_ShownFcstFinish]]+Tasks[[#This Row],[_Row]]/100000,"")</f>
        <v/>
      </c>
      <c r="EG12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3" s="32" t="n">
        <f aca="false">IF(NOT(Tasks[[#This Row],[_IsLeaf]]=1),0,IF(Tasks[[#This Row],[Baseline Cost]]="",Tasks[[#This Row],[_LeafTotalCost]],N(Tasks[[#This Row],[Baseline Cost]])))</f>
        <v>0</v>
      </c>
      <c r="EI123" s="32" t="n">
        <f aca="false">Tasks[[#This Row],[_LeafBudget]]*Tasks[[#This Row],[_PlannedPct]]</f>
        <v>0</v>
      </c>
      <c r="EJ123" s="32" t="n">
        <f aca="false">Tasks[[#This Row],[_LeafBudget]]*Tasks[[#This Row],[_LeafProgress]]</f>
        <v>0</v>
      </c>
      <c r="EK123" s="32" t="n">
        <f aca="false">IF(NOT(Tasks[[#This Row],[_IsLeaf]]=1),0,IF(Tasks[[#This Row],[Actual Cost]]="",Tasks[[#This Row],[_LeafTotalCost]]*Tasks[[#This Row],[_LeafProgress]],N(Tasks[[#This Row],[Actual Cost]])))</f>
        <v>0</v>
      </c>
      <c r="EL123" s="32" t="str">
        <f aca="false">IF(Tasks[[#This Row],[Task Name]]="","",LEFT(Tasks[[#This Row],[WBS]],FIND(".",Tasks[[#This Row],[WBS]]&amp;".")-1))</f>
        <v/>
      </c>
      <c r="EM123" s="32" t="str">
        <f aca="false">IF(AND(Tasks[[#This Row],[Task Name]]&lt;&gt;"",Tasks[[#This Row],[_Level]]=1),Tasks[[#This Row],[_Row]],"")</f>
        <v/>
      </c>
      <c r="EN123" s="32" t="str">
        <f aca="false">IF(AND(Tasks[[#This Row],[_IsLeaf]]=1,N(Tasks[[#This Row],[Duration]])=0),Tasks[[#This Row],[Planned Finish]]+Tasks[[#This Row],[_Row]]/100000,"")</f>
        <v/>
      </c>
      <c r="EO123" s="32" t="str">
        <f aca="false">IF(AND(Tasks[[#This Row],[_IsLeaf]]=1,Tasks[[#This Row],[_LeafProgress]]&lt;1,OR(N(Tasks[[#This Row],[Finish Var]])&gt;0,Tasks[[#This Row],[Status]]="Late Start")),MAX(0,Tasks[[#This Row],[Finish Var]])+1-Tasks[[#This Row],[_Row]]/1000000,"")</f>
        <v/>
      </c>
      <c r="EP123" s="32" t="str">
        <f aca="false">IF(AND(Tasks[[#This Row],[_IsLeaf]]=1,N(Tasks[[#This Row],[Actual Start]])=0,Tasks[[#This Row],[_ShownFcstStart]]&gt;=StatusDate,Tasks[[#This Row],[_ShownFcstStart]]&lt;=LookaheadEnd),Tasks[[#This Row],[_ShownFcstStart]]+Tasks[[#This Row],[_Row]]/100000,"")</f>
        <v/>
      </c>
      <c r="EQ123" s="32" t="str">
        <f aca="false">IF(AND(Tasks[[#This Row],[_IsLeaf]]=1,Tasks[[#This Row],[_LeafProgress]]&lt;1,Tasks[[#This Row],[_ShownFcstFinish]]&gt;=StatusDate,Tasks[[#This Row],[_ShownFcstFinish]]&lt;=LookaheadEnd),Tasks[[#This Row],[_ShownFcstFinish]]+Tasks[[#This Row],[_Row]]/100000,"")</f>
        <v/>
      </c>
      <c r="ER123" s="32" t="str">
        <f aca="false">IF(Tasks[[#This Row],[_LeafCritical]],Tasks[[#This Row],[_ShownFcstStart]]+Tasks[[#This Row],[_Row]]/100000,"")</f>
        <v/>
      </c>
      <c r="ES123" s="32" t="n">
        <f aca="false">Tasks[[#This Row],[_LeafWork]]*Tasks[[#This Row],[_LeafProgress]]</f>
        <v>0</v>
      </c>
      <c r="ET123" s="115" t="str">
        <f aca="false">IF(AND(Tasks[[#This Row],[_IsLeaf]]=1,Tasks[[#This Row],[_LeafProgress]]&gt;=1),IF(N(Tasks[[#This Row],[Actual Finish]])&gt;0,Tasks[[#This Row],[Actual Finish]],Tasks[[#This Row],[_ShownFcstFinish]]),"")</f>
        <v/>
      </c>
      <c r="EU123" s="32" t="n">
        <f aca="false">IF(Tasks[[#This Row],[_IsLeaf]]=1,N(Tasks[[#This Row],[Story Points]]),0)</f>
        <v>0</v>
      </c>
      <c r="EV123" s="32" t="str">
        <f aca="false">IF(AND(Tasks[[#This Row],[_IsLeaf]]=1,CurrentSprint&lt;&gt;"",Tasks[[#This Row],[Sprint]]=CurrentSprint),Tasks[[#This Row],[_Row]],"")</f>
        <v/>
      </c>
    </row>
    <row r="124" customFormat="false" ht="15" hidden="false" customHeight="false" outlineLevel="0" collapsed="false">
      <c r="A124" s="45" t="str">
        <f aca="false">IF(Tasks[[#This Row],[Task Name]]="","",COUNTA(Tasks[[#Headers],[Task Name]]:Tasks[[#This Row],[Task Name]])-1)</f>
        <v/>
      </c>
      <c r="B124" s="46" t="n">
        <v>119</v>
      </c>
      <c r="C12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4" s="46"/>
      <c r="E124" s="45" t="str">
        <f aca="false">IF(Tasks[[#This Row],[Task Name]]="","",IF(Tasks[[#This Row],[_Level]]&lt;=OutlineShowLevel,"Yes","No"))</f>
        <v/>
      </c>
      <c r="F124" s="47"/>
      <c r="G124" s="46"/>
      <c r="H124" s="46"/>
      <c r="I124" s="46"/>
      <c r="J124" s="46"/>
      <c r="K124" s="46"/>
      <c r="L124" s="46"/>
      <c r="M124" s="46"/>
      <c r="N124" s="46"/>
      <c r="O124" s="46"/>
      <c r="P124" s="46"/>
      <c r="Q124" s="46"/>
      <c r="R124" s="46"/>
      <c r="S124" s="46"/>
      <c r="T124" s="46"/>
      <c r="U124" s="47"/>
      <c r="V124" s="88"/>
      <c r="W124" s="88"/>
      <c r="X124" s="25" t="str">
        <f aca="false">IF(Tasks[[#This Row],[Task Name]]="","",IF(N(Tasks[[#This Row],[Baseline Start]])&gt;0,Tasks[[#This Row],[Baseline Start]],Tasks[[#This Row],[_CalcStart]]))</f>
        <v/>
      </c>
      <c r="Y124" s="25" t="str">
        <f aca="false">IF(Tasks[[#This Row],[Task Name]]="","",IF(N(Tasks[[#This Row],[Baseline Finish]])&gt;0,Tasks[[#This Row],[Baseline Finish]],Tasks[[#This Row],[_CalcFinish]]))</f>
        <v/>
      </c>
      <c r="Z124" s="88"/>
      <c r="AA124" s="88"/>
      <c r="AB124" s="25" t="str">
        <f aca="false">IF(Tasks[[#This Row],[Task Name]]="","",IF(Tasks[[#This Row],[_IsSummary]],MIN(INDEX(Tasks[_ShownFcstStart],Tasks[[#This Row],[_Row]]+1):INDEX(Tasks[_ShownFcstStart],Tasks[[#This Row],[_Row]]+Tasks[[#This Row],[_Descendants]])),Tasks[[#This Row],[_ShownFcstStart]]))</f>
        <v/>
      </c>
      <c r="AC124" s="25" t="str">
        <f aca="false">IF(Tasks[[#This Row],[Task Name]]="","",IF(Tasks[[#This Row],[_IsSummary]],MAX(INDEX(Tasks[_ShownFcstFinish],Tasks[[#This Row],[_Row]]+1):INDEX(Tasks[_ShownFcstFinish],Tasks[[#This Row],[_Row]]+Tasks[[#This Row],[_Descendants]])),Tasks[[#This Row],[_ShownFcstFinish]]))</f>
        <v/>
      </c>
      <c r="AD12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4" s="25" t="str">
        <f aca="false">IF(Tasks[[#This Row],[Task Name]]="","",IF(Tasks[[#This Row],[_IsSummary]],MIN(INDEX(Tasks[_LeafLateStart],Tasks[[#This Row],[_Row]]+1):INDEX(Tasks[_LeafLateStart],Tasks[[#This Row],[_Row]]+Tasks[[#This Row],[_Descendants]])),Tasks[[#This Row],[_LeafLateStart]]))</f>
        <v/>
      </c>
      <c r="AG124" s="25" t="str">
        <f aca="false">IF(Tasks[[#This Row],[Task Name]]="","",IF(Tasks[[#This Row],[_IsSummary]],MAX(INDEX(Tasks[_LeafLateFinish],Tasks[[#This Row],[_Row]]+1):INDEX(Tasks[_LeafLateFinish],Tasks[[#This Row],[_Row]]+Tasks[[#This Row],[_Descendants]])),Tasks[[#This Row],[_LeafLateFinish]]))</f>
        <v/>
      </c>
      <c r="AH124" s="56" t="str">
        <f aca="false">IF(Tasks[[#This Row],[Task Name]]="","",IF(Tasks[[#This Row],[_IsSummary]],MIN(INDEX(Tasks[_LeafTotalSlack],Tasks[[#This Row],[_Row]]+1):INDEX(Tasks[_LeafTotalSlack],Tasks[[#This Row],[_Row]]+Tasks[[#This Row],[_Descendants]])),Tasks[[#This Row],[_LeafTotalSlack]]))</f>
        <v/>
      </c>
      <c r="AI12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4" s="45" t="str">
        <f aca="false">IF(Tasks[[#This Row],[Task Name]]="","",IF(IF(Tasks[[#This Row],[_IsSummary]],COUNTIF(INDEX(Tasks[_LeafCritical],Tasks[[#This Row],[_Row]]+1):INDEX(Tasks[_LeafCritical],Tasks[[#This Row],[_Row]]+Tasks[[#This Row],[_Descendants]]),TRUE())&gt;0,Tasks[[#This Row],[_LeafCritical]]),"Yes",""))</f>
        <v/>
      </c>
      <c r="AK12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4" s="102"/>
      <c r="AN12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4" s="45" t="str">
        <f aca="false">IF(Tasks[[#This Row],[Task Name]]="","",IF(Tasks[[#This Row],[Progress]]&gt;=1,"Complete",IF(OR(N(Tasks[[#This Row],[Actual Start]])&gt;0,Tasks[[#This Row],[Progress]]&gt;0),IF(Tasks[[#This Row],[Finish Var]]&gt;0,"Behind","In Progress"),IF(Tasks[[#This Row],[Planned Start]]&lt;StatusDate,"Late Start","Not Started"))))</f>
        <v/>
      </c>
      <c r="AP124" s="47"/>
      <c r="AQ124" s="102"/>
      <c r="AR12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4" s="110" t="str">
        <f aca="false">IF(Tasks[[#This Row],[Task Name]]="","",IF(Tasks[[#This Row],[_IsSummary]],SUM(INDEX(Tasks[_LeafTotalWork],Tasks[[#This Row],[_Row]]+1):INDEX(Tasks[_LeafTotalWork],Tasks[[#This Row],[_Row]]+Tasks[[#This Row],[_Descendants]])),Tasks[[#This Row],[_LeafTotalWork]]))</f>
        <v/>
      </c>
      <c r="AU124" s="111" t="str">
        <f aca="false">IF(Tasks[[#This Row],[Task Name]]="","",IF(Tasks[[#This Row],[_IsSummary]],SUM(INDEX(Tasks[_LeafTotalCost],Tasks[[#This Row],[_Row]]+1):INDEX(Tasks[_LeafTotalCost],Tasks[[#This Row],[_Row]]+Tasks[[#This Row],[_Descendants]])),Tasks[[#This Row],[_LeafTotalCost]]))</f>
        <v/>
      </c>
      <c r="AV124" s="112"/>
      <c r="AW124" s="46"/>
      <c r="AX12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4" s="96"/>
      <c r="AZ12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4" s="47"/>
      <c r="BB124" s="25" t="str">
        <f aca="false">IF(Tasks[[#This Row],[Task Name]]="","",Tasks[[#This Row],[Forecast Start]])</f>
        <v/>
      </c>
      <c r="BC124" s="25" t="str">
        <f aca="false">IF(Tasks[[#This Row],[Task Name]]="","",Tasks[[#This Row],[Forecast Finish]])</f>
        <v/>
      </c>
      <c r="BD124" s="45" t="str">
        <f aca="false">IF(Tasks[[#This Row],[Task Name]]="","",IF(Tasks[[#This Row],[_IsSummary]],NETWORKDAYS.INTL(Tasks[[#This Row],[Forecast Start]],Tasks[[#This Row],[Forecast Finish]],WorkWeek,Holidays),N(Tasks[[#This Row],[Duration]])))</f>
        <v/>
      </c>
      <c r="BE124" s="110" t="str">
        <f aca="false">IF(Tasks[[#This Row],[Task Name]]="","",Tasks[[#This Row],[Work]])</f>
        <v/>
      </c>
      <c r="BF124" s="111" t="str">
        <f aca="false">IF(Tasks[[#This Row],[Task Name]]="","",Tasks[[#This Row],[Cost]])</f>
        <v/>
      </c>
      <c r="BG124" s="88"/>
      <c r="BH124" s="88"/>
      <c r="BI124" s="46"/>
      <c r="BJ124" s="113"/>
      <c r="BK124" s="112"/>
      <c r="BL124" s="45" t="str">
        <f aca="false">IF(OR(Tasks[[#This Row],[Task Name]]="",Tasks[[#This Row],[Baseline Duration]]=""),"",Tasks[[#This Row],[BL Source Duration]]-N(Tasks[[#This Row],[Baseline Duration]]))</f>
        <v/>
      </c>
      <c r="BM124" s="110" t="str">
        <f aca="false">IF(OR(Tasks[[#This Row],[Task Name]]="",Tasks[[#This Row],[Baseline Work]]=""),"",Tasks[[#This Row],[Work]]-N(Tasks[[#This Row],[Baseline Work]]))</f>
        <v/>
      </c>
      <c r="BN124" s="111" t="str">
        <f aca="false">IF(OR(Tasks[[#This Row],[Task Name]]="",Tasks[[#This Row],[Baseline Cost]]=""),"",Tasks[[#This Row],[Cost]]-N(Tasks[[#This Row],[Baseline Cost]]))</f>
        <v/>
      </c>
      <c r="BO124" s="111" t="str">
        <f aca="false">IF(Tasks[[#This Row],[Task Name]]="","",IF(Tasks[[#This Row],[_IsSummary]],SUM(INDEX(Tasks[_LeafBudget],Tasks[[#This Row],[_Row]]+1):INDEX(Tasks[_LeafBudget],Tasks[[#This Row],[_Row]]+Tasks[[#This Row],[_Descendants]])),Tasks[[#This Row],[_LeafBudget]]))</f>
        <v/>
      </c>
      <c r="BP124" s="111" t="str">
        <f aca="false">IF(Tasks[[#This Row],[Task Name]]="","",IF(Tasks[[#This Row],[_IsSummary]],SUM(INDEX(Tasks[_LeafPV],Tasks[[#This Row],[_Row]]+1):INDEX(Tasks[_LeafPV],Tasks[[#This Row],[_Row]]+Tasks[[#This Row],[_Descendants]])),Tasks[[#This Row],[_LeafPV]]))</f>
        <v/>
      </c>
      <c r="BQ124" s="111" t="str">
        <f aca="false">IF(Tasks[[#This Row],[Task Name]]="","",IF(Tasks[[#This Row],[_IsSummary]],SUM(INDEX(Tasks[_LeafEV],Tasks[[#This Row],[_Row]]+1):INDEX(Tasks[_LeafEV],Tasks[[#This Row],[_Row]]+Tasks[[#This Row],[_Descendants]])),Tasks[[#This Row],[_LeafEV]]))</f>
        <v/>
      </c>
      <c r="BR124" s="111" t="str">
        <f aca="false">IF(Tasks[[#This Row],[Task Name]]="","",IF(Tasks[[#This Row],[_IsSummary]],SUM(INDEX(Tasks[_LeafAC],Tasks[[#This Row],[_Row]]+1):INDEX(Tasks[_LeafAC],Tasks[[#This Row],[_Row]]+Tasks[[#This Row],[_Descendants]])),Tasks[[#This Row],[_LeafAC]]))</f>
        <v/>
      </c>
      <c r="BS124" s="32" t="str">
        <f aca="false">IF(Tasks[[#This Row],[Task Name]]="","",MAX(1,N(Tasks[[#This Row],[Level]])))</f>
        <v/>
      </c>
      <c r="BT124" s="32" t="n">
        <f aca="false">ROW()-ROW(Tasks[[#Headers],[ID]])</f>
        <v>119</v>
      </c>
      <c r="BU124" s="32" t="n">
        <f aca="false">IF(OR(Tasks[[#This Row],[Task Name]]="",Tasks[[#This Row],[_Level]]&lt;=1),0,IFERROR(LOOKUP(2,1/(Tasks[[#Headers],[_Level]]:Tasks[[#This Row],[_Level]]=Tasks[[#This Row],[_Level]]-1),ROW(Tasks[[#Headers],[_Level]]:Tasks[[#This Row],[_Level]])),0))</f>
        <v>0</v>
      </c>
      <c r="BV124" s="32" t="n">
        <f aca="false">IFERROR(N(INDEX(Tasks[_Level],Tasks[[#This Row],[_Row]]+1)),0)</f>
        <v>0</v>
      </c>
      <c r="BW124" s="114" t="b">
        <f aca="false">AND(Tasks[[#This Row],[Task Name]]&lt;&gt;"",Tasks[[#This Row],[_NextLevel]]&gt;Tasks[[#This Row],[_Level]])</f>
        <v>0</v>
      </c>
      <c r="BX124" s="32" t="n">
        <f aca="false">IF(Tasks[[#This Row],[_IsSummary]],COUNTIF(Tasks[WBS],Tasks[[#This Row],[WBS]]&amp;".*"),0)</f>
        <v>0</v>
      </c>
      <c r="BY124" s="32" t="n">
        <f aca="false">IF(AND(Tasks[[#This Row],[Task Name]]&lt;&gt;"",NOT(Tasks[[#This Row],[_IsSummary]])),1,0)</f>
        <v>0</v>
      </c>
      <c r="BZ124" s="32" t="n">
        <f aca="false">IF(N(Tasks[[#This Row],[Pred1 UID]])=0,0,IFERROR(MATCH(Tasks[[#This Row],[Pred1 UID]],Tasks[UID],0),-1))</f>
        <v>0</v>
      </c>
      <c r="CA124" s="32" t="n">
        <f aca="false">IF(N(Tasks[[#This Row],[Pred2 UID]])=0,0,IFERROR(MATCH(Tasks[[#This Row],[Pred2 UID]],Tasks[UID],0),-1))</f>
        <v>0</v>
      </c>
      <c r="CB124" s="32" t="n">
        <f aca="false">IF(N(Tasks[[#This Row],[Pred3 UID]])=0,0,IFERROR(MATCH(Tasks[[#This Row],[Pred3 UID]],Tasks[UID],0),-1))</f>
        <v>0</v>
      </c>
      <c r="CC124" s="32" t="n">
        <f aca="false">IF(N(Tasks[[#This Row],[Pred4 UID]])=0,0,IFERROR(MATCH(Tasks[[#This Row],[Pred4 UID]],Tasks[UID],0),-1))</f>
        <v>0</v>
      </c>
      <c r="CD12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4" s="115" t="n">
        <f aca="false">IF(OR(Tasks[[#This Row],[_ConstraintCode]]=2,Tasks[[#This Row],[_ConstraintCode]]=3,Tasks[[#This Row],[_ConstraintCode]]=4,Tasks[[#This Row],[_ConstraintCode]]=6),Tasks[[#This Row],[_ConstraintStart]],0)</f>
        <v>0</v>
      </c>
      <c r="CG124" s="115" t="n">
        <f aca="false">IF(OR(Tasks[[#This Row],[_ConstraintCode]]=2,Tasks[[#This Row],[_ConstraintCode]]=3,Tasks[[#This Row],[_ConstraintCode]]=5,Tasks[[#This Row],[_ConstraintCode]]=7),Tasks[[#This Row],[_ConstraintStart]],2958465)</f>
        <v>2958465</v>
      </c>
      <c r="CH12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4" s="115" t="str">
        <f aca="false">IF(NOT(Tasks[[#This Row],[_IsLeaf]]=1),"",IF(N(Tasks[[#This Row],[Duration]])&lt;=0,Tasks[[#This Row],[_LeafCalcStart]],WORKDAY.INTL(Tasks[[#This Row],[_LeafCalcStart]],Tasks[[#This Row],[Duration]]-1,WorkWeek,Holidays)))</f>
        <v/>
      </c>
      <c r="CJ12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4" s="32" t="n">
        <f aca="false">IF(NOT(Tasks[[#This Row],[_IsLeaf]]=1),0,IF(N(Tasks[[#This Row],[Actual Finish]])&gt;0,1,MIN(1,N(Tasks[[#This Row],[% Complete]]))))</f>
        <v>0</v>
      </c>
      <c r="CM124" s="32" t="n">
        <f aca="false">IF(OR(NOT(Tasks[[#This Row],[_IsLeaf]]=1),Tasks[[#This Row],[Resource]]=""),0,N(Tasks[[#This Row],[Duration]])*HoursPerDay*IF(Tasks[[#This Row],[Units]]="",DefaultUnits,Tasks[[#This Row],[Units]]))</f>
        <v>0</v>
      </c>
      <c r="CN124" s="32" t="n">
        <f aca="false">IF(Tasks[[#This Row],[_LeafWork]]=0,0,Tasks[[#This Row],[_LeafWork]]*IFERROR(INDEX(res_Rate,MATCH(Tasks[[#This Row],[Resource]],res_Name,0)),0))</f>
        <v>0</v>
      </c>
      <c r="CO124" s="32" t="n">
        <f aca="false">Tasks[[#This Row],[_LeafWork]]+IF(Tasks[[#This Row],[_IsLeaf]]=1,SUMIFS(asg_Work,asg_TaskUID,Tasks[[#This Row],[UID]],asg_Valid,1),0)</f>
        <v>0</v>
      </c>
      <c r="CP124" s="32" t="n">
        <f aca="false">Tasks[[#This Row],[_LeafCost]]+IF(Tasks[[#This Row],[_IsLeaf]]=1,SUMIFS(asg_Cost,asg_TaskUID,Tasks[[#This Row],[UID]],asg_Valid,1),0)</f>
        <v>0</v>
      </c>
      <c r="CQ124" s="32" t="n">
        <f aca="false">IF(Tasks[[#This Row],[_LeafTotalCost]]=0,Tasks[[#This Row],[_LeafAC]],Tasks[[#This Row],[_LeafAC]]*Tasks[[#This Row],[_LeafCost]]/Tasks[[#This Row],[_LeafTotalCost]])</f>
        <v>0</v>
      </c>
      <c r="CR12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4" s="32" t="n">
        <f aca="false">IF(NOT(Tasks[[#This Row],[_IsLeaf]]=1),0,MAX(_xlfn.MAXIFS(Tasks[_Row],Tasks[Pred1 UID],Tasks[[#This Row],[UID]]),_xlfn.MAXIFS(Tasks[_Row],Tasks[Pred2 UID],Tasks[[#This Row],[UID]]),_xlfn.MAXIFS(Tasks[_Row],Tasks[Pred3 UID],Tasks[[#This Row],[UID]]),_xlfn.MAXIFS(Tasks[_Row],Tasks[Pred4 UID],Tasks[[#This Row],[UID]])))</f>
        <v>0</v>
      </c>
      <c r="DA12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4" s="115" t="str">
        <f aca="false">IF(NOT(Tasks[[#This Row],[_IsLeaf]]=1),"",IF(N(Tasks[[#This Row],[Duration]])&lt;=0,Tasks[[#This Row],[_LeafLateFinish]],WORKDAY.INTL(Tasks[[#This Row],[_LeafLateFinish]],-(Tasks[[#This Row],[Duration]]-1),WorkWeek,Holidays)))</f>
        <v/>
      </c>
      <c r="DD12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4" s="114" t="b">
        <f aca="false">AND(Tasks[[#This Row],[_IsLeaf]]=1,Tasks[[#This Row],[_LeafProgress]]&lt;1,N(Tasks[[#This Row],[_LeafTotalSlack]])&lt;=CriticalSlackDays)</f>
        <v>0</v>
      </c>
      <c r="DF124" s="32" t="n">
        <f aca="false">IF(AND(Tasks[[#This Row],[_IsLeaf]]=1,Tasks[[#This Row],[_ConstraintCode]]=1,Tasks[[#This Row],[Mode]]&lt;&gt;"Manual",N(Tasks[[#This Row],[Actual Start]])=0),MAX(0,N(Tasks[[#This Row],[Free Slack]])),0)</f>
        <v>0</v>
      </c>
      <c r="DG124" s="115" t="str">
        <f aca="false">IF(NOT(Tasks[[#This Row],[_IsLeaf]]=1),"",IF(Tasks[[#This Row],[_AlapShift]]=0,Tasks[[#This Row],[_LeafCalcStart]],WORKDAY.INTL(Tasks[[#This Row],[_LeafCalcStart]],Tasks[[#This Row],[_AlapShift]],WorkWeek,Holidays)))</f>
        <v/>
      </c>
      <c r="DH124" s="115" t="str">
        <f aca="false">IF(NOT(Tasks[[#This Row],[_IsLeaf]]=1),"",IF(Tasks[[#This Row],[_AlapShift]]=0,Tasks[[#This Row],[_LeafCalcFinish]],WORKDAY.INTL(Tasks[[#This Row],[_LeafCalcFinish]],Tasks[[#This Row],[_AlapShift]],WorkWeek,Holidays)))</f>
        <v/>
      </c>
      <c r="DI124" s="115" t="str">
        <f aca="false">IF(NOT(Tasks[[#This Row],[_IsLeaf]]=1),"",IF(Tasks[[#This Row],[_AlapShift]]=0,Tasks[[#This Row],[_LeafFcstStart]],WORKDAY.INTL(Tasks[[#This Row],[_LeafFcstStart]],Tasks[[#This Row],[_AlapShift]],WorkWeek,Holidays)))</f>
        <v/>
      </c>
      <c r="DJ124" s="115" t="str">
        <f aca="false">IF(NOT(Tasks[[#This Row],[_IsLeaf]]=1),"",IF(Tasks[[#This Row],[_AlapShift]]=0,Tasks[[#This Row],[_LeafFcstFinish]],WORKDAY.INTL(Tasks[[#This Row],[_LeafFcstFinish]],Tasks[[#This Row],[_AlapShift]],WorkWeek,Holidays)))</f>
        <v/>
      </c>
      <c r="DK124" s="115" t="str">
        <f aca="false">IF(Tasks[[#This Row],[Task Name]]="","",IF(Tasks[[#This Row],[_IsSummary]],MIN(INDEX(Tasks[_ShownCalcStart],Tasks[[#This Row],[_Row]]+1):INDEX(Tasks[_ShownCalcStart],Tasks[[#This Row],[_Row]]+Tasks[[#This Row],[_Descendants]])),Tasks[[#This Row],[_ShownCalcStart]]))</f>
        <v/>
      </c>
      <c r="DL124" s="115" t="str">
        <f aca="false">IF(Tasks[[#This Row],[Task Name]]="","",IF(Tasks[[#This Row],[_IsSummary]],MAX(INDEX(Tasks[_ShownCalcFinish],Tasks[[#This Row],[_Row]]+1):INDEX(Tasks[_ShownCalcFinish],Tasks[[#This Row],[_Row]]+Tasks[[#This Row],[_Descendants]])),Tasks[[#This Row],[_ShownCalcFinish]]))</f>
        <v/>
      </c>
      <c r="DM12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4" s="32" t="n">
        <f aca="false">IF(AND(Tasks[[#This Row],[_IsLeaf]]=1,Tasks[[#This Row],[_LeafTotalWork]]&gt;0),NETWORKDAYS.INTL(ProjectStart,Tasks[[#This Row],[_ShownFcstStart]],WorkWeek,Holidays),0)</f>
        <v>0</v>
      </c>
      <c r="DZ124" s="32" t="n">
        <f aca="false">IF(AND(Tasks[[#This Row],[_IsLeaf]]=1,Tasks[[#This Row],[_LeafTotalWork]]&gt;0),MAX(Tasks[[#This Row],[_StartWorkday]],NETWORKDAYS.INTL(ProjectStart,Tasks[[#This Row],[_ShownFcstFinish]],WorkWeek,Holidays)),0)</f>
        <v>0</v>
      </c>
      <c r="EA124" s="32" t="n">
        <f aca="false">IF(AND(Tasks[[#This Row],[_IsLeaf]]=1,Tasks[[#This Row],[_LeafTotalWork]]&gt;0),Tasks[[#This Row],[_LeafWork]]/(Tasks[[#This Row],[_FinishWorkday]]-Tasks[[#This Row],[_StartWorkday]]+1),0)</f>
        <v>0</v>
      </c>
      <c r="EB124" s="32" t="n">
        <f aca="false">Tasks[[#This Row],[_WorkPerWorkday]]*(Tasks[[#This Row],[_StartWorkday]]-1)</f>
        <v>-0</v>
      </c>
      <c r="EC124" s="32" t="n">
        <f aca="false">IF(Tasks[[#This Row],[_IsLeaf]]=1,MAX(N(Tasks[[#This Row],[Duration]]),0.1),0)</f>
        <v>0</v>
      </c>
      <c r="ED124" s="32" t="n">
        <f aca="false">Tasks[[#This Row],[_WeightDur]]*Tasks[[#This Row],[_LeafProgress]]</f>
        <v>0</v>
      </c>
      <c r="EE12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4" s="32" t="str">
        <f aca="false">IF(AND(Tasks[[#This Row],[_IsLeaf]]=1,N(Tasks[[#This Row],[Duration]])=0,Tasks[[#This Row],[_LeafProgress]]&lt;1),Tasks[[#This Row],[_ShownFcstFinish]]+Tasks[[#This Row],[_Row]]/100000,"")</f>
        <v/>
      </c>
      <c r="EG12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4" s="32" t="n">
        <f aca="false">IF(NOT(Tasks[[#This Row],[_IsLeaf]]=1),0,IF(Tasks[[#This Row],[Baseline Cost]]="",Tasks[[#This Row],[_LeafTotalCost]],N(Tasks[[#This Row],[Baseline Cost]])))</f>
        <v>0</v>
      </c>
      <c r="EI124" s="32" t="n">
        <f aca="false">Tasks[[#This Row],[_LeafBudget]]*Tasks[[#This Row],[_PlannedPct]]</f>
        <v>0</v>
      </c>
      <c r="EJ124" s="32" t="n">
        <f aca="false">Tasks[[#This Row],[_LeafBudget]]*Tasks[[#This Row],[_LeafProgress]]</f>
        <v>0</v>
      </c>
      <c r="EK124" s="32" t="n">
        <f aca="false">IF(NOT(Tasks[[#This Row],[_IsLeaf]]=1),0,IF(Tasks[[#This Row],[Actual Cost]]="",Tasks[[#This Row],[_LeafTotalCost]]*Tasks[[#This Row],[_LeafProgress]],N(Tasks[[#This Row],[Actual Cost]])))</f>
        <v>0</v>
      </c>
      <c r="EL124" s="32" t="str">
        <f aca="false">IF(Tasks[[#This Row],[Task Name]]="","",LEFT(Tasks[[#This Row],[WBS]],FIND(".",Tasks[[#This Row],[WBS]]&amp;".")-1))</f>
        <v/>
      </c>
      <c r="EM124" s="32" t="str">
        <f aca="false">IF(AND(Tasks[[#This Row],[Task Name]]&lt;&gt;"",Tasks[[#This Row],[_Level]]=1),Tasks[[#This Row],[_Row]],"")</f>
        <v/>
      </c>
      <c r="EN124" s="32" t="str">
        <f aca="false">IF(AND(Tasks[[#This Row],[_IsLeaf]]=1,N(Tasks[[#This Row],[Duration]])=0),Tasks[[#This Row],[Planned Finish]]+Tasks[[#This Row],[_Row]]/100000,"")</f>
        <v/>
      </c>
      <c r="EO124" s="32" t="str">
        <f aca="false">IF(AND(Tasks[[#This Row],[_IsLeaf]]=1,Tasks[[#This Row],[_LeafProgress]]&lt;1,OR(N(Tasks[[#This Row],[Finish Var]])&gt;0,Tasks[[#This Row],[Status]]="Late Start")),MAX(0,Tasks[[#This Row],[Finish Var]])+1-Tasks[[#This Row],[_Row]]/1000000,"")</f>
        <v/>
      </c>
      <c r="EP124" s="32" t="str">
        <f aca="false">IF(AND(Tasks[[#This Row],[_IsLeaf]]=1,N(Tasks[[#This Row],[Actual Start]])=0,Tasks[[#This Row],[_ShownFcstStart]]&gt;=StatusDate,Tasks[[#This Row],[_ShownFcstStart]]&lt;=LookaheadEnd),Tasks[[#This Row],[_ShownFcstStart]]+Tasks[[#This Row],[_Row]]/100000,"")</f>
        <v/>
      </c>
      <c r="EQ124" s="32" t="str">
        <f aca="false">IF(AND(Tasks[[#This Row],[_IsLeaf]]=1,Tasks[[#This Row],[_LeafProgress]]&lt;1,Tasks[[#This Row],[_ShownFcstFinish]]&gt;=StatusDate,Tasks[[#This Row],[_ShownFcstFinish]]&lt;=LookaheadEnd),Tasks[[#This Row],[_ShownFcstFinish]]+Tasks[[#This Row],[_Row]]/100000,"")</f>
        <v/>
      </c>
      <c r="ER124" s="32" t="str">
        <f aca="false">IF(Tasks[[#This Row],[_LeafCritical]],Tasks[[#This Row],[_ShownFcstStart]]+Tasks[[#This Row],[_Row]]/100000,"")</f>
        <v/>
      </c>
      <c r="ES124" s="32" t="n">
        <f aca="false">Tasks[[#This Row],[_LeafWork]]*Tasks[[#This Row],[_LeafProgress]]</f>
        <v>0</v>
      </c>
      <c r="ET124" s="115" t="str">
        <f aca="false">IF(AND(Tasks[[#This Row],[_IsLeaf]]=1,Tasks[[#This Row],[_LeafProgress]]&gt;=1),IF(N(Tasks[[#This Row],[Actual Finish]])&gt;0,Tasks[[#This Row],[Actual Finish]],Tasks[[#This Row],[_ShownFcstFinish]]),"")</f>
        <v/>
      </c>
      <c r="EU124" s="32" t="n">
        <f aca="false">IF(Tasks[[#This Row],[_IsLeaf]]=1,N(Tasks[[#This Row],[Story Points]]),0)</f>
        <v>0</v>
      </c>
      <c r="EV124" s="32" t="str">
        <f aca="false">IF(AND(Tasks[[#This Row],[_IsLeaf]]=1,CurrentSprint&lt;&gt;"",Tasks[[#This Row],[Sprint]]=CurrentSprint),Tasks[[#This Row],[_Row]],"")</f>
        <v/>
      </c>
    </row>
    <row r="125" customFormat="false" ht="15" hidden="false" customHeight="false" outlineLevel="0" collapsed="false">
      <c r="A125" s="45" t="str">
        <f aca="false">IF(Tasks[[#This Row],[Task Name]]="","",COUNTA(Tasks[[#Headers],[Task Name]]:Tasks[[#This Row],[Task Name]])-1)</f>
        <v/>
      </c>
      <c r="B125" s="46" t="n">
        <v>120</v>
      </c>
      <c r="C12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5" s="46"/>
      <c r="E125" s="45" t="str">
        <f aca="false">IF(Tasks[[#This Row],[Task Name]]="","",IF(Tasks[[#This Row],[_Level]]&lt;=OutlineShowLevel,"Yes","No"))</f>
        <v/>
      </c>
      <c r="F125" s="47"/>
      <c r="G125" s="46"/>
      <c r="H125" s="46"/>
      <c r="I125" s="46"/>
      <c r="J125" s="46"/>
      <c r="K125" s="46"/>
      <c r="L125" s="46"/>
      <c r="M125" s="46"/>
      <c r="N125" s="46"/>
      <c r="O125" s="46"/>
      <c r="P125" s="46"/>
      <c r="Q125" s="46"/>
      <c r="R125" s="46"/>
      <c r="S125" s="46"/>
      <c r="T125" s="46"/>
      <c r="U125" s="47"/>
      <c r="V125" s="88"/>
      <c r="W125" s="88"/>
      <c r="X125" s="25" t="str">
        <f aca="false">IF(Tasks[[#This Row],[Task Name]]="","",IF(N(Tasks[[#This Row],[Baseline Start]])&gt;0,Tasks[[#This Row],[Baseline Start]],Tasks[[#This Row],[_CalcStart]]))</f>
        <v/>
      </c>
      <c r="Y125" s="25" t="str">
        <f aca="false">IF(Tasks[[#This Row],[Task Name]]="","",IF(N(Tasks[[#This Row],[Baseline Finish]])&gt;0,Tasks[[#This Row],[Baseline Finish]],Tasks[[#This Row],[_CalcFinish]]))</f>
        <v/>
      </c>
      <c r="Z125" s="88"/>
      <c r="AA125" s="88"/>
      <c r="AB125" s="25" t="str">
        <f aca="false">IF(Tasks[[#This Row],[Task Name]]="","",IF(Tasks[[#This Row],[_IsSummary]],MIN(INDEX(Tasks[_ShownFcstStart],Tasks[[#This Row],[_Row]]+1):INDEX(Tasks[_ShownFcstStart],Tasks[[#This Row],[_Row]]+Tasks[[#This Row],[_Descendants]])),Tasks[[#This Row],[_ShownFcstStart]]))</f>
        <v/>
      </c>
      <c r="AC125" s="25" t="str">
        <f aca="false">IF(Tasks[[#This Row],[Task Name]]="","",IF(Tasks[[#This Row],[_IsSummary]],MAX(INDEX(Tasks[_ShownFcstFinish],Tasks[[#This Row],[_Row]]+1):INDEX(Tasks[_ShownFcstFinish],Tasks[[#This Row],[_Row]]+Tasks[[#This Row],[_Descendants]])),Tasks[[#This Row],[_ShownFcstFinish]]))</f>
        <v/>
      </c>
      <c r="AD12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5" s="25" t="str">
        <f aca="false">IF(Tasks[[#This Row],[Task Name]]="","",IF(Tasks[[#This Row],[_IsSummary]],MIN(INDEX(Tasks[_LeafLateStart],Tasks[[#This Row],[_Row]]+1):INDEX(Tasks[_LeafLateStart],Tasks[[#This Row],[_Row]]+Tasks[[#This Row],[_Descendants]])),Tasks[[#This Row],[_LeafLateStart]]))</f>
        <v/>
      </c>
      <c r="AG125" s="25" t="str">
        <f aca="false">IF(Tasks[[#This Row],[Task Name]]="","",IF(Tasks[[#This Row],[_IsSummary]],MAX(INDEX(Tasks[_LeafLateFinish],Tasks[[#This Row],[_Row]]+1):INDEX(Tasks[_LeafLateFinish],Tasks[[#This Row],[_Row]]+Tasks[[#This Row],[_Descendants]])),Tasks[[#This Row],[_LeafLateFinish]]))</f>
        <v/>
      </c>
      <c r="AH125" s="56" t="str">
        <f aca="false">IF(Tasks[[#This Row],[Task Name]]="","",IF(Tasks[[#This Row],[_IsSummary]],MIN(INDEX(Tasks[_LeafTotalSlack],Tasks[[#This Row],[_Row]]+1):INDEX(Tasks[_LeafTotalSlack],Tasks[[#This Row],[_Row]]+Tasks[[#This Row],[_Descendants]])),Tasks[[#This Row],[_LeafTotalSlack]]))</f>
        <v/>
      </c>
      <c r="AI12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5" s="45" t="str">
        <f aca="false">IF(Tasks[[#This Row],[Task Name]]="","",IF(IF(Tasks[[#This Row],[_IsSummary]],COUNTIF(INDEX(Tasks[_LeafCritical],Tasks[[#This Row],[_Row]]+1):INDEX(Tasks[_LeafCritical],Tasks[[#This Row],[_Row]]+Tasks[[#This Row],[_Descendants]]),TRUE())&gt;0,Tasks[[#This Row],[_LeafCritical]]),"Yes",""))</f>
        <v/>
      </c>
      <c r="AK12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5" s="102"/>
      <c r="AN12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5" s="45" t="str">
        <f aca="false">IF(Tasks[[#This Row],[Task Name]]="","",IF(Tasks[[#This Row],[Progress]]&gt;=1,"Complete",IF(OR(N(Tasks[[#This Row],[Actual Start]])&gt;0,Tasks[[#This Row],[Progress]]&gt;0),IF(Tasks[[#This Row],[Finish Var]]&gt;0,"Behind","In Progress"),IF(Tasks[[#This Row],[Planned Start]]&lt;StatusDate,"Late Start","Not Started"))))</f>
        <v/>
      </c>
      <c r="AP125" s="47"/>
      <c r="AQ125" s="102"/>
      <c r="AR12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5" s="110" t="str">
        <f aca="false">IF(Tasks[[#This Row],[Task Name]]="","",IF(Tasks[[#This Row],[_IsSummary]],SUM(INDEX(Tasks[_LeafTotalWork],Tasks[[#This Row],[_Row]]+1):INDEX(Tasks[_LeafTotalWork],Tasks[[#This Row],[_Row]]+Tasks[[#This Row],[_Descendants]])),Tasks[[#This Row],[_LeafTotalWork]]))</f>
        <v/>
      </c>
      <c r="AU125" s="111" t="str">
        <f aca="false">IF(Tasks[[#This Row],[Task Name]]="","",IF(Tasks[[#This Row],[_IsSummary]],SUM(INDEX(Tasks[_LeafTotalCost],Tasks[[#This Row],[_Row]]+1):INDEX(Tasks[_LeafTotalCost],Tasks[[#This Row],[_Row]]+Tasks[[#This Row],[_Descendants]])),Tasks[[#This Row],[_LeafTotalCost]]))</f>
        <v/>
      </c>
      <c r="AV125" s="112"/>
      <c r="AW125" s="46"/>
      <c r="AX12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5" s="96"/>
      <c r="AZ12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5" s="47"/>
      <c r="BB125" s="25" t="str">
        <f aca="false">IF(Tasks[[#This Row],[Task Name]]="","",Tasks[[#This Row],[Forecast Start]])</f>
        <v/>
      </c>
      <c r="BC125" s="25" t="str">
        <f aca="false">IF(Tasks[[#This Row],[Task Name]]="","",Tasks[[#This Row],[Forecast Finish]])</f>
        <v/>
      </c>
      <c r="BD125" s="45" t="str">
        <f aca="false">IF(Tasks[[#This Row],[Task Name]]="","",IF(Tasks[[#This Row],[_IsSummary]],NETWORKDAYS.INTL(Tasks[[#This Row],[Forecast Start]],Tasks[[#This Row],[Forecast Finish]],WorkWeek,Holidays),N(Tasks[[#This Row],[Duration]])))</f>
        <v/>
      </c>
      <c r="BE125" s="110" t="str">
        <f aca="false">IF(Tasks[[#This Row],[Task Name]]="","",Tasks[[#This Row],[Work]])</f>
        <v/>
      </c>
      <c r="BF125" s="111" t="str">
        <f aca="false">IF(Tasks[[#This Row],[Task Name]]="","",Tasks[[#This Row],[Cost]])</f>
        <v/>
      </c>
      <c r="BG125" s="88"/>
      <c r="BH125" s="88"/>
      <c r="BI125" s="46"/>
      <c r="BJ125" s="113"/>
      <c r="BK125" s="112"/>
      <c r="BL125" s="45" t="str">
        <f aca="false">IF(OR(Tasks[[#This Row],[Task Name]]="",Tasks[[#This Row],[Baseline Duration]]=""),"",Tasks[[#This Row],[BL Source Duration]]-N(Tasks[[#This Row],[Baseline Duration]]))</f>
        <v/>
      </c>
      <c r="BM125" s="110" t="str">
        <f aca="false">IF(OR(Tasks[[#This Row],[Task Name]]="",Tasks[[#This Row],[Baseline Work]]=""),"",Tasks[[#This Row],[Work]]-N(Tasks[[#This Row],[Baseline Work]]))</f>
        <v/>
      </c>
      <c r="BN125" s="111" t="str">
        <f aca="false">IF(OR(Tasks[[#This Row],[Task Name]]="",Tasks[[#This Row],[Baseline Cost]]=""),"",Tasks[[#This Row],[Cost]]-N(Tasks[[#This Row],[Baseline Cost]]))</f>
        <v/>
      </c>
      <c r="BO125" s="111" t="str">
        <f aca="false">IF(Tasks[[#This Row],[Task Name]]="","",IF(Tasks[[#This Row],[_IsSummary]],SUM(INDEX(Tasks[_LeafBudget],Tasks[[#This Row],[_Row]]+1):INDEX(Tasks[_LeafBudget],Tasks[[#This Row],[_Row]]+Tasks[[#This Row],[_Descendants]])),Tasks[[#This Row],[_LeafBudget]]))</f>
        <v/>
      </c>
      <c r="BP125" s="111" t="str">
        <f aca="false">IF(Tasks[[#This Row],[Task Name]]="","",IF(Tasks[[#This Row],[_IsSummary]],SUM(INDEX(Tasks[_LeafPV],Tasks[[#This Row],[_Row]]+1):INDEX(Tasks[_LeafPV],Tasks[[#This Row],[_Row]]+Tasks[[#This Row],[_Descendants]])),Tasks[[#This Row],[_LeafPV]]))</f>
        <v/>
      </c>
      <c r="BQ125" s="111" t="str">
        <f aca="false">IF(Tasks[[#This Row],[Task Name]]="","",IF(Tasks[[#This Row],[_IsSummary]],SUM(INDEX(Tasks[_LeafEV],Tasks[[#This Row],[_Row]]+1):INDEX(Tasks[_LeafEV],Tasks[[#This Row],[_Row]]+Tasks[[#This Row],[_Descendants]])),Tasks[[#This Row],[_LeafEV]]))</f>
        <v/>
      </c>
      <c r="BR125" s="111" t="str">
        <f aca="false">IF(Tasks[[#This Row],[Task Name]]="","",IF(Tasks[[#This Row],[_IsSummary]],SUM(INDEX(Tasks[_LeafAC],Tasks[[#This Row],[_Row]]+1):INDEX(Tasks[_LeafAC],Tasks[[#This Row],[_Row]]+Tasks[[#This Row],[_Descendants]])),Tasks[[#This Row],[_LeafAC]]))</f>
        <v/>
      </c>
      <c r="BS125" s="32" t="str">
        <f aca="false">IF(Tasks[[#This Row],[Task Name]]="","",MAX(1,N(Tasks[[#This Row],[Level]])))</f>
        <v/>
      </c>
      <c r="BT125" s="32" t="n">
        <f aca="false">ROW()-ROW(Tasks[[#Headers],[ID]])</f>
        <v>120</v>
      </c>
      <c r="BU125" s="32" t="n">
        <f aca="false">IF(OR(Tasks[[#This Row],[Task Name]]="",Tasks[[#This Row],[_Level]]&lt;=1),0,IFERROR(LOOKUP(2,1/(Tasks[[#Headers],[_Level]]:Tasks[[#This Row],[_Level]]=Tasks[[#This Row],[_Level]]-1),ROW(Tasks[[#Headers],[_Level]]:Tasks[[#This Row],[_Level]])),0))</f>
        <v>0</v>
      </c>
      <c r="BV125" s="32" t="n">
        <f aca="false">IFERROR(N(INDEX(Tasks[_Level],Tasks[[#This Row],[_Row]]+1)),0)</f>
        <v>0</v>
      </c>
      <c r="BW125" s="114" t="b">
        <f aca="false">AND(Tasks[[#This Row],[Task Name]]&lt;&gt;"",Tasks[[#This Row],[_NextLevel]]&gt;Tasks[[#This Row],[_Level]])</f>
        <v>0</v>
      </c>
      <c r="BX125" s="32" t="n">
        <f aca="false">IF(Tasks[[#This Row],[_IsSummary]],COUNTIF(Tasks[WBS],Tasks[[#This Row],[WBS]]&amp;".*"),0)</f>
        <v>0</v>
      </c>
      <c r="BY125" s="32" t="n">
        <f aca="false">IF(AND(Tasks[[#This Row],[Task Name]]&lt;&gt;"",NOT(Tasks[[#This Row],[_IsSummary]])),1,0)</f>
        <v>0</v>
      </c>
      <c r="BZ125" s="32" t="n">
        <f aca="false">IF(N(Tasks[[#This Row],[Pred1 UID]])=0,0,IFERROR(MATCH(Tasks[[#This Row],[Pred1 UID]],Tasks[UID],0),-1))</f>
        <v>0</v>
      </c>
      <c r="CA125" s="32" t="n">
        <f aca="false">IF(N(Tasks[[#This Row],[Pred2 UID]])=0,0,IFERROR(MATCH(Tasks[[#This Row],[Pred2 UID]],Tasks[UID],0),-1))</f>
        <v>0</v>
      </c>
      <c r="CB125" s="32" t="n">
        <f aca="false">IF(N(Tasks[[#This Row],[Pred3 UID]])=0,0,IFERROR(MATCH(Tasks[[#This Row],[Pred3 UID]],Tasks[UID],0),-1))</f>
        <v>0</v>
      </c>
      <c r="CC125" s="32" t="n">
        <f aca="false">IF(N(Tasks[[#This Row],[Pred4 UID]])=0,0,IFERROR(MATCH(Tasks[[#This Row],[Pred4 UID]],Tasks[UID],0),-1))</f>
        <v>0</v>
      </c>
      <c r="CD12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5" s="115" t="n">
        <f aca="false">IF(OR(Tasks[[#This Row],[_ConstraintCode]]=2,Tasks[[#This Row],[_ConstraintCode]]=3,Tasks[[#This Row],[_ConstraintCode]]=4,Tasks[[#This Row],[_ConstraintCode]]=6),Tasks[[#This Row],[_ConstraintStart]],0)</f>
        <v>0</v>
      </c>
      <c r="CG125" s="115" t="n">
        <f aca="false">IF(OR(Tasks[[#This Row],[_ConstraintCode]]=2,Tasks[[#This Row],[_ConstraintCode]]=3,Tasks[[#This Row],[_ConstraintCode]]=5,Tasks[[#This Row],[_ConstraintCode]]=7),Tasks[[#This Row],[_ConstraintStart]],2958465)</f>
        <v>2958465</v>
      </c>
      <c r="CH12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5" s="115" t="str">
        <f aca="false">IF(NOT(Tasks[[#This Row],[_IsLeaf]]=1),"",IF(N(Tasks[[#This Row],[Duration]])&lt;=0,Tasks[[#This Row],[_LeafCalcStart]],WORKDAY.INTL(Tasks[[#This Row],[_LeafCalcStart]],Tasks[[#This Row],[Duration]]-1,WorkWeek,Holidays)))</f>
        <v/>
      </c>
      <c r="CJ12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5" s="32" t="n">
        <f aca="false">IF(NOT(Tasks[[#This Row],[_IsLeaf]]=1),0,IF(N(Tasks[[#This Row],[Actual Finish]])&gt;0,1,MIN(1,N(Tasks[[#This Row],[% Complete]]))))</f>
        <v>0</v>
      </c>
      <c r="CM125" s="32" t="n">
        <f aca="false">IF(OR(NOT(Tasks[[#This Row],[_IsLeaf]]=1),Tasks[[#This Row],[Resource]]=""),0,N(Tasks[[#This Row],[Duration]])*HoursPerDay*IF(Tasks[[#This Row],[Units]]="",DefaultUnits,Tasks[[#This Row],[Units]]))</f>
        <v>0</v>
      </c>
      <c r="CN125" s="32" t="n">
        <f aca="false">IF(Tasks[[#This Row],[_LeafWork]]=0,0,Tasks[[#This Row],[_LeafWork]]*IFERROR(INDEX(res_Rate,MATCH(Tasks[[#This Row],[Resource]],res_Name,0)),0))</f>
        <v>0</v>
      </c>
      <c r="CO125" s="32" t="n">
        <f aca="false">Tasks[[#This Row],[_LeafWork]]+IF(Tasks[[#This Row],[_IsLeaf]]=1,SUMIFS(asg_Work,asg_TaskUID,Tasks[[#This Row],[UID]],asg_Valid,1),0)</f>
        <v>0</v>
      </c>
      <c r="CP125" s="32" t="n">
        <f aca="false">Tasks[[#This Row],[_LeafCost]]+IF(Tasks[[#This Row],[_IsLeaf]]=1,SUMIFS(asg_Cost,asg_TaskUID,Tasks[[#This Row],[UID]],asg_Valid,1),0)</f>
        <v>0</v>
      </c>
      <c r="CQ125" s="32" t="n">
        <f aca="false">IF(Tasks[[#This Row],[_LeafTotalCost]]=0,Tasks[[#This Row],[_LeafAC]],Tasks[[#This Row],[_LeafAC]]*Tasks[[#This Row],[_LeafCost]]/Tasks[[#This Row],[_LeafTotalCost]])</f>
        <v>0</v>
      </c>
      <c r="CR12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5" s="32" t="n">
        <f aca="false">IF(NOT(Tasks[[#This Row],[_IsLeaf]]=1),0,MAX(_xlfn.MAXIFS(Tasks[_Row],Tasks[Pred1 UID],Tasks[[#This Row],[UID]]),_xlfn.MAXIFS(Tasks[_Row],Tasks[Pred2 UID],Tasks[[#This Row],[UID]]),_xlfn.MAXIFS(Tasks[_Row],Tasks[Pred3 UID],Tasks[[#This Row],[UID]]),_xlfn.MAXIFS(Tasks[_Row],Tasks[Pred4 UID],Tasks[[#This Row],[UID]])))</f>
        <v>0</v>
      </c>
      <c r="DA12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5" s="115" t="str">
        <f aca="false">IF(NOT(Tasks[[#This Row],[_IsLeaf]]=1),"",IF(N(Tasks[[#This Row],[Duration]])&lt;=0,Tasks[[#This Row],[_LeafLateFinish]],WORKDAY.INTL(Tasks[[#This Row],[_LeafLateFinish]],-(Tasks[[#This Row],[Duration]]-1),WorkWeek,Holidays)))</f>
        <v/>
      </c>
      <c r="DD12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5" s="114" t="b">
        <f aca="false">AND(Tasks[[#This Row],[_IsLeaf]]=1,Tasks[[#This Row],[_LeafProgress]]&lt;1,N(Tasks[[#This Row],[_LeafTotalSlack]])&lt;=CriticalSlackDays)</f>
        <v>0</v>
      </c>
      <c r="DF125" s="32" t="n">
        <f aca="false">IF(AND(Tasks[[#This Row],[_IsLeaf]]=1,Tasks[[#This Row],[_ConstraintCode]]=1,Tasks[[#This Row],[Mode]]&lt;&gt;"Manual",N(Tasks[[#This Row],[Actual Start]])=0),MAX(0,N(Tasks[[#This Row],[Free Slack]])),0)</f>
        <v>0</v>
      </c>
      <c r="DG125" s="115" t="str">
        <f aca="false">IF(NOT(Tasks[[#This Row],[_IsLeaf]]=1),"",IF(Tasks[[#This Row],[_AlapShift]]=0,Tasks[[#This Row],[_LeafCalcStart]],WORKDAY.INTL(Tasks[[#This Row],[_LeafCalcStart]],Tasks[[#This Row],[_AlapShift]],WorkWeek,Holidays)))</f>
        <v/>
      </c>
      <c r="DH125" s="115" t="str">
        <f aca="false">IF(NOT(Tasks[[#This Row],[_IsLeaf]]=1),"",IF(Tasks[[#This Row],[_AlapShift]]=0,Tasks[[#This Row],[_LeafCalcFinish]],WORKDAY.INTL(Tasks[[#This Row],[_LeafCalcFinish]],Tasks[[#This Row],[_AlapShift]],WorkWeek,Holidays)))</f>
        <v/>
      </c>
      <c r="DI125" s="115" t="str">
        <f aca="false">IF(NOT(Tasks[[#This Row],[_IsLeaf]]=1),"",IF(Tasks[[#This Row],[_AlapShift]]=0,Tasks[[#This Row],[_LeafFcstStart]],WORKDAY.INTL(Tasks[[#This Row],[_LeafFcstStart]],Tasks[[#This Row],[_AlapShift]],WorkWeek,Holidays)))</f>
        <v/>
      </c>
      <c r="DJ125" s="115" t="str">
        <f aca="false">IF(NOT(Tasks[[#This Row],[_IsLeaf]]=1),"",IF(Tasks[[#This Row],[_AlapShift]]=0,Tasks[[#This Row],[_LeafFcstFinish]],WORKDAY.INTL(Tasks[[#This Row],[_LeafFcstFinish]],Tasks[[#This Row],[_AlapShift]],WorkWeek,Holidays)))</f>
        <v/>
      </c>
      <c r="DK125" s="115" t="str">
        <f aca="false">IF(Tasks[[#This Row],[Task Name]]="","",IF(Tasks[[#This Row],[_IsSummary]],MIN(INDEX(Tasks[_ShownCalcStart],Tasks[[#This Row],[_Row]]+1):INDEX(Tasks[_ShownCalcStart],Tasks[[#This Row],[_Row]]+Tasks[[#This Row],[_Descendants]])),Tasks[[#This Row],[_ShownCalcStart]]))</f>
        <v/>
      </c>
      <c r="DL125" s="115" t="str">
        <f aca="false">IF(Tasks[[#This Row],[Task Name]]="","",IF(Tasks[[#This Row],[_IsSummary]],MAX(INDEX(Tasks[_ShownCalcFinish],Tasks[[#This Row],[_Row]]+1):INDEX(Tasks[_ShownCalcFinish],Tasks[[#This Row],[_Row]]+Tasks[[#This Row],[_Descendants]])),Tasks[[#This Row],[_ShownCalcFinish]]))</f>
        <v/>
      </c>
      <c r="DM12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5" s="32" t="n">
        <f aca="false">IF(AND(Tasks[[#This Row],[_IsLeaf]]=1,Tasks[[#This Row],[_LeafTotalWork]]&gt;0),NETWORKDAYS.INTL(ProjectStart,Tasks[[#This Row],[_ShownFcstStart]],WorkWeek,Holidays),0)</f>
        <v>0</v>
      </c>
      <c r="DZ125" s="32" t="n">
        <f aca="false">IF(AND(Tasks[[#This Row],[_IsLeaf]]=1,Tasks[[#This Row],[_LeafTotalWork]]&gt;0),MAX(Tasks[[#This Row],[_StartWorkday]],NETWORKDAYS.INTL(ProjectStart,Tasks[[#This Row],[_ShownFcstFinish]],WorkWeek,Holidays)),0)</f>
        <v>0</v>
      </c>
      <c r="EA125" s="32" t="n">
        <f aca="false">IF(AND(Tasks[[#This Row],[_IsLeaf]]=1,Tasks[[#This Row],[_LeafTotalWork]]&gt;0),Tasks[[#This Row],[_LeafWork]]/(Tasks[[#This Row],[_FinishWorkday]]-Tasks[[#This Row],[_StartWorkday]]+1),0)</f>
        <v>0</v>
      </c>
      <c r="EB125" s="32" t="n">
        <f aca="false">Tasks[[#This Row],[_WorkPerWorkday]]*(Tasks[[#This Row],[_StartWorkday]]-1)</f>
        <v>-0</v>
      </c>
      <c r="EC125" s="32" t="n">
        <f aca="false">IF(Tasks[[#This Row],[_IsLeaf]]=1,MAX(N(Tasks[[#This Row],[Duration]]),0.1),0)</f>
        <v>0</v>
      </c>
      <c r="ED125" s="32" t="n">
        <f aca="false">Tasks[[#This Row],[_WeightDur]]*Tasks[[#This Row],[_LeafProgress]]</f>
        <v>0</v>
      </c>
      <c r="EE12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5" s="32" t="str">
        <f aca="false">IF(AND(Tasks[[#This Row],[_IsLeaf]]=1,N(Tasks[[#This Row],[Duration]])=0,Tasks[[#This Row],[_LeafProgress]]&lt;1),Tasks[[#This Row],[_ShownFcstFinish]]+Tasks[[#This Row],[_Row]]/100000,"")</f>
        <v/>
      </c>
      <c r="EG12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5" s="32" t="n">
        <f aca="false">IF(NOT(Tasks[[#This Row],[_IsLeaf]]=1),0,IF(Tasks[[#This Row],[Baseline Cost]]="",Tasks[[#This Row],[_LeafTotalCost]],N(Tasks[[#This Row],[Baseline Cost]])))</f>
        <v>0</v>
      </c>
      <c r="EI125" s="32" t="n">
        <f aca="false">Tasks[[#This Row],[_LeafBudget]]*Tasks[[#This Row],[_PlannedPct]]</f>
        <v>0</v>
      </c>
      <c r="EJ125" s="32" t="n">
        <f aca="false">Tasks[[#This Row],[_LeafBudget]]*Tasks[[#This Row],[_LeafProgress]]</f>
        <v>0</v>
      </c>
      <c r="EK125" s="32" t="n">
        <f aca="false">IF(NOT(Tasks[[#This Row],[_IsLeaf]]=1),0,IF(Tasks[[#This Row],[Actual Cost]]="",Tasks[[#This Row],[_LeafTotalCost]]*Tasks[[#This Row],[_LeafProgress]],N(Tasks[[#This Row],[Actual Cost]])))</f>
        <v>0</v>
      </c>
      <c r="EL125" s="32" t="str">
        <f aca="false">IF(Tasks[[#This Row],[Task Name]]="","",LEFT(Tasks[[#This Row],[WBS]],FIND(".",Tasks[[#This Row],[WBS]]&amp;".")-1))</f>
        <v/>
      </c>
      <c r="EM125" s="32" t="str">
        <f aca="false">IF(AND(Tasks[[#This Row],[Task Name]]&lt;&gt;"",Tasks[[#This Row],[_Level]]=1),Tasks[[#This Row],[_Row]],"")</f>
        <v/>
      </c>
      <c r="EN125" s="32" t="str">
        <f aca="false">IF(AND(Tasks[[#This Row],[_IsLeaf]]=1,N(Tasks[[#This Row],[Duration]])=0),Tasks[[#This Row],[Planned Finish]]+Tasks[[#This Row],[_Row]]/100000,"")</f>
        <v/>
      </c>
      <c r="EO125" s="32" t="str">
        <f aca="false">IF(AND(Tasks[[#This Row],[_IsLeaf]]=1,Tasks[[#This Row],[_LeafProgress]]&lt;1,OR(N(Tasks[[#This Row],[Finish Var]])&gt;0,Tasks[[#This Row],[Status]]="Late Start")),MAX(0,Tasks[[#This Row],[Finish Var]])+1-Tasks[[#This Row],[_Row]]/1000000,"")</f>
        <v/>
      </c>
      <c r="EP125" s="32" t="str">
        <f aca="false">IF(AND(Tasks[[#This Row],[_IsLeaf]]=1,N(Tasks[[#This Row],[Actual Start]])=0,Tasks[[#This Row],[_ShownFcstStart]]&gt;=StatusDate,Tasks[[#This Row],[_ShownFcstStart]]&lt;=LookaheadEnd),Tasks[[#This Row],[_ShownFcstStart]]+Tasks[[#This Row],[_Row]]/100000,"")</f>
        <v/>
      </c>
      <c r="EQ125" s="32" t="str">
        <f aca="false">IF(AND(Tasks[[#This Row],[_IsLeaf]]=1,Tasks[[#This Row],[_LeafProgress]]&lt;1,Tasks[[#This Row],[_ShownFcstFinish]]&gt;=StatusDate,Tasks[[#This Row],[_ShownFcstFinish]]&lt;=LookaheadEnd),Tasks[[#This Row],[_ShownFcstFinish]]+Tasks[[#This Row],[_Row]]/100000,"")</f>
        <v/>
      </c>
      <c r="ER125" s="32" t="str">
        <f aca="false">IF(Tasks[[#This Row],[_LeafCritical]],Tasks[[#This Row],[_ShownFcstStart]]+Tasks[[#This Row],[_Row]]/100000,"")</f>
        <v/>
      </c>
      <c r="ES125" s="32" t="n">
        <f aca="false">Tasks[[#This Row],[_LeafWork]]*Tasks[[#This Row],[_LeafProgress]]</f>
        <v>0</v>
      </c>
      <c r="ET125" s="115" t="str">
        <f aca="false">IF(AND(Tasks[[#This Row],[_IsLeaf]]=1,Tasks[[#This Row],[_LeafProgress]]&gt;=1),IF(N(Tasks[[#This Row],[Actual Finish]])&gt;0,Tasks[[#This Row],[Actual Finish]],Tasks[[#This Row],[_ShownFcstFinish]]),"")</f>
        <v/>
      </c>
      <c r="EU125" s="32" t="n">
        <f aca="false">IF(Tasks[[#This Row],[_IsLeaf]]=1,N(Tasks[[#This Row],[Story Points]]),0)</f>
        <v>0</v>
      </c>
      <c r="EV125" s="32" t="str">
        <f aca="false">IF(AND(Tasks[[#This Row],[_IsLeaf]]=1,CurrentSprint&lt;&gt;"",Tasks[[#This Row],[Sprint]]=CurrentSprint),Tasks[[#This Row],[_Row]],"")</f>
        <v/>
      </c>
    </row>
    <row r="126" customFormat="false" ht="15" hidden="false" customHeight="false" outlineLevel="0" collapsed="false">
      <c r="A126" s="45" t="str">
        <f aca="false">IF(Tasks[[#This Row],[Task Name]]="","",COUNTA(Tasks[[#Headers],[Task Name]]:Tasks[[#This Row],[Task Name]])-1)</f>
        <v/>
      </c>
      <c r="B126" s="46" t="n">
        <v>121</v>
      </c>
      <c r="C12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6" s="46"/>
      <c r="E126" s="45" t="str">
        <f aca="false">IF(Tasks[[#This Row],[Task Name]]="","",IF(Tasks[[#This Row],[_Level]]&lt;=OutlineShowLevel,"Yes","No"))</f>
        <v/>
      </c>
      <c r="F126" s="47"/>
      <c r="G126" s="46"/>
      <c r="H126" s="46"/>
      <c r="I126" s="46"/>
      <c r="J126" s="46"/>
      <c r="K126" s="46"/>
      <c r="L126" s="46"/>
      <c r="M126" s="46"/>
      <c r="N126" s="46"/>
      <c r="O126" s="46"/>
      <c r="P126" s="46"/>
      <c r="Q126" s="46"/>
      <c r="R126" s="46"/>
      <c r="S126" s="46"/>
      <c r="T126" s="46"/>
      <c r="U126" s="47"/>
      <c r="V126" s="88"/>
      <c r="W126" s="88"/>
      <c r="X126" s="25" t="str">
        <f aca="false">IF(Tasks[[#This Row],[Task Name]]="","",IF(N(Tasks[[#This Row],[Baseline Start]])&gt;0,Tasks[[#This Row],[Baseline Start]],Tasks[[#This Row],[_CalcStart]]))</f>
        <v/>
      </c>
      <c r="Y126" s="25" t="str">
        <f aca="false">IF(Tasks[[#This Row],[Task Name]]="","",IF(N(Tasks[[#This Row],[Baseline Finish]])&gt;0,Tasks[[#This Row],[Baseline Finish]],Tasks[[#This Row],[_CalcFinish]]))</f>
        <v/>
      </c>
      <c r="Z126" s="88"/>
      <c r="AA126" s="88"/>
      <c r="AB126" s="25" t="str">
        <f aca="false">IF(Tasks[[#This Row],[Task Name]]="","",IF(Tasks[[#This Row],[_IsSummary]],MIN(INDEX(Tasks[_ShownFcstStart],Tasks[[#This Row],[_Row]]+1):INDEX(Tasks[_ShownFcstStart],Tasks[[#This Row],[_Row]]+Tasks[[#This Row],[_Descendants]])),Tasks[[#This Row],[_ShownFcstStart]]))</f>
        <v/>
      </c>
      <c r="AC126" s="25" t="str">
        <f aca="false">IF(Tasks[[#This Row],[Task Name]]="","",IF(Tasks[[#This Row],[_IsSummary]],MAX(INDEX(Tasks[_ShownFcstFinish],Tasks[[#This Row],[_Row]]+1):INDEX(Tasks[_ShownFcstFinish],Tasks[[#This Row],[_Row]]+Tasks[[#This Row],[_Descendants]])),Tasks[[#This Row],[_ShownFcstFinish]]))</f>
        <v/>
      </c>
      <c r="AD12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6" s="25" t="str">
        <f aca="false">IF(Tasks[[#This Row],[Task Name]]="","",IF(Tasks[[#This Row],[_IsSummary]],MIN(INDEX(Tasks[_LeafLateStart],Tasks[[#This Row],[_Row]]+1):INDEX(Tasks[_LeafLateStart],Tasks[[#This Row],[_Row]]+Tasks[[#This Row],[_Descendants]])),Tasks[[#This Row],[_LeafLateStart]]))</f>
        <v/>
      </c>
      <c r="AG126" s="25" t="str">
        <f aca="false">IF(Tasks[[#This Row],[Task Name]]="","",IF(Tasks[[#This Row],[_IsSummary]],MAX(INDEX(Tasks[_LeafLateFinish],Tasks[[#This Row],[_Row]]+1):INDEX(Tasks[_LeafLateFinish],Tasks[[#This Row],[_Row]]+Tasks[[#This Row],[_Descendants]])),Tasks[[#This Row],[_LeafLateFinish]]))</f>
        <v/>
      </c>
      <c r="AH126" s="56" t="str">
        <f aca="false">IF(Tasks[[#This Row],[Task Name]]="","",IF(Tasks[[#This Row],[_IsSummary]],MIN(INDEX(Tasks[_LeafTotalSlack],Tasks[[#This Row],[_Row]]+1):INDEX(Tasks[_LeafTotalSlack],Tasks[[#This Row],[_Row]]+Tasks[[#This Row],[_Descendants]])),Tasks[[#This Row],[_LeafTotalSlack]]))</f>
        <v/>
      </c>
      <c r="AI12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6" s="45" t="str">
        <f aca="false">IF(Tasks[[#This Row],[Task Name]]="","",IF(IF(Tasks[[#This Row],[_IsSummary]],COUNTIF(INDEX(Tasks[_LeafCritical],Tasks[[#This Row],[_Row]]+1):INDEX(Tasks[_LeafCritical],Tasks[[#This Row],[_Row]]+Tasks[[#This Row],[_Descendants]]),TRUE())&gt;0,Tasks[[#This Row],[_LeafCritical]]),"Yes",""))</f>
        <v/>
      </c>
      <c r="AK12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6" s="102"/>
      <c r="AN12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6" s="45" t="str">
        <f aca="false">IF(Tasks[[#This Row],[Task Name]]="","",IF(Tasks[[#This Row],[Progress]]&gt;=1,"Complete",IF(OR(N(Tasks[[#This Row],[Actual Start]])&gt;0,Tasks[[#This Row],[Progress]]&gt;0),IF(Tasks[[#This Row],[Finish Var]]&gt;0,"Behind","In Progress"),IF(Tasks[[#This Row],[Planned Start]]&lt;StatusDate,"Late Start","Not Started"))))</f>
        <v/>
      </c>
      <c r="AP126" s="47"/>
      <c r="AQ126" s="102"/>
      <c r="AR12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6" s="110" t="str">
        <f aca="false">IF(Tasks[[#This Row],[Task Name]]="","",IF(Tasks[[#This Row],[_IsSummary]],SUM(INDEX(Tasks[_LeafTotalWork],Tasks[[#This Row],[_Row]]+1):INDEX(Tasks[_LeafTotalWork],Tasks[[#This Row],[_Row]]+Tasks[[#This Row],[_Descendants]])),Tasks[[#This Row],[_LeafTotalWork]]))</f>
        <v/>
      </c>
      <c r="AU126" s="111" t="str">
        <f aca="false">IF(Tasks[[#This Row],[Task Name]]="","",IF(Tasks[[#This Row],[_IsSummary]],SUM(INDEX(Tasks[_LeafTotalCost],Tasks[[#This Row],[_Row]]+1):INDEX(Tasks[_LeafTotalCost],Tasks[[#This Row],[_Row]]+Tasks[[#This Row],[_Descendants]])),Tasks[[#This Row],[_LeafTotalCost]]))</f>
        <v/>
      </c>
      <c r="AV126" s="112"/>
      <c r="AW126" s="46"/>
      <c r="AX12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6" s="96"/>
      <c r="AZ12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6" s="47"/>
      <c r="BB126" s="25" t="str">
        <f aca="false">IF(Tasks[[#This Row],[Task Name]]="","",Tasks[[#This Row],[Forecast Start]])</f>
        <v/>
      </c>
      <c r="BC126" s="25" t="str">
        <f aca="false">IF(Tasks[[#This Row],[Task Name]]="","",Tasks[[#This Row],[Forecast Finish]])</f>
        <v/>
      </c>
      <c r="BD126" s="45" t="str">
        <f aca="false">IF(Tasks[[#This Row],[Task Name]]="","",IF(Tasks[[#This Row],[_IsSummary]],NETWORKDAYS.INTL(Tasks[[#This Row],[Forecast Start]],Tasks[[#This Row],[Forecast Finish]],WorkWeek,Holidays),N(Tasks[[#This Row],[Duration]])))</f>
        <v/>
      </c>
      <c r="BE126" s="110" t="str">
        <f aca="false">IF(Tasks[[#This Row],[Task Name]]="","",Tasks[[#This Row],[Work]])</f>
        <v/>
      </c>
      <c r="BF126" s="111" t="str">
        <f aca="false">IF(Tasks[[#This Row],[Task Name]]="","",Tasks[[#This Row],[Cost]])</f>
        <v/>
      </c>
      <c r="BG126" s="88"/>
      <c r="BH126" s="88"/>
      <c r="BI126" s="46"/>
      <c r="BJ126" s="113"/>
      <c r="BK126" s="112"/>
      <c r="BL126" s="45" t="str">
        <f aca="false">IF(OR(Tasks[[#This Row],[Task Name]]="",Tasks[[#This Row],[Baseline Duration]]=""),"",Tasks[[#This Row],[BL Source Duration]]-N(Tasks[[#This Row],[Baseline Duration]]))</f>
        <v/>
      </c>
      <c r="BM126" s="110" t="str">
        <f aca="false">IF(OR(Tasks[[#This Row],[Task Name]]="",Tasks[[#This Row],[Baseline Work]]=""),"",Tasks[[#This Row],[Work]]-N(Tasks[[#This Row],[Baseline Work]]))</f>
        <v/>
      </c>
      <c r="BN126" s="111" t="str">
        <f aca="false">IF(OR(Tasks[[#This Row],[Task Name]]="",Tasks[[#This Row],[Baseline Cost]]=""),"",Tasks[[#This Row],[Cost]]-N(Tasks[[#This Row],[Baseline Cost]]))</f>
        <v/>
      </c>
      <c r="BO126" s="111" t="str">
        <f aca="false">IF(Tasks[[#This Row],[Task Name]]="","",IF(Tasks[[#This Row],[_IsSummary]],SUM(INDEX(Tasks[_LeafBudget],Tasks[[#This Row],[_Row]]+1):INDEX(Tasks[_LeafBudget],Tasks[[#This Row],[_Row]]+Tasks[[#This Row],[_Descendants]])),Tasks[[#This Row],[_LeafBudget]]))</f>
        <v/>
      </c>
      <c r="BP126" s="111" t="str">
        <f aca="false">IF(Tasks[[#This Row],[Task Name]]="","",IF(Tasks[[#This Row],[_IsSummary]],SUM(INDEX(Tasks[_LeafPV],Tasks[[#This Row],[_Row]]+1):INDEX(Tasks[_LeafPV],Tasks[[#This Row],[_Row]]+Tasks[[#This Row],[_Descendants]])),Tasks[[#This Row],[_LeafPV]]))</f>
        <v/>
      </c>
      <c r="BQ126" s="111" t="str">
        <f aca="false">IF(Tasks[[#This Row],[Task Name]]="","",IF(Tasks[[#This Row],[_IsSummary]],SUM(INDEX(Tasks[_LeafEV],Tasks[[#This Row],[_Row]]+1):INDEX(Tasks[_LeafEV],Tasks[[#This Row],[_Row]]+Tasks[[#This Row],[_Descendants]])),Tasks[[#This Row],[_LeafEV]]))</f>
        <v/>
      </c>
      <c r="BR126" s="111" t="str">
        <f aca="false">IF(Tasks[[#This Row],[Task Name]]="","",IF(Tasks[[#This Row],[_IsSummary]],SUM(INDEX(Tasks[_LeafAC],Tasks[[#This Row],[_Row]]+1):INDEX(Tasks[_LeafAC],Tasks[[#This Row],[_Row]]+Tasks[[#This Row],[_Descendants]])),Tasks[[#This Row],[_LeafAC]]))</f>
        <v/>
      </c>
      <c r="BS126" s="32" t="str">
        <f aca="false">IF(Tasks[[#This Row],[Task Name]]="","",MAX(1,N(Tasks[[#This Row],[Level]])))</f>
        <v/>
      </c>
      <c r="BT126" s="32" t="n">
        <f aca="false">ROW()-ROW(Tasks[[#Headers],[ID]])</f>
        <v>121</v>
      </c>
      <c r="BU126" s="32" t="n">
        <f aca="false">IF(OR(Tasks[[#This Row],[Task Name]]="",Tasks[[#This Row],[_Level]]&lt;=1),0,IFERROR(LOOKUP(2,1/(Tasks[[#Headers],[_Level]]:Tasks[[#This Row],[_Level]]=Tasks[[#This Row],[_Level]]-1),ROW(Tasks[[#Headers],[_Level]]:Tasks[[#This Row],[_Level]])),0))</f>
        <v>0</v>
      </c>
      <c r="BV126" s="32" t="n">
        <f aca="false">IFERROR(N(INDEX(Tasks[_Level],Tasks[[#This Row],[_Row]]+1)),0)</f>
        <v>0</v>
      </c>
      <c r="BW126" s="114" t="b">
        <f aca="false">AND(Tasks[[#This Row],[Task Name]]&lt;&gt;"",Tasks[[#This Row],[_NextLevel]]&gt;Tasks[[#This Row],[_Level]])</f>
        <v>0</v>
      </c>
      <c r="BX126" s="32" t="n">
        <f aca="false">IF(Tasks[[#This Row],[_IsSummary]],COUNTIF(Tasks[WBS],Tasks[[#This Row],[WBS]]&amp;".*"),0)</f>
        <v>0</v>
      </c>
      <c r="BY126" s="32" t="n">
        <f aca="false">IF(AND(Tasks[[#This Row],[Task Name]]&lt;&gt;"",NOT(Tasks[[#This Row],[_IsSummary]])),1,0)</f>
        <v>0</v>
      </c>
      <c r="BZ126" s="32" t="n">
        <f aca="false">IF(N(Tasks[[#This Row],[Pred1 UID]])=0,0,IFERROR(MATCH(Tasks[[#This Row],[Pred1 UID]],Tasks[UID],0),-1))</f>
        <v>0</v>
      </c>
      <c r="CA126" s="32" t="n">
        <f aca="false">IF(N(Tasks[[#This Row],[Pred2 UID]])=0,0,IFERROR(MATCH(Tasks[[#This Row],[Pred2 UID]],Tasks[UID],0),-1))</f>
        <v>0</v>
      </c>
      <c r="CB126" s="32" t="n">
        <f aca="false">IF(N(Tasks[[#This Row],[Pred3 UID]])=0,0,IFERROR(MATCH(Tasks[[#This Row],[Pred3 UID]],Tasks[UID],0),-1))</f>
        <v>0</v>
      </c>
      <c r="CC126" s="32" t="n">
        <f aca="false">IF(N(Tasks[[#This Row],[Pred4 UID]])=0,0,IFERROR(MATCH(Tasks[[#This Row],[Pred4 UID]],Tasks[UID],0),-1))</f>
        <v>0</v>
      </c>
      <c r="CD12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6" s="115" t="n">
        <f aca="false">IF(OR(Tasks[[#This Row],[_ConstraintCode]]=2,Tasks[[#This Row],[_ConstraintCode]]=3,Tasks[[#This Row],[_ConstraintCode]]=4,Tasks[[#This Row],[_ConstraintCode]]=6),Tasks[[#This Row],[_ConstraintStart]],0)</f>
        <v>0</v>
      </c>
      <c r="CG126" s="115" t="n">
        <f aca="false">IF(OR(Tasks[[#This Row],[_ConstraintCode]]=2,Tasks[[#This Row],[_ConstraintCode]]=3,Tasks[[#This Row],[_ConstraintCode]]=5,Tasks[[#This Row],[_ConstraintCode]]=7),Tasks[[#This Row],[_ConstraintStart]],2958465)</f>
        <v>2958465</v>
      </c>
      <c r="CH12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6" s="115" t="str">
        <f aca="false">IF(NOT(Tasks[[#This Row],[_IsLeaf]]=1),"",IF(N(Tasks[[#This Row],[Duration]])&lt;=0,Tasks[[#This Row],[_LeafCalcStart]],WORKDAY.INTL(Tasks[[#This Row],[_LeafCalcStart]],Tasks[[#This Row],[Duration]]-1,WorkWeek,Holidays)))</f>
        <v/>
      </c>
      <c r="CJ12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6" s="32" t="n">
        <f aca="false">IF(NOT(Tasks[[#This Row],[_IsLeaf]]=1),0,IF(N(Tasks[[#This Row],[Actual Finish]])&gt;0,1,MIN(1,N(Tasks[[#This Row],[% Complete]]))))</f>
        <v>0</v>
      </c>
      <c r="CM126" s="32" t="n">
        <f aca="false">IF(OR(NOT(Tasks[[#This Row],[_IsLeaf]]=1),Tasks[[#This Row],[Resource]]=""),0,N(Tasks[[#This Row],[Duration]])*HoursPerDay*IF(Tasks[[#This Row],[Units]]="",DefaultUnits,Tasks[[#This Row],[Units]]))</f>
        <v>0</v>
      </c>
      <c r="CN126" s="32" t="n">
        <f aca="false">IF(Tasks[[#This Row],[_LeafWork]]=0,0,Tasks[[#This Row],[_LeafWork]]*IFERROR(INDEX(res_Rate,MATCH(Tasks[[#This Row],[Resource]],res_Name,0)),0))</f>
        <v>0</v>
      </c>
      <c r="CO126" s="32" t="n">
        <f aca="false">Tasks[[#This Row],[_LeafWork]]+IF(Tasks[[#This Row],[_IsLeaf]]=1,SUMIFS(asg_Work,asg_TaskUID,Tasks[[#This Row],[UID]],asg_Valid,1),0)</f>
        <v>0</v>
      </c>
      <c r="CP126" s="32" t="n">
        <f aca="false">Tasks[[#This Row],[_LeafCost]]+IF(Tasks[[#This Row],[_IsLeaf]]=1,SUMIFS(asg_Cost,asg_TaskUID,Tasks[[#This Row],[UID]],asg_Valid,1),0)</f>
        <v>0</v>
      </c>
      <c r="CQ126" s="32" t="n">
        <f aca="false">IF(Tasks[[#This Row],[_LeafTotalCost]]=0,Tasks[[#This Row],[_LeafAC]],Tasks[[#This Row],[_LeafAC]]*Tasks[[#This Row],[_LeafCost]]/Tasks[[#This Row],[_LeafTotalCost]])</f>
        <v>0</v>
      </c>
      <c r="CR12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6" s="32" t="n">
        <f aca="false">IF(NOT(Tasks[[#This Row],[_IsLeaf]]=1),0,MAX(_xlfn.MAXIFS(Tasks[_Row],Tasks[Pred1 UID],Tasks[[#This Row],[UID]]),_xlfn.MAXIFS(Tasks[_Row],Tasks[Pred2 UID],Tasks[[#This Row],[UID]]),_xlfn.MAXIFS(Tasks[_Row],Tasks[Pred3 UID],Tasks[[#This Row],[UID]]),_xlfn.MAXIFS(Tasks[_Row],Tasks[Pred4 UID],Tasks[[#This Row],[UID]])))</f>
        <v>0</v>
      </c>
      <c r="DA12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6" s="115" t="str">
        <f aca="false">IF(NOT(Tasks[[#This Row],[_IsLeaf]]=1),"",IF(N(Tasks[[#This Row],[Duration]])&lt;=0,Tasks[[#This Row],[_LeafLateFinish]],WORKDAY.INTL(Tasks[[#This Row],[_LeafLateFinish]],-(Tasks[[#This Row],[Duration]]-1),WorkWeek,Holidays)))</f>
        <v/>
      </c>
      <c r="DD12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6" s="114" t="b">
        <f aca="false">AND(Tasks[[#This Row],[_IsLeaf]]=1,Tasks[[#This Row],[_LeafProgress]]&lt;1,N(Tasks[[#This Row],[_LeafTotalSlack]])&lt;=CriticalSlackDays)</f>
        <v>0</v>
      </c>
      <c r="DF126" s="32" t="n">
        <f aca="false">IF(AND(Tasks[[#This Row],[_IsLeaf]]=1,Tasks[[#This Row],[_ConstraintCode]]=1,Tasks[[#This Row],[Mode]]&lt;&gt;"Manual",N(Tasks[[#This Row],[Actual Start]])=0),MAX(0,N(Tasks[[#This Row],[Free Slack]])),0)</f>
        <v>0</v>
      </c>
      <c r="DG126" s="115" t="str">
        <f aca="false">IF(NOT(Tasks[[#This Row],[_IsLeaf]]=1),"",IF(Tasks[[#This Row],[_AlapShift]]=0,Tasks[[#This Row],[_LeafCalcStart]],WORKDAY.INTL(Tasks[[#This Row],[_LeafCalcStart]],Tasks[[#This Row],[_AlapShift]],WorkWeek,Holidays)))</f>
        <v/>
      </c>
      <c r="DH126" s="115" t="str">
        <f aca="false">IF(NOT(Tasks[[#This Row],[_IsLeaf]]=1),"",IF(Tasks[[#This Row],[_AlapShift]]=0,Tasks[[#This Row],[_LeafCalcFinish]],WORKDAY.INTL(Tasks[[#This Row],[_LeafCalcFinish]],Tasks[[#This Row],[_AlapShift]],WorkWeek,Holidays)))</f>
        <v/>
      </c>
      <c r="DI126" s="115" t="str">
        <f aca="false">IF(NOT(Tasks[[#This Row],[_IsLeaf]]=1),"",IF(Tasks[[#This Row],[_AlapShift]]=0,Tasks[[#This Row],[_LeafFcstStart]],WORKDAY.INTL(Tasks[[#This Row],[_LeafFcstStart]],Tasks[[#This Row],[_AlapShift]],WorkWeek,Holidays)))</f>
        <v/>
      </c>
      <c r="DJ126" s="115" t="str">
        <f aca="false">IF(NOT(Tasks[[#This Row],[_IsLeaf]]=1),"",IF(Tasks[[#This Row],[_AlapShift]]=0,Tasks[[#This Row],[_LeafFcstFinish]],WORKDAY.INTL(Tasks[[#This Row],[_LeafFcstFinish]],Tasks[[#This Row],[_AlapShift]],WorkWeek,Holidays)))</f>
        <v/>
      </c>
      <c r="DK126" s="115" t="str">
        <f aca="false">IF(Tasks[[#This Row],[Task Name]]="","",IF(Tasks[[#This Row],[_IsSummary]],MIN(INDEX(Tasks[_ShownCalcStart],Tasks[[#This Row],[_Row]]+1):INDEX(Tasks[_ShownCalcStart],Tasks[[#This Row],[_Row]]+Tasks[[#This Row],[_Descendants]])),Tasks[[#This Row],[_ShownCalcStart]]))</f>
        <v/>
      </c>
      <c r="DL126" s="115" t="str">
        <f aca="false">IF(Tasks[[#This Row],[Task Name]]="","",IF(Tasks[[#This Row],[_IsSummary]],MAX(INDEX(Tasks[_ShownCalcFinish],Tasks[[#This Row],[_Row]]+1):INDEX(Tasks[_ShownCalcFinish],Tasks[[#This Row],[_Row]]+Tasks[[#This Row],[_Descendants]])),Tasks[[#This Row],[_ShownCalcFinish]]))</f>
        <v/>
      </c>
      <c r="DM12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6" s="32" t="n">
        <f aca="false">IF(AND(Tasks[[#This Row],[_IsLeaf]]=1,Tasks[[#This Row],[_LeafTotalWork]]&gt;0),NETWORKDAYS.INTL(ProjectStart,Tasks[[#This Row],[_ShownFcstStart]],WorkWeek,Holidays),0)</f>
        <v>0</v>
      </c>
      <c r="DZ126" s="32" t="n">
        <f aca="false">IF(AND(Tasks[[#This Row],[_IsLeaf]]=1,Tasks[[#This Row],[_LeafTotalWork]]&gt;0),MAX(Tasks[[#This Row],[_StartWorkday]],NETWORKDAYS.INTL(ProjectStart,Tasks[[#This Row],[_ShownFcstFinish]],WorkWeek,Holidays)),0)</f>
        <v>0</v>
      </c>
      <c r="EA126" s="32" t="n">
        <f aca="false">IF(AND(Tasks[[#This Row],[_IsLeaf]]=1,Tasks[[#This Row],[_LeafTotalWork]]&gt;0),Tasks[[#This Row],[_LeafWork]]/(Tasks[[#This Row],[_FinishWorkday]]-Tasks[[#This Row],[_StartWorkday]]+1),0)</f>
        <v>0</v>
      </c>
      <c r="EB126" s="32" t="n">
        <f aca="false">Tasks[[#This Row],[_WorkPerWorkday]]*(Tasks[[#This Row],[_StartWorkday]]-1)</f>
        <v>-0</v>
      </c>
      <c r="EC126" s="32" t="n">
        <f aca="false">IF(Tasks[[#This Row],[_IsLeaf]]=1,MAX(N(Tasks[[#This Row],[Duration]]),0.1),0)</f>
        <v>0</v>
      </c>
      <c r="ED126" s="32" t="n">
        <f aca="false">Tasks[[#This Row],[_WeightDur]]*Tasks[[#This Row],[_LeafProgress]]</f>
        <v>0</v>
      </c>
      <c r="EE12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6" s="32" t="str">
        <f aca="false">IF(AND(Tasks[[#This Row],[_IsLeaf]]=1,N(Tasks[[#This Row],[Duration]])=0,Tasks[[#This Row],[_LeafProgress]]&lt;1),Tasks[[#This Row],[_ShownFcstFinish]]+Tasks[[#This Row],[_Row]]/100000,"")</f>
        <v/>
      </c>
      <c r="EG12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6" s="32" t="n">
        <f aca="false">IF(NOT(Tasks[[#This Row],[_IsLeaf]]=1),0,IF(Tasks[[#This Row],[Baseline Cost]]="",Tasks[[#This Row],[_LeafTotalCost]],N(Tasks[[#This Row],[Baseline Cost]])))</f>
        <v>0</v>
      </c>
      <c r="EI126" s="32" t="n">
        <f aca="false">Tasks[[#This Row],[_LeafBudget]]*Tasks[[#This Row],[_PlannedPct]]</f>
        <v>0</v>
      </c>
      <c r="EJ126" s="32" t="n">
        <f aca="false">Tasks[[#This Row],[_LeafBudget]]*Tasks[[#This Row],[_LeafProgress]]</f>
        <v>0</v>
      </c>
      <c r="EK126" s="32" t="n">
        <f aca="false">IF(NOT(Tasks[[#This Row],[_IsLeaf]]=1),0,IF(Tasks[[#This Row],[Actual Cost]]="",Tasks[[#This Row],[_LeafTotalCost]]*Tasks[[#This Row],[_LeafProgress]],N(Tasks[[#This Row],[Actual Cost]])))</f>
        <v>0</v>
      </c>
      <c r="EL126" s="32" t="str">
        <f aca="false">IF(Tasks[[#This Row],[Task Name]]="","",LEFT(Tasks[[#This Row],[WBS]],FIND(".",Tasks[[#This Row],[WBS]]&amp;".")-1))</f>
        <v/>
      </c>
      <c r="EM126" s="32" t="str">
        <f aca="false">IF(AND(Tasks[[#This Row],[Task Name]]&lt;&gt;"",Tasks[[#This Row],[_Level]]=1),Tasks[[#This Row],[_Row]],"")</f>
        <v/>
      </c>
      <c r="EN126" s="32" t="str">
        <f aca="false">IF(AND(Tasks[[#This Row],[_IsLeaf]]=1,N(Tasks[[#This Row],[Duration]])=0),Tasks[[#This Row],[Planned Finish]]+Tasks[[#This Row],[_Row]]/100000,"")</f>
        <v/>
      </c>
      <c r="EO126" s="32" t="str">
        <f aca="false">IF(AND(Tasks[[#This Row],[_IsLeaf]]=1,Tasks[[#This Row],[_LeafProgress]]&lt;1,OR(N(Tasks[[#This Row],[Finish Var]])&gt;0,Tasks[[#This Row],[Status]]="Late Start")),MAX(0,Tasks[[#This Row],[Finish Var]])+1-Tasks[[#This Row],[_Row]]/1000000,"")</f>
        <v/>
      </c>
      <c r="EP126" s="32" t="str">
        <f aca="false">IF(AND(Tasks[[#This Row],[_IsLeaf]]=1,N(Tasks[[#This Row],[Actual Start]])=0,Tasks[[#This Row],[_ShownFcstStart]]&gt;=StatusDate,Tasks[[#This Row],[_ShownFcstStart]]&lt;=LookaheadEnd),Tasks[[#This Row],[_ShownFcstStart]]+Tasks[[#This Row],[_Row]]/100000,"")</f>
        <v/>
      </c>
      <c r="EQ126" s="32" t="str">
        <f aca="false">IF(AND(Tasks[[#This Row],[_IsLeaf]]=1,Tasks[[#This Row],[_LeafProgress]]&lt;1,Tasks[[#This Row],[_ShownFcstFinish]]&gt;=StatusDate,Tasks[[#This Row],[_ShownFcstFinish]]&lt;=LookaheadEnd),Tasks[[#This Row],[_ShownFcstFinish]]+Tasks[[#This Row],[_Row]]/100000,"")</f>
        <v/>
      </c>
      <c r="ER126" s="32" t="str">
        <f aca="false">IF(Tasks[[#This Row],[_LeafCritical]],Tasks[[#This Row],[_ShownFcstStart]]+Tasks[[#This Row],[_Row]]/100000,"")</f>
        <v/>
      </c>
      <c r="ES126" s="32" t="n">
        <f aca="false">Tasks[[#This Row],[_LeafWork]]*Tasks[[#This Row],[_LeafProgress]]</f>
        <v>0</v>
      </c>
      <c r="ET126" s="115" t="str">
        <f aca="false">IF(AND(Tasks[[#This Row],[_IsLeaf]]=1,Tasks[[#This Row],[_LeafProgress]]&gt;=1),IF(N(Tasks[[#This Row],[Actual Finish]])&gt;0,Tasks[[#This Row],[Actual Finish]],Tasks[[#This Row],[_ShownFcstFinish]]),"")</f>
        <v/>
      </c>
      <c r="EU126" s="32" t="n">
        <f aca="false">IF(Tasks[[#This Row],[_IsLeaf]]=1,N(Tasks[[#This Row],[Story Points]]),0)</f>
        <v>0</v>
      </c>
      <c r="EV126" s="32" t="str">
        <f aca="false">IF(AND(Tasks[[#This Row],[_IsLeaf]]=1,CurrentSprint&lt;&gt;"",Tasks[[#This Row],[Sprint]]=CurrentSprint),Tasks[[#This Row],[_Row]],"")</f>
        <v/>
      </c>
    </row>
    <row r="127" customFormat="false" ht="15" hidden="false" customHeight="false" outlineLevel="0" collapsed="false">
      <c r="A127" s="45" t="str">
        <f aca="false">IF(Tasks[[#This Row],[Task Name]]="","",COUNTA(Tasks[[#Headers],[Task Name]]:Tasks[[#This Row],[Task Name]])-1)</f>
        <v/>
      </c>
      <c r="B127" s="46" t="n">
        <v>122</v>
      </c>
      <c r="C12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7" s="46"/>
      <c r="E127" s="45" t="str">
        <f aca="false">IF(Tasks[[#This Row],[Task Name]]="","",IF(Tasks[[#This Row],[_Level]]&lt;=OutlineShowLevel,"Yes","No"))</f>
        <v/>
      </c>
      <c r="F127" s="47"/>
      <c r="G127" s="46"/>
      <c r="H127" s="46"/>
      <c r="I127" s="46"/>
      <c r="J127" s="46"/>
      <c r="K127" s="46"/>
      <c r="L127" s="46"/>
      <c r="M127" s="46"/>
      <c r="N127" s="46"/>
      <c r="O127" s="46"/>
      <c r="P127" s="46"/>
      <c r="Q127" s="46"/>
      <c r="R127" s="46"/>
      <c r="S127" s="46"/>
      <c r="T127" s="46"/>
      <c r="U127" s="47"/>
      <c r="V127" s="88"/>
      <c r="W127" s="88"/>
      <c r="X127" s="25" t="str">
        <f aca="false">IF(Tasks[[#This Row],[Task Name]]="","",IF(N(Tasks[[#This Row],[Baseline Start]])&gt;0,Tasks[[#This Row],[Baseline Start]],Tasks[[#This Row],[_CalcStart]]))</f>
        <v/>
      </c>
      <c r="Y127" s="25" t="str">
        <f aca="false">IF(Tasks[[#This Row],[Task Name]]="","",IF(N(Tasks[[#This Row],[Baseline Finish]])&gt;0,Tasks[[#This Row],[Baseline Finish]],Tasks[[#This Row],[_CalcFinish]]))</f>
        <v/>
      </c>
      <c r="Z127" s="88"/>
      <c r="AA127" s="88"/>
      <c r="AB127" s="25" t="str">
        <f aca="false">IF(Tasks[[#This Row],[Task Name]]="","",IF(Tasks[[#This Row],[_IsSummary]],MIN(INDEX(Tasks[_ShownFcstStart],Tasks[[#This Row],[_Row]]+1):INDEX(Tasks[_ShownFcstStart],Tasks[[#This Row],[_Row]]+Tasks[[#This Row],[_Descendants]])),Tasks[[#This Row],[_ShownFcstStart]]))</f>
        <v/>
      </c>
      <c r="AC127" s="25" t="str">
        <f aca="false">IF(Tasks[[#This Row],[Task Name]]="","",IF(Tasks[[#This Row],[_IsSummary]],MAX(INDEX(Tasks[_ShownFcstFinish],Tasks[[#This Row],[_Row]]+1):INDEX(Tasks[_ShownFcstFinish],Tasks[[#This Row],[_Row]]+Tasks[[#This Row],[_Descendants]])),Tasks[[#This Row],[_ShownFcstFinish]]))</f>
        <v/>
      </c>
      <c r="AD12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7" s="25" t="str">
        <f aca="false">IF(Tasks[[#This Row],[Task Name]]="","",IF(Tasks[[#This Row],[_IsSummary]],MIN(INDEX(Tasks[_LeafLateStart],Tasks[[#This Row],[_Row]]+1):INDEX(Tasks[_LeafLateStart],Tasks[[#This Row],[_Row]]+Tasks[[#This Row],[_Descendants]])),Tasks[[#This Row],[_LeafLateStart]]))</f>
        <v/>
      </c>
      <c r="AG127" s="25" t="str">
        <f aca="false">IF(Tasks[[#This Row],[Task Name]]="","",IF(Tasks[[#This Row],[_IsSummary]],MAX(INDEX(Tasks[_LeafLateFinish],Tasks[[#This Row],[_Row]]+1):INDEX(Tasks[_LeafLateFinish],Tasks[[#This Row],[_Row]]+Tasks[[#This Row],[_Descendants]])),Tasks[[#This Row],[_LeafLateFinish]]))</f>
        <v/>
      </c>
      <c r="AH127" s="56" t="str">
        <f aca="false">IF(Tasks[[#This Row],[Task Name]]="","",IF(Tasks[[#This Row],[_IsSummary]],MIN(INDEX(Tasks[_LeafTotalSlack],Tasks[[#This Row],[_Row]]+1):INDEX(Tasks[_LeafTotalSlack],Tasks[[#This Row],[_Row]]+Tasks[[#This Row],[_Descendants]])),Tasks[[#This Row],[_LeafTotalSlack]]))</f>
        <v/>
      </c>
      <c r="AI12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7" s="45" t="str">
        <f aca="false">IF(Tasks[[#This Row],[Task Name]]="","",IF(IF(Tasks[[#This Row],[_IsSummary]],COUNTIF(INDEX(Tasks[_LeafCritical],Tasks[[#This Row],[_Row]]+1):INDEX(Tasks[_LeafCritical],Tasks[[#This Row],[_Row]]+Tasks[[#This Row],[_Descendants]]),TRUE())&gt;0,Tasks[[#This Row],[_LeafCritical]]),"Yes",""))</f>
        <v/>
      </c>
      <c r="AK12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7" s="102"/>
      <c r="AN12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7" s="45" t="str">
        <f aca="false">IF(Tasks[[#This Row],[Task Name]]="","",IF(Tasks[[#This Row],[Progress]]&gt;=1,"Complete",IF(OR(N(Tasks[[#This Row],[Actual Start]])&gt;0,Tasks[[#This Row],[Progress]]&gt;0),IF(Tasks[[#This Row],[Finish Var]]&gt;0,"Behind","In Progress"),IF(Tasks[[#This Row],[Planned Start]]&lt;StatusDate,"Late Start","Not Started"))))</f>
        <v/>
      </c>
      <c r="AP127" s="47"/>
      <c r="AQ127" s="102"/>
      <c r="AR12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7" s="110" t="str">
        <f aca="false">IF(Tasks[[#This Row],[Task Name]]="","",IF(Tasks[[#This Row],[_IsSummary]],SUM(INDEX(Tasks[_LeafTotalWork],Tasks[[#This Row],[_Row]]+1):INDEX(Tasks[_LeafTotalWork],Tasks[[#This Row],[_Row]]+Tasks[[#This Row],[_Descendants]])),Tasks[[#This Row],[_LeafTotalWork]]))</f>
        <v/>
      </c>
      <c r="AU127" s="111" t="str">
        <f aca="false">IF(Tasks[[#This Row],[Task Name]]="","",IF(Tasks[[#This Row],[_IsSummary]],SUM(INDEX(Tasks[_LeafTotalCost],Tasks[[#This Row],[_Row]]+1):INDEX(Tasks[_LeafTotalCost],Tasks[[#This Row],[_Row]]+Tasks[[#This Row],[_Descendants]])),Tasks[[#This Row],[_LeafTotalCost]]))</f>
        <v/>
      </c>
      <c r="AV127" s="112"/>
      <c r="AW127" s="46"/>
      <c r="AX12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7" s="96"/>
      <c r="AZ12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7" s="47"/>
      <c r="BB127" s="25" t="str">
        <f aca="false">IF(Tasks[[#This Row],[Task Name]]="","",Tasks[[#This Row],[Forecast Start]])</f>
        <v/>
      </c>
      <c r="BC127" s="25" t="str">
        <f aca="false">IF(Tasks[[#This Row],[Task Name]]="","",Tasks[[#This Row],[Forecast Finish]])</f>
        <v/>
      </c>
      <c r="BD127" s="45" t="str">
        <f aca="false">IF(Tasks[[#This Row],[Task Name]]="","",IF(Tasks[[#This Row],[_IsSummary]],NETWORKDAYS.INTL(Tasks[[#This Row],[Forecast Start]],Tasks[[#This Row],[Forecast Finish]],WorkWeek,Holidays),N(Tasks[[#This Row],[Duration]])))</f>
        <v/>
      </c>
      <c r="BE127" s="110" t="str">
        <f aca="false">IF(Tasks[[#This Row],[Task Name]]="","",Tasks[[#This Row],[Work]])</f>
        <v/>
      </c>
      <c r="BF127" s="111" t="str">
        <f aca="false">IF(Tasks[[#This Row],[Task Name]]="","",Tasks[[#This Row],[Cost]])</f>
        <v/>
      </c>
      <c r="BG127" s="88"/>
      <c r="BH127" s="88"/>
      <c r="BI127" s="46"/>
      <c r="BJ127" s="113"/>
      <c r="BK127" s="112"/>
      <c r="BL127" s="45" t="str">
        <f aca="false">IF(OR(Tasks[[#This Row],[Task Name]]="",Tasks[[#This Row],[Baseline Duration]]=""),"",Tasks[[#This Row],[BL Source Duration]]-N(Tasks[[#This Row],[Baseline Duration]]))</f>
        <v/>
      </c>
      <c r="BM127" s="110" t="str">
        <f aca="false">IF(OR(Tasks[[#This Row],[Task Name]]="",Tasks[[#This Row],[Baseline Work]]=""),"",Tasks[[#This Row],[Work]]-N(Tasks[[#This Row],[Baseline Work]]))</f>
        <v/>
      </c>
      <c r="BN127" s="111" t="str">
        <f aca="false">IF(OR(Tasks[[#This Row],[Task Name]]="",Tasks[[#This Row],[Baseline Cost]]=""),"",Tasks[[#This Row],[Cost]]-N(Tasks[[#This Row],[Baseline Cost]]))</f>
        <v/>
      </c>
      <c r="BO127" s="111" t="str">
        <f aca="false">IF(Tasks[[#This Row],[Task Name]]="","",IF(Tasks[[#This Row],[_IsSummary]],SUM(INDEX(Tasks[_LeafBudget],Tasks[[#This Row],[_Row]]+1):INDEX(Tasks[_LeafBudget],Tasks[[#This Row],[_Row]]+Tasks[[#This Row],[_Descendants]])),Tasks[[#This Row],[_LeafBudget]]))</f>
        <v/>
      </c>
      <c r="BP127" s="111" t="str">
        <f aca="false">IF(Tasks[[#This Row],[Task Name]]="","",IF(Tasks[[#This Row],[_IsSummary]],SUM(INDEX(Tasks[_LeafPV],Tasks[[#This Row],[_Row]]+1):INDEX(Tasks[_LeafPV],Tasks[[#This Row],[_Row]]+Tasks[[#This Row],[_Descendants]])),Tasks[[#This Row],[_LeafPV]]))</f>
        <v/>
      </c>
      <c r="BQ127" s="111" t="str">
        <f aca="false">IF(Tasks[[#This Row],[Task Name]]="","",IF(Tasks[[#This Row],[_IsSummary]],SUM(INDEX(Tasks[_LeafEV],Tasks[[#This Row],[_Row]]+1):INDEX(Tasks[_LeafEV],Tasks[[#This Row],[_Row]]+Tasks[[#This Row],[_Descendants]])),Tasks[[#This Row],[_LeafEV]]))</f>
        <v/>
      </c>
      <c r="BR127" s="111" t="str">
        <f aca="false">IF(Tasks[[#This Row],[Task Name]]="","",IF(Tasks[[#This Row],[_IsSummary]],SUM(INDEX(Tasks[_LeafAC],Tasks[[#This Row],[_Row]]+1):INDEX(Tasks[_LeafAC],Tasks[[#This Row],[_Row]]+Tasks[[#This Row],[_Descendants]])),Tasks[[#This Row],[_LeafAC]]))</f>
        <v/>
      </c>
      <c r="BS127" s="32" t="str">
        <f aca="false">IF(Tasks[[#This Row],[Task Name]]="","",MAX(1,N(Tasks[[#This Row],[Level]])))</f>
        <v/>
      </c>
      <c r="BT127" s="32" t="n">
        <f aca="false">ROW()-ROW(Tasks[[#Headers],[ID]])</f>
        <v>122</v>
      </c>
      <c r="BU127" s="32" t="n">
        <f aca="false">IF(OR(Tasks[[#This Row],[Task Name]]="",Tasks[[#This Row],[_Level]]&lt;=1),0,IFERROR(LOOKUP(2,1/(Tasks[[#Headers],[_Level]]:Tasks[[#This Row],[_Level]]=Tasks[[#This Row],[_Level]]-1),ROW(Tasks[[#Headers],[_Level]]:Tasks[[#This Row],[_Level]])),0))</f>
        <v>0</v>
      </c>
      <c r="BV127" s="32" t="n">
        <f aca="false">IFERROR(N(INDEX(Tasks[_Level],Tasks[[#This Row],[_Row]]+1)),0)</f>
        <v>0</v>
      </c>
      <c r="BW127" s="114" t="b">
        <f aca="false">AND(Tasks[[#This Row],[Task Name]]&lt;&gt;"",Tasks[[#This Row],[_NextLevel]]&gt;Tasks[[#This Row],[_Level]])</f>
        <v>0</v>
      </c>
      <c r="BX127" s="32" t="n">
        <f aca="false">IF(Tasks[[#This Row],[_IsSummary]],COUNTIF(Tasks[WBS],Tasks[[#This Row],[WBS]]&amp;".*"),0)</f>
        <v>0</v>
      </c>
      <c r="BY127" s="32" t="n">
        <f aca="false">IF(AND(Tasks[[#This Row],[Task Name]]&lt;&gt;"",NOT(Tasks[[#This Row],[_IsSummary]])),1,0)</f>
        <v>0</v>
      </c>
      <c r="BZ127" s="32" t="n">
        <f aca="false">IF(N(Tasks[[#This Row],[Pred1 UID]])=0,0,IFERROR(MATCH(Tasks[[#This Row],[Pred1 UID]],Tasks[UID],0),-1))</f>
        <v>0</v>
      </c>
      <c r="CA127" s="32" t="n">
        <f aca="false">IF(N(Tasks[[#This Row],[Pred2 UID]])=0,0,IFERROR(MATCH(Tasks[[#This Row],[Pred2 UID]],Tasks[UID],0),-1))</f>
        <v>0</v>
      </c>
      <c r="CB127" s="32" t="n">
        <f aca="false">IF(N(Tasks[[#This Row],[Pred3 UID]])=0,0,IFERROR(MATCH(Tasks[[#This Row],[Pred3 UID]],Tasks[UID],0),-1))</f>
        <v>0</v>
      </c>
      <c r="CC127" s="32" t="n">
        <f aca="false">IF(N(Tasks[[#This Row],[Pred4 UID]])=0,0,IFERROR(MATCH(Tasks[[#This Row],[Pred4 UID]],Tasks[UID],0),-1))</f>
        <v>0</v>
      </c>
      <c r="CD12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7" s="115" t="n">
        <f aca="false">IF(OR(Tasks[[#This Row],[_ConstraintCode]]=2,Tasks[[#This Row],[_ConstraintCode]]=3,Tasks[[#This Row],[_ConstraintCode]]=4,Tasks[[#This Row],[_ConstraintCode]]=6),Tasks[[#This Row],[_ConstraintStart]],0)</f>
        <v>0</v>
      </c>
      <c r="CG127" s="115" t="n">
        <f aca="false">IF(OR(Tasks[[#This Row],[_ConstraintCode]]=2,Tasks[[#This Row],[_ConstraintCode]]=3,Tasks[[#This Row],[_ConstraintCode]]=5,Tasks[[#This Row],[_ConstraintCode]]=7),Tasks[[#This Row],[_ConstraintStart]],2958465)</f>
        <v>2958465</v>
      </c>
      <c r="CH12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7" s="115" t="str">
        <f aca="false">IF(NOT(Tasks[[#This Row],[_IsLeaf]]=1),"",IF(N(Tasks[[#This Row],[Duration]])&lt;=0,Tasks[[#This Row],[_LeafCalcStart]],WORKDAY.INTL(Tasks[[#This Row],[_LeafCalcStart]],Tasks[[#This Row],[Duration]]-1,WorkWeek,Holidays)))</f>
        <v/>
      </c>
      <c r="CJ12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7" s="32" t="n">
        <f aca="false">IF(NOT(Tasks[[#This Row],[_IsLeaf]]=1),0,IF(N(Tasks[[#This Row],[Actual Finish]])&gt;0,1,MIN(1,N(Tasks[[#This Row],[% Complete]]))))</f>
        <v>0</v>
      </c>
      <c r="CM127" s="32" t="n">
        <f aca="false">IF(OR(NOT(Tasks[[#This Row],[_IsLeaf]]=1),Tasks[[#This Row],[Resource]]=""),0,N(Tasks[[#This Row],[Duration]])*HoursPerDay*IF(Tasks[[#This Row],[Units]]="",DefaultUnits,Tasks[[#This Row],[Units]]))</f>
        <v>0</v>
      </c>
      <c r="CN127" s="32" t="n">
        <f aca="false">IF(Tasks[[#This Row],[_LeafWork]]=0,0,Tasks[[#This Row],[_LeafWork]]*IFERROR(INDEX(res_Rate,MATCH(Tasks[[#This Row],[Resource]],res_Name,0)),0))</f>
        <v>0</v>
      </c>
      <c r="CO127" s="32" t="n">
        <f aca="false">Tasks[[#This Row],[_LeafWork]]+IF(Tasks[[#This Row],[_IsLeaf]]=1,SUMIFS(asg_Work,asg_TaskUID,Tasks[[#This Row],[UID]],asg_Valid,1),0)</f>
        <v>0</v>
      </c>
      <c r="CP127" s="32" t="n">
        <f aca="false">Tasks[[#This Row],[_LeafCost]]+IF(Tasks[[#This Row],[_IsLeaf]]=1,SUMIFS(asg_Cost,asg_TaskUID,Tasks[[#This Row],[UID]],asg_Valid,1),0)</f>
        <v>0</v>
      </c>
      <c r="CQ127" s="32" t="n">
        <f aca="false">IF(Tasks[[#This Row],[_LeafTotalCost]]=0,Tasks[[#This Row],[_LeafAC]],Tasks[[#This Row],[_LeafAC]]*Tasks[[#This Row],[_LeafCost]]/Tasks[[#This Row],[_LeafTotalCost]])</f>
        <v>0</v>
      </c>
      <c r="CR12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7" s="32" t="n">
        <f aca="false">IF(NOT(Tasks[[#This Row],[_IsLeaf]]=1),0,MAX(_xlfn.MAXIFS(Tasks[_Row],Tasks[Pred1 UID],Tasks[[#This Row],[UID]]),_xlfn.MAXIFS(Tasks[_Row],Tasks[Pred2 UID],Tasks[[#This Row],[UID]]),_xlfn.MAXIFS(Tasks[_Row],Tasks[Pred3 UID],Tasks[[#This Row],[UID]]),_xlfn.MAXIFS(Tasks[_Row],Tasks[Pred4 UID],Tasks[[#This Row],[UID]])))</f>
        <v>0</v>
      </c>
      <c r="DA12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7" s="115" t="str">
        <f aca="false">IF(NOT(Tasks[[#This Row],[_IsLeaf]]=1),"",IF(N(Tasks[[#This Row],[Duration]])&lt;=0,Tasks[[#This Row],[_LeafLateFinish]],WORKDAY.INTL(Tasks[[#This Row],[_LeafLateFinish]],-(Tasks[[#This Row],[Duration]]-1),WorkWeek,Holidays)))</f>
        <v/>
      </c>
      <c r="DD12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7" s="114" t="b">
        <f aca="false">AND(Tasks[[#This Row],[_IsLeaf]]=1,Tasks[[#This Row],[_LeafProgress]]&lt;1,N(Tasks[[#This Row],[_LeafTotalSlack]])&lt;=CriticalSlackDays)</f>
        <v>0</v>
      </c>
      <c r="DF127" s="32" t="n">
        <f aca="false">IF(AND(Tasks[[#This Row],[_IsLeaf]]=1,Tasks[[#This Row],[_ConstraintCode]]=1,Tasks[[#This Row],[Mode]]&lt;&gt;"Manual",N(Tasks[[#This Row],[Actual Start]])=0),MAX(0,N(Tasks[[#This Row],[Free Slack]])),0)</f>
        <v>0</v>
      </c>
      <c r="DG127" s="115" t="str">
        <f aca="false">IF(NOT(Tasks[[#This Row],[_IsLeaf]]=1),"",IF(Tasks[[#This Row],[_AlapShift]]=0,Tasks[[#This Row],[_LeafCalcStart]],WORKDAY.INTL(Tasks[[#This Row],[_LeafCalcStart]],Tasks[[#This Row],[_AlapShift]],WorkWeek,Holidays)))</f>
        <v/>
      </c>
      <c r="DH127" s="115" t="str">
        <f aca="false">IF(NOT(Tasks[[#This Row],[_IsLeaf]]=1),"",IF(Tasks[[#This Row],[_AlapShift]]=0,Tasks[[#This Row],[_LeafCalcFinish]],WORKDAY.INTL(Tasks[[#This Row],[_LeafCalcFinish]],Tasks[[#This Row],[_AlapShift]],WorkWeek,Holidays)))</f>
        <v/>
      </c>
      <c r="DI127" s="115" t="str">
        <f aca="false">IF(NOT(Tasks[[#This Row],[_IsLeaf]]=1),"",IF(Tasks[[#This Row],[_AlapShift]]=0,Tasks[[#This Row],[_LeafFcstStart]],WORKDAY.INTL(Tasks[[#This Row],[_LeafFcstStart]],Tasks[[#This Row],[_AlapShift]],WorkWeek,Holidays)))</f>
        <v/>
      </c>
      <c r="DJ127" s="115" t="str">
        <f aca="false">IF(NOT(Tasks[[#This Row],[_IsLeaf]]=1),"",IF(Tasks[[#This Row],[_AlapShift]]=0,Tasks[[#This Row],[_LeafFcstFinish]],WORKDAY.INTL(Tasks[[#This Row],[_LeafFcstFinish]],Tasks[[#This Row],[_AlapShift]],WorkWeek,Holidays)))</f>
        <v/>
      </c>
      <c r="DK127" s="115" t="str">
        <f aca="false">IF(Tasks[[#This Row],[Task Name]]="","",IF(Tasks[[#This Row],[_IsSummary]],MIN(INDEX(Tasks[_ShownCalcStart],Tasks[[#This Row],[_Row]]+1):INDEX(Tasks[_ShownCalcStart],Tasks[[#This Row],[_Row]]+Tasks[[#This Row],[_Descendants]])),Tasks[[#This Row],[_ShownCalcStart]]))</f>
        <v/>
      </c>
      <c r="DL127" s="115" t="str">
        <f aca="false">IF(Tasks[[#This Row],[Task Name]]="","",IF(Tasks[[#This Row],[_IsSummary]],MAX(INDEX(Tasks[_ShownCalcFinish],Tasks[[#This Row],[_Row]]+1):INDEX(Tasks[_ShownCalcFinish],Tasks[[#This Row],[_Row]]+Tasks[[#This Row],[_Descendants]])),Tasks[[#This Row],[_ShownCalcFinish]]))</f>
        <v/>
      </c>
      <c r="DM12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7" s="32" t="n">
        <f aca="false">IF(AND(Tasks[[#This Row],[_IsLeaf]]=1,Tasks[[#This Row],[_LeafTotalWork]]&gt;0),NETWORKDAYS.INTL(ProjectStart,Tasks[[#This Row],[_ShownFcstStart]],WorkWeek,Holidays),0)</f>
        <v>0</v>
      </c>
      <c r="DZ127" s="32" t="n">
        <f aca="false">IF(AND(Tasks[[#This Row],[_IsLeaf]]=1,Tasks[[#This Row],[_LeafTotalWork]]&gt;0),MAX(Tasks[[#This Row],[_StartWorkday]],NETWORKDAYS.INTL(ProjectStart,Tasks[[#This Row],[_ShownFcstFinish]],WorkWeek,Holidays)),0)</f>
        <v>0</v>
      </c>
      <c r="EA127" s="32" t="n">
        <f aca="false">IF(AND(Tasks[[#This Row],[_IsLeaf]]=1,Tasks[[#This Row],[_LeafTotalWork]]&gt;0),Tasks[[#This Row],[_LeafWork]]/(Tasks[[#This Row],[_FinishWorkday]]-Tasks[[#This Row],[_StartWorkday]]+1),0)</f>
        <v>0</v>
      </c>
      <c r="EB127" s="32" t="n">
        <f aca="false">Tasks[[#This Row],[_WorkPerWorkday]]*(Tasks[[#This Row],[_StartWorkday]]-1)</f>
        <v>-0</v>
      </c>
      <c r="EC127" s="32" t="n">
        <f aca="false">IF(Tasks[[#This Row],[_IsLeaf]]=1,MAX(N(Tasks[[#This Row],[Duration]]),0.1),0)</f>
        <v>0</v>
      </c>
      <c r="ED127" s="32" t="n">
        <f aca="false">Tasks[[#This Row],[_WeightDur]]*Tasks[[#This Row],[_LeafProgress]]</f>
        <v>0</v>
      </c>
      <c r="EE12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7" s="32" t="str">
        <f aca="false">IF(AND(Tasks[[#This Row],[_IsLeaf]]=1,N(Tasks[[#This Row],[Duration]])=0,Tasks[[#This Row],[_LeafProgress]]&lt;1),Tasks[[#This Row],[_ShownFcstFinish]]+Tasks[[#This Row],[_Row]]/100000,"")</f>
        <v/>
      </c>
      <c r="EG12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7" s="32" t="n">
        <f aca="false">IF(NOT(Tasks[[#This Row],[_IsLeaf]]=1),0,IF(Tasks[[#This Row],[Baseline Cost]]="",Tasks[[#This Row],[_LeafTotalCost]],N(Tasks[[#This Row],[Baseline Cost]])))</f>
        <v>0</v>
      </c>
      <c r="EI127" s="32" t="n">
        <f aca="false">Tasks[[#This Row],[_LeafBudget]]*Tasks[[#This Row],[_PlannedPct]]</f>
        <v>0</v>
      </c>
      <c r="EJ127" s="32" t="n">
        <f aca="false">Tasks[[#This Row],[_LeafBudget]]*Tasks[[#This Row],[_LeafProgress]]</f>
        <v>0</v>
      </c>
      <c r="EK127" s="32" t="n">
        <f aca="false">IF(NOT(Tasks[[#This Row],[_IsLeaf]]=1),0,IF(Tasks[[#This Row],[Actual Cost]]="",Tasks[[#This Row],[_LeafTotalCost]]*Tasks[[#This Row],[_LeafProgress]],N(Tasks[[#This Row],[Actual Cost]])))</f>
        <v>0</v>
      </c>
      <c r="EL127" s="32" t="str">
        <f aca="false">IF(Tasks[[#This Row],[Task Name]]="","",LEFT(Tasks[[#This Row],[WBS]],FIND(".",Tasks[[#This Row],[WBS]]&amp;".")-1))</f>
        <v/>
      </c>
      <c r="EM127" s="32" t="str">
        <f aca="false">IF(AND(Tasks[[#This Row],[Task Name]]&lt;&gt;"",Tasks[[#This Row],[_Level]]=1),Tasks[[#This Row],[_Row]],"")</f>
        <v/>
      </c>
      <c r="EN127" s="32" t="str">
        <f aca="false">IF(AND(Tasks[[#This Row],[_IsLeaf]]=1,N(Tasks[[#This Row],[Duration]])=0),Tasks[[#This Row],[Planned Finish]]+Tasks[[#This Row],[_Row]]/100000,"")</f>
        <v/>
      </c>
      <c r="EO127" s="32" t="str">
        <f aca="false">IF(AND(Tasks[[#This Row],[_IsLeaf]]=1,Tasks[[#This Row],[_LeafProgress]]&lt;1,OR(N(Tasks[[#This Row],[Finish Var]])&gt;0,Tasks[[#This Row],[Status]]="Late Start")),MAX(0,Tasks[[#This Row],[Finish Var]])+1-Tasks[[#This Row],[_Row]]/1000000,"")</f>
        <v/>
      </c>
      <c r="EP127" s="32" t="str">
        <f aca="false">IF(AND(Tasks[[#This Row],[_IsLeaf]]=1,N(Tasks[[#This Row],[Actual Start]])=0,Tasks[[#This Row],[_ShownFcstStart]]&gt;=StatusDate,Tasks[[#This Row],[_ShownFcstStart]]&lt;=LookaheadEnd),Tasks[[#This Row],[_ShownFcstStart]]+Tasks[[#This Row],[_Row]]/100000,"")</f>
        <v/>
      </c>
      <c r="EQ127" s="32" t="str">
        <f aca="false">IF(AND(Tasks[[#This Row],[_IsLeaf]]=1,Tasks[[#This Row],[_LeafProgress]]&lt;1,Tasks[[#This Row],[_ShownFcstFinish]]&gt;=StatusDate,Tasks[[#This Row],[_ShownFcstFinish]]&lt;=LookaheadEnd),Tasks[[#This Row],[_ShownFcstFinish]]+Tasks[[#This Row],[_Row]]/100000,"")</f>
        <v/>
      </c>
      <c r="ER127" s="32" t="str">
        <f aca="false">IF(Tasks[[#This Row],[_LeafCritical]],Tasks[[#This Row],[_ShownFcstStart]]+Tasks[[#This Row],[_Row]]/100000,"")</f>
        <v/>
      </c>
      <c r="ES127" s="32" t="n">
        <f aca="false">Tasks[[#This Row],[_LeafWork]]*Tasks[[#This Row],[_LeafProgress]]</f>
        <v>0</v>
      </c>
      <c r="ET127" s="115" t="str">
        <f aca="false">IF(AND(Tasks[[#This Row],[_IsLeaf]]=1,Tasks[[#This Row],[_LeafProgress]]&gt;=1),IF(N(Tasks[[#This Row],[Actual Finish]])&gt;0,Tasks[[#This Row],[Actual Finish]],Tasks[[#This Row],[_ShownFcstFinish]]),"")</f>
        <v/>
      </c>
      <c r="EU127" s="32" t="n">
        <f aca="false">IF(Tasks[[#This Row],[_IsLeaf]]=1,N(Tasks[[#This Row],[Story Points]]),0)</f>
        <v>0</v>
      </c>
      <c r="EV127" s="32" t="str">
        <f aca="false">IF(AND(Tasks[[#This Row],[_IsLeaf]]=1,CurrentSprint&lt;&gt;"",Tasks[[#This Row],[Sprint]]=CurrentSprint),Tasks[[#This Row],[_Row]],"")</f>
        <v/>
      </c>
    </row>
    <row r="128" customFormat="false" ht="15" hidden="false" customHeight="false" outlineLevel="0" collapsed="false">
      <c r="A128" s="45" t="str">
        <f aca="false">IF(Tasks[[#This Row],[Task Name]]="","",COUNTA(Tasks[[#Headers],[Task Name]]:Tasks[[#This Row],[Task Name]])-1)</f>
        <v/>
      </c>
      <c r="B128" s="46" t="n">
        <v>123</v>
      </c>
      <c r="C12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8" s="46"/>
      <c r="E128" s="45" t="str">
        <f aca="false">IF(Tasks[[#This Row],[Task Name]]="","",IF(Tasks[[#This Row],[_Level]]&lt;=OutlineShowLevel,"Yes","No"))</f>
        <v/>
      </c>
      <c r="F128" s="47"/>
      <c r="G128" s="46"/>
      <c r="H128" s="46"/>
      <c r="I128" s="46"/>
      <c r="J128" s="46"/>
      <c r="K128" s="46"/>
      <c r="L128" s="46"/>
      <c r="M128" s="46"/>
      <c r="N128" s="46"/>
      <c r="O128" s="46"/>
      <c r="P128" s="46"/>
      <c r="Q128" s="46"/>
      <c r="R128" s="46"/>
      <c r="S128" s="46"/>
      <c r="T128" s="46"/>
      <c r="U128" s="47"/>
      <c r="V128" s="88"/>
      <c r="W128" s="88"/>
      <c r="X128" s="25" t="str">
        <f aca="false">IF(Tasks[[#This Row],[Task Name]]="","",IF(N(Tasks[[#This Row],[Baseline Start]])&gt;0,Tasks[[#This Row],[Baseline Start]],Tasks[[#This Row],[_CalcStart]]))</f>
        <v/>
      </c>
      <c r="Y128" s="25" t="str">
        <f aca="false">IF(Tasks[[#This Row],[Task Name]]="","",IF(N(Tasks[[#This Row],[Baseline Finish]])&gt;0,Tasks[[#This Row],[Baseline Finish]],Tasks[[#This Row],[_CalcFinish]]))</f>
        <v/>
      </c>
      <c r="Z128" s="88"/>
      <c r="AA128" s="88"/>
      <c r="AB128" s="25" t="str">
        <f aca="false">IF(Tasks[[#This Row],[Task Name]]="","",IF(Tasks[[#This Row],[_IsSummary]],MIN(INDEX(Tasks[_ShownFcstStart],Tasks[[#This Row],[_Row]]+1):INDEX(Tasks[_ShownFcstStart],Tasks[[#This Row],[_Row]]+Tasks[[#This Row],[_Descendants]])),Tasks[[#This Row],[_ShownFcstStart]]))</f>
        <v/>
      </c>
      <c r="AC128" s="25" t="str">
        <f aca="false">IF(Tasks[[#This Row],[Task Name]]="","",IF(Tasks[[#This Row],[_IsSummary]],MAX(INDEX(Tasks[_ShownFcstFinish],Tasks[[#This Row],[_Row]]+1):INDEX(Tasks[_ShownFcstFinish],Tasks[[#This Row],[_Row]]+Tasks[[#This Row],[_Descendants]])),Tasks[[#This Row],[_ShownFcstFinish]]))</f>
        <v/>
      </c>
      <c r="AD12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8" s="25" t="str">
        <f aca="false">IF(Tasks[[#This Row],[Task Name]]="","",IF(Tasks[[#This Row],[_IsSummary]],MIN(INDEX(Tasks[_LeafLateStart],Tasks[[#This Row],[_Row]]+1):INDEX(Tasks[_LeafLateStart],Tasks[[#This Row],[_Row]]+Tasks[[#This Row],[_Descendants]])),Tasks[[#This Row],[_LeafLateStart]]))</f>
        <v/>
      </c>
      <c r="AG128" s="25" t="str">
        <f aca="false">IF(Tasks[[#This Row],[Task Name]]="","",IF(Tasks[[#This Row],[_IsSummary]],MAX(INDEX(Tasks[_LeafLateFinish],Tasks[[#This Row],[_Row]]+1):INDEX(Tasks[_LeafLateFinish],Tasks[[#This Row],[_Row]]+Tasks[[#This Row],[_Descendants]])),Tasks[[#This Row],[_LeafLateFinish]]))</f>
        <v/>
      </c>
      <c r="AH128" s="56" t="str">
        <f aca="false">IF(Tasks[[#This Row],[Task Name]]="","",IF(Tasks[[#This Row],[_IsSummary]],MIN(INDEX(Tasks[_LeafTotalSlack],Tasks[[#This Row],[_Row]]+1):INDEX(Tasks[_LeafTotalSlack],Tasks[[#This Row],[_Row]]+Tasks[[#This Row],[_Descendants]])),Tasks[[#This Row],[_LeafTotalSlack]]))</f>
        <v/>
      </c>
      <c r="AI12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8" s="45" t="str">
        <f aca="false">IF(Tasks[[#This Row],[Task Name]]="","",IF(IF(Tasks[[#This Row],[_IsSummary]],COUNTIF(INDEX(Tasks[_LeafCritical],Tasks[[#This Row],[_Row]]+1):INDEX(Tasks[_LeafCritical],Tasks[[#This Row],[_Row]]+Tasks[[#This Row],[_Descendants]]),TRUE())&gt;0,Tasks[[#This Row],[_LeafCritical]]),"Yes",""))</f>
        <v/>
      </c>
      <c r="AK12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8" s="102"/>
      <c r="AN12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8" s="45" t="str">
        <f aca="false">IF(Tasks[[#This Row],[Task Name]]="","",IF(Tasks[[#This Row],[Progress]]&gt;=1,"Complete",IF(OR(N(Tasks[[#This Row],[Actual Start]])&gt;0,Tasks[[#This Row],[Progress]]&gt;0),IF(Tasks[[#This Row],[Finish Var]]&gt;0,"Behind","In Progress"),IF(Tasks[[#This Row],[Planned Start]]&lt;StatusDate,"Late Start","Not Started"))))</f>
        <v/>
      </c>
      <c r="AP128" s="47"/>
      <c r="AQ128" s="102"/>
      <c r="AR12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8" s="110" t="str">
        <f aca="false">IF(Tasks[[#This Row],[Task Name]]="","",IF(Tasks[[#This Row],[_IsSummary]],SUM(INDEX(Tasks[_LeafTotalWork],Tasks[[#This Row],[_Row]]+1):INDEX(Tasks[_LeafTotalWork],Tasks[[#This Row],[_Row]]+Tasks[[#This Row],[_Descendants]])),Tasks[[#This Row],[_LeafTotalWork]]))</f>
        <v/>
      </c>
      <c r="AU128" s="111" t="str">
        <f aca="false">IF(Tasks[[#This Row],[Task Name]]="","",IF(Tasks[[#This Row],[_IsSummary]],SUM(INDEX(Tasks[_LeafTotalCost],Tasks[[#This Row],[_Row]]+1):INDEX(Tasks[_LeafTotalCost],Tasks[[#This Row],[_Row]]+Tasks[[#This Row],[_Descendants]])),Tasks[[#This Row],[_LeafTotalCost]]))</f>
        <v/>
      </c>
      <c r="AV128" s="112"/>
      <c r="AW128" s="46"/>
      <c r="AX12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8" s="96"/>
      <c r="AZ12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8" s="47"/>
      <c r="BB128" s="25" t="str">
        <f aca="false">IF(Tasks[[#This Row],[Task Name]]="","",Tasks[[#This Row],[Forecast Start]])</f>
        <v/>
      </c>
      <c r="BC128" s="25" t="str">
        <f aca="false">IF(Tasks[[#This Row],[Task Name]]="","",Tasks[[#This Row],[Forecast Finish]])</f>
        <v/>
      </c>
      <c r="BD128" s="45" t="str">
        <f aca="false">IF(Tasks[[#This Row],[Task Name]]="","",IF(Tasks[[#This Row],[_IsSummary]],NETWORKDAYS.INTL(Tasks[[#This Row],[Forecast Start]],Tasks[[#This Row],[Forecast Finish]],WorkWeek,Holidays),N(Tasks[[#This Row],[Duration]])))</f>
        <v/>
      </c>
      <c r="BE128" s="110" t="str">
        <f aca="false">IF(Tasks[[#This Row],[Task Name]]="","",Tasks[[#This Row],[Work]])</f>
        <v/>
      </c>
      <c r="BF128" s="111" t="str">
        <f aca="false">IF(Tasks[[#This Row],[Task Name]]="","",Tasks[[#This Row],[Cost]])</f>
        <v/>
      </c>
      <c r="BG128" s="88"/>
      <c r="BH128" s="88"/>
      <c r="BI128" s="46"/>
      <c r="BJ128" s="113"/>
      <c r="BK128" s="112"/>
      <c r="BL128" s="45" t="str">
        <f aca="false">IF(OR(Tasks[[#This Row],[Task Name]]="",Tasks[[#This Row],[Baseline Duration]]=""),"",Tasks[[#This Row],[BL Source Duration]]-N(Tasks[[#This Row],[Baseline Duration]]))</f>
        <v/>
      </c>
      <c r="BM128" s="110" t="str">
        <f aca="false">IF(OR(Tasks[[#This Row],[Task Name]]="",Tasks[[#This Row],[Baseline Work]]=""),"",Tasks[[#This Row],[Work]]-N(Tasks[[#This Row],[Baseline Work]]))</f>
        <v/>
      </c>
      <c r="BN128" s="111" t="str">
        <f aca="false">IF(OR(Tasks[[#This Row],[Task Name]]="",Tasks[[#This Row],[Baseline Cost]]=""),"",Tasks[[#This Row],[Cost]]-N(Tasks[[#This Row],[Baseline Cost]]))</f>
        <v/>
      </c>
      <c r="BO128" s="111" t="str">
        <f aca="false">IF(Tasks[[#This Row],[Task Name]]="","",IF(Tasks[[#This Row],[_IsSummary]],SUM(INDEX(Tasks[_LeafBudget],Tasks[[#This Row],[_Row]]+1):INDEX(Tasks[_LeafBudget],Tasks[[#This Row],[_Row]]+Tasks[[#This Row],[_Descendants]])),Tasks[[#This Row],[_LeafBudget]]))</f>
        <v/>
      </c>
      <c r="BP128" s="111" t="str">
        <f aca="false">IF(Tasks[[#This Row],[Task Name]]="","",IF(Tasks[[#This Row],[_IsSummary]],SUM(INDEX(Tasks[_LeafPV],Tasks[[#This Row],[_Row]]+1):INDEX(Tasks[_LeafPV],Tasks[[#This Row],[_Row]]+Tasks[[#This Row],[_Descendants]])),Tasks[[#This Row],[_LeafPV]]))</f>
        <v/>
      </c>
      <c r="BQ128" s="111" t="str">
        <f aca="false">IF(Tasks[[#This Row],[Task Name]]="","",IF(Tasks[[#This Row],[_IsSummary]],SUM(INDEX(Tasks[_LeafEV],Tasks[[#This Row],[_Row]]+1):INDEX(Tasks[_LeafEV],Tasks[[#This Row],[_Row]]+Tasks[[#This Row],[_Descendants]])),Tasks[[#This Row],[_LeafEV]]))</f>
        <v/>
      </c>
      <c r="BR128" s="111" t="str">
        <f aca="false">IF(Tasks[[#This Row],[Task Name]]="","",IF(Tasks[[#This Row],[_IsSummary]],SUM(INDEX(Tasks[_LeafAC],Tasks[[#This Row],[_Row]]+1):INDEX(Tasks[_LeafAC],Tasks[[#This Row],[_Row]]+Tasks[[#This Row],[_Descendants]])),Tasks[[#This Row],[_LeafAC]]))</f>
        <v/>
      </c>
      <c r="BS128" s="32" t="str">
        <f aca="false">IF(Tasks[[#This Row],[Task Name]]="","",MAX(1,N(Tasks[[#This Row],[Level]])))</f>
        <v/>
      </c>
      <c r="BT128" s="32" t="n">
        <f aca="false">ROW()-ROW(Tasks[[#Headers],[ID]])</f>
        <v>123</v>
      </c>
      <c r="BU128" s="32" t="n">
        <f aca="false">IF(OR(Tasks[[#This Row],[Task Name]]="",Tasks[[#This Row],[_Level]]&lt;=1),0,IFERROR(LOOKUP(2,1/(Tasks[[#Headers],[_Level]]:Tasks[[#This Row],[_Level]]=Tasks[[#This Row],[_Level]]-1),ROW(Tasks[[#Headers],[_Level]]:Tasks[[#This Row],[_Level]])),0))</f>
        <v>0</v>
      </c>
      <c r="BV128" s="32" t="n">
        <f aca="false">IFERROR(N(INDEX(Tasks[_Level],Tasks[[#This Row],[_Row]]+1)),0)</f>
        <v>0</v>
      </c>
      <c r="BW128" s="114" t="b">
        <f aca="false">AND(Tasks[[#This Row],[Task Name]]&lt;&gt;"",Tasks[[#This Row],[_NextLevel]]&gt;Tasks[[#This Row],[_Level]])</f>
        <v>0</v>
      </c>
      <c r="BX128" s="32" t="n">
        <f aca="false">IF(Tasks[[#This Row],[_IsSummary]],COUNTIF(Tasks[WBS],Tasks[[#This Row],[WBS]]&amp;".*"),0)</f>
        <v>0</v>
      </c>
      <c r="BY128" s="32" t="n">
        <f aca="false">IF(AND(Tasks[[#This Row],[Task Name]]&lt;&gt;"",NOT(Tasks[[#This Row],[_IsSummary]])),1,0)</f>
        <v>0</v>
      </c>
      <c r="BZ128" s="32" t="n">
        <f aca="false">IF(N(Tasks[[#This Row],[Pred1 UID]])=0,0,IFERROR(MATCH(Tasks[[#This Row],[Pred1 UID]],Tasks[UID],0),-1))</f>
        <v>0</v>
      </c>
      <c r="CA128" s="32" t="n">
        <f aca="false">IF(N(Tasks[[#This Row],[Pred2 UID]])=0,0,IFERROR(MATCH(Tasks[[#This Row],[Pred2 UID]],Tasks[UID],0),-1))</f>
        <v>0</v>
      </c>
      <c r="CB128" s="32" t="n">
        <f aca="false">IF(N(Tasks[[#This Row],[Pred3 UID]])=0,0,IFERROR(MATCH(Tasks[[#This Row],[Pred3 UID]],Tasks[UID],0),-1))</f>
        <v>0</v>
      </c>
      <c r="CC128" s="32" t="n">
        <f aca="false">IF(N(Tasks[[#This Row],[Pred4 UID]])=0,0,IFERROR(MATCH(Tasks[[#This Row],[Pred4 UID]],Tasks[UID],0),-1))</f>
        <v>0</v>
      </c>
      <c r="CD12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8" s="115" t="n">
        <f aca="false">IF(OR(Tasks[[#This Row],[_ConstraintCode]]=2,Tasks[[#This Row],[_ConstraintCode]]=3,Tasks[[#This Row],[_ConstraintCode]]=4,Tasks[[#This Row],[_ConstraintCode]]=6),Tasks[[#This Row],[_ConstraintStart]],0)</f>
        <v>0</v>
      </c>
      <c r="CG128" s="115" t="n">
        <f aca="false">IF(OR(Tasks[[#This Row],[_ConstraintCode]]=2,Tasks[[#This Row],[_ConstraintCode]]=3,Tasks[[#This Row],[_ConstraintCode]]=5,Tasks[[#This Row],[_ConstraintCode]]=7),Tasks[[#This Row],[_ConstraintStart]],2958465)</f>
        <v>2958465</v>
      </c>
      <c r="CH12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8" s="115" t="str">
        <f aca="false">IF(NOT(Tasks[[#This Row],[_IsLeaf]]=1),"",IF(N(Tasks[[#This Row],[Duration]])&lt;=0,Tasks[[#This Row],[_LeafCalcStart]],WORKDAY.INTL(Tasks[[#This Row],[_LeafCalcStart]],Tasks[[#This Row],[Duration]]-1,WorkWeek,Holidays)))</f>
        <v/>
      </c>
      <c r="CJ12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8" s="32" t="n">
        <f aca="false">IF(NOT(Tasks[[#This Row],[_IsLeaf]]=1),0,IF(N(Tasks[[#This Row],[Actual Finish]])&gt;0,1,MIN(1,N(Tasks[[#This Row],[% Complete]]))))</f>
        <v>0</v>
      </c>
      <c r="CM128" s="32" t="n">
        <f aca="false">IF(OR(NOT(Tasks[[#This Row],[_IsLeaf]]=1),Tasks[[#This Row],[Resource]]=""),0,N(Tasks[[#This Row],[Duration]])*HoursPerDay*IF(Tasks[[#This Row],[Units]]="",DefaultUnits,Tasks[[#This Row],[Units]]))</f>
        <v>0</v>
      </c>
      <c r="CN128" s="32" t="n">
        <f aca="false">IF(Tasks[[#This Row],[_LeafWork]]=0,0,Tasks[[#This Row],[_LeafWork]]*IFERROR(INDEX(res_Rate,MATCH(Tasks[[#This Row],[Resource]],res_Name,0)),0))</f>
        <v>0</v>
      </c>
      <c r="CO128" s="32" t="n">
        <f aca="false">Tasks[[#This Row],[_LeafWork]]+IF(Tasks[[#This Row],[_IsLeaf]]=1,SUMIFS(asg_Work,asg_TaskUID,Tasks[[#This Row],[UID]],asg_Valid,1),0)</f>
        <v>0</v>
      </c>
      <c r="CP128" s="32" t="n">
        <f aca="false">Tasks[[#This Row],[_LeafCost]]+IF(Tasks[[#This Row],[_IsLeaf]]=1,SUMIFS(asg_Cost,asg_TaskUID,Tasks[[#This Row],[UID]],asg_Valid,1),0)</f>
        <v>0</v>
      </c>
      <c r="CQ128" s="32" t="n">
        <f aca="false">IF(Tasks[[#This Row],[_LeafTotalCost]]=0,Tasks[[#This Row],[_LeafAC]],Tasks[[#This Row],[_LeafAC]]*Tasks[[#This Row],[_LeafCost]]/Tasks[[#This Row],[_LeafTotalCost]])</f>
        <v>0</v>
      </c>
      <c r="CR12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8" s="32" t="n">
        <f aca="false">IF(NOT(Tasks[[#This Row],[_IsLeaf]]=1),0,MAX(_xlfn.MAXIFS(Tasks[_Row],Tasks[Pred1 UID],Tasks[[#This Row],[UID]]),_xlfn.MAXIFS(Tasks[_Row],Tasks[Pred2 UID],Tasks[[#This Row],[UID]]),_xlfn.MAXIFS(Tasks[_Row],Tasks[Pred3 UID],Tasks[[#This Row],[UID]]),_xlfn.MAXIFS(Tasks[_Row],Tasks[Pred4 UID],Tasks[[#This Row],[UID]])))</f>
        <v>0</v>
      </c>
      <c r="DA12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8" s="115" t="str">
        <f aca="false">IF(NOT(Tasks[[#This Row],[_IsLeaf]]=1),"",IF(N(Tasks[[#This Row],[Duration]])&lt;=0,Tasks[[#This Row],[_LeafLateFinish]],WORKDAY.INTL(Tasks[[#This Row],[_LeafLateFinish]],-(Tasks[[#This Row],[Duration]]-1),WorkWeek,Holidays)))</f>
        <v/>
      </c>
      <c r="DD12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8" s="114" t="b">
        <f aca="false">AND(Tasks[[#This Row],[_IsLeaf]]=1,Tasks[[#This Row],[_LeafProgress]]&lt;1,N(Tasks[[#This Row],[_LeafTotalSlack]])&lt;=CriticalSlackDays)</f>
        <v>0</v>
      </c>
      <c r="DF128" s="32" t="n">
        <f aca="false">IF(AND(Tasks[[#This Row],[_IsLeaf]]=1,Tasks[[#This Row],[_ConstraintCode]]=1,Tasks[[#This Row],[Mode]]&lt;&gt;"Manual",N(Tasks[[#This Row],[Actual Start]])=0),MAX(0,N(Tasks[[#This Row],[Free Slack]])),0)</f>
        <v>0</v>
      </c>
      <c r="DG128" s="115" t="str">
        <f aca="false">IF(NOT(Tasks[[#This Row],[_IsLeaf]]=1),"",IF(Tasks[[#This Row],[_AlapShift]]=0,Tasks[[#This Row],[_LeafCalcStart]],WORKDAY.INTL(Tasks[[#This Row],[_LeafCalcStart]],Tasks[[#This Row],[_AlapShift]],WorkWeek,Holidays)))</f>
        <v/>
      </c>
      <c r="DH128" s="115" t="str">
        <f aca="false">IF(NOT(Tasks[[#This Row],[_IsLeaf]]=1),"",IF(Tasks[[#This Row],[_AlapShift]]=0,Tasks[[#This Row],[_LeafCalcFinish]],WORKDAY.INTL(Tasks[[#This Row],[_LeafCalcFinish]],Tasks[[#This Row],[_AlapShift]],WorkWeek,Holidays)))</f>
        <v/>
      </c>
      <c r="DI128" s="115" t="str">
        <f aca="false">IF(NOT(Tasks[[#This Row],[_IsLeaf]]=1),"",IF(Tasks[[#This Row],[_AlapShift]]=0,Tasks[[#This Row],[_LeafFcstStart]],WORKDAY.INTL(Tasks[[#This Row],[_LeafFcstStart]],Tasks[[#This Row],[_AlapShift]],WorkWeek,Holidays)))</f>
        <v/>
      </c>
      <c r="DJ128" s="115" t="str">
        <f aca="false">IF(NOT(Tasks[[#This Row],[_IsLeaf]]=1),"",IF(Tasks[[#This Row],[_AlapShift]]=0,Tasks[[#This Row],[_LeafFcstFinish]],WORKDAY.INTL(Tasks[[#This Row],[_LeafFcstFinish]],Tasks[[#This Row],[_AlapShift]],WorkWeek,Holidays)))</f>
        <v/>
      </c>
      <c r="DK128" s="115" t="str">
        <f aca="false">IF(Tasks[[#This Row],[Task Name]]="","",IF(Tasks[[#This Row],[_IsSummary]],MIN(INDEX(Tasks[_ShownCalcStart],Tasks[[#This Row],[_Row]]+1):INDEX(Tasks[_ShownCalcStart],Tasks[[#This Row],[_Row]]+Tasks[[#This Row],[_Descendants]])),Tasks[[#This Row],[_ShownCalcStart]]))</f>
        <v/>
      </c>
      <c r="DL128" s="115" t="str">
        <f aca="false">IF(Tasks[[#This Row],[Task Name]]="","",IF(Tasks[[#This Row],[_IsSummary]],MAX(INDEX(Tasks[_ShownCalcFinish],Tasks[[#This Row],[_Row]]+1):INDEX(Tasks[_ShownCalcFinish],Tasks[[#This Row],[_Row]]+Tasks[[#This Row],[_Descendants]])),Tasks[[#This Row],[_ShownCalcFinish]]))</f>
        <v/>
      </c>
      <c r="DM12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8" s="32" t="n">
        <f aca="false">IF(AND(Tasks[[#This Row],[_IsLeaf]]=1,Tasks[[#This Row],[_LeafTotalWork]]&gt;0),NETWORKDAYS.INTL(ProjectStart,Tasks[[#This Row],[_ShownFcstStart]],WorkWeek,Holidays),0)</f>
        <v>0</v>
      </c>
      <c r="DZ128" s="32" t="n">
        <f aca="false">IF(AND(Tasks[[#This Row],[_IsLeaf]]=1,Tasks[[#This Row],[_LeafTotalWork]]&gt;0),MAX(Tasks[[#This Row],[_StartWorkday]],NETWORKDAYS.INTL(ProjectStart,Tasks[[#This Row],[_ShownFcstFinish]],WorkWeek,Holidays)),0)</f>
        <v>0</v>
      </c>
      <c r="EA128" s="32" t="n">
        <f aca="false">IF(AND(Tasks[[#This Row],[_IsLeaf]]=1,Tasks[[#This Row],[_LeafTotalWork]]&gt;0),Tasks[[#This Row],[_LeafWork]]/(Tasks[[#This Row],[_FinishWorkday]]-Tasks[[#This Row],[_StartWorkday]]+1),0)</f>
        <v>0</v>
      </c>
      <c r="EB128" s="32" t="n">
        <f aca="false">Tasks[[#This Row],[_WorkPerWorkday]]*(Tasks[[#This Row],[_StartWorkday]]-1)</f>
        <v>-0</v>
      </c>
      <c r="EC128" s="32" t="n">
        <f aca="false">IF(Tasks[[#This Row],[_IsLeaf]]=1,MAX(N(Tasks[[#This Row],[Duration]]),0.1),0)</f>
        <v>0</v>
      </c>
      <c r="ED128" s="32" t="n">
        <f aca="false">Tasks[[#This Row],[_WeightDur]]*Tasks[[#This Row],[_LeafProgress]]</f>
        <v>0</v>
      </c>
      <c r="EE12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8" s="32" t="str">
        <f aca="false">IF(AND(Tasks[[#This Row],[_IsLeaf]]=1,N(Tasks[[#This Row],[Duration]])=0,Tasks[[#This Row],[_LeafProgress]]&lt;1),Tasks[[#This Row],[_ShownFcstFinish]]+Tasks[[#This Row],[_Row]]/100000,"")</f>
        <v/>
      </c>
      <c r="EG12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8" s="32" t="n">
        <f aca="false">IF(NOT(Tasks[[#This Row],[_IsLeaf]]=1),0,IF(Tasks[[#This Row],[Baseline Cost]]="",Tasks[[#This Row],[_LeafTotalCost]],N(Tasks[[#This Row],[Baseline Cost]])))</f>
        <v>0</v>
      </c>
      <c r="EI128" s="32" t="n">
        <f aca="false">Tasks[[#This Row],[_LeafBudget]]*Tasks[[#This Row],[_PlannedPct]]</f>
        <v>0</v>
      </c>
      <c r="EJ128" s="32" t="n">
        <f aca="false">Tasks[[#This Row],[_LeafBudget]]*Tasks[[#This Row],[_LeafProgress]]</f>
        <v>0</v>
      </c>
      <c r="EK128" s="32" t="n">
        <f aca="false">IF(NOT(Tasks[[#This Row],[_IsLeaf]]=1),0,IF(Tasks[[#This Row],[Actual Cost]]="",Tasks[[#This Row],[_LeafTotalCost]]*Tasks[[#This Row],[_LeafProgress]],N(Tasks[[#This Row],[Actual Cost]])))</f>
        <v>0</v>
      </c>
      <c r="EL128" s="32" t="str">
        <f aca="false">IF(Tasks[[#This Row],[Task Name]]="","",LEFT(Tasks[[#This Row],[WBS]],FIND(".",Tasks[[#This Row],[WBS]]&amp;".")-1))</f>
        <v/>
      </c>
      <c r="EM128" s="32" t="str">
        <f aca="false">IF(AND(Tasks[[#This Row],[Task Name]]&lt;&gt;"",Tasks[[#This Row],[_Level]]=1),Tasks[[#This Row],[_Row]],"")</f>
        <v/>
      </c>
      <c r="EN128" s="32" t="str">
        <f aca="false">IF(AND(Tasks[[#This Row],[_IsLeaf]]=1,N(Tasks[[#This Row],[Duration]])=0),Tasks[[#This Row],[Planned Finish]]+Tasks[[#This Row],[_Row]]/100000,"")</f>
        <v/>
      </c>
      <c r="EO128" s="32" t="str">
        <f aca="false">IF(AND(Tasks[[#This Row],[_IsLeaf]]=1,Tasks[[#This Row],[_LeafProgress]]&lt;1,OR(N(Tasks[[#This Row],[Finish Var]])&gt;0,Tasks[[#This Row],[Status]]="Late Start")),MAX(0,Tasks[[#This Row],[Finish Var]])+1-Tasks[[#This Row],[_Row]]/1000000,"")</f>
        <v/>
      </c>
      <c r="EP128" s="32" t="str">
        <f aca="false">IF(AND(Tasks[[#This Row],[_IsLeaf]]=1,N(Tasks[[#This Row],[Actual Start]])=0,Tasks[[#This Row],[_ShownFcstStart]]&gt;=StatusDate,Tasks[[#This Row],[_ShownFcstStart]]&lt;=LookaheadEnd),Tasks[[#This Row],[_ShownFcstStart]]+Tasks[[#This Row],[_Row]]/100000,"")</f>
        <v/>
      </c>
      <c r="EQ128" s="32" t="str">
        <f aca="false">IF(AND(Tasks[[#This Row],[_IsLeaf]]=1,Tasks[[#This Row],[_LeafProgress]]&lt;1,Tasks[[#This Row],[_ShownFcstFinish]]&gt;=StatusDate,Tasks[[#This Row],[_ShownFcstFinish]]&lt;=LookaheadEnd),Tasks[[#This Row],[_ShownFcstFinish]]+Tasks[[#This Row],[_Row]]/100000,"")</f>
        <v/>
      </c>
      <c r="ER128" s="32" t="str">
        <f aca="false">IF(Tasks[[#This Row],[_LeafCritical]],Tasks[[#This Row],[_ShownFcstStart]]+Tasks[[#This Row],[_Row]]/100000,"")</f>
        <v/>
      </c>
      <c r="ES128" s="32" t="n">
        <f aca="false">Tasks[[#This Row],[_LeafWork]]*Tasks[[#This Row],[_LeafProgress]]</f>
        <v>0</v>
      </c>
      <c r="ET128" s="115" t="str">
        <f aca="false">IF(AND(Tasks[[#This Row],[_IsLeaf]]=1,Tasks[[#This Row],[_LeafProgress]]&gt;=1),IF(N(Tasks[[#This Row],[Actual Finish]])&gt;0,Tasks[[#This Row],[Actual Finish]],Tasks[[#This Row],[_ShownFcstFinish]]),"")</f>
        <v/>
      </c>
      <c r="EU128" s="32" t="n">
        <f aca="false">IF(Tasks[[#This Row],[_IsLeaf]]=1,N(Tasks[[#This Row],[Story Points]]),0)</f>
        <v>0</v>
      </c>
      <c r="EV128" s="32" t="str">
        <f aca="false">IF(AND(Tasks[[#This Row],[_IsLeaf]]=1,CurrentSprint&lt;&gt;"",Tasks[[#This Row],[Sprint]]=CurrentSprint),Tasks[[#This Row],[_Row]],"")</f>
        <v/>
      </c>
    </row>
    <row r="129" customFormat="false" ht="15" hidden="false" customHeight="false" outlineLevel="0" collapsed="false">
      <c r="A129" s="45" t="str">
        <f aca="false">IF(Tasks[[#This Row],[Task Name]]="","",COUNTA(Tasks[[#Headers],[Task Name]]:Tasks[[#This Row],[Task Name]])-1)</f>
        <v/>
      </c>
      <c r="B129" s="46" t="n">
        <v>124</v>
      </c>
      <c r="C12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29" s="46"/>
      <c r="E129" s="45" t="str">
        <f aca="false">IF(Tasks[[#This Row],[Task Name]]="","",IF(Tasks[[#This Row],[_Level]]&lt;=OutlineShowLevel,"Yes","No"))</f>
        <v/>
      </c>
      <c r="F129" s="47"/>
      <c r="G129" s="46"/>
      <c r="H129" s="46"/>
      <c r="I129" s="46"/>
      <c r="J129" s="46"/>
      <c r="K129" s="46"/>
      <c r="L129" s="46"/>
      <c r="M129" s="46"/>
      <c r="N129" s="46"/>
      <c r="O129" s="46"/>
      <c r="P129" s="46"/>
      <c r="Q129" s="46"/>
      <c r="R129" s="46"/>
      <c r="S129" s="46"/>
      <c r="T129" s="46"/>
      <c r="U129" s="47"/>
      <c r="V129" s="88"/>
      <c r="W129" s="88"/>
      <c r="X129" s="25" t="str">
        <f aca="false">IF(Tasks[[#This Row],[Task Name]]="","",IF(N(Tasks[[#This Row],[Baseline Start]])&gt;0,Tasks[[#This Row],[Baseline Start]],Tasks[[#This Row],[_CalcStart]]))</f>
        <v/>
      </c>
      <c r="Y129" s="25" t="str">
        <f aca="false">IF(Tasks[[#This Row],[Task Name]]="","",IF(N(Tasks[[#This Row],[Baseline Finish]])&gt;0,Tasks[[#This Row],[Baseline Finish]],Tasks[[#This Row],[_CalcFinish]]))</f>
        <v/>
      </c>
      <c r="Z129" s="88"/>
      <c r="AA129" s="88"/>
      <c r="AB129" s="25" t="str">
        <f aca="false">IF(Tasks[[#This Row],[Task Name]]="","",IF(Tasks[[#This Row],[_IsSummary]],MIN(INDEX(Tasks[_ShownFcstStart],Tasks[[#This Row],[_Row]]+1):INDEX(Tasks[_ShownFcstStart],Tasks[[#This Row],[_Row]]+Tasks[[#This Row],[_Descendants]])),Tasks[[#This Row],[_ShownFcstStart]]))</f>
        <v/>
      </c>
      <c r="AC129" s="25" t="str">
        <f aca="false">IF(Tasks[[#This Row],[Task Name]]="","",IF(Tasks[[#This Row],[_IsSummary]],MAX(INDEX(Tasks[_ShownFcstFinish],Tasks[[#This Row],[_Row]]+1):INDEX(Tasks[_ShownFcstFinish],Tasks[[#This Row],[_Row]]+Tasks[[#This Row],[_Descendants]])),Tasks[[#This Row],[_ShownFcstFinish]]))</f>
        <v/>
      </c>
      <c r="AD12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2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29" s="25" t="str">
        <f aca="false">IF(Tasks[[#This Row],[Task Name]]="","",IF(Tasks[[#This Row],[_IsSummary]],MIN(INDEX(Tasks[_LeafLateStart],Tasks[[#This Row],[_Row]]+1):INDEX(Tasks[_LeafLateStart],Tasks[[#This Row],[_Row]]+Tasks[[#This Row],[_Descendants]])),Tasks[[#This Row],[_LeafLateStart]]))</f>
        <v/>
      </c>
      <c r="AG129" s="25" t="str">
        <f aca="false">IF(Tasks[[#This Row],[Task Name]]="","",IF(Tasks[[#This Row],[_IsSummary]],MAX(INDEX(Tasks[_LeafLateFinish],Tasks[[#This Row],[_Row]]+1):INDEX(Tasks[_LeafLateFinish],Tasks[[#This Row],[_Row]]+Tasks[[#This Row],[_Descendants]])),Tasks[[#This Row],[_LeafLateFinish]]))</f>
        <v/>
      </c>
      <c r="AH129" s="56" t="str">
        <f aca="false">IF(Tasks[[#This Row],[Task Name]]="","",IF(Tasks[[#This Row],[_IsSummary]],MIN(INDEX(Tasks[_LeafTotalSlack],Tasks[[#This Row],[_Row]]+1):INDEX(Tasks[_LeafTotalSlack],Tasks[[#This Row],[_Row]]+Tasks[[#This Row],[_Descendants]])),Tasks[[#This Row],[_LeafTotalSlack]]))</f>
        <v/>
      </c>
      <c r="AI12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29" s="45" t="str">
        <f aca="false">IF(Tasks[[#This Row],[Task Name]]="","",IF(IF(Tasks[[#This Row],[_IsSummary]],COUNTIF(INDEX(Tasks[_LeafCritical],Tasks[[#This Row],[_Row]]+1):INDEX(Tasks[_LeafCritical],Tasks[[#This Row],[_Row]]+Tasks[[#This Row],[_Descendants]]),TRUE())&gt;0,Tasks[[#This Row],[_LeafCritical]]),"Yes",""))</f>
        <v/>
      </c>
      <c r="AK12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2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29" s="102"/>
      <c r="AN12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29" s="45" t="str">
        <f aca="false">IF(Tasks[[#This Row],[Task Name]]="","",IF(Tasks[[#This Row],[Progress]]&gt;=1,"Complete",IF(OR(N(Tasks[[#This Row],[Actual Start]])&gt;0,Tasks[[#This Row],[Progress]]&gt;0),IF(Tasks[[#This Row],[Finish Var]]&gt;0,"Behind","In Progress"),IF(Tasks[[#This Row],[Planned Start]]&lt;StatusDate,"Late Start","Not Started"))))</f>
        <v/>
      </c>
      <c r="AP129" s="47"/>
      <c r="AQ129" s="102"/>
      <c r="AR12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2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29" s="110" t="str">
        <f aca="false">IF(Tasks[[#This Row],[Task Name]]="","",IF(Tasks[[#This Row],[_IsSummary]],SUM(INDEX(Tasks[_LeafTotalWork],Tasks[[#This Row],[_Row]]+1):INDEX(Tasks[_LeafTotalWork],Tasks[[#This Row],[_Row]]+Tasks[[#This Row],[_Descendants]])),Tasks[[#This Row],[_LeafTotalWork]]))</f>
        <v/>
      </c>
      <c r="AU129" s="111" t="str">
        <f aca="false">IF(Tasks[[#This Row],[Task Name]]="","",IF(Tasks[[#This Row],[_IsSummary]],SUM(INDEX(Tasks[_LeafTotalCost],Tasks[[#This Row],[_Row]]+1):INDEX(Tasks[_LeafTotalCost],Tasks[[#This Row],[_Row]]+Tasks[[#This Row],[_Descendants]])),Tasks[[#This Row],[_LeafTotalCost]]))</f>
        <v/>
      </c>
      <c r="AV129" s="112"/>
      <c r="AW129" s="46"/>
      <c r="AX12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29" s="96"/>
      <c r="AZ12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29" s="47"/>
      <c r="BB129" s="25" t="str">
        <f aca="false">IF(Tasks[[#This Row],[Task Name]]="","",Tasks[[#This Row],[Forecast Start]])</f>
        <v/>
      </c>
      <c r="BC129" s="25" t="str">
        <f aca="false">IF(Tasks[[#This Row],[Task Name]]="","",Tasks[[#This Row],[Forecast Finish]])</f>
        <v/>
      </c>
      <c r="BD129" s="45" t="str">
        <f aca="false">IF(Tasks[[#This Row],[Task Name]]="","",IF(Tasks[[#This Row],[_IsSummary]],NETWORKDAYS.INTL(Tasks[[#This Row],[Forecast Start]],Tasks[[#This Row],[Forecast Finish]],WorkWeek,Holidays),N(Tasks[[#This Row],[Duration]])))</f>
        <v/>
      </c>
      <c r="BE129" s="110" t="str">
        <f aca="false">IF(Tasks[[#This Row],[Task Name]]="","",Tasks[[#This Row],[Work]])</f>
        <v/>
      </c>
      <c r="BF129" s="111" t="str">
        <f aca="false">IF(Tasks[[#This Row],[Task Name]]="","",Tasks[[#This Row],[Cost]])</f>
        <v/>
      </c>
      <c r="BG129" s="88"/>
      <c r="BH129" s="88"/>
      <c r="BI129" s="46"/>
      <c r="BJ129" s="113"/>
      <c r="BK129" s="112"/>
      <c r="BL129" s="45" t="str">
        <f aca="false">IF(OR(Tasks[[#This Row],[Task Name]]="",Tasks[[#This Row],[Baseline Duration]]=""),"",Tasks[[#This Row],[BL Source Duration]]-N(Tasks[[#This Row],[Baseline Duration]]))</f>
        <v/>
      </c>
      <c r="BM129" s="110" t="str">
        <f aca="false">IF(OR(Tasks[[#This Row],[Task Name]]="",Tasks[[#This Row],[Baseline Work]]=""),"",Tasks[[#This Row],[Work]]-N(Tasks[[#This Row],[Baseline Work]]))</f>
        <v/>
      </c>
      <c r="BN129" s="111" t="str">
        <f aca="false">IF(OR(Tasks[[#This Row],[Task Name]]="",Tasks[[#This Row],[Baseline Cost]]=""),"",Tasks[[#This Row],[Cost]]-N(Tasks[[#This Row],[Baseline Cost]]))</f>
        <v/>
      </c>
      <c r="BO129" s="111" t="str">
        <f aca="false">IF(Tasks[[#This Row],[Task Name]]="","",IF(Tasks[[#This Row],[_IsSummary]],SUM(INDEX(Tasks[_LeafBudget],Tasks[[#This Row],[_Row]]+1):INDEX(Tasks[_LeafBudget],Tasks[[#This Row],[_Row]]+Tasks[[#This Row],[_Descendants]])),Tasks[[#This Row],[_LeafBudget]]))</f>
        <v/>
      </c>
      <c r="BP129" s="111" t="str">
        <f aca="false">IF(Tasks[[#This Row],[Task Name]]="","",IF(Tasks[[#This Row],[_IsSummary]],SUM(INDEX(Tasks[_LeafPV],Tasks[[#This Row],[_Row]]+1):INDEX(Tasks[_LeafPV],Tasks[[#This Row],[_Row]]+Tasks[[#This Row],[_Descendants]])),Tasks[[#This Row],[_LeafPV]]))</f>
        <v/>
      </c>
      <c r="BQ129" s="111" t="str">
        <f aca="false">IF(Tasks[[#This Row],[Task Name]]="","",IF(Tasks[[#This Row],[_IsSummary]],SUM(INDEX(Tasks[_LeafEV],Tasks[[#This Row],[_Row]]+1):INDEX(Tasks[_LeafEV],Tasks[[#This Row],[_Row]]+Tasks[[#This Row],[_Descendants]])),Tasks[[#This Row],[_LeafEV]]))</f>
        <v/>
      </c>
      <c r="BR129" s="111" t="str">
        <f aca="false">IF(Tasks[[#This Row],[Task Name]]="","",IF(Tasks[[#This Row],[_IsSummary]],SUM(INDEX(Tasks[_LeafAC],Tasks[[#This Row],[_Row]]+1):INDEX(Tasks[_LeafAC],Tasks[[#This Row],[_Row]]+Tasks[[#This Row],[_Descendants]])),Tasks[[#This Row],[_LeafAC]]))</f>
        <v/>
      </c>
      <c r="BS129" s="32" t="str">
        <f aca="false">IF(Tasks[[#This Row],[Task Name]]="","",MAX(1,N(Tasks[[#This Row],[Level]])))</f>
        <v/>
      </c>
      <c r="BT129" s="32" t="n">
        <f aca="false">ROW()-ROW(Tasks[[#Headers],[ID]])</f>
        <v>124</v>
      </c>
      <c r="BU129" s="32" t="n">
        <f aca="false">IF(OR(Tasks[[#This Row],[Task Name]]="",Tasks[[#This Row],[_Level]]&lt;=1),0,IFERROR(LOOKUP(2,1/(Tasks[[#Headers],[_Level]]:Tasks[[#This Row],[_Level]]=Tasks[[#This Row],[_Level]]-1),ROW(Tasks[[#Headers],[_Level]]:Tasks[[#This Row],[_Level]])),0))</f>
        <v>0</v>
      </c>
      <c r="BV129" s="32" t="n">
        <f aca="false">IFERROR(N(INDEX(Tasks[_Level],Tasks[[#This Row],[_Row]]+1)),0)</f>
        <v>0</v>
      </c>
      <c r="BW129" s="114" t="b">
        <f aca="false">AND(Tasks[[#This Row],[Task Name]]&lt;&gt;"",Tasks[[#This Row],[_NextLevel]]&gt;Tasks[[#This Row],[_Level]])</f>
        <v>0</v>
      </c>
      <c r="BX129" s="32" t="n">
        <f aca="false">IF(Tasks[[#This Row],[_IsSummary]],COUNTIF(Tasks[WBS],Tasks[[#This Row],[WBS]]&amp;".*"),0)</f>
        <v>0</v>
      </c>
      <c r="BY129" s="32" t="n">
        <f aca="false">IF(AND(Tasks[[#This Row],[Task Name]]&lt;&gt;"",NOT(Tasks[[#This Row],[_IsSummary]])),1,0)</f>
        <v>0</v>
      </c>
      <c r="BZ129" s="32" t="n">
        <f aca="false">IF(N(Tasks[[#This Row],[Pred1 UID]])=0,0,IFERROR(MATCH(Tasks[[#This Row],[Pred1 UID]],Tasks[UID],0),-1))</f>
        <v>0</v>
      </c>
      <c r="CA129" s="32" t="n">
        <f aca="false">IF(N(Tasks[[#This Row],[Pred2 UID]])=0,0,IFERROR(MATCH(Tasks[[#This Row],[Pred2 UID]],Tasks[UID],0),-1))</f>
        <v>0</v>
      </c>
      <c r="CB129" s="32" t="n">
        <f aca="false">IF(N(Tasks[[#This Row],[Pred3 UID]])=0,0,IFERROR(MATCH(Tasks[[#This Row],[Pred3 UID]],Tasks[UID],0),-1))</f>
        <v>0</v>
      </c>
      <c r="CC129" s="32" t="n">
        <f aca="false">IF(N(Tasks[[#This Row],[Pred4 UID]])=0,0,IFERROR(MATCH(Tasks[[#This Row],[Pred4 UID]],Tasks[UID],0),-1))</f>
        <v>0</v>
      </c>
      <c r="CD12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2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29" s="115" t="n">
        <f aca="false">IF(OR(Tasks[[#This Row],[_ConstraintCode]]=2,Tasks[[#This Row],[_ConstraintCode]]=3,Tasks[[#This Row],[_ConstraintCode]]=4,Tasks[[#This Row],[_ConstraintCode]]=6),Tasks[[#This Row],[_ConstraintStart]],0)</f>
        <v>0</v>
      </c>
      <c r="CG129" s="115" t="n">
        <f aca="false">IF(OR(Tasks[[#This Row],[_ConstraintCode]]=2,Tasks[[#This Row],[_ConstraintCode]]=3,Tasks[[#This Row],[_ConstraintCode]]=5,Tasks[[#This Row],[_ConstraintCode]]=7),Tasks[[#This Row],[_ConstraintStart]],2958465)</f>
        <v>2958465</v>
      </c>
      <c r="CH12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29" s="115" t="str">
        <f aca="false">IF(NOT(Tasks[[#This Row],[_IsLeaf]]=1),"",IF(N(Tasks[[#This Row],[Duration]])&lt;=0,Tasks[[#This Row],[_LeafCalcStart]],WORKDAY.INTL(Tasks[[#This Row],[_LeafCalcStart]],Tasks[[#This Row],[Duration]]-1,WorkWeek,Holidays)))</f>
        <v/>
      </c>
      <c r="CJ12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2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29" s="32" t="n">
        <f aca="false">IF(NOT(Tasks[[#This Row],[_IsLeaf]]=1),0,IF(N(Tasks[[#This Row],[Actual Finish]])&gt;0,1,MIN(1,N(Tasks[[#This Row],[% Complete]]))))</f>
        <v>0</v>
      </c>
      <c r="CM129" s="32" t="n">
        <f aca="false">IF(OR(NOT(Tasks[[#This Row],[_IsLeaf]]=1),Tasks[[#This Row],[Resource]]=""),0,N(Tasks[[#This Row],[Duration]])*HoursPerDay*IF(Tasks[[#This Row],[Units]]="",DefaultUnits,Tasks[[#This Row],[Units]]))</f>
        <v>0</v>
      </c>
      <c r="CN129" s="32" t="n">
        <f aca="false">IF(Tasks[[#This Row],[_LeafWork]]=0,0,Tasks[[#This Row],[_LeafWork]]*IFERROR(INDEX(res_Rate,MATCH(Tasks[[#This Row],[Resource]],res_Name,0)),0))</f>
        <v>0</v>
      </c>
      <c r="CO129" s="32" t="n">
        <f aca="false">Tasks[[#This Row],[_LeafWork]]+IF(Tasks[[#This Row],[_IsLeaf]]=1,SUMIFS(asg_Work,asg_TaskUID,Tasks[[#This Row],[UID]],asg_Valid,1),0)</f>
        <v>0</v>
      </c>
      <c r="CP129" s="32" t="n">
        <f aca="false">Tasks[[#This Row],[_LeafCost]]+IF(Tasks[[#This Row],[_IsLeaf]]=1,SUMIFS(asg_Cost,asg_TaskUID,Tasks[[#This Row],[UID]],asg_Valid,1),0)</f>
        <v>0</v>
      </c>
      <c r="CQ129" s="32" t="n">
        <f aca="false">IF(Tasks[[#This Row],[_LeafTotalCost]]=0,Tasks[[#This Row],[_LeafAC]],Tasks[[#This Row],[_LeafAC]]*Tasks[[#This Row],[_LeafCost]]/Tasks[[#This Row],[_LeafTotalCost]])</f>
        <v>0</v>
      </c>
      <c r="CR12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2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2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2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2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2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2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2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29" s="32" t="n">
        <f aca="false">IF(NOT(Tasks[[#This Row],[_IsLeaf]]=1),0,MAX(_xlfn.MAXIFS(Tasks[_Row],Tasks[Pred1 UID],Tasks[[#This Row],[UID]]),_xlfn.MAXIFS(Tasks[_Row],Tasks[Pred2 UID],Tasks[[#This Row],[UID]]),_xlfn.MAXIFS(Tasks[_Row],Tasks[Pred3 UID],Tasks[[#This Row],[UID]]),_xlfn.MAXIFS(Tasks[_Row],Tasks[Pred4 UID],Tasks[[#This Row],[UID]])))</f>
        <v>0</v>
      </c>
      <c r="DA12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2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29" s="115" t="str">
        <f aca="false">IF(NOT(Tasks[[#This Row],[_IsLeaf]]=1),"",IF(N(Tasks[[#This Row],[Duration]])&lt;=0,Tasks[[#This Row],[_LeafLateFinish]],WORKDAY.INTL(Tasks[[#This Row],[_LeafLateFinish]],-(Tasks[[#This Row],[Duration]]-1),WorkWeek,Holidays)))</f>
        <v/>
      </c>
      <c r="DD12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29" s="114" t="b">
        <f aca="false">AND(Tasks[[#This Row],[_IsLeaf]]=1,Tasks[[#This Row],[_LeafProgress]]&lt;1,N(Tasks[[#This Row],[_LeafTotalSlack]])&lt;=CriticalSlackDays)</f>
        <v>0</v>
      </c>
      <c r="DF129" s="32" t="n">
        <f aca="false">IF(AND(Tasks[[#This Row],[_IsLeaf]]=1,Tasks[[#This Row],[_ConstraintCode]]=1,Tasks[[#This Row],[Mode]]&lt;&gt;"Manual",N(Tasks[[#This Row],[Actual Start]])=0),MAX(0,N(Tasks[[#This Row],[Free Slack]])),0)</f>
        <v>0</v>
      </c>
      <c r="DG129" s="115" t="str">
        <f aca="false">IF(NOT(Tasks[[#This Row],[_IsLeaf]]=1),"",IF(Tasks[[#This Row],[_AlapShift]]=0,Tasks[[#This Row],[_LeafCalcStart]],WORKDAY.INTL(Tasks[[#This Row],[_LeafCalcStart]],Tasks[[#This Row],[_AlapShift]],WorkWeek,Holidays)))</f>
        <v/>
      </c>
      <c r="DH129" s="115" t="str">
        <f aca="false">IF(NOT(Tasks[[#This Row],[_IsLeaf]]=1),"",IF(Tasks[[#This Row],[_AlapShift]]=0,Tasks[[#This Row],[_LeafCalcFinish]],WORKDAY.INTL(Tasks[[#This Row],[_LeafCalcFinish]],Tasks[[#This Row],[_AlapShift]],WorkWeek,Holidays)))</f>
        <v/>
      </c>
      <c r="DI129" s="115" t="str">
        <f aca="false">IF(NOT(Tasks[[#This Row],[_IsLeaf]]=1),"",IF(Tasks[[#This Row],[_AlapShift]]=0,Tasks[[#This Row],[_LeafFcstStart]],WORKDAY.INTL(Tasks[[#This Row],[_LeafFcstStart]],Tasks[[#This Row],[_AlapShift]],WorkWeek,Holidays)))</f>
        <v/>
      </c>
      <c r="DJ129" s="115" t="str">
        <f aca="false">IF(NOT(Tasks[[#This Row],[_IsLeaf]]=1),"",IF(Tasks[[#This Row],[_AlapShift]]=0,Tasks[[#This Row],[_LeafFcstFinish]],WORKDAY.INTL(Tasks[[#This Row],[_LeafFcstFinish]],Tasks[[#This Row],[_AlapShift]],WorkWeek,Holidays)))</f>
        <v/>
      </c>
      <c r="DK129" s="115" t="str">
        <f aca="false">IF(Tasks[[#This Row],[Task Name]]="","",IF(Tasks[[#This Row],[_IsSummary]],MIN(INDEX(Tasks[_ShownCalcStart],Tasks[[#This Row],[_Row]]+1):INDEX(Tasks[_ShownCalcStart],Tasks[[#This Row],[_Row]]+Tasks[[#This Row],[_Descendants]])),Tasks[[#This Row],[_ShownCalcStart]]))</f>
        <v/>
      </c>
      <c r="DL129" s="115" t="str">
        <f aca="false">IF(Tasks[[#This Row],[Task Name]]="","",IF(Tasks[[#This Row],[_IsSummary]],MAX(INDEX(Tasks[_ShownCalcFinish],Tasks[[#This Row],[_Row]]+1):INDEX(Tasks[_ShownCalcFinish],Tasks[[#This Row],[_Row]]+Tasks[[#This Row],[_Descendants]])),Tasks[[#This Row],[_ShownCalcFinish]]))</f>
        <v/>
      </c>
      <c r="DM12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2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2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2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2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2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2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2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2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2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2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2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29" s="32" t="n">
        <f aca="false">IF(AND(Tasks[[#This Row],[_IsLeaf]]=1,Tasks[[#This Row],[_LeafTotalWork]]&gt;0),NETWORKDAYS.INTL(ProjectStart,Tasks[[#This Row],[_ShownFcstStart]],WorkWeek,Holidays),0)</f>
        <v>0</v>
      </c>
      <c r="DZ129" s="32" t="n">
        <f aca="false">IF(AND(Tasks[[#This Row],[_IsLeaf]]=1,Tasks[[#This Row],[_LeafTotalWork]]&gt;0),MAX(Tasks[[#This Row],[_StartWorkday]],NETWORKDAYS.INTL(ProjectStart,Tasks[[#This Row],[_ShownFcstFinish]],WorkWeek,Holidays)),0)</f>
        <v>0</v>
      </c>
      <c r="EA129" s="32" t="n">
        <f aca="false">IF(AND(Tasks[[#This Row],[_IsLeaf]]=1,Tasks[[#This Row],[_LeafTotalWork]]&gt;0),Tasks[[#This Row],[_LeafWork]]/(Tasks[[#This Row],[_FinishWorkday]]-Tasks[[#This Row],[_StartWorkday]]+1),0)</f>
        <v>0</v>
      </c>
      <c r="EB129" s="32" t="n">
        <f aca="false">Tasks[[#This Row],[_WorkPerWorkday]]*(Tasks[[#This Row],[_StartWorkday]]-1)</f>
        <v>-0</v>
      </c>
      <c r="EC129" s="32" t="n">
        <f aca="false">IF(Tasks[[#This Row],[_IsLeaf]]=1,MAX(N(Tasks[[#This Row],[Duration]]),0.1),0)</f>
        <v>0</v>
      </c>
      <c r="ED129" s="32" t="n">
        <f aca="false">Tasks[[#This Row],[_WeightDur]]*Tasks[[#This Row],[_LeafProgress]]</f>
        <v>0</v>
      </c>
      <c r="EE12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29" s="32" t="str">
        <f aca="false">IF(AND(Tasks[[#This Row],[_IsLeaf]]=1,N(Tasks[[#This Row],[Duration]])=0,Tasks[[#This Row],[_LeafProgress]]&lt;1),Tasks[[#This Row],[_ShownFcstFinish]]+Tasks[[#This Row],[_Row]]/100000,"")</f>
        <v/>
      </c>
      <c r="EG12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29" s="32" t="n">
        <f aca="false">IF(NOT(Tasks[[#This Row],[_IsLeaf]]=1),0,IF(Tasks[[#This Row],[Baseline Cost]]="",Tasks[[#This Row],[_LeafTotalCost]],N(Tasks[[#This Row],[Baseline Cost]])))</f>
        <v>0</v>
      </c>
      <c r="EI129" s="32" t="n">
        <f aca="false">Tasks[[#This Row],[_LeafBudget]]*Tasks[[#This Row],[_PlannedPct]]</f>
        <v>0</v>
      </c>
      <c r="EJ129" s="32" t="n">
        <f aca="false">Tasks[[#This Row],[_LeafBudget]]*Tasks[[#This Row],[_LeafProgress]]</f>
        <v>0</v>
      </c>
      <c r="EK129" s="32" t="n">
        <f aca="false">IF(NOT(Tasks[[#This Row],[_IsLeaf]]=1),0,IF(Tasks[[#This Row],[Actual Cost]]="",Tasks[[#This Row],[_LeafTotalCost]]*Tasks[[#This Row],[_LeafProgress]],N(Tasks[[#This Row],[Actual Cost]])))</f>
        <v>0</v>
      </c>
      <c r="EL129" s="32" t="str">
        <f aca="false">IF(Tasks[[#This Row],[Task Name]]="","",LEFT(Tasks[[#This Row],[WBS]],FIND(".",Tasks[[#This Row],[WBS]]&amp;".")-1))</f>
        <v/>
      </c>
      <c r="EM129" s="32" t="str">
        <f aca="false">IF(AND(Tasks[[#This Row],[Task Name]]&lt;&gt;"",Tasks[[#This Row],[_Level]]=1),Tasks[[#This Row],[_Row]],"")</f>
        <v/>
      </c>
      <c r="EN129" s="32" t="str">
        <f aca="false">IF(AND(Tasks[[#This Row],[_IsLeaf]]=1,N(Tasks[[#This Row],[Duration]])=0),Tasks[[#This Row],[Planned Finish]]+Tasks[[#This Row],[_Row]]/100000,"")</f>
        <v/>
      </c>
      <c r="EO129" s="32" t="str">
        <f aca="false">IF(AND(Tasks[[#This Row],[_IsLeaf]]=1,Tasks[[#This Row],[_LeafProgress]]&lt;1,OR(N(Tasks[[#This Row],[Finish Var]])&gt;0,Tasks[[#This Row],[Status]]="Late Start")),MAX(0,Tasks[[#This Row],[Finish Var]])+1-Tasks[[#This Row],[_Row]]/1000000,"")</f>
        <v/>
      </c>
      <c r="EP129" s="32" t="str">
        <f aca="false">IF(AND(Tasks[[#This Row],[_IsLeaf]]=1,N(Tasks[[#This Row],[Actual Start]])=0,Tasks[[#This Row],[_ShownFcstStart]]&gt;=StatusDate,Tasks[[#This Row],[_ShownFcstStart]]&lt;=LookaheadEnd),Tasks[[#This Row],[_ShownFcstStart]]+Tasks[[#This Row],[_Row]]/100000,"")</f>
        <v/>
      </c>
      <c r="EQ129" s="32" t="str">
        <f aca="false">IF(AND(Tasks[[#This Row],[_IsLeaf]]=1,Tasks[[#This Row],[_LeafProgress]]&lt;1,Tasks[[#This Row],[_ShownFcstFinish]]&gt;=StatusDate,Tasks[[#This Row],[_ShownFcstFinish]]&lt;=LookaheadEnd),Tasks[[#This Row],[_ShownFcstFinish]]+Tasks[[#This Row],[_Row]]/100000,"")</f>
        <v/>
      </c>
      <c r="ER129" s="32" t="str">
        <f aca="false">IF(Tasks[[#This Row],[_LeafCritical]],Tasks[[#This Row],[_ShownFcstStart]]+Tasks[[#This Row],[_Row]]/100000,"")</f>
        <v/>
      </c>
      <c r="ES129" s="32" t="n">
        <f aca="false">Tasks[[#This Row],[_LeafWork]]*Tasks[[#This Row],[_LeafProgress]]</f>
        <v>0</v>
      </c>
      <c r="ET129" s="115" t="str">
        <f aca="false">IF(AND(Tasks[[#This Row],[_IsLeaf]]=1,Tasks[[#This Row],[_LeafProgress]]&gt;=1),IF(N(Tasks[[#This Row],[Actual Finish]])&gt;0,Tasks[[#This Row],[Actual Finish]],Tasks[[#This Row],[_ShownFcstFinish]]),"")</f>
        <v/>
      </c>
      <c r="EU129" s="32" t="n">
        <f aca="false">IF(Tasks[[#This Row],[_IsLeaf]]=1,N(Tasks[[#This Row],[Story Points]]),0)</f>
        <v>0</v>
      </c>
      <c r="EV129" s="32" t="str">
        <f aca="false">IF(AND(Tasks[[#This Row],[_IsLeaf]]=1,CurrentSprint&lt;&gt;"",Tasks[[#This Row],[Sprint]]=CurrentSprint),Tasks[[#This Row],[_Row]],"")</f>
        <v/>
      </c>
    </row>
    <row r="130" customFormat="false" ht="15" hidden="false" customHeight="false" outlineLevel="0" collapsed="false">
      <c r="A130" s="45" t="str">
        <f aca="false">IF(Tasks[[#This Row],[Task Name]]="","",COUNTA(Tasks[[#Headers],[Task Name]]:Tasks[[#This Row],[Task Name]])-1)</f>
        <v/>
      </c>
      <c r="B130" s="46" t="n">
        <v>125</v>
      </c>
      <c r="C13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0" s="46"/>
      <c r="E130" s="45" t="str">
        <f aca="false">IF(Tasks[[#This Row],[Task Name]]="","",IF(Tasks[[#This Row],[_Level]]&lt;=OutlineShowLevel,"Yes","No"))</f>
        <v/>
      </c>
      <c r="F130" s="47"/>
      <c r="G130" s="46"/>
      <c r="H130" s="46"/>
      <c r="I130" s="46"/>
      <c r="J130" s="46"/>
      <c r="K130" s="46"/>
      <c r="L130" s="46"/>
      <c r="M130" s="46"/>
      <c r="N130" s="46"/>
      <c r="O130" s="46"/>
      <c r="P130" s="46"/>
      <c r="Q130" s="46"/>
      <c r="R130" s="46"/>
      <c r="S130" s="46"/>
      <c r="T130" s="46"/>
      <c r="U130" s="47"/>
      <c r="V130" s="88"/>
      <c r="W130" s="88"/>
      <c r="X130" s="25" t="str">
        <f aca="false">IF(Tasks[[#This Row],[Task Name]]="","",IF(N(Tasks[[#This Row],[Baseline Start]])&gt;0,Tasks[[#This Row],[Baseline Start]],Tasks[[#This Row],[_CalcStart]]))</f>
        <v/>
      </c>
      <c r="Y130" s="25" t="str">
        <f aca="false">IF(Tasks[[#This Row],[Task Name]]="","",IF(N(Tasks[[#This Row],[Baseline Finish]])&gt;0,Tasks[[#This Row],[Baseline Finish]],Tasks[[#This Row],[_CalcFinish]]))</f>
        <v/>
      </c>
      <c r="Z130" s="88"/>
      <c r="AA130" s="88"/>
      <c r="AB130" s="25" t="str">
        <f aca="false">IF(Tasks[[#This Row],[Task Name]]="","",IF(Tasks[[#This Row],[_IsSummary]],MIN(INDEX(Tasks[_ShownFcstStart],Tasks[[#This Row],[_Row]]+1):INDEX(Tasks[_ShownFcstStart],Tasks[[#This Row],[_Row]]+Tasks[[#This Row],[_Descendants]])),Tasks[[#This Row],[_ShownFcstStart]]))</f>
        <v/>
      </c>
      <c r="AC130" s="25" t="str">
        <f aca="false">IF(Tasks[[#This Row],[Task Name]]="","",IF(Tasks[[#This Row],[_IsSummary]],MAX(INDEX(Tasks[_ShownFcstFinish],Tasks[[#This Row],[_Row]]+1):INDEX(Tasks[_ShownFcstFinish],Tasks[[#This Row],[_Row]]+Tasks[[#This Row],[_Descendants]])),Tasks[[#This Row],[_ShownFcstFinish]]))</f>
        <v/>
      </c>
      <c r="AD13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0" s="25" t="str">
        <f aca="false">IF(Tasks[[#This Row],[Task Name]]="","",IF(Tasks[[#This Row],[_IsSummary]],MIN(INDEX(Tasks[_LeafLateStart],Tasks[[#This Row],[_Row]]+1):INDEX(Tasks[_LeafLateStart],Tasks[[#This Row],[_Row]]+Tasks[[#This Row],[_Descendants]])),Tasks[[#This Row],[_LeafLateStart]]))</f>
        <v/>
      </c>
      <c r="AG130" s="25" t="str">
        <f aca="false">IF(Tasks[[#This Row],[Task Name]]="","",IF(Tasks[[#This Row],[_IsSummary]],MAX(INDEX(Tasks[_LeafLateFinish],Tasks[[#This Row],[_Row]]+1):INDEX(Tasks[_LeafLateFinish],Tasks[[#This Row],[_Row]]+Tasks[[#This Row],[_Descendants]])),Tasks[[#This Row],[_LeafLateFinish]]))</f>
        <v/>
      </c>
      <c r="AH130" s="56" t="str">
        <f aca="false">IF(Tasks[[#This Row],[Task Name]]="","",IF(Tasks[[#This Row],[_IsSummary]],MIN(INDEX(Tasks[_LeafTotalSlack],Tasks[[#This Row],[_Row]]+1):INDEX(Tasks[_LeafTotalSlack],Tasks[[#This Row],[_Row]]+Tasks[[#This Row],[_Descendants]])),Tasks[[#This Row],[_LeafTotalSlack]]))</f>
        <v/>
      </c>
      <c r="AI13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0" s="45" t="str">
        <f aca="false">IF(Tasks[[#This Row],[Task Name]]="","",IF(IF(Tasks[[#This Row],[_IsSummary]],COUNTIF(INDEX(Tasks[_LeafCritical],Tasks[[#This Row],[_Row]]+1):INDEX(Tasks[_LeafCritical],Tasks[[#This Row],[_Row]]+Tasks[[#This Row],[_Descendants]]),TRUE())&gt;0,Tasks[[#This Row],[_LeafCritical]]),"Yes",""))</f>
        <v/>
      </c>
      <c r="AK13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0" s="102"/>
      <c r="AN13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0" s="45" t="str">
        <f aca="false">IF(Tasks[[#This Row],[Task Name]]="","",IF(Tasks[[#This Row],[Progress]]&gt;=1,"Complete",IF(OR(N(Tasks[[#This Row],[Actual Start]])&gt;0,Tasks[[#This Row],[Progress]]&gt;0),IF(Tasks[[#This Row],[Finish Var]]&gt;0,"Behind","In Progress"),IF(Tasks[[#This Row],[Planned Start]]&lt;StatusDate,"Late Start","Not Started"))))</f>
        <v/>
      </c>
      <c r="AP130" s="47"/>
      <c r="AQ130" s="102"/>
      <c r="AR13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0" s="110" t="str">
        <f aca="false">IF(Tasks[[#This Row],[Task Name]]="","",IF(Tasks[[#This Row],[_IsSummary]],SUM(INDEX(Tasks[_LeafTotalWork],Tasks[[#This Row],[_Row]]+1):INDEX(Tasks[_LeafTotalWork],Tasks[[#This Row],[_Row]]+Tasks[[#This Row],[_Descendants]])),Tasks[[#This Row],[_LeafTotalWork]]))</f>
        <v/>
      </c>
      <c r="AU130" s="111" t="str">
        <f aca="false">IF(Tasks[[#This Row],[Task Name]]="","",IF(Tasks[[#This Row],[_IsSummary]],SUM(INDEX(Tasks[_LeafTotalCost],Tasks[[#This Row],[_Row]]+1):INDEX(Tasks[_LeafTotalCost],Tasks[[#This Row],[_Row]]+Tasks[[#This Row],[_Descendants]])),Tasks[[#This Row],[_LeafTotalCost]]))</f>
        <v/>
      </c>
      <c r="AV130" s="112"/>
      <c r="AW130" s="46"/>
      <c r="AX13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0" s="96"/>
      <c r="AZ13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0" s="47"/>
      <c r="BB130" s="25" t="str">
        <f aca="false">IF(Tasks[[#This Row],[Task Name]]="","",Tasks[[#This Row],[Forecast Start]])</f>
        <v/>
      </c>
      <c r="BC130" s="25" t="str">
        <f aca="false">IF(Tasks[[#This Row],[Task Name]]="","",Tasks[[#This Row],[Forecast Finish]])</f>
        <v/>
      </c>
      <c r="BD130" s="45" t="str">
        <f aca="false">IF(Tasks[[#This Row],[Task Name]]="","",IF(Tasks[[#This Row],[_IsSummary]],NETWORKDAYS.INTL(Tasks[[#This Row],[Forecast Start]],Tasks[[#This Row],[Forecast Finish]],WorkWeek,Holidays),N(Tasks[[#This Row],[Duration]])))</f>
        <v/>
      </c>
      <c r="BE130" s="110" t="str">
        <f aca="false">IF(Tasks[[#This Row],[Task Name]]="","",Tasks[[#This Row],[Work]])</f>
        <v/>
      </c>
      <c r="BF130" s="111" t="str">
        <f aca="false">IF(Tasks[[#This Row],[Task Name]]="","",Tasks[[#This Row],[Cost]])</f>
        <v/>
      </c>
      <c r="BG130" s="88"/>
      <c r="BH130" s="88"/>
      <c r="BI130" s="46"/>
      <c r="BJ130" s="113"/>
      <c r="BK130" s="112"/>
      <c r="BL130" s="45" t="str">
        <f aca="false">IF(OR(Tasks[[#This Row],[Task Name]]="",Tasks[[#This Row],[Baseline Duration]]=""),"",Tasks[[#This Row],[BL Source Duration]]-N(Tasks[[#This Row],[Baseline Duration]]))</f>
        <v/>
      </c>
      <c r="BM130" s="110" t="str">
        <f aca="false">IF(OR(Tasks[[#This Row],[Task Name]]="",Tasks[[#This Row],[Baseline Work]]=""),"",Tasks[[#This Row],[Work]]-N(Tasks[[#This Row],[Baseline Work]]))</f>
        <v/>
      </c>
      <c r="BN130" s="111" t="str">
        <f aca="false">IF(OR(Tasks[[#This Row],[Task Name]]="",Tasks[[#This Row],[Baseline Cost]]=""),"",Tasks[[#This Row],[Cost]]-N(Tasks[[#This Row],[Baseline Cost]]))</f>
        <v/>
      </c>
      <c r="BO130" s="111" t="str">
        <f aca="false">IF(Tasks[[#This Row],[Task Name]]="","",IF(Tasks[[#This Row],[_IsSummary]],SUM(INDEX(Tasks[_LeafBudget],Tasks[[#This Row],[_Row]]+1):INDEX(Tasks[_LeafBudget],Tasks[[#This Row],[_Row]]+Tasks[[#This Row],[_Descendants]])),Tasks[[#This Row],[_LeafBudget]]))</f>
        <v/>
      </c>
      <c r="BP130" s="111" t="str">
        <f aca="false">IF(Tasks[[#This Row],[Task Name]]="","",IF(Tasks[[#This Row],[_IsSummary]],SUM(INDEX(Tasks[_LeafPV],Tasks[[#This Row],[_Row]]+1):INDEX(Tasks[_LeafPV],Tasks[[#This Row],[_Row]]+Tasks[[#This Row],[_Descendants]])),Tasks[[#This Row],[_LeafPV]]))</f>
        <v/>
      </c>
      <c r="BQ130" s="111" t="str">
        <f aca="false">IF(Tasks[[#This Row],[Task Name]]="","",IF(Tasks[[#This Row],[_IsSummary]],SUM(INDEX(Tasks[_LeafEV],Tasks[[#This Row],[_Row]]+1):INDEX(Tasks[_LeafEV],Tasks[[#This Row],[_Row]]+Tasks[[#This Row],[_Descendants]])),Tasks[[#This Row],[_LeafEV]]))</f>
        <v/>
      </c>
      <c r="BR130" s="111" t="str">
        <f aca="false">IF(Tasks[[#This Row],[Task Name]]="","",IF(Tasks[[#This Row],[_IsSummary]],SUM(INDEX(Tasks[_LeafAC],Tasks[[#This Row],[_Row]]+1):INDEX(Tasks[_LeafAC],Tasks[[#This Row],[_Row]]+Tasks[[#This Row],[_Descendants]])),Tasks[[#This Row],[_LeafAC]]))</f>
        <v/>
      </c>
      <c r="BS130" s="32" t="str">
        <f aca="false">IF(Tasks[[#This Row],[Task Name]]="","",MAX(1,N(Tasks[[#This Row],[Level]])))</f>
        <v/>
      </c>
      <c r="BT130" s="32" t="n">
        <f aca="false">ROW()-ROW(Tasks[[#Headers],[ID]])</f>
        <v>125</v>
      </c>
      <c r="BU130" s="32" t="n">
        <f aca="false">IF(OR(Tasks[[#This Row],[Task Name]]="",Tasks[[#This Row],[_Level]]&lt;=1),0,IFERROR(LOOKUP(2,1/(Tasks[[#Headers],[_Level]]:Tasks[[#This Row],[_Level]]=Tasks[[#This Row],[_Level]]-1),ROW(Tasks[[#Headers],[_Level]]:Tasks[[#This Row],[_Level]])),0))</f>
        <v>0</v>
      </c>
      <c r="BV130" s="32" t="n">
        <f aca="false">IFERROR(N(INDEX(Tasks[_Level],Tasks[[#This Row],[_Row]]+1)),0)</f>
        <v>0</v>
      </c>
      <c r="BW130" s="114" t="b">
        <f aca="false">AND(Tasks[[#This Row],[Task Name]]&lt;&gt;"",Tasks[[#This Row],[_NextLevel]]&gt;Tasks[[#This Row],[_Level]])</f>
        <v>0</v>
      </c>
      <c r="BX130" s="32" t="n">
        <f aca="false">IF(Tasks[[#This Row],[_IsSummary]],COUNTIF(Tasks[WBS],Tasks[[#This Row],[WBS]]&amp;".*"),0)</f>
        <v>0</v>
      </c>
      <c r="BY130" s="32" t="n">
        <f aca="false">IF(AND(Tasks[[#This Row],[Task Name]]&lt;&gt;"",NOT(Tasks[[#This Row],[_IsSummary]])),1,0)</f>
        <v>0</v>
      </c>
      <c r="BZ130" s="32" t="n">
        <f aca="false">IF(N(Tasks[[#This Row],[Pred1 UID]])=0,0,IFERROR(MATCH(Tasks[[#This Row],[Pred1 UID]],Tasks[UID],0),-1))</f>
        <v>0</v>
      </c>
      <c r="CA130" s="32" t="n">
        <f aca="false">IF(N(Tasks[[#This Row],[Pred2 UID]])=0,0,IFERROR(MATCH(Tasks[[#This Row],[Pred2 UID]],Tasks[UID],0),-1))</f>
        <v>0</v>
      </c>
      <c r="CB130" s="32" t="n">
        <f aca="false">IF(N(Tasks[[#This Row],[Pred3 UID]])=0,0,IFERROR(MATCH(Tasks[[#This Row],[Pred3 UID]],Tasks[UID],0),-1))</f>
        <v>0</v>
      </c>
      <c r="CC130" s="32" t="n">
        <f aca="false">IF(N(Tasks[[#This Row],[Pred4 UID]])=0,0,IFERROR(MATCH(Tasks[[#This Row],[Pred4 UID]],Tasks[UID],0),-1))</f>
        <v>0</v>
      </c>
      <c r="CD13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0" s="115" t="n">
        <f aca="false">IF(OR(Tasks[[#This Row],[_ConstraintCode]]=2,Tasks[[#This Row],[_ConstraintCode]]=3,Tasks[[#This Row],[_ConstraintCode]]=4,Tasks[[#This Row],[_ConstraintCode]]=6),Tasks[[#This Row],[_ConstraintStart]],0)</f>
        <v>0</v>
      </c>
      <c r="CG130" s="115" t="n">
        <f aca="false">IF(OR(Tasks[[#This Row],[_ConstraintCode]]=2,Tasks[[#This Row],[_ConstraintCode]]=3,Tasks[[#This Row],[_ConstraintCode]]=5,Tasks[[#This Row],[_ConstraintCode]]=7),Tasks[[#This Row],[_ConstraintStart]],2958465)</f>
        <v>2958465</v>
      </c>
      <c r="CH13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0" s="115" t="str">
        <f aca="false">IF(NOT(Tasks[[#This Row],[_IsLeaf]]=1),"",IF(N(Tasks[[#This Row],[Duration]])&lt;=0,Tasks[[#This Row],[_LeafCalcStart]],WORKDAY.INTL(Tasks[[#This Row],[_LeafCalcStart]],Tasks[[#This Row],[Duration]]-1,WorkWeek,Holidays)))</f>
        <v/>
      </c>
      <c r="CJ13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0" s="32" t="n">
        <f aca="false">IF(NOT(Tasks[[#This Row],[_IsLeaf]]=1),0,IF(N(Tasks[[#This Row],[Actual Finish]])&gt;0,1,MIN(1,N(Tasks[[#This Row],[% Complete]]))))</f>
        <v>0</v>
      </c>
      <c r="CM130" s="32" t="n">
        <f aca="false">IF(OR(NOT(Tasks[[#This Row],[_IsLeaf]]=1),Tasks[[#This Row],[Resource]]=""),0,N(Tasks[[#This Row],[Duration]])*HoursPerDay*IF(Tasks[[#This Row],[Units]]="",DefaultUnits,Tasks[[#This Row],[Units]]))</f>
        <v>0</v>
      </c>
      <c r="CN130" s="32" t="n">
        <f aca="false">IF(Tasks[[#This Row],[_LeafWork]]=0,0,Tasks[[#This Row],[_LeafWork]]*IFERROR(INDEX(res_Rate,MATCH(Tasks[[#This Row],[Resource]],res_Name,0)),0))</f>
        <v>0</v>
      </c>
      <c r="CO130" s="32" t="n">
        <f aca="false">Tasks[[#This Row],[_LeafWork]]+IF(Tasks[[#This Row],[_IsLeaf]]=1,SUMIFS(asg_Work,asg_TaskUID,Tasks[[#This Row],[UID]],asg_Valid,1),0)</f>
        <v>0</v>
      </c>
      <c r="CP130" s="32" t="n">
        <f aca="false">Tasks[[#This Row],[_LeafCost]]+IF(Tasks[[#This Row],[_IsLeaf]]=1,SUMIFS(asg_Cost,asg_TaskUID,Tasks[[#This Row],[UID]],asg_Valid,1),0)</f>
        <v>0</v>
      </c>
      <c r="CQ130" s="32" t="n">
        <f aca="false">IF(Tasks[[#This Row],[_LeafTotalCost]]=0,Tasks[[#This Row],[_LeafAC]],Tasks[[#This Row],[_LeafAC]]*Tasks[[#This Row],[_LeafCost]]/Tasks[[#This Row],[_LeafTotalCost]])</f>
        <v>0</v>
      </c>
      <c r="CR13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0" s="32" t="n">
        <f aca="false">IF(NOT(Tasks[[#This Row],[_IsLeaf]]=1),0,MAX(_xlfn.MAXIFS(Tasks[_Row],Tasks[Pred1 UID],Tasks[[#This Row],[UID]]),_xlfn.MAXIFS(Tasks[_Row],Tasks[Pred2 UID],Tasks[[#This Row],[UID]]),_xlfn.MAXIFS(Tasks[_Row],Tasks[Pred3 UID],Tasks[[#This Row],[UID]]),_xlfn.MAXIFS(Tasks[_Row],Tasks[Pred4 UID],Tasks[[#This Row],[UID]])))</f>
        <v>0</v>
      </c>
      <c r="DA13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0" s="115" t="str">
        <f aca="false">IF(NOT(Tasks[[#This Row],[_IsLeaf]]=1),"",IF(N(Tasks[[#This Row],[Duration]])&lt;=0,Tasks[[#This Row],[_LeafLateFinish]],WORKDAY.INTL(Tasks[[#This Row],[_LeafLateFinish]],-(Tasks[[#This Row],[Duration]]-1),WorkWeek,Holidays)))</f>
        <v/>
      </c>
      <c r="DD13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0" s="114" t="b">
        <f aca="false">AND(Tasks[[#This Row],[_IsLeaf]]=1,Tasks[[#This Row],[_LeafProgress]]&lt;1,N(Tasks[[#This Row],[_LeafTotalSlack]])&lt;=CriticalSlackDays)</f>
        <v>0</v>
      </c>
      <c r="DF130" s="32" t="n">
        <f aca="false">IF(AND(Tasks[[#This Row],[_IsLeaf]]=1,Tasks[[#This Row],[_ConstraintCode]]=1,Tasks[[#This Row],[Mode]]&lt;&gt;"Manual",N(Tasks[[#This Row],[Actual Start]])=0),MAX(0,N(Tasks[[#This Row],[Free Slack]])),0)</f>
        <v>0</v>
      </c>
      <c r="DG130" s="115" t="str">
        <f aca="false">IF(NOT(Tasks[[#This Row],[_IsLeaf]]=1),"",IF(Tasks[[#This Row],[_AlapShift]]=0,Tasks[[#This Row],[_LeafCalcStart]],WORKDAY.INTL(Tasks[[#This Row],[_LeafCalcStart]],Tasks[[#This Row],[_AlapShift]],WorkWeek,Holidays)))</f>
        <v/>
      </c>
      <c r="DH130" s="115" t="str">
        <f aca="false">IF(NOT(Tasks[[#This Row],[_IsLeaf]]=1),"",IF(Tasks[[#This Row],[_AlapShift]]=0,Tasks[[#This Row],[_LeafCalcFinish]],WORKDAY.INTL(Tasks[[#This Row],[_LeafCalcFinish]],Tasks[[#This Row],[_AlapShift]],WorkWeek,Holidays)))</f>
        <v/>
      </c>
      <c r="DI130" s="115" t="str">
        <f aca="false">IF(NOT(Tasks[[#This Row],[_IsLeaf]]=1),"",IF(Tasks[[#This Row],[_AlapShift]]=0,Tasks[[#This Row],[_LeafFcstStart]],WORKDAY.INTL(Tasks[[#This Row],[_LeafFcstStart]],Tasks[[#This Row],[_AlapShift]],WorkWeek,Holidays)))</f>
        <v/>
      </c>
      <c r="DJ130" s="115" t="str">
        <f aca="false">IF(NOT(Tasks[[#This Row],[_IsLeaf]]=1),"",IF(Tasks[[#This Row],[_AlapShift]]=0,Tasks[[#This Row],[_LeafFcstFinish]],WORKDAY.INTL(Tasks[[#This Row],[_LeafFcstFinish]],Tasks[[#This Row],[_AlapShift]],WorkWeek,Holidays)))</f>
        <v/>
      </c>
      <c r="DK130" s="115" t="str">
        <f aca="false">IF(Tasks[[#This Row],[Task Name]]="","",IF(Tasks[[#This Row],[_IsSummary]],MIN(INDEX(Tasks[_ShownCalcStart],Tasks[[#This Row],[_Row]]+1):INDEX(Tasks[_ShownCalcStart],Tasks[[#This Row],[_Row]]+Tasks[[#This Row],[_Descendants]])),Tasks[[#This Row],[_ShownCalcStart]]))</f>
        <v/>
      </c>
      <c r="DL130" s="115" t="str">
        <f aca="false">IF(Tasks[[#This Row],[Task Name]]="","",IF(Tasks[[#This Row],[_IsSummary]],MAX(INDEX(Tasks[_ShownCalcFinish],Tasks[[#This Row],[_Row]]+1):INDEX(Tasks[_ShownCalcFinish],Tasks[[#This Row],[_Row]]+Tasks[[#This Row],[_Descendants]])),Tasks[[#This Row],[_ShownCalcFinish]]))</f>
        <v/>
      </c>
      <c r="DM13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0" s="32" t="n">
        <f aca="false">IF(AND(Tasks[[#This Row],[_IsLeaf]]=1,Tasks[[#This Row],[_LeafTotalWork]]&gt;0),NETWORKDAYS.INTL(ProjectStart,Tasks[[#This Row],[_ShownFcstStart]],WorkWeek,Holidays),0)</f>
        <v>0</v>
      </c>
      <c r="DZ130" s="32" t="n">
        <f aca="false">IF(AND(Tasks[[#This Row],[_IsLeaf]]=1,Tasks[[#This Row],[_LeafTotalWork]]&gt;0),MAX(Tasks[[#This Row],[_StartWorkday]],NETWORKDAYS.INTL(ProjectStart,Tasks[[#This Row],[_ShownFcstFinish]],WorkWeek,Holidays)),0)</f>
        <v>0</v>
      </c>
      <c r="EA130" s="32" t="n">
        <f aca="false">IF(AND(Tasks[[#This Row],[_IsLeaf]]=1,Tasks[[#This Row],[_LeafTotalWork]]&gt;0),Tasks[[#This Row],[_LeafWork]]/(Tasks[[#This Row],[_FinishWorkday]]-Tasks[[#This Row],[_StartWorkday]]+1),0)</f>
        <v>0</v>
      </c>
      <c r="EB130" s="32" t="n">
        <f aca="false">Tasks[[#This Row],[_WorkPerWorkday]]*(Tasks[[#This Row],[_StartWorkday]]-1)</f>
        <v>-0</v>
      </c>
      <c r="EC130" s="32" t="n">
        <f aca="false">IF(Tasks[[#This Row],[_IsLeaf]]=1,MAX(N(Tasks[[#This Row],[Duration]]),0.1),0)</f>
        <v>0</v>
      </c>
      <c r="ED130" s="32" t="n">
        <f aca="false">Tasks[[#This Row],[_WeightDur]]*Tasks[[#This Row],[_LeafProgress]]</f>
        <v>0</v>
      </c>
      <c r="EE13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0" s="32" t="str">
        <f aca="false">IF(AND(Tasks[[#This Row],[_IsLeaf]]=1,N(Tasks[[#This Row],[Duration]])=0,Tasks[[#This Row],[_LeafProgress]]&lt;1),Tasks[[#This Row],[_ShownFcstFinish]]+Tasks[[#This Row],[_Row]]/100000,"")</f>
        <v/>
      </c>
      <c r="EG13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0" s="32" t="n">
        <f aca="false">IF(NOT(Tasks[[#This Row],[_IsLeaf]]=1),0,IF(Tasks[[#This Row],[Baseline Cost]]="",Tasks[[#This Row],[_LeafTotalCost]],N(Tasks[[#This Row],[Baseline Cost]])))</f>
        <v>0</v>
      </c>
      <c r="EI130" s="32" t="n">
        <f aca="false">Tasks[[#This Row],[_LeafBudget]]*Tasks[[#This Row],[_PlannedPct]]</f>
        <v>0</v>
      </c>
      <c r="EJ130" s="32" t="n">
        <f aca="false">Tasks[[#This Row],[_LeafBudget]]*Tasks[[#This Row],[_LeafProgress]]</f>
        <v>0</v>
      </c>
      <c r="EK130" s="32" t="n">
        <f aca="false">IF(NOT(Tasks[[#This Row],[_IsLeaf]]=1),0,IF(Tasks[[#This Row],[Actual Cost]]="",Tasks[[#This Row],[_LeafTotalCost]]*Tasks[[#This Row],[_LeafProgress]],N(Tasks[[#This Row],[Actual Cost]])))</f>
        <v>0</v>
      </c>
      <c r="EL130" s="32" t="str">
        <f aca="false">IF(Tasks[[#This Row],[Task Name]]="","",LEFT(Tasks[[#This Row],[WBS]],FIND(".",Tasks[[#This Row],[WBS]]&amp;".")-1))</f>
        <v/>
      </c>
      <c r="EM130" s="32" t="str">
        <f aca="false">IF(AND(Tasks[[#This Row],[Task Name]]&lt;&gt;"",Tasks[[#This Row],[_Level]]=1),Tasks[[#This Row],[_Row]],"")</f>
        <v/>
      </c>
      <c r="EN130" s="32" t="str">
        <f aca="false">IF(AND(Tasks[[#This Row],[_IsLeaf]]=1,N(Tasks[[#This Row],[Duration]])=0),Tasks[[#This Row],[Planned Finish]]+Tasks[[#This Row],[_Row]]/100000,"")</f>
        <v/>
      </c>
      <c r="EO130" s="32" t="str">
        <f aca="false">IF(AND(Tasks[[#This Row],[_IsLeaf]]=1,Tasks[[#This Row],[_LeafProgress]]&lt;1,OR(N(Tasks[[#This Row],[Finish Var]])&gt;0,Tasks[[#This Row],[Status]]="Late Start")),MAX(0,Tasks[[#This Row],[Finish Var]])+1-Tasks[[#This Row],[_Row]]/1000000,"")</f>
        <v/>
      </c>
      <c r="EP130" s="32" t="str">
        <f aca="false">IF(AND(Tasks[[#This Row],[_IsLeaf]]=1,N(Tasks[[#This Row],[Actual Start]])=0,Tasks[[#This Row],[_ShownFcstStart]]&gt;=StatusDate,Tasks[[#This Row],[_ShownFcstStart]]&lt;=LookaheadEnd),Tasks[[#This Row],[_ShownFcstStart]]+Tasks[[#This Row],[_Row]]/100000,"")</f>
        <v/>
      </c>
      <c r="EQ130" s="32" t="str">
        <f aca="false">IF(AND(Tasks[[#This Row],[_IsLeaf]]=1,Tasks[[#This Row],[_LeafProgress]]&lt;1,Tasks[[#This Row],[_ShownFcstFinish]]&gt;=StatusDate,Tasks[[#This Row],[_ShownFcstFinish]]&lt;=LookaheadEnd),Tasks[[#This Row],[_ShownFcstFinish]]+Tasks[[#This Row],[_Row]]/100000,"")</f>
        <v/>
      </c>
      <c r="ER130" s="32" t="str">
        <f aca="false">IF(Tasks[[#This Row],[_LeafCritical]],Tasks[[#This Row],[_ShownFcstStart]]+Tasks[[#This Row],[_Row]]/100000,"")</f>
        <v/>
      </c>
      <c r="ES130" s="32" t="n">
        <f aca="false">Tasks[[#This Row],[_LeafWork]]*Tasks[[#This Row],[_LeafProgress]]</f>
        <v>0</v>
      </c>
      <c r="ET130" s="115" t="str">
        <f aca="false">IF(AND(Tasks[[#This Row],[_IsLeaf]]=1,Tasks[[#This Row],[_LeafProgress]]&gt;=1),IF(N(Tasks[[#This Row],[Actual Finish]])&gt;0,Tasks[[#This Row],[Actual Finish]],Tasks[[#This Row],[_ShownFcstFinish]]),"")</f>
        <v/>
      </c>
      <c r="EU130" s="32" t="n">
        <f aca="false">IF(Tasks[[#This Row],[_IsLeaf]]=1,N(Tasks[[#This Row],[Story Points]]),0)</f>
        <v>0</v>
      </c>
      <c r="EV130" s="32" t="str">
        <f aca="false">IF(AND(Tasks[[#This Row],[_IsLeaf]]=1,CurrentSprint&lt;&gt;"",Tasks[[#This Row],[Sprint]]=CurrentSprint),Tasks[[#This Row],[_Row]],"")</f>
        <v/>
      </c>
    </row>
    <row r="131" customFormat="false" ht="15" hidden="false" customHeight="false" outlineLevel="0" collapsed="false">
      <c r="A131" s="45" t="str">
        <f aca="false">IF(Tasks[[#This Row],[Task Name]]="","",COUNTA(Tasks[[#Headers],[Task Name]]:Tasks[[#This Row],[Task Name]])-1)</f>
        <v/>
      </c>
      <c r="B131" s="46" t="n">
        <v>126</v>
      </c>
      <c r="C13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1" s="46"/>
      <c r="E131" s="45" t="str">
        <f aca="false">IF(Tasks[[#This Row],[Task Name]]="","",IF(Tasks[[#This Row],[_Level]]&lt;=OutlineShowLevel,"Yes","No"))</f>
        <v/>
      </c>
      <c r="F131" s="47"/>
      <c r="G131" s="46"/>
      <c r="H131" s="46"/>
      <c r="I131" s="46"/>
      <c r="J131" s="46"/>
      <c r="K131" s="46"/>
      <c r="L131" s="46"/>
      <c r="M131" s="46"/>
      <c r="N131" s="46"/>
      <c r="O131" s="46"/>
      <c r="P131" s="46"/>
      <c r="Q131" s="46"/>
      <c r="R131" s="46"/>
      <c r="S131" s="46"/>
      <c r="T131" s="46"/>
      <c r="U131" s="47"/>
      <c r="V131" s="88"/>
      <c r="W131" s="88"/>
      <c r="X131" s="25" t="str">
        <f aca="false">IF(Tasks[[#This Row],[Task Name]]="","",IF(N(Tasks[[#This Row],[Baseline Start]])&gt;0,Tasks[[#This Row],[Baseline Start]],Tasks[[#This Row],[_CalcStart]]))</f>
        <v/>
      </c>
      <c r="Y131" s="25" t="str">
        <f aca="false">IF(Tasks[[#This Row],[Task Name]]="","",IF(N(Tasks[[#This Row],[Baseline Finish]])&gt;0,Tasks[[#This Row],[Baseline Finish]],Tasks[[#This Row],[_CalcFinish]]))</f>
        <v/>
      </c>
      <c r="Z131" s="88"/>
      <c r="AA131" s="88"/>
      <c r="AB131" s="25" t="str">
        <f aca="false">IF(Tasks[[#This Row],[Task Name]]="","",IF(Tasks[[#This Row],[_IsSummary]],MIN(INDEX(Tasks[_ShownFcstStart],Tasks[[#This Row],[_Row]]+1):INDEX(Tasks[_ShownFcstStart],Tasks[[#This Row],[_Row]]+Tasks[[#This Row],[_Descendants]])),Tasks[[#This Row],[_ShownFcstStart]]))</f>
        <v/>
      </c>
      <c r="AC131" s="25" t="str">
        <f aca="false">IF(Tasks[[#This Row],[Task Name]]="","",IF(Tasks[[#This Row],[_IsSummary]],MAX(INDEX(Tasks[_ShownFcstFinish],Tasks[[#This Row],[_Row]]+1):INDEX(Tasks[_ShownFcstFinish],Tasks[[#This Row],[_Row]]+Tasks[[#This Row],[_Descendants]])),Tasks[[#This Row],[_ShownFcstFinish]]))</f>
        <v/>
      </c>
      <c r="AD13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1" s="25" t="str">
        <f aca="false">IF(Tasks[[#This Row],[Task Name]]="","",IF(Tasks[[#This Row],[_IsSummary]],MIN(INDEX(Tasks[_LeafLateStart],Tasks[[#This Row],[_Row]]+1):INDEX(Tasks[_LeafLateStart],Tasks[[#This Row],[_Row]]+Tasks[[#This Row],[_Descendants]])),Tasks[[#This Row],[_LeafLateStart]]))</f>
        <v/>
      </c>
      <c r="AG131" s="25" t="str">
        <f aca="false">IF(Tasks[[#This Row],[Task Name]]="","",IF(Tasks[[#This Row],[_IsSummary]],MAX(INDEX(Tasks[_LeafLateFinish],Tasks[[#This Row],[_Row]]+1):INDEX(Tasks[_LeafLateFinish],Tasks[[#This Row],[_Row]]+Tasks[[#This Row],[_Descendants]])),Tasks[[#This Row],[_LeafLateFinish]]))</f>
        <v/>
      </c>
      <c r="AH131" s="56" t="str">
        <f aca="false">IF(Tasks[[#This Row],[Task Name]]="","",IF(Tasks[[#This Row],[_IsSummary]],MIN(INDEX(Tasks[_LeafTotalSlack],Tasks[[#This Row],[_Row]]+1):INDEX(Tasks[_LeafTotalSlack],Tasks[[#This Row],[_Row]]+Tasks[[#This Row],[_Descendants]])),Tasks[[#This Row],[_LeafTotalSlack]]))</f>
        <v/>
      </c>
      <c r="AI13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1" s="45" t="str">
        <f aca="false">IF(Tasks[[#This Row],[Task Name]]="","",IF(IF(Tasks[[#This Row],[_IsSummary]],COUNTIF(INDEX(Tasks[_LeafCritical],Tasks[[#This Row],[_Row]]+1):INDEX(Tasks[_LeafCritical],Tasks[[#This Row],[_Row]]+Tasks[[#This Row],[_Descendants]]),TRUE())&gt;0,Tasks[[#This Row],[_LeafCritical]]),"Yes",""))</f>
        <v/>
      </c>
      <c r="AK13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1" s="102"/>
      <c r="AN13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1" s="45" t="str">
        <f aca="false">IF(Tasks[[#This Row],[Task Name]]="","",IF(Tasks[[#This Row],[Progress]]&gt;=1,"Complete",IF(OR(N(Tasks[[#This Row],[Actual Start]])&gt;0,Tasks[[#This Row],[Progress]]&gt;0),IF(Tasks[[#This Row],[Finish Var]]&gt;0,"Behind","In Progress"),IF(Tasks[[#This Row],[Planned Start]]&lt;StatusDate,"Late Start","Not Started"))))</f>
        <v/>
      </c>
      <c r="AP131" s="47"/>
      <c r="AQ131" s="102"/>
      <c r="AR13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1" s="110" t="str">
        <f aca="false">IF(Tasks[[#This Row],[Task Name]]="","",IF(Tasks[[#This Row],[_IsSummary]],SUM(INDEX(Tasks[_LeafTotalWork],Tasks[[#This Row],[_Row]]+1):INDEX(Tasks[_LeafTotalWork],Tasks[[#This Row],[_Row]]+Tasks[[#This Row],[_Descendants]])),Tasks[[#This Row],[_LeafTotalWork]]))</f>
        <v/>
      </c>
      <c r="AU131" s="111" t="str">
        <f aca="false">IF(Tasks[[#This Row],[Task Name]]="","",IF(Tasks[[#This Row],[_IsSummary]],SUM(INDEX(Tasks[_LeafTotalCost],Tasks[[#This Row],[_Row]]+1):INDEX(Tasks[_LeafTotalCost],Tasks[[#This Row],[_Row]]+Tasks[[#This Row],[_Descendants]])),Tasks[[#This Row],[_LeafTotalCost]]))</f>
        <v/>
      </c>
      <c r="AV131" s="112"/>
      <c r="AW131" s="46"/>
      <c r="AX13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1" s="96"/>
      <c r="AZ13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1" s="47"/>
      <c r="BB131" s="25" t="str">
        <f aca="false">IF(Tasks[[#This Row],[Task Name]]="","",Tasks[[#This Row],[Forecast Start]])</f>
        <v/>
      </c>
      <c r="BC131" s="25" t="str">
        <f aca="false">IF(Tasks[[#This Row],[Task Name]]="","",Tasks[[#This Row],[Forecast Finish]])</f>
        <v/>
      </c>
      <c r="BD131" s="45" t="str">
        <f aca="false">IF(Tasks[[#This Row],[Task Name]]="","",IF(Tasks[[#This Row],[_IsSummary]],NETWORKDAYS.INTL(Tasks[[#This Row],[Forecast Start]],Tasks[[#This Row],[Forecast Finish]],WorkWeek,Holidays),N(Tasks[[#This Row],[Duration]])))</f>
        <v/>
      </c>
      <c r="BE131" s="110" t="str">
        <f aca="false">IF(Tasks[[#This Row],[Task Name]]="","",Tasks[[#This Row],[Work]])</f>
        <v/>
      </c>
      <c r="BF131" s="111" t="str">
        <f aca="false">IF(Tasks[[#This Row],[Task Name]]="","",Tasks[[#This Row],[Cost]])</f>
        <v/>
      </c>
      <c r="BG131" s="88"/>
      <c r="BH131" s="88"/>
      <c r="BI131" s="46"/>
      <c r="BJ131" s="113"/>
      <c r="BK131" s="112"/>
      <c r="BL131" s="45" t="str">
        <f aca="false">IF(OR(Tasks[[#This Row],[Task Name]]="",Tasks[[#This Row],[Baseline Duration]]=""),"",Tasks[[#This Row],[BL Source Duration]]-N(Tasks[[#This Row],[Baseline Duration]]))</f>
        <v/>
      </c>
      <c r="BM131" s="110" t="str">
        <f aca="false">IF(OR(Tasks[[#This Row],[Task Name]]="",Tasks[[#This Row],[Baseline Work]]=""),"",Tasks[[#This Row],[Work]]-N(Tasks[[#This Row],[Baseline Work]]))</f>
        <v/>
      </c>
      <c r="BN131" s="111" t="str">
        <f aca="false">IF(OR(Tasks[[#This Row],[Task Name]]="",Tasks[[#This Row],[Baseline Cost]]=""),"",Tasks[[#This Row],[Cost]]-N(Tasks[[#This Row],[Baseline Cost]]))</f>
        <v/>
      </c>
      <c r="BO131" s="111" t="str">
        <f aca="false">IF(Tasks[[#This Row],[Task Name]]="","",IF(Tasks[[#This Row],[_IsSummary]],SUM(INDEX(Tasks[_LeafBudget],Tasks[[#This Row],[_Row]]+1):INDEX(Tasks[_LeafBudget],Tasks[[#This Row],[_Row]]+Tasks[[#This Row],[_Descendants]])),Tasks[[#This Row],[_LeafBudget]]))</f>
        <v/>
      </c>
      <c r="BP131" s="111" t="str">
        <f aca="false">IF(Tasks[[#This Row],[Task Name]]="","",IF(Tasks[[#This Row],[_IsSummary]],SUM(INDEX(Tasks[_LeafPV],Tasks[[#This Row],[_Row]]+1):INDEX(Tasks[_LeafPV],Tasks[[#This Row],[_Row]]+Tasks[[#This Row],[_Descendants]])),Tasks[[#This Row],[_LeafPV]]))</f>
        <v/>
      </c>
      <c r="BQ131" s="111" t="str">
        <f aca="false">IF(Tasks[[#This Row],[Task Name]]="","",IF(Tasks[[#This Row],[_IsSummary]],SUM(INDEX(Tasks[_LeafEV],Tasks[[#This Row],[_Row]]+1):INDEX(Tasks[_LeafEV],Tasks[[#This Row],[_Row]]+Tasks[[#This Row],[_Descendants]])),Tasks[[#This Row],[_LeafEV]]))</f>
        <v/>
      </c>
      <c r="BR131" s="111" t="str">
        <f aca="false">IF(Tasks[[#This Row],[Task Name]]="","",IF(Tasks[[#This Row],[_IsSummary]],SUM(INDEX(Tasks[_LeafAC],Tasks[[#This Row],[_Row]]+1):INDEX(Tasks[_LeafAC],Tasks[[#This Row],[_Row]]+Tasks[[#This Row],[_Descendants]])),Tasks[[#This Row],[_LeafAC]]))</f>
        <v/>
      </c>
      <c r="BS131" s="32" t="str">
        <f aca="false">IF(Tasks[[#This Row],[Task Name]]="","",MAX(1,N(Tasks[[#This Row],[Level]])))</f>
        <v/>
      </c>
      <c r="BT131" s="32" t="n">
        <f aca="false">ROW()-ROW(Tasks[[#Headers],[ID]])</f>
        <v>126</v>
      </c>
      <c r="BU131" s="32" t="n">
        <f aca="false">IF(OR(Tasks[[#This Row],[Task Name]]="",Tasks[[#This Row],[_Level]]&lt;=1),0,IFERROR(LOOKUP(2,1/(Tasks[[#Headers],[_Level]]:Tasks[[#This Row],[_Level]]=Tasks[[#This Row],[_Level]]-1),ROW(Tasks[[#Headers],[_Level]]:Tasks[[#This Row],[_Level]])),0))</f>
        <v>0</v>
      </c>
      <c r="BV131" s="32" t="n">
        <f aca="false">IFERROR(N(INDEX(Tasks[_Level],Tasks[[#This Row],[_Row]]+1)),0)</f>
        <v>0</v>
      </c>
      <c r="BW131" s="114" t="b">
        <f aca="false">AND(Tasks[[#This Row],[Task Name]]&lt;&gt;"",Tasks[[#This Row],[_NextLevel]]&gt;Tasks[[#This Row],[_Level]])</f>
        <v>0</v>
      </c>
      <c r="BX131" s="32" t="n">
        <f aca="false">IF(Tasks[[#This Row],[_IsSummary]],COUNTIF(Tasks[WBS],Tasks[[#This Row],[WBS]]&amp;".*"),0)</f>
        <v>0</v>
      </c>
      <c r="BY131" s="32" t="n">
        <f aca="false">IF(AND(Tasks[[#This Row],[Task Name]]&lt;&gt;"",NOT(Tasks[[#This Row],[_IsSummary]])),1,0)</f>
        <v>0</v>
      </c>
      <c r="BZ131" s="32" t="n">
        <f aca="false">IF(N(Tasks[[#This Row],[Pred1 UID]])=0,0,IFERROR(MATCH(Tasks[[#This Row],[Pred1 UID]],Tasks[UID],0),-1))</f>
        <v>0</v>
      </c>
      <c r="CA131" s="32" t="n">
        <f aca="false">IF(N(Tasks[[#This Row],[Pred2 UID]])=0,0,IFERROR(MATCH(Tasks[[#This Row],[Pred2 UID]],Tasks[UID],0),-1))</f>
        <v>0</v>
      </c>
      <c r="CB131" s="32" t="n">
        <f aca="false">IF(N(Tasks[[#This Row],[Pred3 UID]])=0,0,IFERROR(MATCH(Tasks[[#This Row],[Pred3 UID]],Tasks[UID],0),-1))</f>
        <v>0</v>
      </c>
      <c r="CC131" s="32" t="n">
        <f aca="false">IF(N(Tasks[[#This Row],[Pred4 UID]])=0,0,IFERROR(MATCH(Tasks[[#This Row],[Pred4 UID]],Tasks[UID],0),-1))</f>
        <v>0</v>
      </c>
      <c r="CD13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1" s="115" t="n">
        <f aca="false">IF(OR(Tasks[[#This Row],[_ConstraintCode]]=2,Tasks[[#This Row],[_ConstraintCode]]=3,Tasks[[#This Row],[_ConstraintCode]]=4,Tasks[[#This Row],[_ConstraintCode]]=6),Tasks[[#This Row],[_ConstraintStart]],0)</f>
        <v>0</v>
      </c>
      <c r="CG131" s="115" t="n">
        <f aca="false">IF(OR(Tasks[[#This Row],[_ConstraintCode]]=2,Tasks[[#This Row],[_ConstraintCode]]=3,Tasks[[#This Row],[_ConstraintCode]]=5,Tasks[[#This Row],[_ConstraintCode]]=7),Tasks[[#This Row],[_ConstraintStart]],2958465)</f>
        <v>2958465</v>
      </c>
      <c r="CH13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1" s="115" t="str">
        <f aca="false">IF(NOT(Tasks[[#This Row],[_IsLeaf]]=1),"",IF(N(Tasks[[#This Row],[Duration]])&lt;=0,Tasks[[#This Row],[_LeafCalcStart]],WORKDAY.INTL(Tasks[[#This Row],[_LeafCalcStart]],Tasks[[#This Row],[Duration]]-1,WorkWeek,Holidays)))</f>
        <v/>
      </c>
      <c r="CJ13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1" s="32" t="n">
        <f aca="false">IF(NOT(Tasks[[#This Row],[_IsLeaf]]=1),0,IF(N(Tasks[[#This Row],[Actual Finish]])&gt;0,1,MIN(1,N(Tasks[[#This Row],[% Complete]]))))</f>
        <v>0</v>
      </c>
      <c r="CM131" s="32" t="n">
        <f aca="false">IF(OR(NOT(Tasks[[#This Row],[_IsLeaf]]=1),Tasks[[#This Row],[Resource]]=""),0,N(Tasks[[#This Row],[Duration]])*HoursPerDay*IF(Tasks[[#This Row],[Units]]="",DefaultUnits,Tasks[[#This Row],[Units]]))</f>
        <v>0</v>
      </c>
      <c r="CN131" s="32" t="n">
        <f aca="false">IF(Tasks[[#This Row],[_LeafWork]]=0,0,Tasks[[#This Row],[_LeafWork]]*IFERROR(INDEX(res_Rate,MATCH(Tasks[[#This Row],[Resource]],res_Name,0)),0))</f>
        <v>0</v>
      </c>
      <c r="CO131" s="32" t="n">
        <f aca="false">Tasks[[#This Row],[_LeafWork]]+IF(Tasks[[#This Row],[_IsLeaf]]=1,SUMIFS(asg_Work,asg_TaskUID,Tasks[[#This Row],[UID]],asg_Valid,1),0)</f>
        <v>0</v>
      </c>
      <c r="CP131" s="32" t="n">
        <f aca="false">Tasks[[#This Row],[_LeafCost]]+IF(Tasks[[#This Row],[_IsLeaf]]=1,SUMIFS(asg_Cost,asg_TaskUID,Tasks[[#This Row],[UID]],asg_Valid,1),0)</f>
        <v>0</v>
      </c>
      <c r="CQ131" s="32" t="n">
        <f aca="false">IF(Tasks[[#This Row],[_LeafTotalCost]]=0,Tasks[[#This Row],[_LeafAC]],Tasks[[#This Row],[_LeafAC]]*Tasks[[#This Row],[_LeafCost]]/Tasks[[#This Row],[_LeafTotalCost]])</f>
        <v>0</v>
      </c>
      <c r="CR13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1" s="32" t="n">
        <f aca="false">IF(NOT(Tasks[[#This Row],[_IsLeaf]]=1),0,MAX(_xlfn.MAXIFS(Tasks[_Row],Tasks[Pred1 UID],Tasks[[#This Row],[UID]]),_xlfn.MAXIFS(Tasks[_Row],Tasks[Pred2 UID],Tasks[[#This Row],[UID]]),_xlfn.MAXIFS(Tasks[_Row],Tasks[Pred3 UID],Tasks[[#This Row],[UID]]),_xlfn.MAXIFS(Tasks[_Row],Tasks[Pred4 UID],Tasks[[#This Row],[UID]])))</f>
        <v>0</v>
      </c>
      <c r="DA13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1" s="115" t="str">
        <f aca="false">IF(NOT(Tasks[[#This Row],[_IsLeaf]]=1),"",IF(N(Tasks[[#This Row],[Duration]])&lt;=0,Tasks[[#This Row],[_LeafLateFinish]],WORKDAY.INTL(Tasks[[#This Row],[_LeafLateFinish]],-(Tasks[[#This Row],[Duration]]-1),WorkWeek,Holidays)))</f>
        <v/>
      </c>
      <c r="DD13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1" s="114" t="b">
        <f aca="false">AND(Tasks[[#This Row],[_IsLeaf]]=1,Tasks[[#This Row],[_LeafProgress]]&lt;1,N(Tasks[[#This Row],[_LeafTotalSlack]])&lt;=CriticalSlackDays)</f>
        <v>0</v>
      </c>
      <c r="DF131" s="32" t="n">
        <f aca="false">IF(AND(Tasks[[#This Row],[_IsLeaf]]=1,Tasks[[#This Row],[_ConstraintCode]]=1,Tasks[[#This Row],[Mode]]&lt;&gt;"Manual",N(Tasks[[#This Row],[Actual Start]])=0),MAX(0,N(Tasks[[#This Row],[Free Slack]])),0)</f>
        <v>0</v>
      </c>
      <c r="DG131" s="115" t="str">
        <f aca="false">IF(NOT(Tasks[[#This Row],[_IsLeaf]]=1),"",IF(Tasks[[#This Row],[_AlapShift]]=0,Tasks[[#This Row],[_LeafCalcStart]],WORKDAY.INTL(Tasks[[#This Row],[_LeafCalcStart]],Tasks[[#This Row],[_AlapShift]],WorkWeek,Holidays)))</f>
        <v/>
      </c>
      <c r="DH131" s="115" t="str">
        <f aca="false">IF(NOT(Tasks[[#This Row],[_IsLeaf]]=1),"",IF(Tasks[[#This Row],[_AlapShift]]=0,Tasks[[#This Row],[_LeafCalcFinish]],WORKDAY.INTL(Tasks[[#This Row],[_LeafCalcFinish]],Tasks[[#This Row],[_AlapShift]],WorkWeek,Holidays)))</f>
        <v/>
      </c>
      <c r="DI131" s="115" t="str">
        <f aca="false">IF(NOT(Tasks[[#This Row],[_IsLeaf]]=1),"",IF(Tasks[[#This Row],[_AlapShift]]=0,Tasks[[#This Row],[_LeafFcstStart]],WORKDAY.INTL(Tasks[[#This Row],[_LeafFcstStart]],Tasks[[#This Row],[_AlapShift]],WorkWeek,Holidays)))</f>
        <v/>
      </c>
      <c r="DJ131" s="115" t="str">
        <f aca="false">IF(NOT(Tasks[[#This Row],[_IsLeaf]]=1),"",IF(Tasks[[#This Row],[_AlapShift]]=0,Tasks[[#This Row],[_LeafFcstFinish]],WORKDAY.INTL(Tasks[[#This Row],[_LeafFcstFinish]],Tasks[[#This Row],[_AlapShift]],WorkWeek,Holidays)))</f>
        <v/>
      </c>
      <c r="DK131" s="115" t="str">
        <f aca="false">IF(Tasks[[#This Row],[Task Name]]="","",IF(Tasks[[#This Row],[_IsSummary]],MIN(INDEX(Tasks[_ShownCalcStart],Tasks[[#This Row],[_Row]]+1):INDEX(Tasks[_ShownCalcStart],Tasks[[#This Row],[_Row]]+Tasks[[#This Row],[_Descendants]])),Tasks[[#This Row],[_ShownCalcStart]]))</f>
        <v/>
      </c>
      <c r="DL131" s="115" t="str">
        <f aca="false">IF(Tasks[[#This Row],[Task Name]]="","",IF(Tasks[[#This Row],[_IsSummary]],MAX(INDEX(Tasks[_ShownCalcFinish],Tasks[[#This Row],[_Row]]+1):INDEX(Tasks[_ShownCalcFinish],Tasks[[#This Row],[_Row]]+Tasks[[#This Row],[_Descendants]])),Tasks[[#This Row],[_ShownCalcFinish]]))</f>
        <v/>
      </c>
      <c r="DM13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1" s="32" t="n">
        <f aca="false">IF(AND(Tasks[[#This Row],[_IsLeaf]]=1,Tasks[[#This Row],[_LeafTotalWork]]&gt;0),NETWORKDAYS.INTL(ProjectStart,Tasks[[#This Row],[_ShownFcstStart]],WorkWeek,Holidays),0)</f>
        <v>0</v>
      </c>
      <c r="DZ131" s="32" t="n">
        <f aca="false">IF(AND(Tasks[[#This Row],[_IsLeaf]]=1,Tasks[[#This Row],[_LeafTotalWork]]&gt;0),MAX(Tasks[[#This Row],[_StartWorkday]],NETWORKDAYS.INTL(ProjectStart,Tasks[[#This Row],[_ShownFcstFinish]],WorkWeek,Holidays)),0)</f>
        <v>0</v>
      </c>
      <c r="EA131" s="32" t="n">
        <f aca="false">IF(AND(Tasks[[#This Row],[_IsLeaf]]=1,Tasks[[#This Row],[_LeafTotalWork]]&gt;0),Tasks[[#This Row],[_LeafWork]]/(Tasks[[#This Row],[_FinishWorkday]]-Tasks[[#This Row],[_StartWorkday]]+1),0)</f>
        <v>0</v>
      </c>
      <c r="EB131" s="32" t="n">
        <f aca="false">Tasks[[#This Row],[_WorkPerWorkday]]*(Tasks[[#This Row],[_StartWorkday]]-1)</f>
        <v>-0</v>
      </c>
      <c r="EC131" s="32" t="n">
        <f aca="false">IF(Tasks[[#This Row],[_IsLeaf]]=1,MAX(N(Tasks[[#This Row],[Duration]]),0.1),0)</f>
        <v>0</v>
      </c>
      <c r="ED131" s="32" t="n">
        <f aca="false">Tasks[[#This Row],[_WeightDur]]*Tasks[[#This Row],[_LeafProgress]]</f>
        <v>0</v>
      </c>
      <c r="EE13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1" s="32" t="str">
        <f aca="false">IF(AND(Tasks[[#This Row],[_IsLeaf]]=1,N(Tasks[[#This Row],[Duration]])=0,Tasks[[#This Row],[_LeafProgress]]&lt;1),Tasks[[#This Row],[_ShownFcstFinish]]+Tasks[[#This Row],[_Row]]/100000,"")</f>
        <v/>
      </c>
      <c r="EG13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1" s="32" t="n">
        <f aca="false">IF(NOT(Tasks[[#This Row],[_IsLeaf]]=1),0,IF(Tasks[[#This Row],[Baseline Cost]]="",Tasks[[#This Row],[_LeafTotalCost]],N(Tasks[[#This Row],[Baseline Cost]])))</f>
        <v>0</v>
      </c>
      <c r="EI131" s="32" t="n">
        <f aca="false">Tasks[[#This Row],[_LeafBudget]]*Tasks[[#This Row],[_PlannedPct]]</f>
        <v>0</v>
      </c>
      <c r="EJ131" s="32" t="n">
        <f aca="false">Tasks[[#This Row],[_LeafBudget]]*Tasks[[#This Row],[_LeafProgress]]</f>
        <v>0</v>
      </c>
      <c r="EK131" s="32" t="n">
        <f aca="false">IF(NOT(Tasks[[#This Row],[_IsLeaf]]=1),0,IF(Tasks[[#This Row],[Actual Cost]]="",Tasks[[#This Row],[_LeafTotalCost]]*Tasks[[#This Row],[_LeafProgress]],N(Tasks[[#This Row],[Actual Cost]])))</f>
        <v>0</v>
      </c>
      <c r="EL131" s="32" t="str">
        <f aca="false">IF(Tasks[[#This Row],[Task Name]]="","",LEFT(Tasks[[#This Row],[WBS]],FIND(".",Tasks[[#This Row],[WBS]]&amp;".")-1))</f>
        <v/>
      </c>
      <c r="EM131" s="32" t="str">
        <f aca="false">IF(AND(Tasks[[#This Row],[Task Name]]&lt;&gt;"",Tasks[[#This Row],[_Level]]=1),Tasks[[#This Row],[_Row]],"")</f>
        <v/>
      </c>
      <c r="EN131" s="32" t="str">
        <f aca="false">IF(AND(Tasks[[#This Row],[_IsLeaf]]=1,N(Tasks[[#This Row],[Duration]])=0),Tasks[[#This Row],[Planned Finish]]+Tasks[[#This Row],[_Row]]/100000,"")</f>
        <v/>
      </c>
      <c r="EO131" s="32" t="str">
        <f aca="false">IF(AND(Tasks[[#This Row],[_IsLeaf]]=1,Tasks[[#This Row],[_LeafProgress]]&lt;1,OR(N(Tasks[[#This Row],[Finish Var]])&gt;0,Tasks[[#This Row],[Status]]="Late Start")),MAX(0,Tasks[[#This Row],[Finish Var]])+1-Tasks[[#This Row],[_Row]]/1000000,"")</f>
        <v/>
      </c>
      <c r="EP131" s="32" t="str">
        <f aca="false">IF(AND(Tasks[[#This Row],[_IsLeaf]]=1,N(Tasks[[#This Row],[Actual Start]])=0,Tasks[[#This Row],[_ShownFcstStart]]&gt;=StatusDate,Tasks[[#This Row],[_ShownFcstStart]]&lt;=LookaheadEnd),Tasks[[#This Row],[_ShownFcstStart]]+Tasks[[#This Row],[_Row]]/100000,"")</f>
        <v/>
      </c>
      <c r="EQ131" s="32" t="str">
        <f aca="false">IF(AND(Tasks[[#This Row],[_IsLeaf]]=1,Tasks[[#This Row],[_LeafProgress]]&lt;1,Tasks[[#This Row],[_ShownFcstFinish]]&gt;=StatusDate,Tasks[[#This Row],[_ShownFcstFinish]]&lt;=LookaheadEnd),Tasks[[#This Row],[_ShownFcstFinish]]+Tasks[[#This Row],[_Row]]/100000,"")</f>
        <v/>
      </c>
      <c r="ER131" s="32" t="str">
        <f aca="false">IF(Tasks[[#This Row],[_LeafCritical]],Tasks[[#This Row],[_ShownFcstStart]]+Tasks[[#This Row],[_Row]]/100000,"")</f>
        <v/>
      </c>
      <c r="ES131" s="32" t="n">
        <f aca="false">Tasks[[#This Row],[_LeafWork]]*Tasks[[#This Row],[_LeafProgress]]</f>
        <v>0</v>
      </c>
      <c r="ET131" s="115" t="str">
        <f aca="false">IF(AND(Tasks[[#This Row],[_IsLeaf]]=1,Tasks[[#This Row],[_LeafProgress]]&gt;=1),IF(N(Tasks[[#This Row],[Actual Finish]])&gt;0,Tasks[[#This Row],[Actual Finish]],Tasks[[#This Row],[_ShownFcstFinish]]),"")</f>
        <v/>
      </c>
      <c r="EU131" s="32" t="n">
        <f aca="false">IF(Tasks[[#This Row],[_IsLeaf]]=1,N(Tasks[[#This Row],[Story Points]]),0)</f>
        <v>0</v>
      </c>
      <c r="EV131" s="32" t="str">
        <f aca="false">IF(AND(Tasks[[#This Row],[_IsLeaf]]=1,CurrentSprint&lt;&gt;"",Tasks[[#This Row],[Sprint]]=CurrentSprint),Tasks[[#This Row],[_Row]],"")</f>
        <v/>
      </c>
    </row>
    <row r="132" customFormat="false" ht="15" hidden="false" customHeight="false" outlineLevel="0" collapsed="false">
      <c r="A132" s="45" t="str">
        <f aca="false">IF(Tasks[[#This Row],[Task Name]]="","",COUNTA(Tasks[[#Headers],[Task Name]]:Tasks[[#This Row],[Task Name]])-1)</f>
        <v/>
      </c>
      <c r="B132" s="46" t="n">
        <v>127</v>
      </c>
      <c r="C13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2" s="46"/>
      <c r="E132" s="45" t="str">
        <f aca="false">IF(Tasks[[#This Row],[Task Name]]="","",IF(Tasks[[#This Row],[_Level]]&lt;=OutlineShowLevel,"Yes","No"))</f>
        <v/>
      </c>
      <c r="F132" s="47"/>
      <c r="G132" s="46"/>
      <c r="H132" s="46"/>
      <c r="I132" s="46"/>
      <c r="J132" s="46"/>
      <c r="K132" s="46"/>
      <c r="L132" s="46"/>
      <c r="M132" s="46"/>
      <c r="N132" s="46"/>
      <c r="O132" s="46"/>
      <c r="P132" s="46"/>
      <c r="Q132" s="46"/>
      <c r="R132" s="46"/>
      <c r="S132" s="46"/>
      <c r="T132" s="46"/>
      <c r="U132" s="47"/>
      <c r="V132" s="88"/>
      <c r="W132" s="88"/>
      <c r="X132" s="25" t="str">
        <f aca="false">IF(Tasks[[#This Row],[Task Name]]="","",IF(N(Tasks[[#This Row],[Baseline Start]])&gt;0,Tasks[[#This Row],[Baseline Start]],Tasks[[#This Row],[_CalcStart]]))</f>
        <v/>
      </c>
      <c r="Y132" s="25" t="str">
        <f aca="false">IF(Tasks[[#This Row],[Task Name]]="","",IF(N(Tasks[[#This Row],[Baseline Finish]])&gt;0,Tasks[[#This Row],[Baseline Finish]],Tasks[[#This Row],[_CalcFinish]]))</f>
        <v/>
      </c>
      <c r="Z132" s="88"/>
      <c r="AA132" s="88"/>
      <c r="AB132" s="25" t="str">
        <f aca="false">IF(Tasks[[#This Row],[Task Name]]="","",IF(Tasks[[#This Row],[_IsSummary]],MIN(INDEX(Tasks[_ShownFcstStart],Tasks[[#This Row],[_Row]]+1):INDEX(Tasks[_ShownFcstStart],Tasks[[#This Row],[_Row]]+Tasks[[#This Row],[_Descendants]])),Tasks[[#This Row],[_ShownFcstStart]]))</f>
        <v/>
      </c>
      <c r="AC132" s="25" t="str">
        <f aca="false">IF(Tasks[[#This Row],[Task Name]]="","",IF(Tasks[[#This Row],[_IsSummary]],MAX(INDEX(Tasks[_ShownFcstFinish],Tasks[[#This Row],[_Row]]+1):INDEX(Tasks[_ShownFcstFinish],Tasks[[#This Row],[_Row]]+Tasks[[#This Row],[_Descendants]])),Tasks[[#This Row],[_ShownFcstFinish]]))</f>
        <v/>
      </c>
      <c r="AD13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2" s="25" t="str">
        <f aca="false">IF(Tasks[[#This Row],[Task Name]]="","",IF(Tasks[[#This Row],[_IsSummary]],MIN(INDEX(Tasks[_LeafLateStart],Tasks[[#This Row],[_Row]]+1):INDEX(Tasks[_LeafLateStart],Tasks[[#This Row],[_Row]]+Tasks[[#This Row],[_Descendants]])),Tasks[[#This Row],[_LeafLateStart]]))</f>
        <v/>
      </c>
      <c r="AG132" s="25" t="str">
        <f aca="false">IF(Tasks[[#This Row],[Task Name]]="","",IF(Tasks[[#This Row],[_IsSummary]],MAX(INDEX(Tasks[_LeafLateFinish],Tasks[[#This Row],[_Row]]+1):INDEX(Tasks[_LeafLateFinish],Tasks[[#This Row],[_Row]]+Tasks[[#This Row],[_Descendants]])),Tasks[[#This Row],[_LeafLateFinish]]))</f>
        <v/>
      </c>
      <c r="AH132" s="56" t="str">
        <f aca="false">IF(Tasks[[#This Row],[Task Name]]="","",IF(Tasks[[#This Row],[_IsSummary]],MIN(INDEX(Tasks[_LeafTotalSlack],Tasks[[#This Row],[_Row]]+1):INDEX(Tasks[_LeafTotalSlack],Tasks[[#This Row],[_Row]]+Tasks[[#This Row],[_Descendants]])),Tasks[[#This Row],[_LeafTotalSlack]]))</f>
        <v/>
      </c>
      <c r="AI13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2" s="45" t="str">
        <f aca="false">IF(Tasks[[#This Row],[Task Name]]="","",IF(IF(Tasks[[#This Row],[_IsSummary]],COUNTIF(INDEX(Tasks[_LeafCritical],Tasks[[#This Row],[_Row]]+1):INDEX(Tasks[_LeafCritical],Tasks[[#This Row],[_Row]]+Tasks[[#This Row],[_Descendants]]),TRUE())&gt;0,Tasks[[#This Row],[_LeafCritical]]),"Yes",""))</f>
        <v/>
      </c>
      <c r="AK13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2" s="102"/>
      <c r="AN13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2" s="45" t="str">
        <f aca="false">IF(Tasks[[#This Row],[Task Name]]="","",IF(Tasks[[#This Row],[Progress]]&gt;=1,"Complete",IF(OR(N(Tasks[[#This Row],[Actual Start]])&gt;0,Tasks[[#This Row],[Progress]]&gt;0),IF(Tasks[[#This Row],[Finish Var]]&gt;0,"Behind","In Progress"),IF(Tasks[[#This Row],[Planned Start]]&lt;StatusDate,"Late Start","Not Started"))))</f>
        <v/>
      </c>
      <c r="AP132" s="47"/>
      <c r="AQ132" s="102"/>
      <c r="AR13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2" s="110" t="str">
        <f aca="false">IF(Tasks[[#This Row],[Task Name]]="","",IF(Tasks[[#This Row],[_IsSummary]],SUM(INDEX(Tasks[_LeafTotalWork],Tasks[[#This Row],[_Row]]+1):INDEX(Tasks[_LeafTotalWork],Tasks[[#This Row],[_Row]]+Tasks[[#This Row],[_Descendants]])),Tasks[[#This Row],[_LeafTotalWork]]))</f>
        <v/>
      </c>
      <c r="AU132" s="111" t="str">
        <f aca="false">IF(Tasks[[#This Row],[Task Name]]="","",IF(Tasks[[#This Row],[_IsSummary]],SUM(INDEX(Tasks[_LeafTotalCost],Tasks[[#This Row],[_Row]]+1):INDEX(Tasks[_LeafTotalCost],Tasks[[#This Row],[_Row]]+Tasks[[#This Row],[_Descendants]])),Tasks[[#This Row],[_LeafTotalCost]]))</f>
        <v/>
      </c>
      <c r="AV132" s="112"/>
      <c r="AW132" s="46"/>
      <c r="AX13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2" s="96"/>
      <c r="AZ13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2" s="47"/>
      <c r="BB132" s="25" t="str">
        <f aca="false">IF(Tasks[[#This Row],[Task Name]]="","",Tasks[[#This Row],[Forecast Start]])</f>
        <v/>
      </c>
      <c r="BC132" s="25" t="str">
        <f aca="false">IF(Tasks[[#This Row],[Task Name]]="","",Tasks[[#This Row],[Forecast Finish]])</f>
        <v/>
      </c>
      <c r="BD132" s="45" t="str">
        <f aca="false">IF(Tasks[[#This Row],[Task Name]]="","",IF(Tasks[[#This Row],[_IsSummary]],NETWORKDAYS.INTL(Tasks[[#This Row],[Forecast Start]],Tasks[[#This Row],[Forecast Finish]],WorkWeek,Holidays),N(Tasks[[#This Row],[Duration]])))</f>
        <v/>
      </c>
      <c r="BE132" s="110" t="str">
        <f aca="false">IF(Tasks[[#This Row],[Task Name]]="","",Tasks[[#This Row],[Work]])</f>
        <v/>
      </c>
      <c r="BF132" s="111" t="str">
        <f aca="false">IF(Tasks[[#This Row],[Task Name]]="","",Tasks[[#This Row],[Cost]])</f>
        <v/>
      </c>
      <c r="BG132" s="88"/>
      <c r="BH132" s="88"/>
      <c r="BI132" s="46"/>
      <c r="BJ132" s="113"/>
      <c r="BK132" s="112"/>
      <c r="BL132" s="45" t="str">
        <f aca="false">IF(OR(Tasks[[#This Row],[Task Name]]="",Tasks[[#This Row],[Baseline Duration]]=""),"",Tasks[[#This Row],[BL Source Duration]]-N(Tasks[[#This Row],[Baseline Duration]]))</f>
        <v/>
      </c>
      <c r="BM132" s="110" t="str">
        <f aca="false">IF(OR(Tasks[[#This Row],[Task Name]]="",Tasks[[#This Row],[Baseline Work]]=""),"",Tasks[[#This Row],[Work]]-N(Tasks[[#This Row],[Baseline Work]]))</f>
        <v/>
      </c>
      <c r="BN132" s="111" t="str">
        <f aca="false">IF(OR(Tasks[[#This Row],[Task Name]]="",Tasks[[#This Row],[Baseline Cost]]=""),"",Tasks[[#This Row],[Cost]]-N(Tasks[[#This Row],[Baseline Cost]]))</f>
        <v/>
      </c>
      <c r="BO132" s="111" t="str">
        <f aca="false">IF(Tasks[[#This Row],[Task Name]]="","",IF(Tasks[[#This Row],[_IsSummary]],SUM(INDEX(Tasks[_LeafBudget],Tasks[[#This Row],[_Row]]+1):INDEX(Tasks[_LeafBudget],Tasks[[#This Row],[_Row]]+Tasks[[#This Row],[_Descendants]])),Tasks[[#This Row],[_LeafBudget]]))</f>
        <v/>
      </c>
      <c r="BP132" s="111" t="str">
        <f aca="false">IF(Tasks[[#This Row],[Task Name]]="","",IF(Tasks[[#This Row],[_IsSummary]],SUM(INDEX(Tasks[_LeafPV],Tasks[[#This Row],[_Row]]+1):INDEX(Tasks[_LeafPV],Tasks[[#This Row],[_Row]]+Tasks[[#This Row],[_Descendants]])),Tasks[[#This Row],[_LeafPV]]))</f>
        <v/>
      </c>
      <c r="BQ132" s="111" t="str">
        <f aca="false">IF(Tasks[[#This Row],[Task Name]]="","",IF(Tasks[[#This Row],[_IsSummary]],SUM(INDEX(Tasks[_LeafEV],Tasks[[#This Row],[_Row]]+1):INDEX(Tasks[_LeafEV],Tasks[[#This Row],[_Row]]+Tasks[[#This Row],[_Descendants]])),Tasks[[#This Row],[_LeafEV]]))</f>
        <v/>
      </c>
      <c r="BR132" s="111" t="str">
        <f aca="false">IF(Tasks[[#This Row],[Task Name]]="","",IF(Tasks[[#This Row],[_IsSummary]],SUM(INDEX(Tasks[_LeafAC],Tasks[[#This Row],[_Row]]+1):INDEX(Tasks[_LeafAC],Tasks[[#This Row],[_Row]]+Tasks[[#This Row],[_Descendants]])),Tasks[[#This Row],[_LeafAC]]))</f>
        <v/>
      </c>
      <c r="BS132" s="32" t="str">
        <f aca="false">IF(Tasks[[#This Row],[Task Name]]="","",MAX(1,N(Tasks[[#This Row],[Level]])))</f>
        <v/>
      </c>
      <c r="BT132" s="32" t="n">
        <f aca="false">ROW()-ROW(Tasks[[#Headers],[ID]])</f>
        <v>127</v>
      </c>
      <c r="BU132" s="32" t="n">
        <f aca="false">IF(OR(Tasks[[#This Row],[Task Name]]="",Tasks[[#This Row],[_Level]]&lt;=1),0,IFERROR(LOOKUP(2,1/(Tasks[[#Headers],[_Level]]:Tasks[[#This Row],[_Level]]=Tasks[[#This Row],[_Level]]-1),ROW(Tasks[[#Headers],[_Level]]:Tasks[[#This Row],[_Level]])),0))</f>
        <v>0</v>
      </c>
      <c r="BV132" s="32" t="n">
        <f aca="false">IFERROR(N(INDEX(Tasks[_Level],Tasks[[#This Row],[_Row]]+1)),0)</f>
        <v>0</v>
      </c>
      <c r="BW132" s="114" t="b">
        <f aca="false">AND(Tasks[[#This Row],[Task Name]]&lt;&gt;"",Tasks[[#This Row],[_NextLevel]]&gt;Tasks[[#This Row],[_Level]])</f>
        <v>0</v>
      </c>
      <c r="BX132" s="32" t="n">
        <f aca="false">IF(Tasks[[#This Row],[_IsSummary]],COUNTIF(Tasks[WBS],Tasks[[#This Row],[WBS]]&amp;".*"),0)</f>
        <v>0</v>
      </c>
      <c r="BY132" s="32" t="n">
        <f aca="false">IF(AND(Tasks[[#This Row],[Task Name]]&lt;&gt;"",NOT(Tasks[[#This Row],[_IsSummary]])),1,0)</f>
        <v>0</v>
      </c>
      <c r="BZ132" s="32" t="n">
        <f aca="false">IF(N(Tasks[[#This Row],[Pred1 UID]])=0,0,IFERROR(MATCH(Tasks[[#This Row],[Pred1 UID]],Tasks[UID],0),-1))</f>
        <v>0</v>
      </c>
      <c r="CA132" s="32" t="n">
        <f aca="false">IF(N(Tasks[[#This Row],[Pred2 UID]])=0,0,IFERROR(MATCH(Tasks[[#This Row],[Pred2 UID]],Tasks[UID],0),-1))</f>
        <v>0</v>
      </c>
      <c r="CB132" s="32" t="n">
        <f aca="false">IF(N(Tasks[[#This Row],[Pred3 UID]])=0,0,IFERROR(MATCH(Tasks[[#This Row],[Pred3 UID]],Tasks[UID],0),-1))</f>
        <v>0</v>
      </c>
      <c r="CC132" s="32" t="n">
        <f aca="false">IF(N(Tasks[[#This Row],[Pred4 UID]])=0,0,IFERROR(MATCH(Tasks[[#This Row],[Pred4 UID]],Tasks[UID],0),-1))</f>
        <v>0</v>
      </c>
      <c r="CD13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2" s="115" t="n">
        <f aca="false">IF(OR(Tasks[[#This Row],[_ConstraintCode]]=2,Tasks[[#This Row],[_ConstraintCode]]=3,Tasks[[#This Row],[_ConstraintCode]]=4,Tasks[[#This Row],[_ConstraintCode]]=6),Tasks[[#This Row],[_ConstraintStart]],0)</f>
        <v>0</v>
      </c>
      <c r="CG132" s="115" t="n">
        <f aca="false">IF(OR(Tasks[[#This Row],[_ConstraintCode]]=2,Tasks[[#This Row],[_ConstraintCode]]=3,Tasks[[#This Row],[_ConstraintCode]]=5,Tasks[[#This Row],[_ConstraintCode]]=7),Tasks[[#This Row],[_ConstraintStart]],2958465)</f>
        <v>2958465</v>
      </c>
      <c r="CH13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2" s="115" t="str">
        <f aca="false">IF(NOT(Tasks[[#This Row],[_IsLeaf]]=1),"",IF(N(Tasks[[#This Row],[Duration]])&lt;=0,Tasks[[#This Row],[_LeafCalcStart]],WORKDAY.INTL(Tasks[[#This Row],[_LeafCalcStart]],Tasks[[#This Row],[Duration]]-1,WorkWeek,Holidays)))</f>
        <v/>
      </c>
      <c r="CJ13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2" s="32" t="n">
        <f aca="false">IF(NOT(Tasks[[#This Row],[_IsLeaf]]=1),0,IF(N(Tasks[[#This Row],[Actual Finish]])&gt;0,1,MIN(1,N(Tasks[[#This Row],[% Complete]]))))</f>
        <v>0</v>
      </c>
      <c r="CM132" s="32" t="n">
        <f aca="false">IF(OR(NOT(Tasks[[#This Row],[_IsLeaf]]=1),Tasks[[#This Row],[Resource]]=""),0,N(Tasks[[#This Row],[Duration]])*HoursPerDay*IF(Tasks[[#This Row],[Units]]="",DefaultUnits,Tasks[[#This Row],[Units]]))</f>
        <v>0</v>
      </c>
      <c r="CN132" s="32" t="n">
        <f aca="false">IF(Tasks[[#This Row],[_LeafWork]]=0,0,Tasks[[#This Row],[_LeafWork]]*IFERROR(INDEX(res_Rate,MATCH(Tasks[[#This Row],[Resource]],res_Name,0)),0))</f>
        <v>0</v>
      </c>
      <c r="CO132" s="32" t="n">
        <f aca="false">Tasks[[#This Row],[_LeafWork]]+IF(Tasks[[#This Row],[_IsLeaf]]=1,SUMIFS(asg_Work,asg_TaskUID,Tasks[[#This Row],[UID]],asg_Valid,1),0)</f>
        <v>0</v>
      </c>
      <c r="CP132" s="32" t="n">
        <f aca="false">Tasks[[#This Row],[_LeafCost]]+IF(Tasks[[#This Row],[_IsLeaf]]=1,SUMIFS(asg_Cost,asg_TaskUID,Tasks[[#This Row],[UID]],asg_Valid,1),0)</f>
        <v>0</v>
      </c>
      <c r="CQ132" s="32" t="n">
        <f aca="false">IF(Tasks[[#This Row],[_LeafTotalCost]]=0,Tasks[[#This Row],[_LeafAC]],Tasks[[#This Row],[_LeafAC]]*Tasks[[#This Row],[_LeafCost]]/Tasks[[#This Row],[_LeafTotalCost]])</f>
        <v>0</v>
      </c>
      <c r="CR13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2" s="32" t="n">
        <f aca="false">IF(NOT(Tasks[[#This Row],[_IsLeaf]]=1),0,MAX(_xlfn.MAXIFS(Tasks[_Row],Tasks[Pred1 UID],Tasks[[#This Row],[UID]]),_xlfn.MAXIFS(Tasks[_Row],Tasks[Pred2 UID],Tasks[[#This Row],[UID]]),_xlfn.MAXIFS(Tasks[_Row],Tasks[Pred3 UID],Tasks[[#This Row],[UID]]),_xlfn.MAXIFS(Tasks[_Row],Tasks[Pred4 UID],Tasks[[#This Row],[UID]])))</f>
        <v>0</v>
      </c>
      <c r="DA13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2" s="115" t="str">
        <f aca="false">IF(NOT(Tasks[[#This Row],[_IsLeaf]]=1),"",IF(N(Tasks[[#This Row],[Duration]])&lt;=0,Tasks[[#This Row],[_LeafLateFinish]],WORKDAY.INTL(Tasks[[#This Row],[_LeafLateFinish]],-(Tasks[[#This Row],[Duration]]-1),WorkWeek,Holidays)))</f>
        <v/>
      </c>
      <c r="DD13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2" s="114" t="b">
        <f aca="false">AND(Tasks[[#This Row],[_IsLeaf]]=1,Tasks[[#This Row],[_LeafProgress]]&lt;1,N(Tasks[[#This Row],[_LeafTotalSlack]])&lt;=CriticalSlackDays)</f>
        <v>0</v>
      </c>
      <c r="DF132" s="32" t="n">
        <f aca="false">IF(AND(Tasks[[#This Row],[_IsLeaf]]=1,Tasks[[#This Row],[_ConstraintCode]]=1,Tasks[[#This Row],[Mode]]&lt;&gt;"Manual",N(Tasks[[#This Row],[Actual Start]])=0),MAX(0,N(Tasks[[#This Row],[Free Slack]])),0)</f>
        <v>0</v>
      </c>
      <c r="DG132" s="115" t="str">
        <f aca="false">IF(NOT(Tasks[[#This Row],[_IsLeaf]]=1),"",IF(Tasks[[#This Row],[_AlapShift]]=0,Tasks[[#This Row],[_LeafCalcStart]],WORKDAY.INTL(Tasks[[#This Row],[_LeafCalcStart]],Tasks[[#This Row],[_AlapShift]],WorkWeek,Holidays)))</f>
        <v/>
      </c>
      <c r="DH132" s="115" t="str">
        <f aca="false">IF(NOT(Tasks[[#This Row],[_IsLeaf]]=1),"",IF(Tasks[[#This Row],[_AlapShift]]=0,Tasks[[#This Row],[_LeafCalcFinish]],WORKDAY.INTL(Tasks[[#This Row],[_LeafCalcFinish]],Tasks[[#This Row],[_AlapShift]],WorkWeek,Holidays)))</f>
        <v/>
      </c>
      <c r="DI132" s="115" t="str">
        <f aca="false">IF(NOT(Tasks[[#This Row],[_IsLeaf]]=1),"",IF(Tasks[[#This Row],[_AlapShift]]=0,Tasks[[#This Row],[_LeafFcstStart]],WORKDAY.INTL(Tasks[[#This Row],[_LeafFcstStart]],Tasks[[#This Row],[_AlapShift]],WorkWeek,Holidays)))</f>
        <v/>
      </c>
      <c r="DJ132" s="115" t="str">
        <f aca="false">IF(NOT(Tasks[[#This Row],[_IsLeaf]]=1),"",IF(Tasks[[#This Row],[_AlapShift]]=0,Tasks[[#This Row],[_LeafFcstFinish]],WORKDAY.INTL(Tasks[[#This Row],[_LeafFcstFinish]],Tasks[[#This Row],[_AlapShift]],WorkWeek,Holidays)))</f>
        <v/>
      </c>
      <c r="DK132" s="115" t="str">
        <f aca="false">IF(Tasks[[#This Row],[Task Name]]="","",IF(Tasks[[#This Row],[_IsSummary]],MIN(INDEX(Tasks[_ShownCalcStart],Tasks[[#This Row],[_Row]]+1):INDEX(Tasks[_ShownCalcStart],Tasks[[#This Row],[_Row]]+Tasks[[#This Row],[_Descendants]])),Tasks[[#This Row],[_ShownCalcStart]]))</f>
        <v/>
      </c>
      <c r="DL132" s="115" t="str">
        <f aca="false">IF(Tasks[[#This Row],[Task Name]]="","",IF(Tasks[[#This Row],[_IsSummary]],MAX(INDEX(Tasks[_ShownCalcFinish],Tasks[[#This Row],[_Row]]+1):INDEX(Tasks[_ShownCalcFinish],Tasks[[#This Row],[_Row]]+Tasks[[#This Row],[_Descendants]])),Tasks[[#This Row],[_ShownCalcFinish]]))</f>
        <v/>
      </c>
      <c r="DM13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2" s="32" t="n">
        <f aca="false">IF(AND(Tasks[[#This Row],[_IsLeaf]]=1,Tasks[[#This Row],[_LeafTotalWork]]&gt;0),NETWORKDAYS.INTL(ProjectStart,Tasks[[#This Row],[_ShownFcstStart]],WorkWeek,Holidays),0)</f>
        <v>0</v>
      </c>
      <c r="DZ132" s="32" t="n">
        <f aca="false">IF(AND(Tasks[[#This Row],[_IsLeaf]]=1,Tasks[[#This Row],[_LeafTotalWork]]&gt;0),MAX(Tasks[[#This Row],[_StartWorkday]],NETWORKDAYS.INTL(ProjectStart,Tasks[[#This Row],[_ShownFcstFinish]],WorkWeek,Holidays)),0)</f>
        <v>0</v>
      </c>
      <c r="EA132" s="32" t="n">
        <f aca="false">IF(AND(Tasks[[#This Row],[_IsLeaf]]=1,Tasks[[#This Row],[_LeafTotalWork]]&gt;0),Tasks[[#This Row],[_LeafWork]]/(Tasks[[#This Row],[_FinishWorkday]]-Tasks[[#This Row],[_StartWorkday]]+1),0)</f>
        <v>0</v>
      </c>
      <c r="EB132" s="32" t="n">
        <f aca="false">Tasks[[#This Row],[_WorkPerWorkday]]*(Tasks[[#This Row],[_StartWorkday]]-1)</f>
        <v>-0</v>
      </c>
      <c r="EC132" s="32" t="n">
        <f aca="false">IF(Tasks[[#This Row],[_IsLeaf]]=1,MAX(N(Tasks[[#This Row],[Duration]]),0.1),0)</f>
        <v>0</v>
      </c>
      <c r="ED132" s="32" t="n">
        <f aca="false">Tasks[[#This Row],[_WeightDur]]*Tasks[[#This Row],[_LeafProgress]]</f>
        <v>0</v>
      </c>
      <c r="EE13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2" s="32" t="str">
        <f aca="false">IF(AND(Tasks[[#This Row],[_IsLeaf]]=1,N(Tasks[[#This Row],[Duration]])=0,Tasks[[#This Row],[_LeafProgress]]&lt;1),Tasks[[#This Row],[_ShownFcstFinish]]+Tasks[[#This Row],[_Row]]/100000,"")</f>
        <v/>
      </c>
      <c r="EG13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2" s="32" t="n">
        <f aca="false">IF(NOT(Tasks[[#This Row],[_IsLeaf]]=1),0,IF(Tasks[[#This Row],[Baseline Cost]]="",Tasks[[#This Row],[_LeafTotalCost]],N(Tasks[[#This Row],[Baseline Cost]])))</f>
        <v>0</v>
      </c>
      <c r="EI132" s="32" t="n">
        <f aca="false">Tasks[[#This Row],[_LeafBudget]]*Tasks[[#This Row],[_PlannedPct]]</f>
        <v>0</v>
      </c>
      <c r="EJ132" s="32" t="n">
        <f aca="false">Tasks[[#This Row],[_LeafBudget]]*Tasks[[#This Row],[_LeafProgress]]</f>
        <v>0</v>
      </c>
      <c r="EK132" s="32" t="n">
        <f aca="false">IF(NOT(Tasks[[#This Row],[_IsLeaf]]=1),0,IF(Tasks[[#This Row],[Actual Cost]]="",Tasks[[#This Row],[_LeafTotalCost]]*Tasks[[#This Row],[_LeafProgress]],N(Tasks[[#This Row],[Actual Cost]])))</f>
        <v>0</v>
      </c>
      <c r="EL132" s="32" t="str">
        <f aca="false">IF(Tasks[[#This Row],[Task Name]]="","",LEFT(Tasks[[#This Row],[WBS]],FIND(".",Tasks[[#This Row],[WBS]]&amp;".")-1))</f>
        <v/>
      </c>
      <c r="EM132" s="32" t="str">
        <f aca="false">IF(AND(Tasks[[#This Row],[Task Name]]&lt;&gt;"",Tasks[[#This Row],[_Level]]=1),Tasks[[#This Row],[_Row]],"")</f>
        <v/>
      </c>
      <c r="EN132" s="32" t="str">
        <f aca="false">IF(AND(Tasks[[#This Row],[_IsLeaf]]=1,N(Tasks[[#This Row],[Duration]])=0),Tasks[[#This Row],[Planned Finish]]+Tasks[[#This Row],[_Row]]/100000,"")</f>
        <v/>
      </c>
      <c r="EO132" s="32" t="str">
        <f aca="false">IF(AND(Tasks[[#This Row],[_IsLeaf]]=1,Tasks[[#This Row],[_LeafProgress]]&lt;1,OR(N(Tasks[[#This Row],[Finish Var]])&gt;0,Tasks[[#This Row],[Status]]="Late Start")),MAX(0,Tasks[[#This Row],[Finish Var]])+1-Tasks[[#This Row],[_Row]]/1000000,"")</f>
        <v/>
      </c>
      <c r="EP132" s="32" t="str">
        <f aca="false">IF(AND(Tasks[[#This Row],[_IsLeaf]]=1,N(Tasks[[#This Row],[Actual Start]])=0,Tasks[[#This Row],[_ShownFcstStart]]&gt;=StatusDate,Tasks[[#This Row],[_ShownFcstStart]]&lt;=LookaheadEnd),Tasks[[#This Row],[_ShownFcstStart]]+Tasks[[#This Row],[_Row]]/100000,"")</f>
        <v/>
      </c>
      <c r="EQ132" s="32" t="str">
        <f aca="false">IF(AND(Tasks[[#This Row],[_IsLeaf]]=1,Tasks[[#This Row],[_LeafProgress]]&lt;1,Tasks[[#This Row],[_ShownFcstFinish]]&gt;=StatusDate,Tasks[[#This Row],[_ShownFcstFinish]]&lt;=LookaheadEnd),Tasks[[#This Row],[_ShownFcstFinish]]+Tasks[[#This Row],[_Row]]/100000,"")</f>
        <v/>
      </c>
      <c r="ER132" s="32" t="str">
        <f aca="false">IF(Tasks[[#This Row],[_LeafCritical]],Tasks[[#This Row],[_ShownFcstStart]]+Tasks[[#This Row],[_Row]]/100000,"")</f>
        <v/>
      </c>
      <c r="ES132" s="32" t="n">
        <f aca="false">Tasks[[#This Row],[_LeafWork]]*Tasks[[#This Row],[_LeafProgress]]</f>
        <v>0</v>
      </c>
      <c r="ET132" s="115" t="str">
        <f aca="false">IF(AND(Tasks[[#This Row],[_IsLeaf]]=1,Tasks[[#This Row],[_LeafProgress]]&gt;=1),IF(N(Tasks[[#This Row],[Actual Finish]])&gt;0,Tasks[[#This Row],[Actual Finish]],Tasks[[#This Row],[_ShownFcstFinish]]),"")</f>
        <v/>
      </c>
      <c r="EU132" s="32" t="n">
        <f aca="false">IF(Tasks[[#This Row],[_IsLeaf]]=1,N(Tasks[[#This Row],[Story Points]]),0)</f>
        <v>0</v>
      </c>
      <c r="EV132" s="32" t="str">
        <f aca="false">IF(AND(Tasks[[#This Row],[_IsLeaf]]=1,CurrentSprint&lt;&gt;"",Tasks[[#This Row],[Sprint]]=CurrentSprint),Tasks[[#This Row],[_Row]],"")</f>
        <v/>
      </c>
    </row>
    <row r="133" customFormat="false" ht="15" hidden="false" customHeight="false" outlineLevel="0" collapsed="false">
      <c r="A133" s="45" t="str">
        <f aca="false">IF(Tasks[[#This Row],[Task Name]]="","",COUNTA(Tasks[[#Headers],[Task Name]]:Tasks[[#This Row],[Task Name]])-1)</f>
        <v/>
      </c>
      <c r="B133" s="46" t="n">
        <v>128</v>
      </c>
      <c r="C13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3" s="46"/>
      <c r="E133" s="45" t="str">
        <f aca="false">IF(Tasks[[#This Row],[Task Name]]="","",IF(Tasks[[#This Row],[_Level]]&lt;=OutlineShowLevel,"Yes","No"))</f>
        <v/>
      </c>
      <c r="F133" s="47"/>
      <c r="G133" s="46"/>
      <c r="H133" s="46"/>
      <c r="I133" s="46"/>
      <c r="J133" s="46"/>
      <c r="K133" s="46"/>
      <c r="L133" s="46"/>
      <c r="M133" s="46"/>
      <c r="N133" s="46"/>
      <c r="O133" s="46"/>
      <c r="P133" s="46"/>
      <c r="Q133" s="46"/>
      <c r="R133" s="46"/>
      <c r="S133" s="46"/>
      <c r="T133" s="46"/>
      <c r="U133" s="47"/>
      <c r="V133" s="88"/>
      <c r="W133" s="88"/>
      <c r="X133" s="25" t="str">
        <f aca="false">IF(Tasks[[#This Row],[Task Name]]="","",IF(N(Tasks[[#This Row],[Baseline Start]])&gt;0,Tasks[[#This Row],[Baseline Start]],Tasks[[#This Row],[_CalcStart]]))</f>
        <v/>
      </c>
      <c r="Y133" s="25" t="str">
        <f aca="false">IF(Tasks[[#This Row],[Task Name]]="","",IF(N(Tasks[[#This Row],[Baseline Finish]])&gt;0,Tasks[[#This Row],[Baseline Finish]],Tasks[[#This Row],[_CalcFinish]]))</f>
        <v/>
      </c>
      <c r="Z133" s="88"/>
      <c r="AA133" s="88"/>
      <c r="AB133" s="25" t="str">
        <f aca="false">IF(Tasks[[#This Row],[Task Name]]="","",IF(Tasks[[#This Row],[_IsSummary]],MIN(INDEX(Tasks[_ShownFcstStart],Tasks[[#This Row],[_Row]]+1):INDEX(Tasks[_ShownFcstStart],Tasks[[#This Row],[_Row]]+Tasks[[#This Row],[_Descendants]])),Tasks[[#This Row],[_ShownFcstStart]]))</f>
        <v/>
      </c>
      <c r="AC133" s="25" t="str">
        <f aca="false">IF(Tasks[[#This Row],[Task Name]]="","",IF(Tasks[[#This Row],[_IsSummary]],MAX(INDEX(Tasks[_ShownFcstFinish],Tasks[[#This Row],[_Row]]+1):INDEX(Tasks[_ShownFcstFinish],Tasks[[#This Row],[_Row]]+Tasks[[#This Row],[_Descendants]])),Tasks[[#This Row],[_ShownFcstFinish]]))</f>
        <v/>
      </c>
      <c r="AD13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3" s="25" t="str">
        <f aca="false">IF(Tasks[[#This Row],[Task Name]]="","",IF(Tasks[[#This Row],[_IsSummary]],MIN(INDEX(Tasks[_LeafLateStart],Tasks[[#This Row],[_Row]]+1):INDEX(Tasks[_LeafLateStart],Tasks[[#This Row],[_Row]]+Tasks[[#This Row],[_Descendants]])),Tasks[[#This Row],[_LeafLateStart]]))</f>
        <v/>
      </c>
      <c r="AG133" s="25" t="str">
        <f aca="false">IF(Tasks[[#This Row],[Task Name]]="","",IF(Tasks[[#This Row],[_IsSummary]],MAX(INDEX(Tasks[_LeafLateFinish],Tasks[[#This Row],[_Row]]+1):INDEX(Tasks[_LeafLateFinish],Tasks[[#This Row],[_Row]]+Tasks[[#This Row],[_Descendants]])),Tasks[[#This Row],[_LeafLateFinish]]))</f>
        <v/>
      </c>
      <c r="AH133" s="56" t="str">
        <f aca="false">IF(Tasks[[#This Row],[Task Name]]="","",IF(Tasks[[#This Row],[_IsSummary]],MIN(INDEX(Tasks[_LeafTotalSlack],Tasks[[#This Row],[_Row]]+1):INDEX(Tasks[_LeafTotalSlack],Tasks[[#This Row],[_Row]]+Tasks[[#This Row],[_Descendants]])),Tasks[[#This Row],[_LeafTotalSlack]]))</f>
        <v/>
      </c>
      <c r="AI13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3" s="45" t="str">
        <f aca="false">IF(Tasks[[#This Row],[Task Name]]="","",IF(IF(Tasks[[#This Row],[_IsSummary]],COUNTIF(INDEX(Tasks[_LeafCritical],Tasks[[#This Row],[_Row]]+1):INDEX(Tasks[_LeafCritical],Tasks[[#This Row],[_Row]]+Tasks[[#This Row],[_Descendants]]),TRUE())&gt;0,Tasks[[#This Row],[_LeafCritical]]),"Yes",""))</f>
        <v/>
      </c>
      <c r="AK13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3" s="102"/>
      <c r="AN13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3" s="45" t="str">
        <f aca="false">IF(Tasks[[#This Row],[Task Name]]="","",IF(Tasks[[#This Row],[Progress]]&gt;=1,"Complete",IF(OR(N(Tasks[[#This Row],[Actual Start]])&gt;0,Tasks[[#This Row],[Progress]]&gt;0),IF(Tasks[[#This Row],[Finish Var]]&gt;0,"Behind","In Progress"),IF(Tasks[[#This Row],[Planned Start]]&lt;StatusDate,"Late Start","Not Started"))))</f>
        <v/>
      </c>
      <c r="AP133" s="47"/>
      <c r="AQ133" s="102"/>
      <c r="AR13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3" s="110" t="str">
        <f aca="false">IF(Tasks[[#This Row],[Task Name]]="","",IF(Tasks[[#This Row],[_IsSummary]],SUM(INDEX(Tasks[_LeafTotalWork],Tasks[[#This Row],[_Row]]+1):INDEX(Tasks[_LeafTotalWork],Tasks[[#This Row],[_Row]]+Tasks[[#This Row],[_Descendants]])),Tasks[[#This Row],[_LeafTotalWork]]))</f>
        <v/>
      </c>
      <c r="AU133" s="111" t="str">
        <f aca="false">IF(Tasks[[#This Row],[Task Name]]="","",IF(Tasks[[#This Row],[_IsSummary]],SUM(INDEX(Tasks[_LeafTotalCost],Tasks[[#This Row],[_Row]]+1):INDEX(Tasks[_LeafTotalCost],Tasks[[#This Row],[_Row]]+Tasks[[#This Row],[_Descendants]])),Tasks[[#This Row],[_LeafTotalCost]]))</f>
        <v/>
      </c>
      <c r="AV133" s="112"/>
      <c r="AW133" s="46"/>
      <c r="AX13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3" s="96"/>
      <c r="AZ13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3" s="47"/>
      <c r="BB133" s="25" t="str">
        <f aca="false">IF(Tasks[[#This Row],[Task Name]]="","",Tasks[[#This Row],[Forecast Start]])</f>
        <v/>
      </c>
      <c r="BC133" s="25" t="str">
        <f aca="false">IF(Tasks[[#This Row],[Task Name]]="","",Tasks[[#This Row],[Forecast Finish]])</f>
        <v/>
      </c>
      <c r="BD133" s="45" t="str">
        <f aca="false">IF(Tasks[[#This Row],[Task Name]]="","",IF(Tasks[[#This Row],[_IsSummary]],NETWORKDAYS.INTL(Tasks[[#This Row],[Forecast Start]],Tasks[[#This Row],[Forecast Finish]],WorkWeek,Holidays),N(Tasks[[#This Row],[Duration]])))</f>
        <v/>
      </c>
      <c r="BE133" s="110" t="str">
        <f aca="false">IF(Tasks[[#This Row],[Task Name]]="","",Tasks[[#This Row],[Work]])</f>
        <v/>
      </c>
      <c r="BF133" s="111" t="str">
        <f aca="false">IF(Tasks[[#This Row],[Task Name]]="","",Tasks[[#This Row],[Cost]])</f>
        <v/>
      </c>
      <c r="BG133" s="88"/>
      <c r="BH133" s="88"/>
      <c r="BI133" s="46"/>
      <c r="BJ133" s="113"/>
      <c r="BK133" s="112"/>
      <c r="BL133" s="45" t="str">
        <f aca="false">IF(OR(Tasks[[#This Row],[Task Name]]="",Tasks[[#This Row],[Baseline Duration]]=""),"",Tasks[[#This Row],[BL Source Duration]]-N(Tasks[[#This Row],[Baseline Duration]]))</f>
        <v/>
      </c>
      <c r="BM133" s="110" t="str">
        <f aca="false">IF(OR(Tasks[[#This Row],[Task Name]]="",Tasks[[#This Row],[Baseline Work]]=""),"",Tasks[[#This Row],[Work]]-N(Tasks[[#This Row],[Baseline Work]]))</f>
        <v/>
      </c>
      <c r="BN133" s="111" t="str">
        <f aca="false">IF(OR(Tasks[[#This Row],[Task Name]]="",Tasks[[#This Row],[Baseline Cost]]=""),"",Tasks[[#This Row],[Cost]]-N(Tasks[[#This Row],[Baseline Cost]]))</f>
        <v/>
      </c>
      <c r="BO133" s="111" t="str">
        <f aca="false">IF(Tasks[[#This Row],[Task Name]]="","",IF(Tasks[[#This Row],[_IsSummary]],SUM(INDEX(Tasks[_LeafBudget],Tasks[[#This Row],[_Row]]+1):INDEX(Tasks[_LeafBudget],Tasks[[#This Row],[_Row]]+Tasks[[#This Row],[_Descendants]])),Tasks[[#This Row],[_LeafBudget]]))</f>
        <v/>
      </c>
      <c r="BP133" s="111" t="str">
        <f aca="false">IF(Tasks[[#This Row],[Task Name]]="","",IF(Tasks[[#This Row],[_IsSummary]],SUM(INDEX(Tasks[_LeafPV],Tasks[[#This Row],[_Row]]+1):INDEX(Tasks[_LeafPV],Tasks[[#This Row],[_Row]]+Tasks[[#This Row],[_Descendants]])),Tasks[[#This Row],[_LeafPV]]))</f>
        <v/>
      </c>
      <c r="BQ133" s="111" t="str">
        <f aca="false">IF(Tasks[[#This Row],[Task Name]]="","",IF(Tasks[[#This Row],[_IsSummary]],SUM(INDEX(Tasks[_LeafEV],Tasks[[#This Row],[_Row]]+1):INDEX(Tasks[_LeafEV],Tasks[[#This Row],[_Row]]+Tasks[[#This Row],[_Descendants]])),Tasks[[#This Row],[_LeafEV]]))</f>
        <v/>
      </c>
      <c r="BR133" s="111" t="str">
        <f aca="false">IF(Tasks[[#This Row],[Task Name]]="","",IF(Tasks[[#This Row],[_IsSummary]],SUM(INDEX(Tasks[_LeafAC],Tasks[[#This Row],[_Row]]+1):INDEX(Tasks[_LeafAC],Tasks[[#This Row],[_Row]]+Tasks[[#This Row],[_Descendants]])),Tasks[[#This Row],[_LeafAC]]))</f>
        <v/>
      </c>
      <c r="BS133" s="32" t="str">
        <f aca="false">IF(Tasks[[#This Row],[Task Name]]="","",MAX(1,N(Tasks[[#This Row],[Level]])))</f>
        <v/>
      </c>
      <c r="BT133" s="32" t="n">
        <f aca="false">ROW()-ROW(Tasks[[#Headers],[ID]])</f>
        <v>128</v>
      </c>
      <c r="BU133" s="32" t="n">
        <f aca="false">IF(OR(Tasks[[#This Row],[Task Name]]="",Tasks[[#This Row],[_Level]]&lt;=1),0,IFERROR(LOOKUP(2,1/(Tasks[[#Headers],[_Level]]:Tasks[[#This Row],[_Level]]=Tasks[[#This Row],[_Level]]-1),ROW(Tasks[[#Headers],[_Level]]:Tasks[[#This Row],[_Level]])),0))</f>
        <v>0</v>
      </c>
      <c r="BV133" s="32" t="n">
        <f aca="false">IFERROR(N(INDEX(Tasks[_Level],Tasks[[#This Row],[_Row]]+1)),0)</f>
        <v>0</v>
      </c>
      <c r="BW133" s="114" t="b">
        <f aca="false">AND(Tasks[[#This Row],[Task Name]]&lt;&gt;"",Tasks[[#This Row],[_NextLevel]]&gt;Tasks[[#This Row],[_Level]])</f>
        <v>0</v>
      </c>
      <c r="BX133" s="32" t="n">
        <f aca="false">IF(Tasks[[#This Row],[_IsSummary]],COUNTIF(Tasks[WBS],Tasks[[#This Row],[WBS]]&amp;".*"),0)</f>
        <v>0</v>
      </c>
      <c r="BY133" s="32" t="n">
        <f aca="false">IF(AND(Tasks[[#This Row],[Task Name]]&lt;&gt;"",NOT(Tasks[[#This Row],[_IsSummary]])),1,0)</f>
        <v>0</v>
      </c>
      <c r="BZ133" s="32" t="n">
        <f aca="false">IF(N(Tasks[[#This Row],[Pred1 UID]])=0,0,IFERROR(MATCH(Tasks[[#This Row],[Pred1 UID]],Tasks[UID],0),-1))</f>
        <v>0</v>
      </c>
      <c r="CA133" s="32" t="n">
        <f aca="false">IF(N(Tasks[[#This Row],[Pred2 UID]])=0,0,IFERROR(MATCH(Tasks[[#This Row],[Pred2 UID]],Tasks[UID],0),-1))</f>
        <v>0</v>
      </c>
      <c r="CB133" s="32" t="n">
        <f aca="false">IF(N(Tasks[[#This Row],[Pred3 UID]])=0,0,IFERROR(MATCH(Tasks[[#This Row],[Pred3 UID]],Tasks[UID],0),-1))</f>
        <v>0</v>
      </c>
      <c r="CC133" s="32" t="n">
        <f aca="false">IF(N(Tasks[[#This Row],[Pred4 UID]])=0,0,IFERROR(MATCH(Tasks[[#This Row],[Pred4 UID]],Tasks[UID],0),-1))</f>
        <v>0</v>
      </c>
      <c r="CD13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3" s="115" t="n">
        <f aca="false">IF(OR(Tasks[[#This Row],[_ConstraintCode]]=2,Tasks[[#This Row],[_ConstraintCode]]=3,Tasks[[#This Row],[_ConstraintCode]]=4,Tasks[[#This Row],[_ConstraintCode]]=6),Tasks[[#This Row],[_ConstraintStart]],0)</f>
        <v>0</v>
      </c>
      <c r="CG133" s="115" t="n">
        <f aca="false">IF(OR(Tasks[[#This Row],[_ConstraintCode]]=2,Tasks[[#This Row],[_ConstraintCode]]=3,Tasks[[#This Row],[_ConstraintCode]]=5,Tasks[[#This Row],[_ConstraintCode]]=7),Tasks[[#This Row],[_ConstraintStart]],2958465)</f>
        <v>2958465</v>
      </c>
      <c r="CH13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3" s="115" t="str">
        <f aca="false">IF(NOT(Tasks[[#This Row],[_IsLeaf]]=1),"",IF(N(Tasks[[#This Row],[Duration]])&lt;=0,Tasks[[#This Row],[_LeafCalcStart]],WORKDAY.INTL(Tasks[[#This Row],[_LeafCalcStart]],Tasks[[#This Row],[Duration]]-1,WorkWeek,Holidays)))</f>
        <v/>
      </c>
      <c r="CJ13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3" s="32" t="n">
        <f aca="false">IF(NOT(Tasks[[#This Row],[_IsLeaf]]=1),0,IF(N(Tasks[[#This Row],[Actual Finish]])&gt;0,1,MIN(1,N(Tasks[[#This Row],[% Complete]]))))</f>
        <v>0</v>
      </c>
      <c r="CM133" s="32" t="n">
        <f aca="false">IF(OR(NOT(Tasks[[#This Row],[_IsLeaf]]=1),Tasks[[#This Row],[Resource]]=""),0,N(Tasks[[#This Row],[Duration]])*HoursPerDay*IF(Tasks[[#This Row],[Units]]="",DefaultUnits,Tasks[[#This Row],[Units]]))</f>
        <v>0</v>
      </c>
      <c r="CN133" s="32" t="n">
        <f aca="false">IF(Tasks[[#This Row],[_LeafWork]]=0,0,Tasks[[#This Row],[_LeafWork]]*IFERROR(INDEX(res_Rate,MATCH(Tasks[[#This Row],[Resource]],res_Name,0)),0))</f>
        <v>0</v>
      </c>
      <c r="CO133" s="32" t="n">
        <f aca="false">Tasks[[#This Row],[_LeafWork]]+IF(Tasks[[#This Row],[_IsLeaf]]=1,SUMIFS(asg_Work,asg_TaskUID,Tasks[[#This Row],[UID]],asg_Valid,1),0)</f>
        <v>0</v>
      </c>
      <c r="CP133" s="32" t="n">
        <f aca="false">Tasks[[#This Row],[_LeafCost]]+IF(Tasks[[#This Row],[_IsLeaf]]=1,SUMIFS(asg_Cost,asg_TaskUID,Tasks[[#This Row],[UID]],asg_Valid,1),0)</f>
        <v>0</v>
      </c>
      <c r="CQ133" s="32" t="n">
        <f aca="false">IF(Tasks[[#This Row],[_LeafTotalCost]]=0,Tasks[[#This Row],[_LeafAC]],Tasks[[#This Row],[_LeafAC]]*Tasks[[#This Row],[_LeafCost]]/Tasks[[#This Row],[_LeafTotalCost]])</f>
        <v>0</v>
      </c>
      <c r="CR13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3" s="32" t="n">
        <f aca="false">IF(NOT(Tasks[[#This Row],[_IsLeaf]]=1),0,MAX(_xlfn.MAXIFS(Tasks[_Row],Tasks[Pred1 UID],Tasks[[#This Row],[UID]]),_xlfn.MAXIFS(Tasks[_Row],Tasks[Pred2 UID],Tasks[[#This Row],[UID]]),_xlfn.MAXIFS(Tasks[_Row],Tasks[Pred3 UID],Tasks[[#This Row],[UID]]),_xlfn.MAXIFS(Tasks[_Row],Tasks[Pred4 UID],Tasks[[#This Row],[UID]])))</f>
        <v>0</v>
      </c>
      <c r="DA13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3" s="115" t="str">
        <f aca="false">IF(NOT(Tasks[[#This Row],[_IsLeaf]]=1),"",IF(N(Tasks[[#This Row],[Duration]])&lt;=0,Tasks[[#This Row],[_LeafLateFinish]],WORKDAY.INTL(Tasks[[#This Row],[_LeafLateFinish]],-(Tasks[[#This Row],[Duration]]-1),WorkWeek,Holidays)))</f>
        <v/>
      </c>
      <c r="DD13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3" s="114" t="b">
        <f aca="false">AND(Tasks[[#This Row],[_IsLeaf]]=1,Tasks[[#This Row],[_LeafProgress]]&lt;1,N(Tasks[[#This Row],[_LeafTotalSlack]])&lt;=CriticalSlackDays)</f>
        <v>0</v>
      </c>
      <c r="DF133" s="32" t="n">
        <f aca="false">IF(AND(Tasks[[#This Row],[_IsLeaf]]=1,Tasks[[#This Row],[_ConstraintCode]]=1,Tasks[[#This Row],[Mode]]&lt;&gt;"Manual",N(Tasks[[#This Row],[Actual Start]])=0),MAX(0,N(Tasks[[#This Row],[Free Slack]])),0)</f>
        <v>0</v>
      </c>
      <c r="DG133" s="115" t="str">
        <f aca="false">IF(NOT(Tasks[[#This Row],[_IsLeaf]]=1),"",IF(Tasks[[#This Row],[_AlapShift]]=0,Tasks[[#This Row],[_LeafCalcStart]],WORKDAY.INTL(Tasks[[#This Row],[_LeafCalcStart]],Tasks[[#This Row],[_AlapShift]],WorkWeek,Holidays)))</f>
        <v/>
      </c>
      <c r="DH133" s="115" t="str">
        <f aca="false">IF(NOT(Tasks[[#This Row],[_IsLeaf]]=1),"",IF(Tasks[[#This Row],[_AlapShift]]=0,Tasks[[#This Row],[_LeafCalcFinish]],WORKDAY.INTL(Tasks[[#This Row],[_LeafCalcFinish]],Tasks[[#This Row],[_AlapShift]],WorkWeek,Holidays)))</f>
        <v/>
      </c>
      <c r="DI133" s="115" t="str">
        <f aca="false">IF(NOT(Tasks[[#This Row],[_IsLeaf]]=1),"",IF(Tasks[[#This Row],[_AlapShift]]=0,Tasks[[#This Row],[_LeafFcstStart]],WORKDAY.INTL(Tasks[[#This Row],[_LeafFcstStart]],Tasks[[#This Row],[_AlapShift]],WorkWeek,Holidays)))</f>
        <v/>
      </c>
      <c r="DJ133" s="115" t="str">
        <f aca="false">IF(NOT(Tasks[[#This Row],[_IsLeaf]]=1),"",IF(Tasks[[#This Row],[_AlapShift]]=0,Tasks[[#This Row],[_LeafFcstFinish]],WORKDAY.INTL(Tasks[[#This Row],[_LeafFcstFinish]],Tasks[[#This Row],[_AlapShift]],WorkWeek,Holidays)))</f>
        <v/>
      </c>
      <c r="DK133" s="115" t="str">
        <f aca="false">IF(Tasks[[#This Row],[Task Name]]="","",IF(Tasks[[#This Row],[_IsSummary]],MIN(INDEX(Tasks[_ShownCalcStart],Tasks[[#This Row],[_Row]]+1):INDEX(Tasks[_ShownCalcStart],Tasks[[#This Row],[_Row]]+Tasks[[#This Row],[_Descendants]])),Tasks[[#This Row],[_ShownCalcStart]]))</f>
        <v/>
      </c>
      <c r="DL133" s="115" t="str">
        <f aca="false">IF(Tasks[[#This Row],[Task Name]]="","",IF(Tasks[[#This Row],[_IsSummary]],MAX(INDEX(Tasks[_ShownCalcFinish],Tasks[[#This Row],[_Row]]+1):INDEX(Tasks[_ShownCalcFinish],Tasks[[#This Row],[_Row]]+Tasks[[#This Row],[_Descendants]])),Tasks[[#This Row],[_ShownCalcFinish]]))</f>
        <v/>
      </c>
      <c r="DM13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3" s="32" t="n">
        <f aca="false">IF(AND(Tasks[[#This Row],[_IsLeaf]]=1,Tasks[[#This Row],[_LeafTotalWork]]&gt;0),NETWORKDAYS.INTL(ProjectStart,Tasks[[#This Row],[_ShownFcstStart]],WorkWeek,Holidays),0)</f>
        <v>0</v>
      </c>
      <c r="DZ133" s="32" t="n">
        <f aca="false">IF(AND(Tasks[[#This Row],[_IsLeaf]]=1,Tasks[[#This Row],[_LeafTotalWork]]&gt;0),MAX(Tasks[[#This Row],[_StartWorkday]],NETWORKDAYS.INTL(ProjectStart,Tasks[[#This Row],[_ShownFcstFinish]],WorkWeek,Holidays)),0)</f>
        <v>0</v>
      </c>
      <c r="EA133" s="32" t="n">
        <f aca="false">IF(AND(Tasks[[#This Row],[_IsLeaf]]=1,Tasks[[#This Row],[_LeafTotalWork]]&gt;0),Tasks[[#This Row],[_LeafWork]]/(Tasks[[#This Row],[_FinishWorkday]]-Tasks[[#This Row],[_StartWorkday]]+1),0)</f>
        <v>0</v>
      </c>
      <c r="EB133" s="32" t="n">
        <f aca="false">Tasks[[#This Row],[_WorkPerWorkday]]*(Tasks[[#This Row],[_StartWorkday]]-1)</f>
        <v>-0</v>
      </c>
      <c r="EC133" s="32" t="n">
        <f aca="false">IF(Tasks[[#This Row],[_IsLeaf]]=1,MAX(N(Tasks[[#This Row],[Duration]]),0.1),0)</f>
        <v>0</v>
      </c>
      <c r="ED133" s="32" t="n">
        <f aca="false">Tasks[[#This Row],[_WeightDur]]*Tasks[[#This Row],[_LeafProgress]]</f>
        <v>0</v>
      </c>
      <c r="EE13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3" s="32" t="str">
        <f aca="false">IF(AND(Tasks[[#This Row],[_IsLeaf]]=1,N(Tasks[[#This Row],[Duration]])=0,Tasks[[#This Row],[_LeafProgress]]&lt;1),Tasks[[#This Row],[_ShownFcstFinish]]+Tasks[[#This Row],[_Row]]/100000,"")</f>
        <v/>
      </c>
      <c r="EG13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3" s="32" t="n">
        <f aca="false">IF(NOT(Tasks[[#This Row],[_IsLeaf]]=1),0,IF(Tasks[[#This Row],[Baseline Cost]]="",Tasks[[#This Row],[_LeafTotalCost]],N(Tasks[[#This Row],[Baseline Cost]])))</f>
        <v>0</v>
      </c>
      <c r="EI133" s="32" t="n">
        <f aca="false">Tasks[[#This Row],[_LeafBudget]]*Tasks[[#This Row],[_PlannedPct]]</f>
        <v>0</v>
      </c>
      <c r="EJ133" s="32" t="n">
        <f aca="false">Tasks[[#This Row],[_LeafBudget]]*Tasks[[#This Row],[_LeafProgress]]</f>
        <v>0</v>
      </c>
      <c r="EK133" s="32" t="n">
        <f aca="false">IF(NOT(Tasks[[#This Row],[_IsLeaf]]=1),0,IF(Tasks[[#This Row],[Actual Cost]]="",Tasks[[#This Row],[_LeafTotalCost]]*Tasks[[#This Row],[_LeafProgress]],N(Tasks[[#This Row],[Actual Cost]])))</f>
        <v>0</v>
      </c>
      <c r="EL133" s="32" t="str">
        <f aca="false">IF(Tasks[[#This Row],[Task Name]]="","",LEFT(Tasks[[#This Row],[WBS]],FIND(".",Tasks[[#This Row],[WBS]]&amp;".")-1))</f>
        <v/>
      </c>
      <c r="EM133" s="32" t="str">
        <f aca="false">IF(AND(Tasks[[#This Row],[Task Name]]&lt;&gt;"",Tasks[[#This Row],[_Level]]=1),Tasks[[#This Row],[_Row]],"")</f>
        <v/>
      </c>
      <c r="EN133" s="32" t="str">
        <f aca="false">IF(AND(Tasks[[#This Row],[_IsLeaf]]=1,N(Tasks[[#This Row],[Duration]])=0),Tasks[[#This Row],[Planned Finish]]+Tasks[[#This Row],[_Row]]/100000,"")</f>
        <v/>
      </c>
      <c r="EO133" s="32" t="str">
        <f aca="false">IF(AND(Tasks[[#This Row],[_IsLeaf]]=1,Tasks[[#This Row],[_LeafProgress]]&lt;1,OR(N(Tasks[[#This Row],[Finish Var]])&gt;0,Tasks[[#This Row],[Status]]="Late Start")),MAX(0,Tasks[[#This Row],[Finish Var]])+1-Tasks[[#This Row],[_Row]]/1000000,"")</f>
        <v/>
      </c>
      <c r="EP133" s="32" t="str">
        <f aca="false">IF(AND(Tasks[[#This Row],[_IsLeaf]]=1,N(Tasks[[#This Row],[Actual Start]])=0,Tasks[[#This Row],[_ShownFcstStart]]&gt;=StatusDate,Tasks[[#This Row],[_ShownFcstStart]]&lt;=LookaheadEnd),Tasks[[#This Row],[_ShownFcstStart]]+Tasks[[#This Row],[_Row]]/100000,"")</f>
        <v/>
      </c>
      <c r="EQ133" s="32" t="str">
        <f aca="false">IF(AND(Tasks[[#This Row],[_IsLeaf]]=1,Tasks[[#This Row],[_LeafProgress]]&lt;1,Tasks[[#This Row],[_ShownFcstFinish]]&gt;=StatusDate,Tasks[[#This Row],[_ShownFcstFinish]]&lt;=LookaheadEnd),Tasks[[#This Row],[_ShownFcstFinish]]+Tasks[[#This Row],[_Row]]/100000,"")</f>
        <v/>
      </c>
      <c r="ER133" s="32" t="str">
        <f aca="false">IF(Tasks[[#This Row],[_LeafCritical]],Tasks[[#This Row],[_ShownFcstStart]]+Tasks[[#This Row],[_Row]]/100000,"")</f>
        <v/>
      </c>
      <c r="ES133" s="32" t="n">
        <f aca="false">Tasks[[#This Row],[_LeafWork]]*Tasks[[#This Row],[_LeafProgress]]</f>
        <v>0</v>
      </c>
      <c r="ET133" s="115" t="str">
        <f aca="false">IF(AND(Tasks[[#This Row],[_IsLeaf]]=1,Tasks[[#This Row],[_LeafProgress]]&gt;=1),IF(N(Tasks[[#This Row],[Actual Finish]])&gt;0,Tasks[[#This Row],[Actual Finish]],Tasks[[#This Row],[_ShownFcstFinish]]),"")</f>
        <v/>
      </c>
      <c r="EU133" s="32" t="n">
        <f aca="false">IF(Tasks[[#This Row],[_IsLeaf]]=1,N(Tasks[[#This Row],[Story Points]]),0)</f>
        <v>0</v>
      </c>
      <c r="EV133" s="32" t="str">
        <f aca="false">IF(AND(Tasks[[#This Row],[_IsLeaf]]=1,CurrentSprint&lt;&gt;"",Tasks[[#This Row],[Sprint]]=CurrentSprint),Tasks[[#This Row],[_Row]],"")</f>
        <v/>
      </c>
    </row>
    <row r="134" customFormat="false" ht="15" hidden="false" customHeight="false" outlineLevel="0" collapsed="false">
      <c r="A134" s="45" t="str">
        <f aca="false">IF(Tasks[[#This Row],[Task Name]]="","",COUNTA(Tasks[[#Headers],[Task Name]]:Tasks[[#This Row],[Task Name]])-1)</f>
        <v/>
      </c>
      <c r="B134" s="46" t="n">
        <v>129</v>
      </c>
      <c r="C13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4" s="46"/>
      <c r="E134" s="45" t="str">
        <f aca="false">IF(Tasks[[#This Row],[Task Name]]="","",IF(Tasks[[#This Row],[_Level]]&lt;=OutlineShowLevel,"Yes","No"))</f>
        <v/>
      </c>
      <c r="F134" s="47"/>
      <c r="G134" s="46"/>
      <c r="H134" s="46"/>
      <c r="I134" s="46"/>
      <c r="J134" s="46"/>
      <c r="K134" s="46"/>
      <c r="L134" s="46"/>
      <c r="M134" s="46"/>
      <c r="N134" s="46"/>
      <c r="O134" s="46"/>
      <c r="P134" s="46"/>
      <c r="Q134" s="46"/>
      <c r="R134" s="46"/>
      <c r="S134" s="46"/>
      <c r="T134" s="46"/>
      <c r="U134" s="47"/>
      <c r="V134" s="88"/>
      <c r="W134" s="88"/>
      <c r="X134" s="25" t="str">
        <f aca="false">IF(Tasks[[#This Row],[Task Name]]="","",IF(N(Tasks[[#This Row],[Baseline Start]])&gt;0,Tasks[[#This Row],[Baseline Start]],Tasks[[#This Row],[_CalcStart]]))</f>
        <v/>
      </c>
      <c r="Y134" s="25" t="str">
        <f aca="false">IF(Tasks[[#This Row],[Task Name]]="","",IF(N(Tasks[[#This Row],[Baseline Finish]])&gt;0,Tasks[[#This Row],[Baseline Finish]],Tasks[[#This Row],[_CalcFinish]]))</f>
        <v/>
      </c>
      <c r="Z134" s="88"/>
      <c r="AA134" s="88"/>
      <c r="AB134" s="25" t="str">
        <f aca="false">IF(Tasks[[#This Row],[Task Name]]="","",IF(Tasks[[#This Row],[_IsSummary]],MIN(INDEX(Tasks[_ShownFcstStart],Tasks[[#This Row],[_Row]]+1):INDEX(Tasks[_ShownFcstStart],Tasks[[#This Row],[_Row]]+Tasks[[#This Row],[_Descendants]])),Tasks[[#This Row],[_ShownFcstStart]]))</f>
        <v/>
      </c>
      <c r="AC134" s="25" t="str">
        <f aca="false">IF(Tasks[[#This Row],[Task Name]]="","",IF(Tasks[[#This Row],[_IsSummary]],MAX(INDEX(Tasks[_ShownFcstFinish],Tasks[[#This Row],[_Row]]+1):INDEX(Tasks[_ShownFcstFinish],Tasks[[#This Row],[_Row]]+Tasks[[#This Row],[_Descendants]])),Tasks[[#This Row],[_ShownFcstFinish]]))</f>
        <v/>
      </c>
      <c r="AD13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4" s="25" t="str">
        <f aca="false">IF(Tasks[[#This Row],[Task Name]]="","",IF(Tasks[[#This Row],[_IsSummary]],MIN(INDEX(Tasks[_LeafLateStart],Tasks[[#This Row],[_Row]]+1):INDEX(Tasks[_LeafLateStart],Tasks[[#This Row],[_Row]]+Tasks[[#This Row],[_Descendants]])),Tasks[[#This Row],[_LeafLateStart]]))</f>
        <v/>
      </c>
      <c r="AG134" s="25" t="str">
        <f aca="false">IF(Tasks[[#This Row],[Task Name]]="","",IF(Tasks[[#This Row],[_IsSummary]],MAX(INDEX(Tasks[_LeafLateFinish],Tasks[[#This Row],[_Row]]+1):INDEX(Tasks[_LeafLateFinish],Tasks[[#This Row],[_Row]]+Tasks[[#This Row],[_Descendants]])),Tasks[[#This Row],[_LeafLateFinish]]))</f>
        <v/>
      </c>
      <c r="AH134" s="56" t="str">
        <f aca="false">IF(Tasks[[#This Row],[Task Name]]="","",IF(Tasks[[#This Row],[_IsSummary]],MIN(INDEX(Tasks[_LeafTotalSlack],Tasks[[#This Row],[_Row]]+1):INDEX(Tasks[_LeafTotalSlack],Tasks[[#This Row],[_Row]]+Tasks[[#This Row],[_Descendants]])),Tasks[[#This Row],[_LeafTotalSlack]]))</f>
        <v/>
      </c>
      <c r="AI13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4" s="45" t="str">
        <f aca="false">IF(Tasks[[#This Row],[Task Name]]="","",IF(IF(Tasks[[#This Row],[_IsSummary]],COUNTIF(INDEX(Tasks[_LeafCritical],Tasks[[#This Row],[_Row]]+1):INDEX(Tasks[_LeafCritical],Tasks[[#This Row],[_Row]]+Tasks[[#This Row],[_Descendants]]),TRUE())&gt;0,Tasks[[#This Row],[_LeafCritical]]),"Yes",""))</f>
        <v/>
      </c>
      <c r="AK13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4" s="102"/>
      <c r="AN13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4" s="45" t="str">
        <f aca="false">IF(Tasks[[#This Row],[Task Name]]="","",IF(Tasks[[#This Row],[Progress]]&gt;=1,"Complete",IF(OR(N(Tasks[[#This Row],[Actual Start]])&gt;0,Tasks[[#This Row],[Progress]]&gt;0),IF(Tasks[[#This Row],[Finish Var]]&gt;0,"Behind","In Progress"),IF(Tasks[[#This Row],[Planned Start]]&lt;StatusDate,"Late Start","Not Started"))))</f>
        <v/>
      </c>
      <c r="AP134" s="47"/>
      <c r="AQ134" s="102"/>
      <c r="AR13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4" s="110" t="str">
        <f aca="false">IF(Tasks[[#This Row],[Task Name]]="","",IF(Tasks[[#This Row],[_IsSummary]],SUM(INDEX(Tasks[_LeafTotalWork],Tasks[[#This Row],[_Row]]+1):INDEX(Tasks[_LeafTotalWork],Tasks[[#This Row],[_Row]]+Tasks[[#This Row],[_Descendants]])),Tasks[[#This Row],[_LeafTotalWork]]))</f>
        <v/>
      </c>
      <c r="AU134" s="111" t="str">
        <f aca="false">IF(Tasks[[#This Row],[Task Name]]="","",IF(Tasks[[#This Row],[_IsSummary]],SUM(INDEX(Tasks[_LeafTotalCost],Tasks[[#This Row],[_Row]]+1):INDEX(Tasks[_LeafTotalCost],Tasks[[#This Row],[_Row]]+Tasks[[#This Row],[_Descendants]])),Tasks[[#This Row],[_LeafTotalCost]]))</f>
        <v/>
      </c>
      <c r="AV134" s="112"/>
      <c r="AW134" s="46"/>
      <c r="AX13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4" s="96"/>
      <c r="AZ13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4" s="47"/>
      <c r="BB134" s="25" t="str">
        <f aca="false">IF(Tasks[[#This Row],[Task Name]]="","",Tasks[[#This Row],[Forecast Start]])</f>
        <v/>
      </c>
      <c r="BC134" s="25" t="str">
        <f aca="false">IF(Tasks[[#This Row],[Task Name]]="","",Tasks[[#This Row],[Forecast Finish]])</f>
        <v/>
      </c>
      <c r="BD134" s="45" t="str">
        <f aca="false">IF(Tasks[[#This Row],[Task Name]]="","",IF(Tasks[[#This Row],[_IsSummary]],NETWORKDAYS.INTL(Tasks[[#This Row],[Forecast Start]],Tasks[[#This Row],[Forecast Finish]],WorkWeek,Holidays),N(Tasks[[#This Row],[Duration]])))</f>
        <v/>
      </c>
      <c r="BE134" s="110" t="str">
        <f aca="false">IF(Tasks[[#This Row],[Task Name]]="","",Tasks[[#This Row],[Work]])</f>
        <v/>
      </c>
      <c r="BF134" s="111" t="str">
        <f aca="false">IF(Tasks[[#This Row],[Task Name]]="","",Tasks[[#This Row],[Cost]])</f>
        <v/>
      </c>
      <c r="BG134" s="88"/>
      <c r="BH134" s="88"/>
      <c r="BI134" s="46"/>
      <c r="BJ134" s="113"/>
      <c r="BK134" s="112"/>
      <c r="BL134" s="45" t="str">
        <f aca="false">IF(OR(Tasks[[#This Row],[Task Name]]="",Tasks[[#This Row],[Baseline Duration]]=""),"",Tasks[[#This Row],[BL Source Duration]]-N(Tasks[[#This Row],[Baseline Duration]]))</f>
        <v/>
      </c>
      <c r="BM134" s="110" t="str">
        <f aca="false">IF(OR(Tasks[[#This Row],[Task Name]]="",Tasks[[#This Row],[Baseline Work]]=""),"",Tasks[[#This Row],[Work]]-N(Tasks[[#This Row],[Baseline Work]]))</f>
        <v/>
      </c>
      <c r="BN134" s="111" t="str">
        <f aca="false">IF(OR(Tasks[[#This Row],[Task Name]]="",Tasks[[#This Row],[Baseline Cost]]=""),"",Tasks[[#This Row],[Cost]]-N(Tasks[[#This Row],[Baseline Cost]]))</f>
        <v/>
      </c>
      <c r="BO134" s="111" t="str">
        <f aca="false">IF(Tasks[[#This Row],[Task Name]]="","",IF(Tasks[[#This Row],[_IsSummary]],SUM(INDEX(Tasks[_LeafBudget],Tasks[[#This Row],[_Row]]+1):INDEX(Tasks[_LeafBudget],Tasks[[#This Row],[_Row]]+Tasks[[#This Row],[_Descendants]])),Tasks[[#This Row],[_LeafBudget]]))</f>
        <v/>
      </c>
      <c r="BP134" s="111" t="str">
        <f aca="false">IF(Tasks[[#This Row],[Task Name]]="","",IF(Tasks[[#This Row],[_IsSummary]],SUM(INDEX(Tasks[_LeafPV],Tasks[[#This Row],[_Row]]+1):INDEX(Tasks[_LeafPV],Tasks[[#This Row],[_Row]]+Tasks[[#This Row],[_Descendants]])),Tasks[[#This Row],[_LeafPV]]))</f>
        <v/>
      </c>
      <c r="BQ134" s="111" t="str">
        <f aca="false">IF(Tasks[[#This Row],[Task Name]]="","",IF(Tasks[[#This Row],[_IsSummary]],SUM(INDEX(Tasks[_LeafEV],Tasks[[#This Row],[_Row]]+1):INDEX(Tasks[_LeafEV],Tasks[[#This Row],[_Row]]+Tasks[[#This Row],[_Descendants]])),Tasks[[#This Row],[_LeafEV]]))</f>
        <v/>
      </c>
      <c r="BR134" s="111" t="str">
        <f aca="false">IF(Tasks[[#This Row],[Task Name]]="","",IF(Tasks[[#This Row],[_IsSummary]],SUM(INDEX(Tasks[_LeafAC],Tasks[[#This Row],[_Row]]+1):INDEX(Tasks[_LeafAC],Tasks[[#This Row],[_Row]]+Tasks[[#This Row],[_Descendants]])),Tasks[[#This Row],[_LeafAC]]))</f>
        <v/>
      </c>
      <c r="BS134" s="32" t="str">
        <f aca="false">IF(Tasks[[#This Row],[Task Name]]="","",MAX(1,N(Tasks[[#This Row],[Level]])))</f>
        <v/>
      </c>
      <c r="BT134" s="32" t="n">
        <f aca="false">ROW()-ROW(Tasks[[#Headers],[ID]])</f>
        <v>129</v>
      </c>
      <c r="BU134" s="32" t="n">
        <f aca="false">IF(OR(Tasks[[#This Row],[Task Name]]="",Tasks[[#This Row],[_Level]]&lt;=1),0,IFERROR(LOOKUP(2,1/(Tasks[[#Headers],[_Level]]:Tasks[[#This Row],[_Level]]=Tasks[[#This Row],[_Level]]-1),ROW(Tasks[[#Headers],[_Level]]:Tasks[[#This Row],[_Level]])),0))</f>
        <v>0</v>
      </c>
      <c r="BV134" s="32" t="n">
        <f aca="false">IFERROR(N(INDEX(Tasks[_Level],Tasks[[#This Row],[_Row]]+1)),0)</f>
        <v>0</v>
      </c>
      <c r="BW134" s="114" t="b">
        <f aca="false">AND(Tasks[[#This Row],[Task Name]]&lt;&gt;"",Tasks[[#This Row],[_NextLevel]]&gt;Tasks[[#This Row],[_Level]])</f>
        <v>0</v>
      </c>
      <c r="BX134" s="32" t="n">
        <f aca="false">IF(Tasks[[#This Row],[_IsSummary]],COUNTIF(Tasks[WBS],Tasks[[#This Row],[WBS]]&amp;".*"),0)</f>
        <v>0</v>
      </c>
      <c r="BY134" s="32" t="n">
        <f aca="false">IF(AND(Tasks[[#This Row],[Task Name]]&lt;&gt;"",NOT(Tasks[[#This Row],[_IsSummary]])),1,0)</f>
        <v>0</v>
      </c>
      <c r="BZ134" s="32" t="n">
        <f aca="false">IF(N(Tasks[[#This Row],[Pred1 UID]])=0,0,IFERROR(MATCH(Tasks[[#This Row],[Pred1 UID]],Tasks[UID],0),-1))</f>
        <v>0</v>
      </c>
      <c r="CA134" s="32" t="n">
        <f aca="false">IF(N(Tasks[[#This Row],[Pred2 UID]])=0,0,IFERROR(MATCH(Tasks[[#This Row],[Pred2 UID]],Tasks[UID],0),-1))</f>
        <v>0</v>
      </c>
      <c r="CB134" s="32" t="n">
        <f aca="false">IF(N(Tasks[[#This Row],[Pred3 UID]])=0,0,IFERROR(MATCH(Tasks[[#This Row],[Pred3 UID]],Tasks[UID],0),-1))</f>
        <v>0</v>
      </c>
      <c r="CC134" s="32" t="n">
        <f aca="false">IF(N(Tasks[[#This Row],[Pred4 UID]])=0,0,IFERROR(MATCH(Tasks[[#This Row],[Pred4 UID]],Tasks[UID],0),-1))</f>
        <v>0</v>
      </c>
      <c r="CD13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4" s="115" t="n">
        <f aca="false">IF(OR(Tasks[[#This Row],[_ConstraintCode]]=2,Tasks[[#This Row],[_ConstraintCode]]=3,Tasks[[#This Row],[_ConstraintCode]]=4,Tasks[[#This Row],[_ConstraintCode]]=6),Tasks[[#This Row],[_ConstraintStart]],0)</f>
        <v>0</v>
      </c>
      <c r="CG134" s="115" t="n">
        <f aca="false">IF(OR(Tasks[[#This Row],[_ConstraintCode]]=2,Tasks[[#This Row],[_ConstraintCode]]=3,Tasks[[#This Row],[_ConstraintCode]]=5,Tasks[[#This Row],[_ConstraintCode]]=7),Tasks[[#This Row],[_ConstraintStart]],2958465)</f>
        <v>2958465</v>
      </c>
      <c r="CH13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4" s="115" t="str">
        <f aca="false">IF(NOT(Tasks[[#This Row],[_IsLeaf]]=1),"",IF(N(Tasks[[#This Row],[Duration]])&lt;=0,Tasks[[#This Row],[_LeafCalcStart]],WORKDAY.INTL(Tasks[[#This Row],[_LeafCalcStart]],Tasks[[#This Row],[Duration]]-1,WorkWeek,Holidays)))</f>
        <v/>
      </c>
      <c r="CJ13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4" s="32" t="n">
        <f aca="false">IF(NOT(Tasks[[#This Row],[_IsLeaf]]=1),0,IF(N(Tasks[[#This Row],[Actual Finish]])&gt;0,1,MIN(1,N(Tasks[[#This Row],[% Complete]]))))</f>
        <v>0</v>
      </c>
      <c r="CM134" s="32" t="n">
        <f aca="false">IF(OR(NOT(Tasks[[#This Row],[_IsLeaf]]=1),Tasks[[#This Row],[Resource]]=""),0,N(Tasks[[#This Row],[Duration]])*HoursPerDay*IF(Tasks[[#This Row],[Units]]="",DefaultUnits,Tasks[[#This Row],[Units]]))</f>
        <v>0</v>
      </c>
      <c r="CN134" s="32" t="n">
        <f aca="false">IF(Tasks[[#This Row],[_LeafWork]]=0,0,Tasks[[#This Row],[_LeafWork]]*IFERROR(INDEX(res_Rate,MATCH(Tasks[[#This Row],[Resource]],res_Name,0)),0))</f>
        <v>0</v>
      </c>
      <c r="CO134" s="32" t="n">
        <f aca="false">Tasks[[#This Row],[_LeafWork]]+IF(Tasks[[#This Row],[_IsLeaf]]=1,SUMIFS(asg_Work,asg_TaskUID,Tasks[[#This Row],[UID]],asg_Valid,1),0)</f>
        <v>0</v>
      </c>
      <c r="CP134" s="32" t="n">
        <f aca="false">Tasks[[#This Row],[_LeafCost]]+IF(Tasks[[#This Row],[_IsLeaf]]=1,SUMIFS(asg_Cost,asg_TaskUID,Tasks[[#This Row],[UID]],asg_Valid,1),0)</f>
        <v>0</v>
      </c>
      <c r="CQ134" s="32" t="n">
        <f aca="false">IF(Tasks[[#This Row],[_LeafTotalCost]]=0,Tasks[[#This Row],[_LeafAC]],Tasks[[#This Row],[_LeafAC]]*Tasks[[#This Row],[_LeafCost]]/Tasks[[#This Row],[_LeafTotalCost]])</f>
        <v>0</v>
      </c>
      <c r="CR13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4" s="32" t="n">
        <f aca="false">IF(NOT(Tasks[[#This Row],[_IsLeaf]]=1),0,MAX(_xlfn.MAXIFS(Tasks[_Row],Tasks[Pred1 UID],Tasks[[#This Row],[UID]]),_xlfn.MAXIFS(Tasks[_Row],Tasks[Pred2 UID],Tasks[[#This Row],[UID]]),_xlfn.MAXIFS(Tasks[_Row],Tasks[Pred3 UID],Tasks[[#This Row],[UID]]),_xlfn.MAXIFS(Tasks[_Row],Tasks[Pred4 UID],Tasks[[#This Row],[UID]])))</f>
        <v>0</v>
      </c>
      <c r="DA13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4" s="115" t="str">
        <f aca="false">IF(NOT(Tasks[[#This Row],[_IsLeaf]]=1),"",IF(N(Tasks[[#This Row],[Duration]])&lt;=0,Tasks[[#This Row],[_LeafLateFinish]],WORKDAY.INTL(Tasks[[#This Row],[_LeafLateFinish]],-(Tasks[[#This Row],[Duration]]-1),WorkWeek,Holidays)))</f>
        <v/>
      </c>
      <c r="DD13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4" s="114" t="b">
        <f aca="false">AND(Tasks[[#This Row],[_IsLeaf]]=1,Tasks[[#This Row],[_LeafProgress]]&lt;1,N(Tasks[[#This Row],[_LeafTotalSlack]])&lt;=CriticalSlackDays)</f>
        <v>0</v>
      </c>
      <c r="DF134" s="32" t="n">
        <f aca="false">IF(AND(Tasks[[#This Row],[_IsLeaf]]=1,Tasks[[#This Row],[_ConstraintCode]]=1,Tasks[[#This Row],[Mode]]&lt;&gt;"Manual",N(Tasks[[#This Row],[Actual Start]])=0),MAX(0,N(Tasks[[#This Row],[Free Slack]])),0)</f>
        <v>0</v>
      </c>
      <c r="DG134" s="115" t="str">
        <f aca="false">IF(NOT(Tasks[[#This Row],[_IsLeaf]]=1),"",IF(Tasks[[#This Row],[_AlapShift]]=0,Tasks[[#This Row],[_LeafCalcStart]],WORKDAY.INTL(Tasks[[#This Row],[_LeafCalcStart]],Tasks[[#This Row],[_AlapShift]],WorkWeek,Holidays)))</f>
        <v/>
      </c>
      <c r="DH134" s="115" t="str">
        <f aca="false">IF(NOT(Tasks[[#This Row],[_IsLeaf]]=1),"",IF(Tasks[[#This Row],[_AlapShift]]=0,Tasks[[#This Row],[_LeafCalcFinish]],WORKDAY.INTL(Tasks[[#This Row],[_LeafCalcFinish]],Tasks[[#This Row],[_AlapShift]],WorkWeek,Holidays)))</f>
        <v/>
      </c>
      <c r="DI134" s="115" t="str">
        <f aca="false">IF(NOT(Tasks[[#This Row],[_IsLeaf]]=1),"",IF(Tasks[[#This Row],[_AlapShift]]=0,Tasks[[#This Row],[_LeafFcstStart]],WORKDAY.INTL(Tasks[[#This Row],[_LeafFcstStart]],Tasks[[#This Row],[_AlapShift]],WorkWeek,Holidays)))</f>
        <v/>
      </c>
      <c r="DJ134" s="115" t="str">
        <f aca="false">IF(NOT(Tasks[[#This Row],[_IsLeaf]]=1),"",IF(Tasks[[#This Row],[_AlapShift]]=0,Tasks[[#This Row],[_LeafFcstFinish]],WORKDAY.INTL(Tasks[[#This Row],[_LeafFcstFinish]],Tasks[[#This Row],[_AlapShift]],WorkWeek,Holidays)))</f>
        <v/>
      </c>
      <c r="DK134" s="115" t="str">
        <f aca="false">IF(Tasks[[#This Row],[Task Name]]="","",IF(Tasks[[#This Row],[_IsSummary]],MIN(INDEX(Tasks[_ShownCalcStart],Tasks[[#This Row],[_Row]]+1):INDEX(Tasks[_ShownCalcStart],Tasks[[#This Row],[_Row]]+Tasks[[#This Row],[_Descendants]])),Tasks[[#This Row],[_ShownCalcStart]]))</f>
        <v/>
      </c>
      <c r="DL134" s="115" t="str">
        <f aca="false">IF(Tasks[[#This Row],[Task Name]]="","",IF(Tasks[[#This Row],[_IsSummary]],MAX(INDEX(Tasks[_ShownCalcFinish],Tasks[[#This Row],[_Row]]+1):INDEX(Tasks[_ShownCalcFinish],Tasks[[#This Row],[_Row]]+Tasks[[#This Row],[_Descendants]])),Tasks[[#This Row],[_ShownCalcFinish]]))</f>
        <v/>
      </c>
      <c r="DM13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4" s="32" t="n">
        <f aca="false">IF(AND(Tasks[[#This Row],[_IsLeaf]]=1,Tasks[[#This Row],[_LeafTotalWork]]&gt;0),NETWORKDAYS.INTL(ProjectStart,Tasks[[#This Row],[_ShownFcstStart]],WorkWeek,Holidays),0)</f>
        <v>0</v>
      </c>
      <c r="DZ134" s="32" t="n">
        <f aca="false">IF(AND(Tasks[[#This Row],[_IsLeaf]]=1,Tasks[[#This Row],[_LeafTotalWork]]&gt;0),MAX(Tasks[[#This Row],[_StartWorkday]],NETWORKDAYS.INTL(ProjectStart,Tasks[[#This Row],[_ShownFcstFinish]],WorkWeek,Holidays)),0)</f>
        <v>0</v>
      </c>
      <c r="EA134" s="32" t="n">
        <f aca="false">IF(AND(Tasks[[#This Row],[_IsLeaf]]=1,Tasks[[#This Row],[_LeafTotalWork]]&gt;0),Tasks[[#This Row],[_LeafWork]]/(Tasks[[#This Row],[_FinishWorkday]]-Tasks[[#This Row],[_StartWorkday]]+1),0)</f>
        <v>0</v>
      </c>
      <c r="EB134" s="32" t="n">
        <f aca="false">Tasks[[#This Row],[_WorkPerWorkday]]*(Tasks[[#This Row],[_StartWorkday]]-1)</f>
        <v>-0</v>
      </c>
      <c r="EC134" s="32" t="n">
        <f aca="false">IF(Tasks[[#This Row],[_IsLeaf]]=1,MAX(N(Tasks[[#This Row],[Duration]]),0.1),0)</f>
        <v>0</v>
      </c>
      <c r="ED134" s="32" t="n">
        <f aca="false">Tasks[[#This Row],[_WeightDur]]*Tasks[[#This Row],[_LeafProgress]]</f>
        <v>0</v>
      </c>
      <c r="EE13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4" s="32" t="str">
        <f aca="false">IF(AND(Tasks[[#This Row],[_IsLeaf]]=1,N(Tasks[[#This Row],[Duration]])=0,Tasks[[#This Row],[_LeafProgress]]&lt;1),Tasks[[#This Row],[_ShownFcstFinish]]+Tasks[[#This Row],[_Row]]/100000,"")</f>
        <v/>
      </c>
      <c r="EG13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4" s="32" t="n">
        <f aca="false">IF(NOT(Tasks[[#This Row],[_IsLeaf]]=1),0,IF(Tasks[[#This Row],[Baseline Cost]]="",Tasks[[#This Row],[_LeafTotalCost]],N(Tasks[[#This Row],[Baseline Cost]])))</f>
        <v>0</v>
      </c>
      <c r="EI134" s="32" t="n">
        <f aca="false">Tasks[[#This Row],[_LeafBudget]]*Tasks[[#This Row],[_PlannedPct]]</f>
        <v>0</v>
      </c>
      <c r="EJ134" s="32" t="n">
        <f aca="false">Tasks[[#This Row],[_LeafBudget]]*Tasks[[#This Row],[_LeafProgress]]</f>
        <v>0</v>
      </c>
      <c r="EK134" s="32" t="n">
        <f aca="false">IF(NOT(Tasks[[#This Row],[_IsLeaf]]=1),0,IF(Tasks[[#This Row],[Actual Cost]]="",Tasks[[#This Row],[_LeafTotalCost]]*Tasks[[#This Row],[_LeafProgress]],N(Tasks[[#This Row],[Actual Cost]])))</f>
        <v>0</v>
      </c>
      <c r="EL134" s="32" t="str">
        <f aca="false">IF(Tasks[[#This Row],[Task Name]]="","",LEFT(Tasks[[#This Row],[WBS]],FIND(".",Tasks[[#This Row],[WBS]]&amp;".")-1))</f>
        <v/>
      </c>
      <c r="EM134" s="32" t="str">
        <f aca="false">IF(AND(Tasks[[#This Row],[Task Name]]&lt;&gt;"",Tasks[[#This Row],[_Level]]=1),Tasks[[#This Row],[_Row]],"")</f>
        <v/>
      </c>
      <c r="EN134" s="32" t="str">
        <f aca="false">IF(AND(Tasks[[#This Row],[_IsLeaf]]=1,N(Tasks[[#This Row],[Duration]])=0),Tasks[[#This Row],[Planned Finish]]+Tasks[[#This Row],[_Row]]/100000,"")</f>
        <v/>
      </c>
      <c r="EO134" s="32" t="str">
        <f aca="false">IF(AND(Tasks[[#This Row],[_IsLeaf]]=1,Tasks[[#This Row],[_LeafProgress]]&lt;1,OR(N(Tasks[[#This Row],[Finish Var]])&gt;0,Tasks[[#This Row],[Status]]="Late Start")),MAX(0,Tasks[[#This Row],[Finish Var]])+1-Tasks[[#This Row],[_Row]]/1000000,"")</f>
        <v/>
      </c>
      <c r="EP134" s="32" t="str">
        <f aca="false">IF(AND(Tasks[[#This Row],[_IsLeaf]]=1,N(Tasks[[#This Row],[Actual Start]])=0,Tasks[[#This Row],[_ShownFcstStart]]&gt;=StatusDate,Tasks[[#This Row],[_ShownFcstStart]]&lt;=LookaheadEnd),Tasks[[#This Row],[_ShownFcstStart]]+Tasks[[#This Row],[_Row]]/100000,"")</f>
        <v/>
      </c>
      <c r="EQ134" s="32" t="str">
        <f aca="false">IF(AND(Tasks[[#This Row],[_IsLeaf]]=1,Tasks[[#This Row],[_LeafProgress]]&lt;1,Tasks[[#This Row],[_ShownFcstFinish]]&gt;=StatusDate,Tasks[[#This Row],[_ShownFcstFinish]]&lt;=LookaheadEnd),Tasks[[#This Row],[_ShownFcstFinish]]+Tasks[[#This Row],[_Row]]/100000,"")</f>
        <v/>
      </c>
      <c r="ER134" s="32" t="str">
        <f aca="false">IF(Tasks[[#This Row],[_LeafCritical]],Tasks[[#This Row],[_ShownFcstStart]]+Tasks[[#This Row],[_Row]]/100000,"")</f>
        <v/>
      </c>
      <c r="ES134" s="32" t="n">
        <f aca="false">Tasks[[#This Row],[_LeafWork]]*Tasks[[#This Row],[_LeafProgress]]</f>
        <v>0</v>
      </c>
      <c r="ET134" s="115" t="str">
        <f aca="false">IF(AND(Tasks[[#This Row],[_IsLeaf]]=1,Tasks[[#This Row],[_LeafProgress]]&gt;=1),IF(N(Tasks[[#This Row],[Actual Finish]])&gt;0,Tasks[[#This Row],[Actual Finish]],Tasks[[#This Row],[_ShownFcstFinish]]),"")</f>
        <v/>
      </c>
      <c r="EU134" s="32" t="n">
        <f aca="false">IF(Tasks[[#This Row],[_IsLeaf]]=1,N(Tasks[[#This Row],[Story Points]]),0)</f>
        <v>0</v>
      </c>
      <c r="EV134" s="32" t="str">
        <f aca="false">IF(AND(Tasks[[#This Row],[_IsLeaf]]=1,CurrentSprint&lt;&gt;"",Tasks[[#This Row],[Sprint]]=CurrentSprint),Tasks[[#This Row],[_Row]],"")</f>
        <v/>
      </c>
    </row>
    <row r="135" customFormat="false" ht="15" hidden="false" customHeight="false" outlineLevel="0" collapsed="false">
      <c r="A135" s="45" t="str">
        <f aca="false">IF(Tasks[[#This Row],[Task Name]]="","",COUNTA(Tasks[[#Headers],[Task Name]]:Tasks[[#This Row],[Task Name]])-1)</f>
        <v/>
      </c>
      <c r="B135" s="46" t="n">
        <v>130</v>
      </c>
      <c r="C13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5" s="46"/>
      <c r="E135" s="45" t="str">
        <f aca="false">IF(Tasks[[#This Row],[Task Name]]="","",IF(Tasks[[#This Row],[_Level]]&lt;=OutlineShowLevel,"Yes","No"))</f>
        <v/>
      </c>
      <c r="F135" s="47"/>
      <c r="G135" s="46"/>
      <c r="H135" s="46"/>
      <c r="I135" s="46"/>
      <c r="J135" s="46"/>
      <c r="K135" s="46"/>
      <c r="L135" s="46"/>
      <c r="M135" s="46"/>
      <c r="N135" s="46"/>
      <c r="O135" s="46"/>
      <c r="P135" s="46"/>
      <c r="Q135" s="46"/>
      <c r="R135" s="46"/>
      <c r="S135" s="46"/>
      <c r="T135" s="46"/>
      <c r="U135" s="47"/>
      <c r="V135" s="88"/>
      <c r="W135" s="88"/>
      <c r="X135" s="25" t="str">
        <f aca="false">IF(Tasks[[#This Row],[Task Name]]="","",IF(N(Tasks[[#This Row],[Baseline Start]])&gt;0,Tasks[[#This Row],[Baseline Start]],Tasks[[#This Row],[_CalcStart]]))</f>
        <v/>
      </c>
      <c r="Y135" s="25" t="str">
        <f aca="false">IF(Tasks[[#This Row],[Task Name]]="","",IF(N(Tasks[[#This Row],[Baseline Finish]])&gt;0,Tasks[[#This Row],[Baseline Finish]],Tasks[[#This Row],[_CalcFinish]]))</f>
        <v/>
      </c>
      <c r="Z135" s="88"/>
      <c r="AA135" s="88"/>
      <c r="AB135" s="25" t="str">
        <f aca="false">IF(Tasks[[#This Row],[Task Name]]="","",IF(Tasks[[#This Row],[_IsSummary]],MIN(INDEX(Tasks[_ShownFcstStart],Tasks[[#This Row],[_Row]]+1):INDEX(Tasks[_ShownFcstStart],Tasks[[#This Row],[_Row]]+Tasks[[#This Row],[_Descendants]])),Tasks[[#This Row],[_ShownFcstStart]]))</f>
        <v/>
      </c>
      <c r="AC135" s="25" t="str">
        <f aca="false">IF(Tasks[[#This Row],[Task Name]]="","",IF(Tasks[[#This Row],[_IsSummary]],MAX(INDEX(Tasks[_ShownFcstFinish],Tasks[[#This Row],[_Row]]+1):INDEX(Tasks[_ShownFcstFinish],Tasks[[#This Row],[_Row]]+Tasks[[#This Row],[_Descendants]])),Tasks[[#This Row],[_ShownFcstFinish]]))</f>
        <v/>
      </c>
      <c r="AD13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5" s="25" t="str">
        <f aca="false">IF(Tasks[[#This Row],[Task Name]]="","",IF(Tasks[[#This Row],[_IsSummary]],MIN(INDEX(Tasks[_LeafLateStart],Tasks[[#This Row],[_Row]]+1):INDEX(Tasks[_LeafLateStart],Tasks[[#This Row],[_Row]]+Tasks[[#This Row],[_Descendants]])),Tasks[[#This Row],[_LeafLateStart]]))</f>
        <v/>
      </c>
      <c r="AG135" s="25" t="str">
        <f aca="false">IF(Tasks[[#This Row],[Task Name]]="","",IF(Tasks[[#This Row],[_IsSummary]],MAX(INDEX(Tasks[_LeafLateFinish],Tasks[[#This Row],[_Row]]+1):INDEX(Tasks[_LeafLateFinish],Tasks[[#This Row],[_Row]]+Tasks[[#This Row],[_Descendants]])),Tasks[[#This Row],[_LeafLateFinish]]))</f>
        <v/>
      </c>
      <c r="AH135" s="56" t="str">
        <f aca="false">IF(Tasks[[#This Row],[Task Name]]="","",IF(Tasks[[#This Row],[_IsSummary]],MIN(INDEX(Tasks[_LeafTotalSlack],Tasks[[#This Row],[_Row]]+1):INDEX(Tasks[_LeafTotalSlack],Tasks[[#This Row],[_Row]]+Tasks[[#This Row],[_Descendants]])),Tasks[[#This Row],[_LeafTotalSlack]]))</f>
        <v/>
      </c>
      <c r="AI13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5" s="45" t="str">
        <f aca="false">IF(Tasks[[#This Row],[Task Name]]="","",IF(IF(Tasks[[#This Row],[_IsSummary]],COUNTIF(INDEX(Tasks[_LeafCritical],Tasks[[#This Row],[_Row]]+1):INDEX(Tasks[_LeafCritical],Tasks[[#This Row],[_Row]]+Tasks[[#This Row],[_Descendants]]),TRUE())&gt;0,Tasks[[#This Row],[_LeafCritical]]),"Yes",""))</f>
        <v/>
      </c>
      <c r="AK13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5" s="102"/>
      <c r="AN13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5" s="45" t="str">
        <f aca="false">IF(Tasks[[#This Row],[Task Name]]="","",IF(Tasks[[#This Row],[Progress]]&gt;=1,"Complete",IF(OR(N(Tasks[[#This Row],[Actual Start]])&gt;0,Tasks[[#This Row],[Progress]]&gt;0),IF(Tasks[[#This Row],[Finish Var]]&gt;0,"Behind","In Progress"),IF(Tasks[[#This Row],[Planned Start]]&lt;StatusDate,"Late Start","Not Started"))))</f>
        <v/>
      </c>
      <c r="AP135" s="47"/>
      <c r="AQ135" s="102"/>
      <c r="AR13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5" s="110" t="str">
        <f aca="false">IF(Tasks[[#This Row],[Task Name]]="","",IF(Tasks[[#This Row],[_IsSummary]],SUM(INDEX(Tasks[_LeafTotalWork],Tasks[[#This Row],[_Row]]+1):INDEX(Tasks[_LeafTotalWork],Tasks[[#This Row],[_Row]]+Tasks[[#This Row],[_Descendants]])),Tasks[[#This Row],[_LeafTotalWork]]))</f>
        <v/>
      </c>
      <c r="AU135" s="111" t="str">
        <f aca="false">IF(Tasks[[#This Row],[Task Name]]="","",IF(Tasks[[#This Row],[_IsSummary]],SUM(INDEX(Tasks[_LeafTotalCost],Tasks[[#This Row],[_Row]]+1):INDEX(Tasks[_LeafTotalCost],Tasks[[#This Row],[_Row]]+Tasks[[#This Row],[_Descendants]])),Tasks[[#This Row],[_LeafTotalCost]]))</f>
        <v/>
      </c>
      <c r="AV135" s="112"/>
      <c r="AW135" s="46"/>
      <c r="AX13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5" s="96"/>
      <c r="AZ13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5" s="47"/>
      <c r="BB135" s="25" t="str">
        <f aca="false">IF(Tasks[[#This Row],[Task Name]]="","",Tasks[[#This Row],[Forecast Start]])</f>
        <v/>
      </c>
      <c r="BC135" s="25" t="str">
        <f aca="false">IF(Tasks[[#This Row],[Task Name]]="","",Tasks[[#This Row],[Forecast Finish]])</f>
        <v/>
      </c>
      <c r="BD135" s="45" t="str">
        <f aca="false">IF(Tasks[[#This Row],[Task Name]]="","",IF(Tasks[[#This Row],[_IsSummary]],NETWORKDAYS.INTL(Tasks[[#This Row],[Forecast Start]],Tasks[[#This Row],[Forecast Finish]],WorkWeek,Holidays),N(Tasks[[#This Row],[Duration]])))</f>
        <v/>
      </c>
      <c r="BE135" s="110" t="str">
        <f aca="false">IF(Tasks[[#This Row],[Task Name]]="","",Tasks[[#This Row],[Work]])</f>
        <v/>
      </c>
      <c r="BF135" s="111" t="str">
        <f aca="false">IF(Tasks[[#This Row],[Task Name]]="","",Tasks[[#This Row],[Cost]])</f>
        <v/>
      </c>
      <c r="BG135" s="88"/>
      <c r="BH135" s="88"/>
      <c r="BI135" s="46"/>
      <c r="BJ135" s="113"/>
      <c r="BK135" s="112"/>
      <c r="BL135" s="45" t="str">
        <f aca="false">IF(OR(Tasks[[#This Row],[Task Name]]="",Tasks[[#This Row],[Baseline Duration]]=""),"",Tasks[[#This Row],[BL Source Duration]]-N(Tasks[[#This Row],[Baseline Duration]]))</f>
        <v/>
      </c>
      <c r="BM135" s="110" t="str">
        <f aca="false">IF(OR(Tasks[[#This Row],[Task Name]]="",Tasks[[#This Row],[Baseline Work]]=""),"",Tasks[[#This Row],[Work]]-N(Tasks[[#This Row],[Baseline Work]]))</f>
        <v/>
      </c>
      <c r="BN135" s="111" t="str">
        <f aca="false">IF(OR(Tasks[[#This Row],[Task Name]]="",Tasks[[#This Row],[Baseline Cost]]=""),"",Tasks[[#This Row],[Cost]]-N(Tasks[[#This Row],[Baseline Cost]]))</f>
        <v/>
      </c>
      <c r="BO135" s="111" t="str">
        <f aca="false">IF(Tasks[[#This Row],[Task Name]]="","",IF(Tasks[[#This Row],[_IsSummary]],SUM(INDEX(Tasks[_LeafBudget],Tasks[[#This Row],[_Row]]+1):INDEX(Tasks[_LeafBudget],Tasks[[#This Row],[_Row]]+Tasks[[#This Row],[_Descendants]])),Tasks[[#This Row],[_LeafBudget]]))</f>
        <v/>
      </c>
      <c r="BP135" s="111" t="str">
        <f aca="false">IF(Tasks[[#This Row],[Task Name]]="","",IF(Tasks[[#This Row],[_IsSummary]],SUM(INDEX(Tasks[_LeafPV],Tasks[[#This Row],[_Row]]+1):INDEX(Tasks[_LeafPV],Tasks[[#This Row],[_Row]]+Tasks[[#This Row],[_Descendants]])),Tasks[[#This Row],[_LeafPV]]))</f>
        <v/>
      </c>
      <c r="BQ135" s="111" t="str">
        <f aca="false">IF(Tasks[[#This Row],[Task Name]]="","",IF(Tasks[[#This Row],[_IsSummary]],SUM(INDEX(Tasks[_LeafEV],Tasks[[#This Row],[_Row]]+1):INDEX(Tasks[_LeafEV],Tasks[[#This Row],[_Row]]+Tasks[[#This Row],[_Descendants]])),Tasks[[#This Row],[_LeafEV]]))</f>
        <v/>
      </c>
      <c r="BR135" s="111" t="str">
        <f aca="false">IF(Tasks[[#This Row],[Task Name]]="","",IF(Tasks[[#This Row],[_IsSummary]],SUM(INDEX(Tasks[_LeafAC],Tasks[[#This Row],[_Row]]+1):INDEX(Tasks[_LeafAC],Tasks[[#This Row],[_Row]]+Tasks[[#This Row],[_Descendants]])),Tasks[[#This Row],[_LeafAC]]))</f>
        <v/>
      </c>
      <c r="BS135" s="32" t="str">
        <f aca="false">IF(Tasks[[#This Row],[Task Name]]="","",MAX(1,N(Tasks[[#This Row],[Level]])))</f>
        <v/>
      </c>
      <c r="BT135" s="32" t="n">
        <f aca="false">ROW()-ROW(Tasks[[#Headers],[ID]])</f>
        <v>130</v>
      </c>
      <c r="BU135" s="32" t="n">
        <f aca="false">IF(OR(Tasks[[#This Row],[Task Name]]="",Tasks[[#This Row],[_Level]]&lt;=1),0,IFERROR(LOOKUP(2,1/(Tasks[[#Headers],[_Level]]:Tasks[[#This Row],[_Level]]=Tasks[[#This Row],[_Level]]-1),ROW(Tasks[[#Headers],[_Level]]:Tasks[[#This Row],[_Level]])),0))</f>
        <v>0</v>
      </c>
      <c r="BV135" s="32" t="n">
        <f aca="false">IFERROR(N(INDEX(Tasks[_Level],Tasks[[#This Row],[_Row]]+1)),0)</f>
        <v>0</v>
      </c>
      <c r="BW135" s="114" t="b">
        <f aca="false">AND(Tasks[[#This Row],[Task Name]]&lt;&gt;"",Tasks[[#This Row],[_NextLevel]]&gt;Tasks[[#This Row],[_Level]])</f>
        <v>0</v>
      </c>
      <c r="BX135" s="32" t="n">
        <f aca="false">IF(Tasks[[#This Row],[_IsSummary]],COUNTIF(Tasks[WBS],Tasks[[#This Row],[WBS]]&amp;".*"),0)</f>
        <v>0</v>
      </c>
      <c r="BY135" s="32" t="n">
        <f aca="false">IF(AND(Tasks[[#This Row],[Task Name]]&lt;&gt;"",NOT(Tasks[[#This Row],[_IsSummary]])),1,0)</f>
        <v>0</v>
      </c>
      <c r="BZ135" s="32" t="n">
        <f aca="false">IF(N(Tasks[[#This Row],[Pred1 UID]])=0,0,IFERROR(MATCH(Tasks[[#This Row],[Pred1 UID]],Tasks[UID],0),-1))</f>
        <v>0</v>
      </c>
      <c r="CA135" s="32" t="n">
        <f aca="false">IF(N(Tasks[[#This Row],[Pred2 UID]])=0,0,IFERROR(MATCH(Tasks[[#This Row],[Pred2 UID]],Tasks[UID],0),-1))</f>
        <v>0</v>
      </c>
      <c r="CB135" s="32" t="n">
        <f aca="false">IF(N(Tasks[[#This Row],[Pred3 UID]])=0,0,IFERROR(MATCH(Tasks[[#This Row],[Pred3 UID]],Tasks[UID],0),-1))</f>
        <v>0</v>
      </c>
      <c r="CC135" s="32" t="n">
        <f aca="false">IF(N(Tasks[[#This Row],[Pred4 UID]])=0,0,IFERROR(MATCH(Tasks[[#This Row],[Pred4 UID]],Tasks[UID],0),-1))</f>
        <v>0</v>
      </c>
      <c r="CD13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5" s="115" t="n">
        <f aca="false">IF(OR(Tasks[[#This Row],[_ConstraintCode]]=2,Tasks[[#This Row],[_ConstraintCode]]=3,Tasks[[#This Row],[_ConstraintCode]]=4,Tasks[[#This Row],[_ConstraintCode]]=6),Tasks[[#This Row],[_ConstraintStart]],0)</f>
        <v>0</v>
      </c>
      <c r="CG135" s="115" t="n">
        <f aca="false">IF(OR(Tasks[[#This Row],[_ConstraintCode]]=2,Tasks[[#This Row],[_ConstraintCode]]=3,Tasks[[#This Row],[_ConstraintCode]]=5,Tasks[[#This Row],[_ConstraintCode]]=7),Tasks[[#This Row],[_ConstraintStart]],2958465)</f>
        <v>2958465</v>
      </c>
      <c r="CH13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5" s="115" t="str">
        <f aca="false">IF(NOT(Tasks[[#This Row],[_IsLeaf]]=1),"",IF(N(Tasks[[#This Row],[Duration]])&lt;=0,Tasks[[#This Row],[_LeafCalcStart]],WORKDAY.INTL(Tasks[[#This Row],[_LeafCalcStart]],Tasks[[#This Row],[Duration]]-1,WorkWeek,Holidays)))</f>
        <v/>
      </c>
      <c r="CJ13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5" s="32" t="n">
        <f aca="false">IF(NOT(Tasks[[#This Row],[_IsLeaf]]=1),0,IF(N(Tasks[[#This Row],[Actual Finish]])&gt;0,1,MIN(1,N(Tasks[[#This Row],[% Complete]]))))</f>
        <v>0</v>
      </c>
      <c r="CM135" s="32" t="n">
        <f aca="false">IF(OR(NOT(Tasks[[#This Row],[_IsLeaf]]=1),Tasks[[#This Row],[Resource]]=""),0,N(Tasks[[#This Row],[Duration]])*HoursPerDay*IF(Tasks[[#This Row],[Units]]="",DefaultUnits,Tasks[[#This Row],[Units]]))</f>
        <v>0</v>
      </c>
      <c r="CN135" s="32" t="n">
        <f aca="false">IF(Tasks[[#This Row],[_LeafWork]]=0,0,Tasks[[#This Row],[_LeafWork]]*IFERROR(INDEX(res_Rate,MATCH(Tasks[[#This Row],[Resource]],res_Name,0)),0))</f>
        <v>0</v>
      </c>
      <c r="CO135" s="32" t="n">
        <f aca="false">Tasks[[#This Row],[_LeafWork]]+IF(Tasks[[#This Row],[_IsLeaf]]=1,SUMIFS(asg_Work,asg_TaskUID,Tasks[[#This Row],[UID]],asg_Valid,1),0)</f>
        <v>0</v>
      </c>
      <c r="CP135" s="32" t="n">
        <f aca="false">Tasks[[#This Row],[_LeafCost]]+IF(Tasks[[#This Row],[_IsLeaf]]=1,SUMIFS(asg_Cost,asg_TaskUID,Tasks[[#This Row],[UID]],asg_Valid,1),0)</f>
        <v>0</v>
      </c>
      <c r="CQ135" s="32" t="n">
        <f aca="false">IF(Tasks[[#This Row],[_LeafTotalCost]]=0,Tasks[[#This Row],[_LeafAC]],Tasks[[#This Row],[_LeafAC]]*Tasks[[#This Row],[_LeafCost]]/Tasks[[#This Row],[_LeafTotalCost]])</f>
        <v>0</v>
      </c>
      <c r="CR13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5" s="32" t="n">
        <f aca="false">IF(NOT(Tasks[[#This Row],[_IsLeaf]]=1),0,MAX(_xlfn.MAXIFS(Tasks[_Row],Tasks[Pred1 UID],Tasks[[#This Row],[UID]]),_xlfn.MAXIFS(Tasks[_Row],Tasks[Pred2 UID],Tasks[[#This Row],[UID]]),_xlfn.MAXIFS(Tasks[_Row],Tasks[Pred3 UID],Tasks[[#This Row],[UID]]),_xlfn.MAXIFS(Tasks[_Row],Tasks[Pred4 UID],Tasks[[#This Row],[UID]])))</f>
        <v>0</v>
      </c>
      <c r="DA13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5" s="115" t="str">
        <f aca="false">IF(NOT(Tasks[[#This Row],[_IsLeaf]]=1),"",IF(N(Tasks[[#This Row],[Duration]])&lt;=0,Tasks[[#This Row],[_LeafLateFinish]],WORKDAY.INTL(Tasks[[#This Row],[_LeafLateFinish]],-(Tasks[[#This Row],[Duration]]-1),WorkWeek,Holidays)))</f>
        <v/>
      </c>
      <c r="DD13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5" s="114" t="b">
        <f aca="false">AND(Tasks[[#This Row],[_IsLeaf]]=1,Tasks[[#This Row],[_LeafProgress]]&lt;1,N(Tasks[[#This Row],[_LeafTotalSlack]])&lt;=CriticalSlackDays)</f>
        <v>0</v>
      </c>
      <c r="DF135" s="32" t="n">
        <f aca="false">IF(AND(Tasks[[#This Row],[_IsLeaf]]=1,Tasks[[#This Row],[_ConstraintCode]]=1,Tasks[[#This Row],[Mode]]&lt;&gt;"Manual",N(Tasks[[#This Row],[Actual Start]])=0),MAX(0,N(Tasks[[#This Row],[Free Slack]])),0)</f>
        <v>0</v>
      </c>
      <c r="DG135" s="115" t="str">
        <f aca="false">IF(NOT(Tasks[[#This Row],[_IsLeaf]]=1),"",IF(Tasks[[#This Row],[_AlapShift]]=0,Tasks[[#This Row],[_LeafCalcStart]],WORKDAY.INTL(Tasks[[#This Row],[_LeafCalcStart]],Tasks[[#This Row],[_AlapShift]],WorkWeek,Holidays)))</f>
        <v/>
      </c>
      <c r="DH135" s="115" t="str">
        <f aca="false">IF(NOT(Tasks[[#This Row],[_IsLeaf]]=1),"",IF(Tasks[[#This Row],[_AlapShift]]=0,Tasks[[#This Row],[_LeafCalcFinish]],WORKDAY.INTL(Tasks[[#This Row],[_LeafCalcFinish]],Tasks[[#This Row],[_AlapShift]],WorkWeek,Holidays)))</f>
        <v/>
      </c>
      <c r="DI135" s="115" t="str">
        <f aca="false">IF(NOT(Tasks[[#This Row],[_IsLeaf]]=1),"",IF(Tasks[[#This Row],[_AlapShift]]=0,Tasks[[#This Row],[_LeafFcstStart]],WORKDAY.INTL(Tasks[[#This Row],[_LeafFcstStart]],Tasks[[#This Row],[_AlapShift]],WorkWeek,Holidays)))</f>
        <v/>
      </c>
      <c r="DJ135" s="115" t="str">
        <f aca="false">IF(NOT(Tasks[[#This Row],[_IsLeaf]]=1),"",IF(Tasks[[#This Row],[_AlapShift]]=0,Tasks[[#This Row],[_LeafFcstFinish]],WORKDAY.INTL(Tasks[[#This Row],[_LeafFcstFinish]],Tasks[[#This Row],[_AlapShift]],WorkWeek,Holidays)))</f>
        <v/>
      </c>
      <c r="DK135" s="115" t="str">
        <f aca="false">IF(Tasks[[#This Row],[Task Name]]="","",IF(Tasks[[#This Row],[_IsSummary]],MIN(INDEX(Tasks[_ShownCalcStart],Tasks[[#This Row],[_Row]]+1):INDEX(Tasks[_ShownCalcStart],Tasks[[#This Row],[_Row]]+Tasks[[#This Row],[_Descendants]])),Tasks[[#This Row],[_ShownCalcStart]]))</f>
        <v/>
      </c>
      <c r="DL135" s="115" t="str">
        <f aca="false">IF(Tasks[[#This Row],[Task Name]]="","",IF(Tasks[[#This Row],[_IsSummary]],MAX(INDEX(Tasks[_ShownCalcFinish],Tasks[[#This Row],[_Row]]+1):INDEX(Tasks[_ShownCalcFinish],Tasks[[#This Row],[_Row]]+Tasks[[#This Row],[_Descendants]])),Tasks[[#This Row],[_ShownCalcFinish]]))</f>
        <v/>
      </c>
      <c r="DM13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5" s="32" t="n">
        <f aca="false">IF(AND(Tasks[[#This Row],[_IsLeaf]]=1,Tasks[[#This Row],[_LeafTotalWork]]&gt;0),NETWORKDAYS.INTL(ProjectStart,Tasks[[#This Row],[_ShownFcstStart]],WorkWeek,Holidays),0)</f>
        <v>0</v>
      </c>
      <c r="DZ135" s="32" t="n">
        <f aca="false">IF(AND(Tasks[[#This Row],[_IsLeaf]]=1,Tasks[[#This Row],[_LeafTotalWork]]&gt;0),MAX(Tasks[[#This Row],[_StartWorkday]],NETWORKDAYS.INTL(ProjectStart,Tasks[[#This Row],[_ShownFcstFinish]],WorkWeek,Holidays)),0)</f>
        <v>0</v>
      </c>
      <c r="EA135" s="32" t="n">
        <f aca="false">IF(AND(Tasks[[#This Row],[_IsLeaf]]=1,Tasks[[#This Row],[_LeafTotalWork]]&gt;0),Tasks[[#This Row],[_LeafWork]]/(Tasks[[#This Row],[_FinishWorkday]]-Tasks[[#This Row],[_StartWorkday]]+1),0)</f>
        <v>0</v>
      </c>
      <c r="EB135" s="32" t="n">
        <f aca="false">Tasks[[#This Row],[_WorkPerWorkday]]*(Tasks[[#This Row],[_StartWorkday]]-1)</f>
        <v>-0</v>
      </c>
      <c r="EC135" s="32" t="n">
        <f aca="false">IF(Tasks[[#This Row],[_IsLeaf]]=1,MAX(N(Tasks[[#This Row],[Duration]]),0.1),0)</f>
        <v>0</v>
      </c>
      <c r="ED135" s="32" t="n">
        <f aca="false">Tasks[[#This Row],[_WeightDur]]*Tasks[[#This Row],[_LeafProgress]]</f>
        <v>0</v>
      </c>
      <c r="EE13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5" s="32" t="str">
        <f aca="false">IF(AND(Tasks[[#This Row],[_IsLeaf]]=1,N(Tasks[[#This Row],[Duration]])=0,Tasks[[#This Row],[_LeafProgress]]&lt;1),Tasks[[#This Row],[_ShownFcstFinish]]+Tasks[[#This Row],[_Row]]/100000,"")</f>
        <v/>
      </c>
      <c r="EG13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5" s="32" t="n">
        <f aca="false">IF(NOT(Tasks[[#This Row],[_IsLeaf]]=1),0,IF(Tasks[[#This Row],[Baseline Cost]]="",Tasks[[#This Row],[_LeafTotalCost]],N(Tasks[[#This Row],[Baseline Cost]])))</f>
        <v>0</v>
      </c>
      <c r="EI135" s="32" t="n">
        <f aca="false">Tasks[[#This Row],[_LeafBudget]]*Tasks[[#This Row],[_PlannedPct]]</f>
        <v>0</v>
      </c>
      <c r="EJ135" s="32" t="n">
        <f aca="false">Tasks[[#This Row],[_LeafBudget]]*Tasks[[#This Row],[_LeafProgress]]</f>
        <v>0</v>
      </c>
      <c r="EK135" s="32" t="n">
        <f aca="false">IF(NOT(Tasks[[#This Row],[_IsLeaf]]=1),0,IF(Tasks[[#This Row],[Actual Cost]]="",Tasks[[#This Row],[_LeafTotalCost]]*Tasks[[#This Row],[_LeafProgress]],N(Tasks[[#This Row],[Actual Cost]])))</f>
        <v>0</v>
      </c>
      <c r="EL135" s="32" t="str">
        <f aca="false">IF(Tasks[[#This Row],[Task Name]]="","",LEFT(Tasks[[#This Row],[WBS]],FIND(".",Tasks[[#This Row],[WBS]]&amp;".")-1))</f>
        <v/>
      </c>
      <c r="EM135" s="32" t="str">
        <f aca="false">IF(AND(Tasks[[#This Row],[Task Name]]&lt;&gt;"",Tasks[[#This Row],[_Level]]=1),Tasks[[#This Row],[_Row]],"")</f>
        <v/>
      </c>
      <c r="EN135" s="32" t="str">
        <f aca="false">IF(AND(Tasks[[#This Row],[_IsLeaf]]=1,N(Tasks[[#This Row],[Duration]])=0),Tasks[[#This Row],[Planned Finish]]+Tasks[[#This Row],[_Row]]/100000,"")</f>
        <v/>
      </c>
      <c r="EO135" s="32" t="str">
        <f aca="false">IF(AND(Tasks[[#This Row],[_IsLeaf]]=1,Tasks[[#This Row],[_LeafProgress]]&lt;1,OR(N(Tasks[[#This Row],[Finish Var]])&gt;0,Tasks[[#This Row],[Status]]="Late Start")),MAX(0,Tasks[[#This Row],[Finish Var]])+1-Tasks[[#This Row],[_Row]]/1000000,"")</f>
        <v/>
      </c>
      <c r="EP135" s="32" t="str">
        <f aca="false">IF(AND(Tasks[[#This Row],[_IsLeaf]]=1,N(Tasks[[#This Row],[Actual Start]])=0,Tasks[[#This Row],[_ShownFcstStart]]&gt;=StatusDate,Tasks[[#This Row],[_ShownFcstStart]]&lt;=LookaheadEnd),Tasks[[#This Row],[_ShownFcstStart]]+Tasks[[#This Row],[_Row]]/100000,"")</f>
        <v/>
      </c>
      <c r="EQ135" s="32" t="str">
        <f aca="false">IF(AND(Tasks[[#This Row],[_IsLeaf]]=1,Tasks[[#This Row],[_LeafProgress]]&lt;1,Tasks[[#This Row],[_ShownFcstFinish]]&gt;=StatusDate,Tasks[[#This Row],[_ShownFcstFinish]]&lt;=LookaheadEnd),Tasks[[#This Row],[_ShownFcstFinish]]+Tasks[[#This Row],[_Row]]/100000,"")</f>
        <v/>
      </c>
      <c r="ER135" s="32" t="str">
        <f aca="false">IF(Tasks[[#This Row],[_LeafCritical]],Tasks[[#This Row],[_ShownFcstStart]]+Tasks[[#This Row],[_Row]]/100000,"")</f>
        <v/>
      </c>
      <c r="ES135" s="32" t="n">
        <f aca="false">Tasks[[#This Row],[_LeafWork]]*Tasks[[#This Row],[_LeafProgress]]</f>
        <v>0</v>
      </c>
      <c r="ET135" s="115" t="str">
        <f aca="false">IF(AND(Tasks[[#This Row],[_IsLeaf]]=1,Tasks[[#This Row],[_LeafProgress]]&gt;=1),IF(N(Tasks[[#This Row],[Actual Finish]])&gt;0,Tasks[[#This Row],[Actual Finish]],Tasks[[#This Row],[_ShownFcstFinish]]),"")</f>
        <v/>
      </c>
      <c r="EU135" s="32" t="n">
        <f aca="false">IF(Tasks[[#This Row],[_IsLeaf]]=1,N(Tasks[[#This Row],[Story Points]]),0)</f>
        <v>0</v>
      </c>
      <c r="EV135" s="32" t="str">
        <f aca="false">IF(AND(Tasks[[#This Row],[_IsLeaf]]=1,CurrentSprint&lt;&gt;"",Tasks[[#This Row],[Sprint]]=CurrentSprint),Tasks[[#This Row],[_Row]],"")</f>
        <v/>
      </c>
    </row>
    <row r="136" customFormat="false" ht="15" hidden="false" customHeight="false" outlineLevel="0" collapsed="false">
      <c r="A136" s="45" t="str">
        <f aca="false">IF(Tasks[[#This Row],[Task Name]]="","",COUNTA(Tasks[[#Headers],[Task Name]]:Tasks[[#This Row],[Task Name]])-1)</f>
        <v/>
      </c>
      <c r="B136" s="46" t="n">
        <v>131</v>
      </c>
      <c r="C13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6" s="46"/>
      <c r="E136" s="45" t="str">
        <f aca="false">IF(Tasks[[#This Row],[Task Name]]="","",IF(Tasks[[#This Row],[_Level]]&lt;=OutlineShowLevel,"Yes","No"))</f>
        <v/>
      </c>
      <c r="F136" s="47"/>
      <c r="G136" s="46"/>
      <c r="H136" s="46"/>
      <c r="I136" s="46"/>
      <c r="J136" s="46"/>
      <c r="K136" s="46"/>
      <c r="L136" s="46"/>
      <c r="M136" s="46"/>
      <c r="N136" s="46"/>
      <c r="O136" s="46"/>
      <c r="P136" s="46"/>
      <c r="Q136" s="46"/>
      <c r="R136" s="46"/>
      <c r="S136" s="46"/>
      <c r="T136" s="46"/>
      <c r="U136" s="47"/>
      <c r="V136" s="88"/>
      <c r="W136" s="88"/>
      <c r="X136" s="25" t="str">
        <f aca="false">IF(Tasks[[#This Row],[Task Name]]="","",IF(N(Tasks[[#This Row],[Baseline Start]])&gt;0,Tasks[[#This Row],[Baseline Start]],Tasks[[#This Row],[_CalcStart]]))</f>
        <v/>
      </c>
      <c r="Y136" s="25" t="str">
        <f aca="false">IF(Tasks[[#This Row],[Task Name]]="","",IF(N(Tasks[[#This Row],[Baseline Finish]])&gt;0,Tasks[[#This Row],[Baseline Finish]],Tasks[[#This Row],[_CalcFinish]]))</f>
        <v/>
      </c>
      <c r="Z136" s="88"/>
      <c r="AA136" s="88"/>
      <c r="AB136" s="25" t="str">
        <f aca="false">IF(Tasks[[#This Row],[Task Name]]="","",IF(Tasks[[#This Row],[_IsSummary]],MIN(INDEX(Tasks[_ShownFcstStart],Tasks[[#This Row],[_Row]]+1):INDEX(Tasks[_ShownFcstStart],Tasks[[#This Row],[_Row]]+Tasks[[#This Row],[_Descendants]])),Tasks[[#This Row],[_ShownFcstStart]]))</f>
        <v/>
      </c>
      <c r="AC136" s="25" t="str">
        <f aca="false">IF(Tasks[[#This Row],[Task Name]]="","",IF(Tasks[[#This Row],[_IsSummary]],MAX(INDEX(Tasks[_ShownFcstFinish],Tasks[[#This Row],[_Row]]+1):INDEX(Tasks[_ShownFcstFinish],Tasks[[#This Row],[_Row]]+Tasks[[#This Row],[_Descendants]])),Tasks[[#This Row],[_ShownFcstFinish]]))</f>
        <v/>
      </c>
      <c r="AD13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6" s="25" t="str">
        <f aca="false">IF(Tasks[[#This Row],[Task Name]]="","",IF(Tasks[[#This Row],[_IsSummary]],MIN(INDEX(Tasks[_LeafLateStart],Tasks[[#This Row],[_Row]]+1):INDEX(Tasks[_LeafLateStart],Tasks[[#This Row],[_Row]]+Tasks[[#This Row],[_Descendants]])),Tasks[[#This Row],[_LeafLateStart]]))</f>
        <v/>
      </c>
      <c r="AG136" s="25" t="str">
        <f aca="false">IF(Tasks[[#This Row],[Task Name]]="","",IF(Tasks[[#This Row],[_IsSummary]],MAX(INDEX(Tasks[_LeafLateFinish],Tasks[[#This Row],[_Row]]+1):INDEX(Tasks[_LeafLateFinish],Tasks[[#This Row],[_Row]]+Tasks[[#This Row],[_Descendants]])),Tasks[[#This Row],[_LeafLateFinish]]))</f>
        <v/>
      </c>
      <c r="AH136" s="56" t="str">
        <f aca="false">IF(Tasks[[#This Row],[Task Name]]="","",IF(Tasks[[#This Row],[_IsSummary]],MIN(INDEX(Tasks[_LeafTotalSlack],Tasks[[#This Row],[_Row]]+1):INDEX(Tasks[_LeafTotalSlack],Tasks[[#This Row],[_Row]]+Tasks[[#This Row],[_Descendants]])),Tasks[[#This Row],[_LeafTotalSlack]]))</f>
        <v/>
      </c>
      <c r="AI13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6" s="45" t="str">
        <f aca="false">IF(Tasks[[#This Row],[Task Name]]="","",IF(IF(Tasks[[#This Row],[_IsSummary]],COUNTIF(INDEX(Tasks[_LeafCritical],Tasks[[#This Row],[_Row]]+1):INDEX(Tasks[_LeafCritical],Tasks[[#This Row],[_Row]]+Tasks[[#This Row],[_Descendants]]),TRUE())&gt;0,Tasks[[#This Row],[_LeafCritical]]),"Yes",""))</f>
        <v/>
      </c>
      <c r="AK13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6" s="102"/>
      <c r="AN13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6" s="45" t="str">
        <f aca="false">IF(Tasks[[#This Row],[Task Name]]="","",IF(Tasks[[#This Row],[Progress]]&gt;=1,"Complete",IF(OR(N(Tasks[[#This Row],[Actual Start]])&gt;0,Tasks[[#This Row],[Progress]]&gt;0),IF(Tasks[[#This Row],[Finish Var]]&gt;0,"Behind","In Progress"),IF(Tasks[[#This Row],[Planned Start]]&lt;StatusDate,"Late Start","Not Started"))))</f>
        <v/>
      </c>
      <c r="AP136" s="47"/>
      <c r="AQ136" s="102"/>
      <c r="AR13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6" s="110" t="str">
        <f aca="false">IF(Tasks[[#This Row],[Task Name]]="","",IF(Tasks[[#This Row],[_IsSummary]],SUM(INDEX(Tasks[_LeafTotalWork],Tasks[[#This Row],[_Row]]+1):INDEX(Tasks[_LeafTotalWork],Tasks[[#This Row],[_Row]]+Tasks[[#This Row],[_Descendants]])),Tasks[[#This Row],[_LeafTotalWork]]))</f>
        <v/>
      </c>
      <c r="AU136" s="111" t="str">
        <f aca="false">IF(Tasks[[#This Row],[Task Name]]="","",IF(Tasks[[#This Row],[_IsSummary]],SUM(INDEX(Tasks[_LeafTotalCost],Tasks[[#This Row],[_Row]]+1):INDEX(Tasks[_LeafTotalCost],Tasks[[#This Row],[_Row]]+Tasks[[#This Row],[_Descendants]])),Tasks[[#This Row],[_LeafTotalCost]]))</f>
        <v/>
      </c>
      <c r="AV136" s="112"/>
      <c r="AW136" s="46"/>
      <c r="AX13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6" s="96"/>
      <c r="AZ13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6" s="47"/>
      <c r="BB136" s="25" t="str">
        <f aca="false">IF(Tasks[[#This Row],[Task Name]]="","",Tasks[[#This Row],[Forecast Start]])</f>
        <v/>
      </c>
      <c r="BC136" s="25" t="str">
        <f aca="false">IF(Tasks[[#This Row],[Task Name]]="","",Tasks[[#This Row],[Forecast Finish]])</f>
        <v/>
      </c>
      <c r="BD136" s="45" t="str">
        <f aca="false">IF(Tasks[[#This Row],[Task Name]]="","",IF(Tasks[[#This Row],[_IsSummary]],NETWORKDAYS.INTL(Tasks[[#This Row],[Forecast Start]],Tasks[[#This Row],[Forecast Finish]],WorkWeek,Holidays),N(Tasks[[#This Row],[Duration]])))</f>
        <v/>
      </c>
      <c r="BE136" s="110" t="str">
        <f aca="false">IF(Tasks[[#This Row],[Task Name]]="","",Tasks[[#This Row],[Work]])</f>
        <v/>
      </c>
      <c r="BF136" s="111" t="str">
        <f aca="false">IF(Tasks[[#This Row],[Task Name]]="","",Tasks[[#This Row],[Cost]])</f>
        <v/>
      </c>
      <c r="BG136" s="88"/>
      <c r="BH136" s="88"/>
      <c r="BI136" s="46"/>
      <c r="BJ136" s="113"/>
      <c r="BK136" s="112"/>
      <c r="BL136" s="45" t="str">
        <f aca="false">IF(OR(Tasks[[#This Row],[Task Name]]="",Tasks[[#This Row],[Baseline Duration]]=""),"",Tasks[[#This Row],[BL Source Duration]]-N(Tasks[[#This Row],[Baseline Duration]]))</f>
        <v/>
      </c>
      <c r="BM136" s="110" t="str">
        <f aca="false">IF(OR(Tasks[[#This Row],[Task Name]]="",Tasks[[#This Row],[Baseline Work]]=""),"",Tasks[[#This Row],[Work]]-N(Tasks[[#This Row],[Baseline Work]]))</f>
        <v/>
      </c>
      <c r="BN136" s="111" t="str">
        <f aca="false">IF(OR(Tasks[[#This Row],[Task Name]]="",Tasks[[#This Row],[Baseline Cost]]=""),"",Tasks[[#This Row],[Cost]]-N(Tasks[[#This Row],[Baseline Cost]]))</f>
        <v/>
      </c>
      <c r="BO136" s="111" t="str">
        <f aca="false">IF(Tasks[[#This Row],[Task Name]]="","",IF(Tasks[[#This Row],[_IsSummary]],SUM(INDEX(Tasks[_LeafBudget],Tasks[[#This Row],[_Row]]+1):INDEX(Tasks[_LeafBudget],Tasks[[#This Row],[_Row]]+Tasks[[#This Row],[_Descendants]])),Tasks[[#This Row],[_LeafBudget]]))</f>
        <v/>
      </c>
      <c r="BP136" s="111" t="str">
        <f aca="false">IF(Tasks[[#This Row],[Task Name]]="","",IF(Tasks[[#This Row],[_IsSummary]],SUM(INDEX(Tasks[_LeafPV],Tasks[[#This Row],[_Row]]+1):INDEX(Tasks[_LeafPV],Tasks[[#This Row],[_Row]]+Tasks[[#This Row],[_Descendants]])),Tasks[[#This Row],[_LeafPV]]))</f>
        <v/>
      </c>
      <c r="BQ136" s="111" t="str">
        <f aca="false">IF(Tasks[[#This Row],[Task Name]]="","",IF(Tasks[[#This Row],[_IsSummary]],SUM(INDEX(Tasks[_LeafEV],Tasks[[#This Row],[_Row]]+1):INDEX(Tasks[_LeafEV],Tasks[[#This Row],[_Row]]+Tasks[[#This Row],[_Descendants]])),Tasks[[#This Row],[_LeafEV]]))</f>
        <v/>
      </c>
      <c r="BR136" s="111" t="str">
        <f aca="false">IF(Tasks[[#This Row],[Task Name]]="","",IF(Tasks[[#This Row],[_IsSummary]],SUM(INDEX(Tasks[_LeafAC],Tasks[[#This Row],[_Row]]+1):INDEX(Tasks[_LeafAC],Tasks[[#This Row],[_Row]]+Tasks[[#This Row],[_Descendants]])),Tasks[[#This Row],[_LeafAC]]))</f>
        <v/>
      </c>
      <c r="BS136" s="32" t="str">
        <f aca="false">IF(Tasks[[#This Row],[Task Name]]="","",MAX(1,N(Tasks[[#This Row],[Level]])))</f>
        <v/>
      </c>
      <c r="BT136" s="32" t="n">
        <f aca="false">ROW()-ROW(Tasks[[#Headers],[ID]])</f>
        <v>131</v>
      </c>
      <c r="BU136" s="32" t="n">
        <f aca="false">IF(OR(Tasks[[#This Row],[Task Name]]="",Tasks[[#This Row],[_Level]]&lt;=1),0,IFERROR(LOOKUP(2,1/(Tasks[[#Headers],[_Level]]:Tasks[[#This Row],[_Level]]=Tasks[[#This Row],[_Level]]-1),ROW(Tasks[[#Headers],[_Level]]:Tasks[[#This Row],[_Level]])),0))</f>
        <v>0</v>
      </c>
      <c r="BV136" s="32" t="n">
        <f aca="false">IFERROR(N(INDEX(Tasks[_Level],Tasks[[#This Row],[_Row]]+1)),0)</f>
        <v>0</v>
      </c>
      <c r="BW136" s="114" t="b">
        <f aca="false">AND(Tasks[[#This Row],[Task Name]]&lt;&gt;"",Tasks[[#This Row],[_NextLevel]]&gt;Tasks[[#This Row],[_Level]])</f>
        <v>0</v>
      </c>
      <c r="BX136" s="32" t="n">
        <f aca="false">IF(Tasks[[#This Row],[_IsSummary]],COUNTIF(Tasks[WBS],Tasks[[#This Row],[WBS]]&amp;".*"),0)</f>
        <v>0</v>
      </c>
      <c r="BY136" s="32" t="n">
        <f aca="false">IF(AND(Tasks[[#This Row],[Task Name]]&lt;&gt;"",NOT(Tasks[[#This Row],[_IsSummary]])),1,0)</f>
        <v>0</v>
      </c>
      <c r="BZ136" s="32" t="n">
        <f aca="false">IF(N(Tasks[[#This Row],[Pred1 UID]])=0,0,IFERROR(MATCH(Tasks[[#This Row],[Pred1 UID]],Tasks[UID],0),-1))</f>
        <v>0</v>
      </c>
      <c r="CA136" s="32" t="n">
        <f aca="false">IF(N(Tasks[[#This Row],[Pred2 UID]])=0,0,IFERROR(MATCH(Tasks[[#This Row],[Pred2 UID]],Tasks[UID],0),-1))</f>
        <v>0</v>
      </c>
      <c r="CB136" s="32" t="n">
        <f aca="false">IF(N(Tasks[[#This Row],[Pred3 UID]])=0,0,IFERROR(MATCH(Tasks[[#This Row],[Pred3 UID]],Tasks[UID],0),-1))</f>
        <v>0</v>
      </c>
      <c r="CC136" s="32" t="n">
        <f aca="false">IF(N(Tasks[[#This Row],[Pred4 UID]])=0,0,IFERROR(MATCH(Tasks[[#This Row],[Pred4 UID]],Tasks[UID],0),-1))</f>
        <v>0</v>
      </c>
      <c r="CD13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6" s="115" t="n">
        <f aca="false">IF(OR(Tasks[[#This Row],[_ConstraintCode]]=2,Tasks[[#This Row],[_ConstraintCode]]=3,Tasks[[#This Row],[_ConstraintCode]]=4,Tasks[[#This Row],[_ConstraintCode]]=6),Tasks[[#This Row],[_ConstraintStart]],0)</f>
        <v>0</v>
      </c>
      <c r="CG136" s="115" t="n">
        <f aca="false">IF(OR(Tasks[[#This Row],[_ConstraintCode]]=2,Tasks[[#This Row],[_ConstraintCode]]=3,Tasks[[#This Row],[_ConstraintCode]]=5,Tasks[[#This Row],[_ConstraintCode]]=7),Tasks[[#This Row],[_ConstraintStart]],2958465)</f>
        <v>2958465</v>
      </c>
      <c r="CH13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6" s="115" t="str">
        <f aca="false">IF(NOT(Tasks[[#This Row],[_IsLeaf]]=1),"",IF(N(Tasks[[#This Row],[Duration]])&lt;=0,Tasks[[#This Row],[_LeafCalcStart]],WORKDAY.INTL(Tasks[[#This Row],[_LeafCalcStart]],Tasks[[#This Row],[Duration]]-1,WorkWeek,Holidays)))</f>
        <v/>
      </c>
      <c r="CJ13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6" s="32" t="n">
        <f aca="false">IF(NOT(Tasks[[#This Row],[_IsLeaf]]=1),0,IF(N(Tasks[[#This Row],[Actual Finish]])&gt;0,1,MIN(1,N(Tasks[[#This Row],[% Complete]]))))</f>
        <v>0</v>
      </c>
      <c r="CM136" s="32" t="n">
        <f aca="false">IF(OR(NOT(Tasks[[#This Row],[_IsLeaf]]=1),Tasks[[#This Row],[Resource]]=""),0,N(Tasks[[#This Row],[Duration]])*HoursPerDay*IF(Tasks[[#This Row],[Units]]="",DefaultUnits,Tasks[[#This Row],[Units]]))</f>
        <v>0</v>
      </c>
      <c r="CN136" s="32" t="n">
        <f aca="false">IF(Tasks[[#This Row],[_LeafWork]]=0,0,Tasks[[#This Row],[_LeafWork]]*IFERROR(INDEX(res_Rate,MATCH(Tasks[[#This Row],[Resource]],res_Name,0)),0))</f>
        <v>0</v>
      </c>
      <c r="CO136" s="32" t="n">
        <f aca="false">Tasks[[#This Row],[_LeafWork]]+IF(Tasks[[#This Row],[_IsLeaf]]=1,SUMIFS(asg_Work,asg_TaskUID,Tasks[[#This Row],[UID]],asg_Valid,1),0)</f>
        <v>0</v>
      </c>
      <c r="CP136" s="32" t="n">
        <f aca="false">Tasks[[#This Row],[_LeafCost]]+IF(Tasks[[#This Row],[_IsLeaf]]=1,SUMIFS(asg_Cost,asg_TaskUID,Tasks[[#This Row],[UID]],asg_Valid,1),0)</f>
        <v>0</v>
      </c>
      <c r="CQ136" s="32" t="n">
        <f aca="false">IF(Tasks[[#This Row],[_LeafTotalCost]]=0,Tasks[[#This Row],[_LeafAC]],Tasks[[#This Row],[_LeafAC]]*Tasks[[#This Row],[_LeafCost]]/Tasks[[#This Row],[_LeafTotalCost]])</f>
        <v>0</v>
      </c>
      <c r="CR13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6" s="32" t="n">
        <f aca="false">IF(NOT(Tasks[[#This Row],[_IsLeaf]]=1),0,MAX(_xlfn.MAXIFS(Tasks[_Row],Tasks[Pred1 UID],Tasks[[#This Row],[UID]]),_xlfn.MAXIFS(Tasks[_Row],Tasks[Pred2 UID],Tasks[[#This Row],[UID]]),_xlfn.MAXIFS(Tasks[_Row],Tasks[Pred3 UID],Tasks[[#This Row],[UID]]),_xlfn.MAXIFS(Tasks[_Row],Tasks[Pred4 UID],Tasks[[#This Row],[UID]])))</f>
        <v>0</v>
      </c>
      <c r="DA13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6" s="115" t="str">
        <f aca="false">IF(NOT(Tasks[[#This Row],[_IsLeaf]]=1),"",IF(N(Tasks[[#This Row],[Duration]])&lt;=0,Tasks[[#This Row],[_LeafLateFinish]],WORKDAY.INTL(Tasks[[#This Row],[_LeafLateFinish]],-(Tasks[[#This Row],[Duration]]-1),WorkWeek,Holidays)))</f>
        <v/>
      </c>
      <c r="DD13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6" s="114" t="b">
        <f aca="false">AND(Tasks[[#This Row],[_IsLeaf]]=1,Tasks[[#This Row],[_LeafProgress]]&lt;1,N(Tasks[[#This Row],[_LeafTotalSlack]])&lt;=CriticalSlackDays)</f>
        <v>0</v>
      </c>
      <c r="DF136" s="32" t="n">
        <f aca="false">IF(AND(Tasks[[#This Row],[_IsLeaf]]=1,Tasks[[#This Row],[_ConstraintCode]]=1,Tasks[[#This Row],[Mode]]&lt;&gt;"Manual",N(Tasks[[#This Row],[Actual Start]])=0),MAX(0,N(Tasks[[#This Row],[Free Slack]])),0)</f>
        <v>0</v>
      </c>
      <c r="DG136" s="115" t="str">
        <f aca="false">IF(NOT(Tasks[[#This Row],[_IsLeaf]]=1),"",IF(Tasks[[#This Row],[_AlapShift]]=0,Tasks[[#This Row],[_LeafCalcStart]],WORKDAY.INTL(Tasks[[#This Row],[_LeafCalcStart]],Tasks[[#This Row],[_AlapShift]],WorkWeek,Holidays)))</f>
        <v/>
      </c>
      <c r="DH136" s="115" t="str">
        <f aca="false">IF(NOT(Tasks[[#This Row],[_IsLeaf]]=1),"",IF(Tasks[[#This Row],[_AlapShift]]=0,Tasks[[#This Row],[_LeafCalcFinish]],WORKDAY.INTL(Tasks[[#This Row],[_LeafCalcFinish]],Tasks[[#This Row],[_AlapShift]],WorkWeek,Holidays)))</f>
        <v/>
      </c>
      <c r="DI136" s="115" t="str">
        <f aca="false">IF(NOT(Tasks[[#This Row],[_IsLeaf]]=1),"",IF(Tasks[[#This Row],[_AlapShift]]=0,Tasks[[#This Row],[_LeafFcstStart]],WORKDAY.INTL(Tasks[[#This Row],[_LeafFcstStart]],Tasks[[#This Row],[_AlapShift]],WorkWeek,Holidays)))</f>
        <v/>
      </c>
      <c r="DJ136" s="115" t="str">
        <f aca="false">IF(NOT(Tasks[[#This Row],[_IsLeaf]]=1),"",IF(Tasks[[#This Row],[_AlapShift]]=0,Tasks[[#This Row],[_LeafFcstFinish]],WORKDAY.INTL(Tasks[[#This Row],[_LeafFcstFinish]],Tasks[[#This Row],[_AlapShift]],WorkWeek,Holidays)))</f>
        <v/>
      </c>
      <c r="DK136" s="115" t="str">
        <f aca="false">IF(Tasks[[#This Row],[Task Name]]="","",IF(Tasks[[#This Row],[_IsSummary]],MIN(INDEX(Tasks[_ShownCalcStart],Tasks[[#This Row],[_Row]]+1):INDEX(Tasks[_ShownCalcStart],Tasks[[#This Row],[_Row]]+Tasks[[#This Row],[_Descendants]])),Tasks[[#This Row],[_ShownCalcStart]]))</f>
        <v/>
      </c>
      <c r="DL136" s="115" t="str">
        <f aca="false">IF(Tasks[[#This Row],[Task Name]]="","",IF(Tasks[[#This Row],[_IsSummary]],MAX(INDEX(Tasks[_ShownCalcFinish],Tasks[[#This Row],[_Row]]+1):INDEX(Tasks[_ShownCalcFinish],Tasks[[#This Row],[_Row]]+Tasks[[#This Row],[_Descendants]])),Tasks[[#This Row],[_ShownCalcFinish]]))</f>
        <v/>
      </c>
      <c r="DM13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6" s="32" t="n">
        <f aca="false">IF(AND(Tasks[[#This Row],[_IsLeaf]]=1,Tasks[[#This Row],[_LeafTotalWork]]&gt;0),NETWORKDAYS.INTL(ProjectStart,Tasks[[#This Row],[_ShownFcstStart]],WorkWeek,Holidays),0)</f>
        <v>0</v>
      </c>
      <c r="DZ136" s="32" t="n">
        <f aca="false">IF(AND(Tasks[[#This Row],[_IsLeaf]]=1,Tasks[[#This Row],[_LeafTotalWork]]&gt;0),MAX(Tasks[[#This Row],[_StartWorkday]],NETWORKDAYS.INTL(ProjectStart,Tasks[[#This Row],[_ShownFcstFinish]],WorkWeek,Holidays)),0)</f>
        <v>0</v>
      </c>
      <c r="EA136" s="32" t="n">
        <f aca="false">IF(AND(Tasks[[#This Row],[_IsLeaf]]=1,Tasks[[#This Row],[_LeafTotalWork]]&gt;0),Tasks[[#This Row],[_LeafWork]]/(Tasks[[#This Row],[_FinishWorkday]]-Tasks[[#This Row],[_StartWorkday]]+1),0)</f>
        <v>0</v>
      </c>
      <c r="EB136" s="32" t="n">
        <f aca="false">Tasks[[#This Row],[_WorkPerWorkday]]*(Tasks[[#This Row],[_StartWorkday]]-1)</f>
        <v>-0</v>
      </c>
      <c r="EC136" s="32" t="n">
        <f aca="false">IF(Tasks[[#This Row],[_IsLeaf]]=1,MAX(N(Tasks[[#This Row],[Duration]]),0.1),0)</f>
        <v>0</v>
      </c>
      <c r="ED136" s="32" t="n">
        <f aca="false">Tasks[[#This Row],[_WeightDur]]*Tasks[[#This Row],[_LeafProgress]]</f>
        <v>0</v>
      </c>
      <c r="EE13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6" s="32" t="str">
        <f aca="false">IF(AND(Tasks[[#This Row],[_IsLeaf]]=1,N(Tasks[[#This Row],[Duration]])=0,Tasks[[#This Row],[_LeafProgress]]&lt;1),Tasks[[#This Row],[_ShownFcstFinish]]+Tasks[[#This Row],[_Row]]/100000,"")</f>
        <v/>
      </c>
      <c r="EG13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6" s="32" t="n">
        <f aca="false">IF(NOT(Tasks[[#This Row],[_IsLeaf]]=1),0,IF(Tasks[[#This Row],[Baseline Cost]]="",Tasks[[#This Row],[_LeafTotalCost]],N(Tasks[[#This Row],[Baseline Cost]])))</f>
        <v>0</v>
      </c>
      <c r="EI136" s="32" t="n">
        <f aca="false">Tasks[[#This Row],[_LeafBudget]]*Tasks[[#This Row],[_PlannedPct]]</f>
        <v>0</v>
      </c>
      <c r="EJ136" s="32" t="n">
        <f aca="false">Tasks[[#This Row],[_LeafBudget]]*Tasks[[#This Row],[_LeafProgress]]</f>
        <v>0</v>
      </c>
      <c r="EK136" s="32" t="n">
        <f aca="false">IF(NOT(Tasks[[#This Row],[_IsLeaf]]=1),0,IF(Tasks[[#This Row],[Actual Cost]]="",Tasks[[#This Row],[_LeafTotalCost]]*Tasks[[#This Row],[_LeafProgress]],N(Tasks[[#This Row],[Actual Cost]])))</f>
        <v>0</v>
      </c>
      <c r="EL136" s="32" t="str">
        <f aca="false">IF(Tasks[[#This Row],[Task Name]]="","",LEFT(Tasks[[#This Row],[WBS]],FIND(".",Tasks[[#This Row],[WBS]]&amp;".")-1))</f>
        <v/>
      </c>
      <c r="EM136" s="32" t="str">
        <f aca="false">IF(AND(Tasks[[#This Row],[Task Name]]&lt;&gt;"",Tasks[[#This Row],[_Level]]=1),Tasks[[#This Row],[_Row]],"")</f>
        <v/>
      </c>
      <c r="EN136" s="32" t="str">
        <f aca="false">IF(AND(Tasks[[#This Row],[_IsLeaf]]=1,N(Tasks[[#This Row],[Duration]])=0),Tasks[[#This Row],[Planned Finish]]+Tasks[[#This Row],[_Row]]/100000,"")</f>
        <v/>
      </c>
      <c r="EO136" s="32" t="str">
        <f aca="false">IF(AND(Tasks[[#This Row],[_IsLeaf]]=1,Tasks[[#This Row],[_LeafProgress]]&lt;1,OR(N(Tasks[[#This Row],[Finish Var]])&gt;0,Tasks[[#This Row],[Status]]="Late Start")),MAX(0,Tasks[[#This Row],[Finish Var]])+1-Tasks[[#This Row],[_Row]]/1000000,"")</f>
        <v/>
      </c>
      <c r="EP136" s="32" t="str">
        <f aca="false">IF(AND(Tasks[[#This Row],[_IsLeaf]]=1,N(Tasks[[#This Row],[Actual Start]])=0,Tasks[[#This Row],[_ShownFcstStart]]&gt;=StatusDate,Tasks[[#This Row],[_ShownFcstStart]]&lt;=LookaheadEnd),Tasks[[#This Row],[_ShownFcstStart]]+Tasks[[#This Row],[_Row]]/100000,"")</f>
        <v/>
      </c>
      <c r="EQ136" s="32" t="str">
        <f aca="false">IF(AND(Tasks[[#This Row],[_IsLeaf]]=1,Tasks[[#This Row],[_LeafProgress]]&lt;1,Tasks[[#This Row],[_ShownFcstFinish]]&gt;=StatusDate,Tasks[[#This Row],[_ShownFcstFinish]]&lt;=LookaheadEnd),Tasks[[#This Row],[_ShownFcstFinish]]+Tasks[[#This Row],[_Row]]/100000,"")</f>
        <v/>
      </c>
      <c r="ER136" s="32" t="str">
        <f aca="false">IF(Tasks[[#This Row],[_LeafCritical]],Tasks[[#This Row],[_ShownFcstStart]]+Tasks[[#This Row],[_Row]]/100000,"")</f>
        <v/>
      </c>
      <c r="ES136" s="32" t="n">
        <f aca="false">Tasks[[#This Row],[_LeafWork]]*Tasks[[#This Row],[_LeafProgress]]</f>
        <v>0</v>
      </c>
      <c r="ET136" s="115" t="str">
        <f aca="false">IF(AND(Tasks[[#This Row],[_IsLeaf]]=1,Tasks[[#This Row],[_LeafProgress]]&gt;=1),IF(N(Tasks[[#This Row],[Actual Finish]])&gt;0,Tasks[[#This Row],[Actual Finish]],Tasks[[#This Row],[_ShownFcstFinish]]),"")</f>
        <v/>
      </c>
      <c r="EU136" s="32" t="n">
        <f aca="false">IF(Tasks[[#This Row],[_IsLeaf]]=1,N(Tasks[[#This Row],[Story Points]]),0)</f>
        <v>0</v>
      </c>
      <c r="EV136" s="32" t="str">
        <f aca="false">IF(AND(Tasks[[#This Row],[_IsLeaf]]=1,CurrentSprint&lt;&gt;"",Tasks[[#This Row],[Sprint]]=CurrentSprint),Tasks[[#This Row],[_Row]],"")</f>
        <v/>
      </c>
    </row>
    <row r="137" customFormat="false" ht="15" hidden="false" customHeight="false" outlineLevel="0" collapsed="false">
      <c r="A137" s="45" t="str">
        <f aca="false">IF(Tasks[[#This Row],[Task Name]]="","",COUNTA(Tasks[[#Headers],[Task Name]]:Tasks[[#This Row],[Task Name]])-1)</f>
        <v/>
      </c>
      <c r="B137" s="46" t="n">
        <v>132</v>
      </c>
      <c r="C13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7" s="46"/>
      <c r="E137" s="45" t="str">
        <f aca="false">IF(Tasks[[#This Row],[Task Name]]="","",IF(Tasks[[#This Row],[_Level]]&lt;=OutlineShowLevel,"Yes","No"))</f>
        <v/>
      </c>
      <c r="F137" s="47"/>
      <c r="G137" s="46"/>
      <c r="H137" s="46"/>
      <c r="I137" s="46"/>
      <c r="J137" s="46"/>
      <c r="K137" s="46"/>
      <c r="L137" s="46"/>
      <c r="M137" s="46"/>
      <c r="N137" s="46"/>
      <c r="O137" s="46"/>
      <c r="P137" s="46"/>
      <c r="Q137" s="46"/>
      <c r="R137" s="46"/>
      <c r="S137" s="46"/>
      <c r="T137" s="46"/>
      <c r="U137" s="47"/>
      <c r="V137" s="88"/>
      <c r="W137" s="88"/>
      <c r="X137" s="25" t="str">
        <f aca="false">IF(Tasks[[#This Row],[Task Name]]="","",IF(N(Tasks[[#This Row],[Baseline Start]])&gt;0,Tasks[[#This Row],[Baseline Start]],Tasks[[#This Row],[_CalcStart]]))</f>
        <v/>
      </c>
      <c r="Y137" s="25" t="str">
        <f aca="false">IF(Tasks[[#This Row],[Task Name]]="","",IF(N(Tasks[[#This Row],[Baseline Finish]])&gt;0,Tasks[[#This Row],[Baseline Finish]],Tasks[[#This Row],[_CalcFinish]]))</f>
        <v/>
      </c>
      <c r="Z137" s="88"/>
      <c r="AA137" s="88"/>
      <c r="AB137" s="25" t="str">
        <f aca="false">IF(Tasks[[#This Row],[Task Name]]="","",IF(Tasks[[#This Row],[_IsSummary]],MIN(INDEX(Tasks[_ShownFcstStart],Tasks[[#This Row],[_Row]]+1):INDEX(Tasks[_ShownFcstStart],Tasks[[#This Row],[_Row]]+Tasks[[#This Row],[_Descendants]])),Tasks[[#This Row],[_ShownFcstStart]]))</f>
        <v/>
      </c>
      <c r="AC137" s="25" t="str">
        <f aca="false">IF(Tasks[[#This Row],[Task Name]]="","",IF(Tasks[[#This Row],[_IsSummary]],MAX(INDEX(Tasks[_ShownFcstFinish],Tasks[[#This Row],[_Row]]+1):INDEX(Tasks[_ShownFcstFinish],Tasks[[#This Row],[_Row]]+Tasks[[#This Row],[_Descendants]])),Tasks[[#This Row],[_ShownFcstFinish]]))</f>
        <v/>
      </c>
      <c r="AD13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7" s="25" t="str">
        <f aca="false">IF(Tasks[[#This Row],[Task Name]]="","",IF(Tasks[[#This Row],[_IsSummary]],MIN(INDEX(Tasks[_LeafLateStart],Tasks[[#This Row],[_Row]]+1):INDEX(Tasks[_LeafLateStart],Tasks[[#This Row],[_Row]]+Tasks[[#This Row],[_Descendants]])),Tasks[[#This Row],[_LeafLateStart]]))</f>
        <v/>
      </c>
      <c r="AG137" s="25" t="str">
        <f aca="false">IF(Tasks[[#This Row],[Task Name]]="","",IF(Tasks[[#This Row],[_IsSummary]],MAX(INDEX(Tasks[_LeafLateFinish],Tasks[[#This Row],[_Row]]+1):INDEX(Tasks[_LeafLateFinish],Tasks[[#This Row],[_Row]]+Tasks[[#This Row],[_Descendants]])),Tasks[[#This Row],[_LeafLateFinish]]))</f>
        <v/>
      </c>
      <c r="AH137" s="56" t="str">
        <f aca="false">IF(Tasks[[#This Row],[Task Name]]="","",IF(Tasks[[#This Row],[_IsSummary]],MIN(INDEX(Tasks[_LeafTotalSlack],Tasks[[#This Row],[_Row]]+1):INDEX(Tasks[_LeafTotalSlack],Tasks[[#This Row],[_Row]]+Tasks[[#This Row],[_Descendants]])),Tasks[[#This Row],[_LeafTotalSlack]]))</f>
        <v/>
      </c>
      <c r="AI13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7" s="45" t="str">
        <f aca="false">IF(Tasks[[#This Row],[Task Name]]="","",IF(IF(Tasks[[#This Row],[_IsSummary]],COUNTIF(INDEX(Tasks[_LeafCritical],Tasks[[#This Row],[_Row]]+1):INDEX(Tasks[_LeafCritical],Tasks[[#This Row],[_Row]]+Tasks[[#This Row],[_Descendants]]),TRUE())&gt;0,Tasks[[#This Row],[_LeafCritical]]),"Yes",""))</f>
        <v/>
      </c>
      <c r="AK13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7" s="102"/>
      <c r="AN13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7" s="45" t="str">
        <f aca="false">IF(Tasks[[#This Row],[Task Name]]="","",IF(Tasks[[#This Row],[Progress]]&gt;=1,"Complete",IF(OR(N(Tasks[[#This Row],[Actual Start]])&gt;0,Tasks[[#This Row],[Progress]]&gt;0),IF(Tasks[[#This Row],[Finish Var]]&gt;0,"Behind","In Progress"),IF(Tasks[[#This Row],[Planned Start]]&lt;StatusDate,"Late Start","Not Started"))))</f>
        <v/>
      </c>
      <c r="AP137" s="47"/>
      <c r="AQ137" s="102"/>
      <c r="AR13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7" s="110" t="str">
        <f aca="false">IF(Tasks[[#This Row],[Task Name]]="","",IF(Tasks[[#This Row],[_IsSummary]],SUM(INDEX(Tasks[_LeafTotalWork],Tasks[[#This Row],[_Row]]+1):INDEX(Tasks[_LeafTotalWork],Tasks[[#This Row],[_Row]]+Tasks[[#This Row],[_Descendants]])),Tasks[[#This Row],[_LeafTotalWork]]))</f>
        <v/>
      </c>
      <c r="AU137" s="111" t="str">
        <f aca="false">IF(Tasks[[#This Row],[Task Name]]="","",IF(Tasks[[#This Row],[_IsSummary]],SUM(INDEX(Tasks[_LeafTotalCost],Tasks[[#This Row],[_Row]]+1):INDEX(Tasks[_LeafTotalCost],Tasks[[#This Row],[_Row]]+Tasks[[#This Row],[_Descendants]])),Tasks[[#This Row],[_LeafTotalCost]]))</f>
        <v/>
      </c>
      <c r="AV137" s="112"/>
      <c r="AW137" s="46"/>
      <c r="AX13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7" s="96"/>
      <c r="AZ13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7" s="47"/>
      <c r="BB137" s="25" t="str">
        <f aca="false">IF(Tasks[[#This Row],[Task Name]]="","",Tasks[[#This Row],[Forecast Start]])</f>
        <v/>
      </c>
      <c r="BC137" s="25" t="str">
        <f aca="false">IF(Tasks[[#This Row],[Task Name]]="","",Tasks[[#This Row],[Forecast Finish]])</f>
        <v/>
      </c>
      <c r="BD137" s="45" t="str">
        <f aca="false">IF(Tasks[[#This Row],[Task Name]]="","",IF(Tasks[[#This Row],[_IsSummary]],NETWORKDAYS.INTL(Tasks[[#This Row],[Forecast Start]],Tasks[[#This Row],[Forecast Finish]],WorkWeek,Holidays),N(Tasks[[#This Row],[Duration]])))</f>
        <v/>
      </c>
      <c r="BE137" s="110" t="str">
        <f aca="false">IF(Tasks[[#This Row],[Task Name]]="","",Tasks[[#This Row],[Work]])</f>
        <v/>
      </c>
      <c r="BF137" s="111" t="str">
        <f aca="false">IF(Tasks[[#This Row],[Task Name]]="","",Tasks[[#This Row],[Cost]])</f>
        <v/>
      </c>
      <c r="BG137" s="88"/>
      <c r="BH137" s="88"/>
      <c r="BI137" s="46"/>
      <c r="BJ137" s="113"/>
      <c r="BK137" s="112"/>
      <c r="BL137" s="45" t="str">
        <f aca="false">IF(OR(Tasks[[#This Row],[Task Name]]="",Tasks[[#This Row],[Baseline Duration]]=""),"",Tasks[[#This Row],[BL Source Duration]]-N(Tasks[[#This Row],[Baseline Duration]]))</f>
        <v/>
      </c>
      <c r="BM137" s="110" t="str">
        <f aca="false">IF(OR(Tasks[[#This Row],[Task Name]]="",Tasks[[#This Row],[Baseline Work]]=""),"",Tasks[[#This Row],[Work]]-N(Tasks[[#This Row],[Baseline Work]]))</f>
        <v/>
      </c>
      <c r="BN137" s="111" t="str">
        <f aca="false">IF(OR(Tasks[[#This Row],[Task Name]]="",Tasks[[#This Row],[Baseline Cost]]=""),"",Tasks[[#This Row],[Cost]]-N(Tasks[[#This Row],[Baseline Cost]]))</f>
        <v/>
      </c>
      <c r="BO137" s="111" t="str">
        <f aca="false">IF(Tasks[[#This Row],[Task Name]]="","",IF(Tasks[[#This Row],[_IsSummary]],SUM(INDEX(Tasks[_LeafBudget],Tasks[[#This Row],[_Row]]+1):INDEX(Tasks[_LeafBudget],Tasks[[#This Row],[_Row]]+Tasks[[#This Row],[_Descendants]])),Tasks[[#This Row],[_LeafBudget]]))</f>
        <v/>
      </c>
      <c r="BP137" s="111" t="str">
        <f aca="false">IF(Tasks[[#This Row],[Task Name]]="","",IF(Tasks[[#This Row],[_IsSummary]],SUM(INDEX(Tasks[_LeafPV],Tasks[[#This Row],[_Row]]+1):INDEX(Tasks[_LeafPV],Tasks[[#This Row],[_Row]]+Tasks[[#This Row],[_Descendants]])),Tasks[[#This Row],[_LeafPV]]))</f>
        <v/>
      </c>
      <c r="BQ137" s="111" t="str">
        <f aca="false">IF(Tasks[[#This Row],[Task Name]]="","",IF(Tasks[[#This Row],[_IsSummary]],SUM(INDEX(Tasks[_LeafEV],Tasks[[#This Row],[_Row]]+1):INDEX(Tasks[_LeafEV],Tasks[[#This Row],[_Row]]+Tasks[[#This Row],[_Descendants]])),Tasks[[#This Row],[_LeafEV]]))</f>
        <v/>
      </c>
      <c r="BR137" s="111" t="str">
        <f aca="false">IF(Tasks[[#This Row],[Task Name]]="","",IF(Tasks[[#This Row],[_IsSummary]],SUM(INDEX(Tasks[_LeafAC],Tasks[[#This Row],[_Row]]+1):INDEX(Tasks[_LeafAC],Tasks[[#This Row],[_Row]]+Tasks[[#This Row],[_Descendants]])),Tasks[[#This Row],[_LeafAC]]))</f>
        <v/>
      </c>
      <c r="BS137" s="32" t="str">
        <f aca="false">IF(Tasks[[#This Row],[Task Name]]="","",MAX(1,N(Tasks[[#This Row],[Level]])))</f>
        <v/>
      </c>
      <c r="BT137" s="32" t="n">
        <f aca="false">ROW()-ROW(Tasks[[#Headers],[ID]])</f>
        <v>132</v>
      </c>
      <c r="BU137" s="32" t="n">
        <f aca="false">IF(OR(Tasks[[#This Row],[Task Name]]="",Tasks[[#This Row],[_Level]]&lt;=1),0,IFERROR(LOOKUP(2,1/(Tasks[[#Headers],[_Level]]:Tasks[[#This Row],[_Level]]=Tasks[[#This Row],[_Level]]-1),ROW(Tasks[[#Headers],[_Level]]:Tasks[[#This Row],[_Level]])),0))</f>
        <v>0</v>
      </c>
      <c r="BV137" s="32" t="n">
        <f aca="false">IFERROR(N(INDEX(Tasks[_Level],Tasks[[#This Row],[_Row]]+1)),0)</f>
        <v>0</v>
      </c>
      <c r="BW137" s="114" t="b">
        <f aca="false">AND(Tasks[[#This Row],[Task Name]]&lt;&gt;"",Tasks[[#This Row],[_NextLevel]]&gt;Tasks[[#This Row],[_Level]])</f>
        <v>0</v>
      </c>
      <c r="BX137" s="32" t="n">
        <f aca="false">IF(Tasks[[#This Row],[_IsSummary]],COUNTIF(Tasks[WBS],Tasks[[#This Row],[WBS]]&amp;".*"),0)</f>
        <v>0</v>
      </c>
      <c r="BY137" s="32" t="n">
        <f aca="false">IF(AND(Tasks[[#This Row],[Task Name]]&lt;&gt;"",NOT(Tasks[[#This Row],[_IsSummary]])),1,0)</f>
        <v>0</v>
      </c>
      <c r="BZ137" s="32" t="n">
        <f aca="false">IF(N(Tasks[[#This Row],[Pred1 UID]])=0,0,IFERROR(MATCH(Tasks[[#This Row],[Pred1 UID]],Tasks[UID],0),-1))</f>
        <v>0</v>
      </c>
      <c r="CA137" s="32" t="n">
        <f aca="false">IF(N(Tasks[[#This Row],[Pred2 UID]])=0,0,IFERROR(MATCH(Tasks[[#This Row],[Pred2 UID]],Tasks[UID],0),-1))</f>
        <v>0</v>
      </c>
      <c r="CB137" s="32" t="n">
        <f aca="false">IF(N(Tasks[[#This Row],[Pred3 UID]])=0,0,IFERROR(MATCH(Tasks[[#This Row],[Pred3 UID]],Tasks[UID],0),-1))</f>
        <v>0</v>
      </c>
      <c r="CC137" s="32" t="n">
        <f aca="false">IF(N(Tasks[[#This Row],[Pred4 UID]])=0,0,IFERROR(MATCH(Tasks[[#This Row],[Pred4 UID]],Tasks[UID],0),-1))</f>
        <v>0</v>
      </c>
      <c r="CD13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7" s="115" t="n">
        <f aca="false">IF(OR(Tasks[[#This Row],[_ConstraintCode]]=2,Tasks[[#This Row],[_ConstraintCode]]=3,Tasks[[#This Row],[_ConstraintCode]]=4,Tasks[[#This Row],[_ConstraintCode]]=6),Tasks[[#This Row],[_ConstraintStart]],0)</f>
        <v>0</v>
      </c>
      <c r="CG137" s="115" t="n">
        <f aca="false">IF(OR(Tasks[[#This Row],[_ConstraintCode]]=2,Tasks[[#This Row],[_ConstraintCode]]=3,Tasks[[#This Row],[_ConstraintCode]]=5,Tasks[[#This Row],[_ConstraintCode]]=7),Tasks[[#This Row],[_ConstraintStart]],2958465)</f>
        <v>2958465</v>
      </c>
      <c r="CH13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7" s="115" t="str">
        <f aca="false">IF(NOT(Tasks[[#This Row],[_IsLeaf]]=1),"",IF(N(Tasks[[#This Row],[Duration]])&lt;=0,Tasks[[#This Row],[_LeafCalcStart]],WORKDAY.INTL(Tasks[[#This Row],[_LeafCalcStart]],Tasks[[#This Row],[Duration]]-1,WorkWeek,Holidays)))</f>
        <v/>
      </c>
      <c r="CJ13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7" s="32" t="n">
        <f aca="false">IF(NOT(Tasks[[#This Row],[_IsLeaf]]=1),0,IF(N(Tasks[[#This Row],[Actual Finish]])&gt;0,1,MIN(1,N(Tasks[[#This Row],[% Complete]]))))</f>
        <v>0</v>
      </c>
      <c r="CM137" s="32" t="n">
        <f aca="false">IF(OR(NOT(Tasks[[#This Row],[_IsLeaf]]=1),Tasks[[#This Row],[Resource]]=""),0,N(Tasks[[#This Row],[Duration]])*HoursPerDay*IF(Tasks[[#This Row],[Units]]="",DefaultUnits,Tasks[[#This Row],[Units]]))</f>
        <v>0</v>
      </c>
      <c r="CN137" s="32" t="n">
        <f aca="false">IF(Tasks[[#This Row],[_LeafWork]]=0,0,Tasks[[#This Row],[_LeafWork]]*IFERROR(INDEX(res_Rate,MATCH(Tasks[[#This Row],[Resource]],res_Name,0)),0))</f>
        <v>0</v>
      </c>
      <c r="CO137" s="32" t="n">
        <f aca="false">Tasks[[#This Row],[_LeafWork]]+IF(Tasks[[#This Row],[_IsLeaf]]=1,SUMIFS(asg_Work,asg_TaskUID,Tasks[[#This Row],[UID]],asg_Valid,1),0)</f>
        <v>0</v>
      </c>
      <c r="CP137" s="32" t="n">
        <f aca="false">Tasks[[#This Row],[_LeafCost]]+IF(Tasks[[#This Row],[_IsLeaf]]=1,SUMIFS(asg_Cost,asg_TaskUID,Tasks[[#This Row],[UID]],asg_Valid,1),0)</f>
        <v>0</v>
      </c>
      <c r="CQ137" s="32" t="n">
        <f aca="false">IF(Tasks[[#This Row],[_LeafTotalCost]]=0,Tasks[[#This Row],[_LeafAC]],Tasks[[#This Row],[_LeafAC]]*Tasks[[#This Row],[_LeafCost]]/Tasks[[#This Row],[_LeafTotalCost]])</f>
        <v>0</v>
      </c>
      <c r="CR13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7" s="32" t="n">
        <f aca="false">IF(NOT(Tasks[[#This Row],[_IsLeaf]]=1),0,MAX(_xlfn.MAXIFS(Tasks[_Row],Tasks[Pred1 UID],Tasks[[#This Row],[UID]]),_xlfn.MAXIFS(Tasks[_Row],Tasks[Pred2 UID],Tasks[[#This Row],[UID]]),_xlfn.MAXIFS(Tasks[_Row],Tasks[Pred3 UID],Tasks[[#This Row],[UID]]),_xlfn.MAXIFS(Tasks[_Row],Tasks[Pred4 UID],Tasks[[#This Row],[UID]])))</f>
        <v>0</v>
      </c>
      <c r="DA13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7" s="115" t="str">
        <f aca="false">IF(NOT(Tasks[[#This Row],[_IsLeaf]]=1),"",IF(N(Tasks[[#This Row],[Duration]])&lt;=0,Tasks[[#This Row],[_LeafLateFinish]],WORKDAY.INTL(Tasks[[#This Row],[_LeafLateFinish]],-(Tasks[[#This Row],[Duration]]-1),WorkWeek,Holidays)))</f>
        <v/>
      </c>
      <c r="DD13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7" s="114" t="b">
        <f aca="false">AND(Tasks[[#This Row],[_IsLeaf]]=1,Tasks[[#This Row],[_LeafProgress]]&lt;1,N(Tasks[[#This Row],[_LeafTotalSlack]])&lt;=CriticalSlackDays)</f>
        <v>0</v>
      </c>
      <c r="DF137" s="32" t="n">
        <f aca="false">IF(AND(Tasks[[#This Row],[_IsLeaf]]=1,Tasks[[#This Row],[_ConstraintCode]]=1,Tasks[[#This Row],[Mode]]&lt;&gt;"Manual",N(Tasks[[#This Row],[Actual Start]])=0),MAX(0,N(Tasks[[#This Row],[Free Slack]])),0)</f>
        <v>0</v>
      </c>
      <c r="DG137" s="115" t="str">
        <f aca="false">IF(NOT(Tasks[[#This Row],[_IsLeaf]]=1),"",IF(Tasks[[#This Row],[_AlapShift]]=0,Tasks[[#This Row],[_LeafCalcStart]],WORKDAY.INTL(Tasks[[#This Row],[_LeafCalcStart]],Tasks[[#This Row],[_AlapShift]],WorkWeek,Holidays)))</f>
        <v/>
      </c>
      <c r="DH137" s="115" t="str">
        <f aca="false">IF(NOT(Tasks[[#This Row],[_IsLeaf]]=1),"",IF(Tasks[[#This Row],[_AlapShift]]=0,Tasks[[#This Row],[_LeafCalcFinish]],WORKDAY.INTL(Tasks[[#This Row],[_LeafCalcFinish]],Tasks[[#This Row],[_AlapShift]],WorkWeek,Holidays)))</f>
        <v/>
      </c>
      <c r="DI137" s="115" t="str">
        <f aca="false">IF(NOT(Tasks[[#This Row],[_IsLeaf]]=1),"",IF(Tasks[[#This Row],[_AlapShift]]=0,Tasks[[#This Row],[_LeafFcstStart]],WORKDAY.INTL(Tasks[[#This Row],[_LeafFcstStart]],Tasks[[#This Row],[_AlapShift]],WorkWeek,Holidays)))</f>
        <v/>
      </c>
      <c r="DJ137" s="115" t="str">
        <f aca="false">IF(NOT(Tasks[[#This Row],[_IsLeaf]]=1),"",IF(Tasks[[#This Row],[_AlapShift]]=0,Tasks[[#This Row],[_LeafFcstFinish]],WORKDAY.INTL(Tasks[[#This Row],[_LeafFcstFinish]],Tasks[[#This Row],[_AlapShift]],WorkWeek,Holidays)))</f>
        <v/>
      </c>
      <c r="DK137" s="115" t="str">
        <f aca="false">IF(Tasks[[#This Row],[Task Name]]="","",IF(Tasks[[#This Row],[_IsSummary]],MIN(INDEX(Tasks[_ShownCalcStart],Tasks[[#This Row],[_Row]]+1):INDEX(Tasks[_ShownCalcStart],Tasks[[#This Row],[_Row]]+Tasks[[#This Row],[_Descendants]])),Tasks[[#This Row],[_ShownCalcStart]]))</f>
        <v/>
      </c>
      <c r="DL137" s="115" t="str">
        <f aca="false">IF(Tasks[[#This Row],[Task Name]]="","",IF(Tasks[[#This Row],[_IsSummary]],MAX(INDEX(Tasks[_ShownCalcFinish],Tasks[[#This Row],[_Row]]+1):INDEX(Tasks[_ShownCalcFinish],Tasks[[#This Row],[_Row]]+Tasks[[#This Row],[_Descendants]])),Tasks[[#This Row],[_ShownCalcFinish]]))</f>
        <v/>
      </c>
      <c r="DM13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7" s="32" t="n">
        <f aca="false">IF(AND(Tasks[[#This Row],[_IsLeaf]]=1,Tasks[[#This Row],[_LeafTotalWork]]&gt;0),NETWORKDAYS.INTL(ProjectStart,Tasks[[#This Row],[_ShownFcstStart]],WorkWeek,Holidays),0)</f>
        <v>0</v>
      </c>
      <c r="DZ137" s="32" t="n">
        <f aca="false">IF(AND(Tasks[[#This Row],[_IsLeaf]]=1,Tasks[[#This Row],[_LeafTotalWork]]&gt;0),MAX(Tasks[[#This Row],[_StartWorkday]],NETWORKDAYS.INTL(ProjectStart,Tasks[[#This Row],[_ShownFcstFinish]],WorkWeek,Holidays)),0)</f>
        <v>0</v>
      </c>
      <c r="EA137" s="32" t="n">
        <f aca="false">IF(AND(Tasks[[#This Row],[_IsLeaf]]=1,Tasks[[#This Row],[_LeafTotalWork]]&gt;0),Tasks[[#This Row],[_LeafWork]]/(Tasks[[#This Row],[_FinishWorkday]]-Tasks[[#This Row],[_StartWorkday]]+1),0)</f>
        <v>0</v>
      </c>
      <c r="EB137" s="32" t="n">
        <f aca="false">Tasks[[#This Row],[_WorkPerWorkday]]*(Tasks[[#This Row],[_StartWorkday]]-1)</f>
        <v>-0</v>
      </c>
      <c r="EC137" s="32" t="n">
        <f aca="false">IF(Tasks[[#This Row],[_IsLeaf]]=1,MAX(N(Tasks[[#This Row],[Duration]]),0.1),0)</f>
        <v>0</v>
      </c>
      <c r="ED137" s="32" t="n">
        <f aca="false">Tasks[[#This Row],[_WeightDur]]*Tasks[[#This Row],[_LeafProgress]]</f>
        <v>0</v>
      </c>
      <c r="EE13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7" s="32" t="str">
        <f aca="false">IF(AND(Tasks[[#This Row],[_IsLeaf]]=1,N(Tasks[[#This Row],[Duration]])=0,Tasks[[#This Row],[_LeafProgress]]&lt;1),Tasks[[#This Row],[_ShownFcstFinish]]+Tasks[[#This Row],[_Row]]/100000,"")</f>
        <v/>
      </c>
      <c r="EG13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7" s="32" t="n">
        <f aca="false">IF(NOT(Tasks[[#This Row],[_IsLeaf]]=1),0,IF(Tasks[[#This Row],[Baseline Cost]]="",Tasks[[#This Row],[_LeafTotalCost]],N(Tasks[[#This Row],[Baseline Cost]])))</f>
        <v>0</v>
      </c>
      <c r="EI137" s="32" t="n">
        <f aca="false">Tasks[[#This Row],[_LeafBudget]]*Tasks[[#This Row],[_PlannedPct]]</f>
        <v>0</v>
      </c>
      <c r="EJ137" s="32" t="n">
        <f aca="false">Tasks[[#This Row],[_LeafBudget]]*Tasks[[#This Row],[_LeafProgress]]</f>
        <v>0</v>
      </c>
      <c r="EK137" s="32" t="n">
        <f aca="false">IF(NOT(Tasks[[#This Row],[_IsLeaf]]=1),0,IF(Tasks[[#This Row],[Actual Cost]]="",Tasks[[#This Row],[_LeafTotalCost]]*Tasks[[#This Row],[_LeafProgress]],N(Tasks[[#This Row],[Actual Cost]])))</f>
        <v>0</v>
      </c>
      <c r="EL137" s="32" t="str">
        <f aca="false">IF(Tasks[[#This Row],[Task Name]]="","",LEFT(Tasks[[#This Row],[WBS]],FIND(".",Tasks[[#This Row],[WBS]]&amp;".")-1))</f>
        <v/>
      </c>
      <c r="EM137" s="32" t="str">
        <f aca="false">IF(AND(Tasks[[#This Row],[Task Name]]&lt;&gt;"",Tasks[[#This Row],[_Level]]=1),Tasks[[#This Row],[_Row]],"")</f>
        <v/>
      </c>
      <c r="EN137" s="32" t="str">
        <f aca="false">IF(AND(Tasks[[#This Row],[_IsLeaf]]=1,N(Tasks[[#This Row],[Duration]])=0),Tasks[[#This Row],[Planned Finish]]+Tasks[[#This Row],[_Row]]/100000,"")</f>
        <v/>
      </c>
      <c r="EO137" s="32" t="str">
        <f aca="false">IF(AND(Tasks[[#This Row],[_IsLeaf]]=1,Tasks[[#This Row],[_LeafProgress]]&lt;1,OR(N(Tasks[[#This Row],[Finish Var]])&gt;0,Tasks[[#This Row],[Status]]="Late Start")),MAX(0,Tasks[[#This Row],[Finish Var]])+1-Tasks[[#This Row],[_Row]]/1000000,"")</f>
        <v/>
      </c>
      <c r="EP137" s="32" t="str">
        <f aca="false">IF(AND(Tasks[[#This Row],[_IsLeaf]]=1,N(Tasks[[#This Row],[Actual Start]])=0,Tasks[[#This Row],[_ShownFcstStart]]&gt;=StatusDate,Tasks[[#This Row],[_ShownFcstStart]]&lt;=LookaheadEnd),Tasks[[#This Row],[_ShownFcstStart]]+Tasks[[#This Row],[_Row]]/100000,"")</f>
        <v/>
      </c>
      <c r="EQ137" s="32" t="str">
        <f aca="false">IF(AND(Tasks[[#This Row],[_IsLeaf]]=1,Tasks[[#This Row],[_LeafProgress]]&lt;1,Tasks[[#This Row],[_ShownFcstFinish]]&gt;=StatusDate,Tasks[[#This Row],[_ShownFcstFinish]]&lt;=LookaheadEnd),Tasks[[#This Row],[_ShownFcstFinish]]+Tasks[[#This Row],[_Row]]/100000,"")</f>
        <v/>
      </c>
      <c r="ER137" s="32" t="str">
        <f aca="false">IF(Tasks[[#This Row],[_LeafCritical]],Tasks[[#This Row],[_ShownFcstStart]]+Tasks[[#This Row],[_Row]]/100000,"")</f>
        <v/>
      </c>
      <c r="ES137" s="32" t="n">
        <f aca="false">Tasks[[#This Row],[_LeafWork]]*Tasks[[#This Row],[_LeafProgress]]</f>
        <v>0</v>
      </c>
      <c r="ET137" s="115" t="str">
        <f aca="false">IF(AND(Tasks[[#This Row],[_IsLeaf]]=1,Tasks[[#This Row],[_LeafProgress]]&gt;=1),IF(N(Tasks[[#This Row],[Actual Finish]])&gt;0,Tasks[[#This Row],[Actual Finish]],Tasks[[#This Row],[_ShownFcstFinish]]),"")</f>
        <v/>
      </c>
      <c r="EU137" s="32" t="n">
        <f aca="false">IF(Tasks[[#This Row],[_IsLeaf]]=1,N(Tasks[[#This Row],[Story Points]]),0)</f>
        <v>0</v>
      </c>
      <c r="EV137" s="32" t="str">
        <f aca="false">IF(AND(Tasks[[#This Row],[_IsLeaf]]=1,CurrentSprint&lt;&gt;"",Tasks[[#This Row],[Sprint]]=CurrentSprint),Tasks[[#This Row],[_Row]],"")</f>
        <v/>
      </c>
    </row>
    <row r="138" customFormat="false" ht="15" hidden="false" customHeight="false" outlineLevel="0" collapsed="false">
      <c r="A138" s="45" t="str">
        <f aca="false">IF(Tasks[[#This Row],[Task Name]]="","",COUNTA(Tasks[[#Headers],[Task Name]]:Tasks[[#This Row],[Task Name]])-1)</f>
        <v/>
      </c>
      <c r="B138" s="46" t="n">
        <v>133</v>
      </c>
      <c r="C13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8" s="46"/>
      <c r="E138" s="45" t="str">
        <f aca="false">IF(Tasks[[#This Row],[Task Name]]="","",IF(Tasks[[#This Row],[_Level]]&lt;=OutlineShowLevel,"Yes","No"))</f>
        <v/>
      </c>
      <c r="F138" s="47"/>
      <c r="G138" s="46"/>
      <c r="H138" s="46"/>
      <c r="I138" s="46"/>
      <c r="J138" s="46"/>
      <c r="K138" s="46"/>
      <c r="L138" s="46"/>
      <c r="M138" s="46"/>
      <c r="N138" s="46"/>
      <c r="O138" s="46"/>
      <c r="P138" s="46"/>
      <c r="Q138" s="46"/>
      <c r="R138" s="46"/>
      <c r="S138" s="46"/>
      <c r="T138" s="46"/>
      <c r="U138" s="47"/>
      <c r="V138" s="88"/>
      <c r="W138" s="88"/>
      <c r="X138" s="25" t="str">
        <f aca="false">IF(Tasks[[#This Row],[Task Name]]="","",IF(N(Tasks[[#This Row],[Baseline Start]])&gt;0,Tasks[[#This Row],[Baseline Start]],Tasks[[#This Row],[_CalcStart]]))</f>
        <v/>
      </c>
      <c r="Y138" s="25" t="str">
        <f aca="false">IF(Tasks[[#This Row],[Task Name]]="","",IF(N(Tasks[[#This Row],[Baseline Finish]])&gt;0,Tasks[[#This Row],[Baseline Finish]],Tasks[[#This Row],[_CalcFinish]]))</f>
        <v/>
      </c>
      <c r="Z138" s="88"/>
      <c r="AA138" s="88"/>
      <c r="AB138" s="25" t="str">
        <f aca="false">IF(Tasks[[#This Row],[Task Name]]="","",IF(Tasks[[#This Row],[_IsSummary]],MIN(INDEX(Tasks[_ShownFcstStart],Tasks[[#This Row],[_Row]]+1):INDEX(Tasks[_ShownFcstStart],Tasks[[#This Row],[_Row]]+Tasks[[#This Row],[_Descendants]])),Tasks[[#This Row],[_ShownFcstStart]]))</f>
        <v/>
      </c>
      <c r="AC138" s="25" t="str">
        <f aca="false">IF(Tasks[[#This Row],[Task Name]]="","",IF(Tasks[[#This Row],[_IsSummary]],MAX(INDEX(Tasks[_ShownFcstFinish],Tasks[[#This Row],[_Row]]+1):INDEX(Tasks[_ShownFcstFinish],Tasks[[#This Row],[_Row]]+Tasks[[#This Row],[_Descendants]])),Tasks[[#This Row],[_ShownFcstFinish]]))</f>
        <v/>
      </c>
      <c r="AD13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8" s="25" t="str">
        <f aca="false">IF(Tasks[[#This Row],[Task Name]]="","",IF(Tasks[[#This Row],[_IsSummary]],MIN(INDEX(Tasks[_LeafLateStart],Tasks[[#This Row],[_Row]]+1):INDEX(Tasks[_LeafLateStart],Tasks[[#This Row],[_Row]]+Tasks[[#This Row],[_Descendants]])),Tasks[[#This Row],[_LeafLateStart]]))</f>
        <v/>
      </c>
      <c r="AG138" s="25" t="str">
        <f aca="false">IF(Tasks[[#This Row],[Task Name]]="","",IF(Tasks[[#This Row],[_IsSummary]],MAX(INDEX(Tasks[_LeafLateFinish],Tasks[[#This Row],[_Row]]+1):INDEX(Tasks[_LeafLateFinish],Tasks[[#This Row],[_Row]]+Tasks[[#This Row],[_Descendants]])),Tasks[[#This Row],[_LeafLateFinish]]))</f>
        <v/>
      </c>
      <c r="AH138" s="56" t="str">
        <f aca="false">IF(Tasks[[#This Row],[Task Name]]="","",IF(Tasks[[#This Row],[_IsSummary]],MIN(INDEX(Tasks[_LeafTotalSlack],Tasks[[#This Row],[_Row]]+1):INDEX(Tasks[_LeafTotalSlack],Tasks[[#This Row],[_Row]]+Tasks[[#This Row],[_Descendants]])),Tasks[[#This Row],[_LeafTotalSlack]]))</f>
        <v/>
      </c>
      <c r="AI13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8" s="45" t="str">
        <f aca="false">IF(Tasks[[#This Row],[Task Name]]="","",IF(IF(Tasks[[#This Row],[_IsSummary]],COUNTIF(INDEX(Tasks[_LeafCritical],Tasks[[#This Row],[_Row]]+1):INDEX(Tasks[_LeafCritical],Tasks[[#This Row],[_Row]]+Tasks[[#This Row],[_Descendants]]),TRUE())&gt;0,Tasks[[#This Row],[_LeafCritical]]),"Yes",""))</f>
        <v/>
      </c>
      <c r="AK13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8" s="102"/>
      <c r="AN13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8" s="45" t="str">
        <f aca="false">IF(Tasks[[#This Row],[Task Name]]="","",IF(Tasks[[#This Row],[Progress]]&gt;=1,"Complete",IF(OR(N(Tasks[[#This Row],[Actual Start]])&gt;0,Tasks[[#This Row],[Progress]]&gt;0),IF(Tasks[[#This Row],[Finish Var]]&gt;0,"Behind","In Progress"),IF(Tasks[[#This Row],[Planned Start]]&lt;StatusDate,"Late Start","Not Started"))))</f>
        <v/>
      </c>
      <c r="AP138" s="47"/>
      <c r="AQ138" s="102"/>
      <c r="AR13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8" s="110" t="str">
        <f aca="false">IF(Tasks[[#This Row],[Task Name]]="","",IF(Tasks[[#This Row],[_IsSummary]],SUM(INDEX(Tasks[_LeafTotalWork],Tasks[[#This Row],[_Row]]+1):INDEX(Tasks[_LeafTotalWork],Tasks[[#This Row],[_Row]]+Tasks[[#This Row],[_Descendants]])),Tasks[[#This Row],[_LeafTotalWork]]))</f>
        <v/>
      </c>
      <c r="AU138" s="111" t="str">
        <f aca="false">IF(Tasks[[#This Row],[Task Name]]="","",IF(Tasks[[#This Row],[_IsSummary]],SUM(INDEX(Tasks[_LeafTotalCost],Tasks[[#This Row],[_Row]]+1):INDEX(Tasks[_LeafTotalCost],Tasks[[#This Row],[_Row]]+Tasks[[#This Row],[_Descendants]])),Tasks[[#This Row],[_LeafTotalCost]]))</f>
        <v/>
      </c>
      <c r="AV138" s="112"/>
      <c r="AW138" s="46"/>
      <c r="AX13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8" s="96"/>
      <c r="AZ13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8" s="47"/>
      <c r="BB138" s="25" t="str">
        <f aca="false">IF(Tasks[[#This Row],[Task Name]]="","",Tasks[[#This Row],[Forecast Start]])</f>
        <v/>
      </c>
      <c r="BC138" s="25" t="str">
        <f aca="false">IF(Tasks[[#This Row],[Task Name]]="","",Tasks[[#This Row],[Forecast Finish]])</f>
        <v/>
      </c>
      <c r="BD138" s="45" t="str">
        <f aca="false">IF(Tasks[[#This Row],[Task Name]]="","",IF(Tasks[[#This Row],[_IsSummary]],NETWORKDAYS.INTL(Tasks[[#This Row],[Forecast Start]],Tasks[[#This Row],[Forecast Finish]],WorkWeek,Holidays),N(Tasks[[#This Row],[Duration]])))</f>
        <v/>
      </c>
      <c r="BE138" s="110" t="str">
        <f aca="false">IF(Tasks[[#This Row],[Task Name]]="","",Tasks[[#This Row],[Work]])</f>
        <v/>
      </c>
      <c r="BF138" s="111" t="str">
        <f aca="false">IF(Tasks[[#This Row],[Task Name]]="","",Tasks[[#This Row],[Cost]])</f>
        <v/>
      </c>
      <c r="BG138" s="88"/>
      <c r="BH138" s="88"/>
      <c r="BI138" s="46"/>
      <c r="BJ138" s="113"/>
      <c r="BK138" s="112"/>
      <c r="BL138" s="45" t="str">
        <f aca="false">IF(OR(Tasks[[#This Row],[Task Name]]="",Tasks[[#This Row],[Baseline Duration]]=""),"",Tasks[[#This Row],[BL Source Duration]]-N(Tasks[[#This Row],[Baseline Duration]]))</f>
        <v/>
      </c>
      <c r="BM138" s="110" t="str">
        <f aca="false">IF(OR(Tasks[[#This Row],[Task Name]]="",Tasks[[#This Row],[Baseline Work]]=""),"",Tasks[[#This Row],[Work]]-N(Tasks[[#This Row],[Baseline Work]]))</f>
        <v/>
      </c>
      <c r="BN138" s="111" t="str">
        <f aca="false">IF(OR(Tasks[[#This Row],[Task Name]]="",Tasks[[#This Row],[Baseline Cost]]=""),"",Tasks[[#This Row],[Cost]]-N(Tasks[[#This Row],[Baseline Cost]]))</f>
        <v/>
      </c>
      <c r="BO138" s="111" t="str">
        <f aca="false">IF(Tasks[[#This Row],[Task Name]]="","",IF(Tasks[[#This Row],[_IsSummary]],SUM(INDEX(Tasks[_LeafBudget],Tasks[[#This Row],[_Row]]+1):INDEX(Tasks[_LeafBudget],Tasks[[#This Row],[_Row]]+Tasks[[#This Row],[_Descendants]])),Tasks[[#This Row],[_LeafBudget]]))</f>
        <v/>
      </c>
      <c r="BP138" s="111" t="str">
        <f aca="false">IF(Tasks[[#This Row],[Task Name]]="","",IF(Tasks[[#This Row],[_IsSummary]],SUM(INDEX(Tasks[_LeafPV],Tasks[[#This Row],[_Row]]+1):INDEX(Tasks[_LeafPV],Tasks[[#This Row],[_Row]]+Tasks[[#This Row],[_Descendants]])),Tasks[[#This Row],[_LeafPV]]))</f>
        <v/>
      </c>
      <c r="BQ138" s="111" t="str">
        <f aca="false">IF(Tasks[[#This Row],[Task Name]]="","",IF(Tasks[[#This Row],[_IsSummary]],SUM(INDEX(Tasks[_LeafEV],Tasks[[#This Row],[_Row]]+1):INDEX(Tasks[_LeafEV],Tasks[[#This Row],[_Row]]+Tasks[[#This Row],[_Descendants]])),Tasks[[#This Row],[_LeafEV]]))</f>
        <v/>
      </c>
      <c r="BR138" s="111" t="str">
        <f aca="false">IF(Tasks[[#This Row],[Task Name]]="","",IF(Tasks[[#This Row],[_IsSummary]],SUM(INDEX(Tasks[_LeafAC],Tasks[[#This Row],[_Row]]+1):INDEX(Tasks[_LeafAC],Tasks[[#This Row],[_Row]]+Tasks[[#This Row],[_Descendants]])),Tasks[[#This Row],[_LeafAC]]))</f>
        <v/>
      </c>
      <c r="BS138" s="32" t="str">
        <f aca="false">IF(Tasks[[#This Row],[Task Name]]="","",MAX(1,N(Tasks[[#This Row],[Level]])))</f>
        <v/>
      </c>
      <c r="BT138" s="32" t="n">
        <f aca="false">ROW()-ROW(Tasks[[#Headers],[ID]])</f>
        <v>133</v>
      </c>
      <c r="BU138" s="32" t="n">
        <f aca="false">IF(OR(Tasks[[#This Row],[Task Name]]="",Tasks[[#This Row],[_Level]]&lt;=1),0,IFERROR(LOOKUP(2,1/(Tasks[[#Headers],[_Level]]:Tasks[[#This Row],[_Level]]=Tasks[[#This Row],[_Level]]-1),ROW(Tasks[[#Headers],[_Level]]:Tasks[[#This Row],[_Level]])),0))</f>
        <v>0</v>
      </c>
      <c r="BV138" s="32" t="n">
        <f aca="false">IFERROR(N(INDEX(Tasks[_Level],Tasks[[#This Row],[_Row]]+1)),0)</f>
        <v>0</v>
      </c>
      <c r="BW138" s="114" t="b">
        <f aca="false">AND(Tasks[[#This Row],[Task Name]]&lt;&gt;"",Tasks[[#This Row],[_NextLevel]]&gt;Tasks[[#This Row],[_Level]])</f>
        <v>0</v>
      </c>
      <c r="BX138" s="32" t="n">
        <f aca="false">IF(Tasks[[#This Row],[_IsSummary]],COUNTIF(Tasks[WBS],Tasks[[#This Row],[WBS]]&amp;".*"),0)</f>
        <v>0</v>
      </c>
      <c r="BY138" s="32" t="n">
        <f aca="false">IF(AND(Tasks[[#This Row],[Task Name]]&lt;&gt;"",NOT(Tasks[[#This Row],[_IsSummary]])),1,0)</f>
        <v>0</v>
      </c>
      <c r="BZ138" s="32" t="n">
        <f aca="false">IF(N(Tasks[[#This Row],[Pred1 UID]])=0,0,IFERROR(MATCH(Tasks[[#This Row],[Pred1 UID]],Tasks[UID],0),-1))</f>
        <v>0</v>
      </c>
      <c r="CA138" s="32" t="n">
        <f aca="false">IF(N(Tasks[[#This Row],[Pred2 UID]])=0,0,IFERROR(MATCH(Tasks[[#This Row],[Pred2 UID]],Tasks[UID],0),-1))</f>
        <v>0</v>
      </c>
      <c r="CB138" s="32" t="n">
        <f aca="false">IF(N(Tasks[[#This Row],[Pred3 UID]])=0,0,IFERROR(MATCH(Tasks[[#This Row],[Pred3 UID]],Tasks[UID],0),-1))</f>
        <v>0</v>
      </c>
      <c r="CC138" s="32" t="n">
        <f aca="false">IF(N(Tasks[[#This Row],[Pred4 UID]])=0,0,IFERROR(MATCH(Tasks[[#This Row],[Pred4 UID]],Tasks[UID],0),-1))</f>
        <v>0</v>
      </c>
      <c r="CD13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8" s="115" t="n">
        <f aca="false">IF(OR(Tasks[[#This Row],[_ConstraintCode]]=2,Tasks[[#This Row],[_ConstraintCode]]=3,Tasks[[#This Row],[_ConstraintCode]]=4,Tasks[[#This Row],[_ConstraintCode]]=6),Tasks[[#This Row],[_ConstraintStart]],0)</f>
        <v>0</v>
      </c>
      <c r="CG138" s="115" t="n">
        <f aca="false">IF(OR(Tasks[[#This Row],[_ConstraintCode]]=2,Tasks[[#This Row],[_ConstraintCode]]=3,Tasks[[#This Row],[_ConstraintCode]]=5,Tasks[[#This Row],[_ConstraintCode]]=7),Tasks[[#This Row],[_ConstraintStart]],2958465)</f>
        <v>2958465</v>
      </c>
      <c r="CH13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8" s="115" t="str">
        <f aca="false">IF(NOT(Tasks[[#This Row],[_IsLeaf]]=1),"",IF(N(Tasks[[#This Row],[Duration]])&lt;=0,Tasks[[#This Row],[_LeafCalcStart]],WORKDAY.INTL(Tasks[[#This Row],[_LeafCalcStart]],Tasks[[#This Row],[Duration]]-1,WorkWeek,Holidays)))</f>
        <v/>
      </c>
      <c r="CJ13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8" s="32" t="n">
        <f aca="false">IF(NOT(Tasks[[#This Row],[_IsLeaf]]=1),0,IF(N(Tasks[[#This Row],[Actual Finish]])&gt;0,1,MIN(1,N(Tasks[[#This Row],[% Complete]]))))</f>
        <v>0</v>
      </c>
      <c r="CM138" s="32" t="n">
        <f aca="false">IF(OR(NOT(Tasks[[#This Row],[_IsLeaf]]=1),Tasks[[#This Row],[Resource]]=""),0,N(Tasks[[#This Row],[Duration]])*HoursPerDay*IF(Tasks[[#This Row],[Units]]="",DefaultUnits,Tasks[[#This Row],[Units]]))</f>
        <v>0</v>
      </c>
      <c r="CN138" s="32" t="n">
        <f aca="false">IF(Tasks[[#This Row],[_LeafWork]]=0,0,Tasks[[#This Row],[_LeafWork]]*IFERROR(INDEX(res_Rate,MATCH(Tasks[[#This Row],[Resource]],res_Name,0)),0))</f>
        <v>0</v>
      </c>
      <c r="CO138" s="32" t="n">
        <f aca="false">Tasks[[#This Row],[_LeafWork]]+IF(Tasks[[#This Row],[_IsLeaf]]=1,SUMIFS(asg_Work,asg_TaskUID,Tasks[[#This Row],[UID]],asg_Valid,1),0)</f>
        <v>0</v>
      </c>
      <c r="CP138" s="32" t="n">
        <f aca="false">Tasks[[#This Row],[_LeafCost]]+IF(Tasks[[#This Row],[_IsLeaf]]=1,SUMIFS(asg_Cost,asg_TaskUID,Tasks[[#This Row],[UID]],asg_Valid,1),0)</f>
        <v>0</v>
      </c>
      <c r="CQ138" s="32" t="n">
        <f aca="false">IF(Tasks[[#This Row],[_LeafTotalCost]]=0,Tasks[[#This Row],[_LeafAC]],Tasks[[#This Row],[_LeafAC]]*Tasks[[#This Row],[_LeafCost]]/Tasks[[#This Row],[_LeafTotalCost]])</f>
        <v>0</v>
      </c>
      <c r="CR13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8" s="32" t="n">
        <f aca="false">IF(NOT(Tasks[[#This Row],[_IsLeaf]]=1),0,MAX(_xlfn.MAXIFS(Tasks[_Row],Tasks[Pred1 UID],Tasks[[#This Row],[UID]]),_xlfn.MAXIFS(Tasks[_Row],Tasks[Pred2 UID],Tasks[[#This Row],[UID]]),_xlfn.MAXIFS(Tasks[_Row],Tasks[Pred3 UID],Tasks[[#This Row],[UID]]),_xlfn.MAXIFS(Tasks[_Row],Tasks[Pred4 UID],Tasks[[#This Row],[UID]])))</f>
        <v>0</v>
      </c>
      <c r="DA13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8" s="115" t="str">
        <f aca="false">IF(NOT(Tasks[[#This Row],[_IsLeaf]]=1),"",IF(N(Tasks[[#This Row],[Duration]])&lt;=0,Tasks[[#This Row],[_LeafLateFinish]],WORKDAY.INTL(Tasks[[#This Row],[_LeafLateFinish]],-(Tasks[[#This Row],[Duration]]-1),WorkWeek,Holidays)))</f>
        <v/>
      </c>
      <c r="DD13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8" s="114" t="b">
        <f aca="false">AND(Tasks[[#This Row],[_IsLeaf]]=1,Tasks[[#This Row],[_LeafProgress]]&lt;1,N(Tasks[[#This Row],[_LeafTotalSlack]])&lt;=CriticalSlackDays)</f>
        <v>0</v>
      </c>
      <c r="DF138" s="32" t="n">
        <f aca="false">IF(AND(Tasks[[#This Row],[_IsLeaf]]=1,Tasks[[#This Row],[_ConstraintCode]]=1,Tasks[[#This Row],[Mode]]&lt;&gt;"Manual",N(Tasks[[#This Row],[Actual Start]])=0),MAX(0,N(Tasks[[#This Row],[Free Slack]])),0)</f>
        <v>0</v>
      </c>
      <c r="DG138" s="115" t="str">
        <f aca="false">IF(NOT(Tasks[[#This Row],[_IsLeaf]]=1),"",IF(Tasks[[#This Row],[_AlapShift]]=0,Tasks[[#This Row],[_LeafCalcStart]],WORKDAY.INTL(Tasks[[#This Row],[_LeafCalcStart]],Tasks[[#This Row],[_AlapShift]],WorkWeek,Holidays)))</f>
        <v/>
      </c>
      <c r="DH138" s="115" t="str">
        <f aca="false">IF(NOT(Tasks[[#This Row],[_IsLeaf]]=1),"",IF(Tasks[[#This Row],[_AlapShift]]=0,Tasks[[#This Row],[_LeafCalcFinish]],WORKDAY.INTL(Tasks[[#This Row],[_LeafCalcFinish]],Tasks[[#This Row],[_AlapShift]],WorkWeek,Holidays)))</f>
        <v/>
      </c>
      <c r="DI138" s="115" t="str">
        <f aca="false">IF(NOT(Tasks[[#This Row],[_IsLeaf]]=1),"",IF(Tasks[[#This Row],[_AlapShift]]=0,Tasks[[#This Row],[_LeafFcstStart]],WORKDAY.INTL(Tasks[[#This Row],[_LeafFcstStart]],Tasks[[#This Row],[_AlapShift]],WorkWeek,Holidays)))</f>
        <v/>
      </c>
      <c r="DJ138" s="115" t="str">
        <f aca="false">IF(NOT(Tasks[[#This Row],[_IsLeaf]]=1),"",IF(Tasks[[#This Row],[_AlapShift]]=0,Tasks[[#This Row],[_LeafFcstFinish]],WORKDAY.INTL(Tasks[[#This Row],[_LeafFcstFinish]],Tasks[[#This Row],[_AlapShift]],WorkWeek,Holidays)))</f>
        <v/>
      </c>
      <c r="DK138" s="115" t="str">
        <f aca="false">IF(Tasks[[#This Row],[Task Name]]="","",IF(Tasks[[#This Row],[_IsSummary]],MIN(INDEX(Tasks[_ShownCalcStart],Tasks[[#This Row],[_Row]]+1):INDEX(Tasks[_ShownCalcStart],Tasks[[#This Row],[_Row]]+Tasks[[#This Row],[_Descendants]])),Tasks[[#This Row],[_ShownCalcStart]]))</f>
        <v/>
      </c>
      <c r="DL138" s="115" t="str">
        <f aca="false">IF(Tasks[[#This Row],[Task Name]]="","",IF(Tasks[[#This Row],[_IsSummary]],MAX(INDEX(Tasks[_ShownCalcFinish],Tasks[[#This Row],[_Row]]+1):INDEX(Tasks[_ShownCalcFinish],Tasks[[#This Row],[_Row]]+Tasks[[#This Row],[_Descendants]])),Tasks[[#This Row],[_ShownCalcFinish]]))</f>
        <v/>
      </c>
      <c r="DM13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8" s="32" t="n">
        <f aca="false">IF(AND(Tasks[[#This Row],[_IsLeaf]]=1,Tasks[[#This Row],[_LeafTotalWork]]&gt;0),NETWORKDAYS.INTL(ProjectStart,Tasks[[#This Row],[_ShownFcstStart]],WorkWeek,Holidays),0)</f>
        <v>0</v>
      </c>
      <c r="DZ138" s="32" t="n">
        <f aca="false">IF(AND(Tasks[[#This Row],[_IsLeaf]]=1,Tasks[[#This Row],[_LeafTotalWork]]&gt;0),MAX(Tasks[[#This Row],[_StartWorkday]],NETWORKDAYS.INTL(ProjectStart,Tasks[[#This Row],[_ShownFcstFinish]],WorkWeek,Holidays)),0)</f>
        <v>0</v>
      </c>
      <c r="EA138" s="32" t="n">
        <f aca="false">IF(AND(Tasks[[#This Row],[_IsLeaf]]=1,Tasks[[#This Row],[_LeafTotalWork]]&gt;0),Tasks[[#This Row],[_LeafWork]]/(Tasks[[#This Row],[_FinishWorkday]]-Tasks[[#This Row],[_StartWorkday]]+1),0)</f>
        <v>0</v>
      </c>
      <c r="EB138" s="32" t="n">
        <f aca="false">Tasks[[#This Row],[_WorkPerWorkday]]*(Tasks[[#This Row],[_StartWorkday]]-1)</f>
        <v>-0</v>
      </c>
      <c r="EC138" s="32" t="n">
        <f aca="false">IF(Tasks[[#This Row],[_IsLeaf]]=1,MAX(N(Tasks[[#This Row],[Duration]]),0.1),0)</f>
        <v>0</v>
      </c>
      <c r="ED138" s="32" t="n">
        <f aca="false">Tasks[[#This Row],[_WeightDur]]*Tasks[[#This Row],[_LeafProgress]]</f>
        <v>0</v>
      </c>
      <c r="EE13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8" s="32" t="str">
        <f aca="false">IF(AND(Tasks[[#This Row],[_IsLeaf]]=1,N(Tasks[[#This Row],[Duration]])=0,Tasks[[#This Row],[_LeafProgress]]&lt;1),Tasks[[#This Row],[_ShownFcstFinish]]+Tasks[[#This Row],[_Row]]/100000,"")</f>
        <v/>
      </c>
      <c r="EG13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8" s="32" t="n">
        <f aca="false">IF(NOT(Tasks[[#This Row],[_IsLeaf]]=1),0,IF(Tasks[[#This Row],[Baseline Cost]]="",Tasks[[#This Row],[_LeafTotalCost]],N(Tasks[[#This Row],[Baseline Cost]])))</f>
        <v>0</v>
      </c>
      <c r="EI138" s="32" t="n">
        <f aca="false">Tasks[[#This Row],[_LeafBudget]]*Tasks[[#This Row],[_PlannedPct]]</f>
        <v>0</v>
      </c>
      <c r="EJ138" s="32" t="n">
        <f aca="false">Tasks[[#This Row],[_LeafBudget]]*Tasks[[#This Row],[_LeafProgress]]</f>
        <v>0</v>
      </c>
      <c r="EK138" s="32" t="n">
        <f aca="false">IF(NOT(Tasks[[#This Row],[_IsLeaf]]=1),0,IF(Tasks[[#This Row],[Actual Cost]]="",Tasks[[#This Row],[_LeafTotalCost]]*Tasks[[#This Row],[_LeafProgress]],N(Tasks[[#This Row],[Actual Cost]])))</f>
        <v>0</v>
      </c>
      <c r="EL138" s="32" t="str">
        <f aca="false">IF(Tasks[[#This Row],[Task Name]]="","",LEFT(Tasks[[#This Row],[WBS]],FIND(".",Tasks[[#This Row],[WBS]]&amp;".")-1))</f>
        <v/>
      </c>
      <c r="EM138" s="32" t="str">
        <f aca="false">IF(AND(Tasks[[#This Row],[Task Name]]&lt;&gt;"",Tasks[[#This Row],[_Level]]=1),Tasks[[#This Row],[_Row]],"")</f>
        <v/>
      </c>
      <c r="EN138" s="32" t="str">
        <f aca="false">IF(AND(Tasks[[#This Row],[_IsLeaf]]=1,N(Tasks[[#This Row],[Duration]])=0),Tasks[[#This Row],[Planned Finish]]+Tasks[[#This Row],[_Row]]/100000,"")</f>
        <v/>
      </c>
      <c r="EO138" s="32" t="str">
        <f aca="false">IF(AND(Tasks[[#This Row],[_IsLeaf]]=1,Tasks[[#This Row],[_LeafProgress]]&lt;1,OR(N(Tasks[[#This Row],[Finish Var]])&gt;0,Tasks[[#This Row],[Status]]="Late Start")),MAX(0,Tasks[[#This Row],[Finish Var]])+1-Tasks[[#This Row],[_Row]]/1000000,"")</f>
        <v/>
      </c>
      <c r="EP138" s="32" t="str">
        <f aca="false">IF(AND(Tasks[[#This Row],[_IsLeaf]]=1,N(Tasks[[#This Row],[Actual Start]])=0,Tasks[[#This Row],[_ShownFcstStart]]&gt;=StatusDate,Tasks[[#This Row],[_ShownFcstStart]]&lt;=LookaheadEnd),Tasks[[#This Row],[_ShownFcstStart]]+Tasks[[#This Row],[_Row]]/100000,"")</f>
        <v/>
      </c>
      <c r="EQ138" s="32" t="str">
        <f aca="false">IF(AND(Tasks[[#This Row],[_IsLeaf]]=1,Tasks[[#This Row],[_LeafProgress]]&lt;1,Tasks[[#This Row],[_ShownFcstFinish]]&gt;=StatusDate,Tasks[[#This Row],[_ShownFcstFinish]]&lt;=LookaheadEnd),Tasks[[#This Row],[_ShownFcstFinish]]+Tasks[[#This Row],[_Row]]/100000,"")</f>
        <v/>
      </c>
      <c r="ER138" s="32" t="str">
        <f aca="false">IF(Tasks[[#This Row],[_LeafCritical]],Tasks[[#This Row],[_ShownFcstStart]]+Tasks[[#This Row],[_Row]]/100000,"")</f>
        <v/>
      </c>
      <c r="ES138" s="32" t="n">
        <f aca="false">Tasks[[#This Row],[_LeafWork]]*Tasks[[#This Row],[_LeafProgress]]</f>
        <v>0</v>
      </c>
      <c r="ET138" s="115" t="str">
        <f aca="false">IF(AND(Tasks[[#This Row],[_IsLeaf]]=1,Tasks[[#This Row],[_LeafProgress]]&gt;=1),IF(N(Tasks[[#This Row],[Actual Finish]])&gt;0,Tasks[[#This Row],[Actual Finish]],Tasks[[#This Row],[_ShownFcstFinish]]),"")</f>
        <v/>
      </c>
      <c r="EU138" s="32" t="n">
        <f aca="false">IF(Tasks[[#This Row],[_IsLeaf]]=1,N(Tasks[[#This Row],[Story Points]]),0)</f>
        <v>0</v>
      </c>
      <c r="EV138" s="32" t="str">
        <f aca="false">IF(AND(Tasks[[#This Row],[_IsLeaf]]=1,CurrentSprint&lt;&gt;"",Tasks[[#This Row],[Sprint]]=CurrentSprint),Tasks[[#This Row],[_Row]],"")</f>
        <v/>
      </c>
    </row>
    <row r="139" customFormat="false" ht="15" hidden="false" customHeight="false" outlineLevel="0" collapsed="false">
      <c r="A139" s="45" t="str">
        <f aca="false">IF(Tasks[[#This Row],[Task Name]]="","",COUNTA(Tasks[[#Headers],[Task Name]]:Tasks[[#This Row],[Task Name]])-1)</f>
        <v/>
      </c>
      <c r="B139" s="46" t="n">
        <v>134</v>
      </c>
      <c r="C13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39" s="46"/>
      <c r="E139" s="45" t="str">
        <f aca="false">IF(Tasks[[#This Row],[Task Name]]="","",IF(Tasks[[#This Row],[_Level]]&lt;=OutlineShowLevel,"Yes","No"))</f>
        <v/>
      </c>
      <c r="F139" s="47"/>
      <c r="G139" s="46"/>
      <c r="H139" s="46"/>
      <c r="I139" s="46"/>
      <c r="J139" s="46"/>
      <c r="K139" s="46"/>
      <c r="L139" s="46"/>
      <c r="M139" s="46"/>
      <c r="N139" s="46"/>
      <c r="O139" s="46"/>
      <c r="P139" s="46"/>
      <c r="Q139" s="46"/>
      <c r="R139" s="46"/>
      <c r="S139" s="46"/>
      <c r="T139" s="46"/>
      <c r="U139" s="47"/>
      <c r="V139" s="88"/>
      <c r="W139" s="88"/>
      <c r="X139" s="25" t="str">
        <f aca="false">IF(Tasks[[#This Row],[Task Name]]="","",IF(N(Tasks[[#This Row],[Baseline Start]])&gt;0,Tasks[[#This Row],[Baseline Start]],Tasks[[#This Row],[_CalcStart]]))</f>
        <v/>
      </c>
      <c r="Y139" s="25" t="str">
        <f aca="false">IF(Tasks[[#This Row],[Task Name]]="","",IF(N(Tasks[[#This Row],[Baseline Finish]])&gt;0,Tasks[[#This Row],[Baseline Finish]],Tasks[[#This Row],[_CalcFinish]]))</f>
        <v/>
      </c>
      <c r="Z139" s="88"/>
      <c r="AA139" s="88"/>
      <c r="AB139" s="25" t="str">
        <f aca="false">IF(Tasks[[#This Row],[Task Name]]="","",IF(Tasks[[#This Row],[_IsSummary]],MIN(INDEX(Tasks[_ShownFcstStart],Tasks[[#This Row],[_Row]]+1):INDEX(Tasks[_ShownFcstStart],Tasks[[#This Row],[_Row]]+Tasks[[#This Row],[_Descendants]])),Tasks[[#This Row],[_ShownFcstStart]]))</f>
        <v/>
      </c>
      <c r="AC139" s="25" t="str">
        <f aca="false">IF(Tasks[[#This Row],[Task Name]]="","",IF(Tasks[[#This Row],[_IsSummary]],MAX(INDEX(Tasks[_ShownFcstFinish],Tasks[[#This Row],[_Row]]+1):INDEX(Tasks[_ShownFcstFinish],Tasks[[#This Row],[_Row]]+Tasks[[#This Row],[_Descendants]])),Tasks[[#This Row],[_ShownFcstFinish]]))</f>
        <v/>
      </c>
      <c r="AD13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3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39" s="25" t="str">
        <f aca="false">IF(Tasks[[#This Row],[Task Name]]="","",IF(Tasks[[#This Row],[_IsSummary]],MIN(INDEX(Tasks[_LeafLateStart],Tasks[[#This Row],[_Row]]+1):INDEX(Tasks[_LeafLateStart],Tasks[[#This Row],[_Row]]+Tasks[[#This Row],[_Descendants]])),Tasks[[#This Row],[_LeafLateStart]]))</f>
        <v/>
      </c>
      <c r="AG139" s="25" t="str">
        <f aca="false">IF(Tasks[[#This Row],[Task Name]]="","",IF(Tasks[[#This Row],[_IsSummary]],MAX(INDEX(Tasks[_LeafLateFinish],Tasks[[#This Row],[_Row]]+1):INDEX(Tasks[_LeafLateFinish],Tasks[[#This Row],[_Row]]+Tasks[[#This Row],[_Descendants]])),Tasks[[#This Row],[_LeafLateFinish]]))</f>
        <v/>
      </c>
      <c r="AH139" s="56" t="str">
        <f aca="false">IF(Tasks[[#This Row],[Task Name]]="","",IF(Tasks[[#This Row],[_IsSummary]],MIN(INDEX(Tasks[_LeafTotalSlack],Tasks[[#This Row],[_Row]]+1):INDEX(Tasks[_LeafTotalSlack],Tasks[[#This Row],[_Row]]+Tasks[[#This Row],[_Descendants]])),Tasks[[#This Row],[_LeafTotalSlack]]))</f>
        <v/>
      </c>
      <c r="AI13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39" s="45" t="str">
        <f aca="false">IF(Tasks[[#This Row],[Task Name]]="","",IF(IF(Tasks[[#This Row],[_IsSummary]],COUNTIF(INDEX(Tasks[_LeafCritical],Tasks[[#This Row],[_Row]]+1):INDEX(Tasks[_LeafCritical],Tasks[[#This Row],[_Row]]+Tasks[[#This Row],[_Descendants]]),TRUE())&gt;0,Tasks[[#This Row],[_LeafCritical]]),"Yes",""))</f>
        <v/>
      </c>
      <c r="AK13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3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39" s="102"/>
      <c r="AN13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39" s="45" t="str">
        <f aca="false">IF(Tasks[[#This Row],[Task Name]]="","",IF(Tasks[[#This Row],[Progress]]&gt;=1,"Complete",IF(OR(N(Tasks[[#This Row],[Actual Start]])&gt;0,Tasks[[#This Row],[Progress]]&gt;0),IF(Tasks[[#This Row],[Finish Var]]&gt;0,"Behind","In Progress"),IF(Tasks[[#This Row],[Planned Start]]&lt;StatusDate,"Late Start","Not Started"))))</f>
        <v/>
      </c>
      <c r="AP139" s="47"/>
      <c r="AQ139" s="102"/>
      <c r="AR13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3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39" s="110" t="str">
        <f aca="false">IF(Tasks[[#This Row],[Task Name]]="","",IF(Tasks[[#This Row],[_IsSummary]],SUM(INDEX(Tasks[_LeafTotalWork],Tasks[[#This Row],[_Row]]+1):INDEX(Tasks[_LeafTotalWork],Tasks[[#This Row],[_Row]]+Tasks[[#This Row],[_Descendants]])),Tasks[[#This Row],[_LeafTotalWork]]))</f>
        <v/>
      </c>
      <c r="AU139" s="111" t="str">
        <f aca="false">IF(Tasks[[#This Row],[Task Name]]="","",IF(Tasks[[#This Row],[_IsSummary]],SUM(INDEX(Tasks[_LeafTotalCost],Tasks[[#This Row],[_Row]]+1):INDEX(Tasks[_LeafTotalCost],Tasks[[#This Row],[_Row]]+Tasks[[#This Row],[_Descendants]])),Tasks[[#This Row],[_LeafTotalCost]]))</f>
        <v/>
      </c>
      <c r="AV139" s="112"/>
      <c r="AW139" s="46"/>
      <c r="AX13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39" s="96"/>
      <c r="AZ13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39" s="47"/>
      <c r="BB139" s="25" t="str">
        <f aca="false">IF(Tasks[[#This Row],[Task Name]]="","",Tasks[[#This Row],[Forecast Start]])</f>
        <v/>
      </c>
      <c r="BC139" s="25" t="str">
        <f aca="false">IF(Tasks[[#This Row],[Task Name]]="","",Tasks[[#This Row],[Forecast Finish]])</f>
        <v/>
      </c>
      <c r="BD139" s="45" t="str">
        <f aca="false">IF(Tasks[[#This Row],[Task Name]]="","",IF(Tasks[[#This Row],[_IsSummary]],NETWORKDAYS.INTL(Tasks[[#This Row],[Forecast Start]],Tasks[[#This Row],[Forecast Finish]],WorkWeek,Holidays),N(Tasks[[#This Row],[Duration]])))</f>
        <v/>
      </c>
      <c r="BE139" s="110" t="str">
        <f aca="false">IF(Tasks[[#This Row],[Task Name]]="","",Tasks[[#This Row],[Work]])</f>
        <v/>
      </c>
      <c r="BF139" s="111" t="str">
        <f aca="false">IF(Tasks[[#This Row],[Task Name]]="","",Tasks[[#This Row],[Cost]])</f>
        <v/>
      </c>
      <c r="BG139" s="88"/>
      <c r="BH139" s="88"/>
      <c r="BI139" s="46"/>
      <c r="BJ139" s="113"/>
      <c r="BK139" s="112"/>
      <c r="BL139" s="45" t="str">
        <f aca="false">IF(OR(Tasks[[#This Row],[Task Name]]="",Tasks[[#This Row],[Baseline Duration]]=""),"",Tasks[[#This Row],[BL Source Duration]]-N(Tasks[[#This Row],[Baseline Duration]]))</f>
        <v/>
      </c>
      <c r="BM139" s="110" t="str">
        <f aca="false">IF(OR(Tasks[[#This Row],[Task Name]]="",Tasks[[#This Row],[Baseline Work]]=""),"",Tasks[[#This Row],[Work]]-N(Tasks[[#This Row],[Baseline Work]]))</f>
        <v/>
      </c>
      <c r="BN139" s="111" t="str">
        <f aca="false">IF(OR(Tasks[[#This Row],[Task Name]]="",Tasks[[#This Row],[Baseline Cost]]=""),"",Tasks[[#This Row],[Cost]]-N(Tasks[[#This Row],[Baseline Cost]]))</f>
        <v/>
      </c>
      <c r="BO139" s="111" t="str">
        <f aca="false">IF(Tasks[[#This Row],[Task Name]]="","",IF(Tasks[[#This Row],[_IsSummary]],SUM(INDEX(Tasks[_LeafBudget],Tasks[[#This Row],[_Row]]+1):INDEX(Tasks[_LeafBudget],Tasks[[#This Row],[_Row]]+Tasks[[#This Row],[_Descendants]])),Tasks[[#This Row],[_LeafBudget]]))</f>
        <v/>
      </c>
      <c r="BP139" s="111" t="str">
        <f aca="false">IF(Tasks[[#This Row],[Task Name]]="","",IF(Tasks[[#This Row],[_IsSummary]],SUM(INDEX(Tasks[_LeafPV],Tasks[[#This Row],[_Row]]+1):INDEX(Tasks[_LeafPV],Tasks[[#This Row],[_Row]]+Tasks[[#This Row],[_Descendants]])),Tasks[[#This Row],[_LeafPV]]))</f>
        <v/>
      </c>
      <c r="BQ139" s="111" t="str">
        <f aca="false">IF(Tasks[[#This Row],[Task Name]]="","",IF(Tasks[[#This Row],[_IsSummary]],SUM(INDEX(Tasks[_LeafEV],Tasks[[#This Row],[_Row]]+1):INDEX(Tasks[_LeafEV],Tasks[[#This Row],[_Row]]+Tasks[[#This Row],[_Descendants]])),Tasks[[#This Row],[_LeafEV]]))</f>
        <v/>
      </c>
      <c r="BR139" s="111" t="str">
        <f aca="false">IF(Tasks[[#This Row],[Task Name]]="","",IF(Tasks[[#This Row],[_IsSummary]],SUM(INDEX(Tasks[_LeafAC],Tasks[[#This Row],[_Row]]+1):INDEX(Tasks[_LeafAC],Tasks[[#This Row],[_Row]]+Tasks[[#This Row],[_Descendants]])),Tasks[[#This Row],[_LeafAC]]))</f>
        <v/>
      </c>
      <c r="BS139" s="32" t="str">
        <f aca="false">IF(Tasks[[#This Row],[Task Name]]="","",MAX(1,N(Tasks[[#This Row],[Level]])))</f>
        <v/>
      </c>
      <c r="BT139" s="32" t="n">
        <f aca="false">ROW()-ROW(Tasks[[#Headers],[ID]])</f>
        <v>134</v>
      </c>
      <c r="BU139" s="32" t="n">
        <f aca="false">IF(OR(Tasks[[#This Row],[Task Name]]="",Tasks[[#This Row],[_Level]]&lt;=1),0,IFERROR(LOOKUP(2,1/(Tasks[[#Headers],[_Level]]:Tasks[[#This Row],[_Level]]=Tasks[[#This Row],[_Level]]-1),ROW(Tasks[[#Headers],[_Level]]:Tasks[[#This Row],[_Level]])),0))</f>
        <v>0</v>
      </c>
      <c r="BV139" s="32" t="n">
        <f aca="false">IFERROR(N(INDEX(Tasks[_Level],Tasks[[#This Row],[_Row]]+1)),0)</f>
        <v>0</v>
      </c>
      <c r="BW139" s="114" t="b">
        <f aca="false">AND(Tasks[[#This Row],[Task Name]]&lt;&gt;"",Tasks[[#This Row],[_NextLevel]]&gt;Tasks[[#This Row],[_Level]])</f>
        <v>0</v>
      </c>
      <c r="BX139" s="32" t="n">
        <f aca="false">IF(Tasks[[#This Row],[_IsSummary]],COUNTIF(Tasks[WBS],Tasks[[#This Row],[WBS]]&amp;".*"),0)</f>
        <v>0</v>
      </c>
      <c r="BY139" s="32" t="n">
        <f aca="false">IF(AND(Tasks[[#This Row],[Task Name]]&lt;&gt;"",NOT(Tasks[[#This Row],[_IsSummary]])),1,0)</f>
        <v>0</v>
      </c>
      <c r="BZ139" s="32" t="n">
        <f aca="false">IF(N(Tasks[[#This Row],[Pred1 UID]])=0,0,IFERROR(MATCH(Tasks[[#This Row],[Pred1 UID]],Tasks[UID],0),-1))</f>
        <v>0</v>
      </c>
      <c r="CA139" s="32" t="n">
        <f aca="false">IF(N(Tasks[[#This Row],[Pred2 UID]])=0,0,IFERROR(MATCH(Tasks[[#This Row],[Pred2 UID]],Tasks[UID],0),-1))</f>
        <v>0</v>
      </c>
      <c r="CB139" s="32" t="n">
        <f aca="false">IF(N(Tasks[[#This Row],[Pred3 UID]])=0,0,IFERROR(MATCH(Tasks[[#This Row],[Pred3 UID]],Tasks[UID],0),-1))</f>
        <v>0</v>
      </c>
      <c r="CC139" s="32" t="n">
        <f aca="false">IF(N(Tasks[[#This Row],[Pred4 UID]])=0,0,IFERROR(MATCH(Tasks[[#This Row],[Pred4 UID]],Tasks[UID],0),-1))</f>
        <v>0</v>
      </c>
      <c r="CD13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3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39" s="115" t="n">
        <f aca="false">IF(OR(Tasks[[#This Row],[_ConstraintCode]]=2,Tasks[[#This Row],[_ConstraintCode]]=3,Tasks[[#This Row],[_ConstraintCode]]=4,Tasks[[#This Row],[_ConstraintCode]]=6),Tasks[[#This Row],[_ConstraintStart]],0)</f>
        <v>0</v>
      </c>
      <c r="CG139" s="115" t="n">
        <f aca="false">IF(OR(Tasks[[#This Row],[_ConstraintCode]]=2,Tasks[[#This Row],[_ConstraintCode]]=3,Tasks[[#This Row],[_ConstraintCode]]=5,Tasks[[#This Row],[_ConstraintCode]]=7),Tasks[[#This Row],[_ConstraintStart]],2958465)</f>
        <v>2958465</v>
      </c>
      <c r="CH13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39" s="115" t="str">
        <f aca="false">IF(NOT(Tasks[[#This Row],[_IsLeaf]]=1),"",IF(N(Tasks[[#This Row],[Duration]])&lt;=0,Tasks[[#This Row],[_LeafCalcStart]],WORKDAY.INTL(Tasks[[#This Row],[_LeafCalcStart]],Tasks[[#This Row],[Duration]]-1,WorkWeek,Holidays)))</f>
        <v/>
      </c>
      <c r="CJ13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3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39" s="32" t="n">
        <f aca="false">IF(NOT(Tasks[[#This Row],[_IsLeaf]]=1),0,IF(N(Tasks[[#This Row],[Actual Finish]])&gt;0,1,MIN(1,N(Tasks[[#This Row],[% Complete]]))))</f>
        <v>0</v>
      </c>
      <c r="CM139" s="32" t="n">
        <f aca="false">IF(OR(NOT(Tasks[[#This Row],[_IsLeaf]]=1),Tasks[[#This Row],[Resource]]=""),0,N(Tasks[[#This Row],[Duration]])*HoursPerDay*IF(Tasks[[#This Row],[Units]]="",DefaultUnits,Tasks[[#This Row],[Units]]))</f>
        <v>0</v>
      </c>
      <c r="CN139" s="32" t="n">
        <f aca="false">IF(Tasks[[#This Row],[_LeafWork]]=0,0,Tasks[[#This Row],[_LeafWork]]*IFERROR(INDEX(res_Rate,MATCH(Tasks[[#This Row],[Resource]],res_Name,0)),0))</f>
        <v>0</v>
      </c>
      <c r="CO139" s="32" t="n">
        <f aca="false">Tasks[[#This Row],[_LeafWork]]+IF(Tasks[[#This Row],[_IsLeaf]]=1,SUMIFS(asg_Work,asg_TaskUID,Tasks[[#This Row],[UID]],asg_Valid,1),0)</f>
        <v>0</v>
      </c>
      <c r="CP139" s="32" t="n">
        <f aca="false">Tasks[[#This Row],[_LeafCost]]+IF(Tasks[[#This Row],[_IsLeaf]]=1,SUMIFS(asg_Cost,asg_TaskUID,Tasks[[#This Row],[UID]],asg_Valid,1),0)</f>
        <v>0</v>
      </c>
      <c r="CQ139" s="32" t="n">
        <f aca="false">IF(Tasks[[#This Row],[_LeafTotalCost]]=0,Tasks[[#This Row],[_LeafAC]],Tasks[[#This Row],[_LeafAC]]*Tasks[[#This Row],[_LeafCost]]/Tasks[[#This Row],[_LeafTotalCost]])</f>
        <v>0</v>
      </c>
      <c r="CR13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3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3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3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3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3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3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3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39" s="32" t="n">
        <f aca="false">IF(NOT(Tasks[[#This Row],[_IsLeaf]]=1),0,MAX(_xlfn.MAXIFS(Tasks[_Row],Tasks[Pred1 UID],Tasks[[#This Row],[UID]]),_xlfn.MAXIFS(Tasks[_Row],Tasks[Pred2 UID],Tasks[[#This Row],[UID]]),_xlfn.MAXIFS(Tasks[_Row],Tasks[Pred3 UID],Tasks[[#This Row],[UID]]),_xlfn.MAXIFS(Tasks[_Row],Tasks[Pred4 UID],Tasks[[#This Row],[UID]])))</f>
        <v>0</v>
      </c>
      <c r="DA13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3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39" s="115" t="str">
        <f aca="false">IF(NOT(Tasks[[#This Row],[_IsLeaf]]=1),"",IF(N(Tasks[[#This Row],[Duration]])&lt;=0,Tasks[[#This Row],[_LeafLateFinish]],WORKDAY.INTL(Tasks[[#This Row],[_LeafLateFinish]],-(Tasks[[#This Row],[Duration]]-1),WorkWeek,Holidays)))</f>
        <v/>
      </c>
      <c r="DD13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39" s="114" t="b">
        <f aca="false">AND(Tasks[[#This Row],[_IsLeaf]]=1,Tasks[[#This Row],[_LeafProgress]]&lt;1,N(Tasks[[#This Row],[_LeafTotalSlack]])&lt;=CriticalSlackDays)</f>
        <v>0</v>
      </c>
      <c r="DF139" s="32" t="n">
        <f aca="false">IF(AND(Tasks[[#This Row],[_IsLeaf]]=1,Tasks[[#This Row],[_ConstraintCode]]=1,Tasks[[#This Row],[Mode]]&lt;&gt;"Manual",N(Tasks[[#This Row],[Actual Start]])=0),MAX(0,N(Tasks[[#This Row],[Free Slack]])),0)</f>
        <v>0</v>
      </c>
      <c r="DG139" s="115" t="str">
        <f aca="false">IF(NOT(Tasks[[#This Row],[_IsLeaf]]=1),"",IF(Tasks[[#This Row],[_AlapShift]]=0,Tasks[[#This Row],[_LeafCalcStart]],WORKDAY.INTL(Tasks[[#This Row],[_LeafCalcStart]],Tasks[[#This Row],[_AlapShift]],WorkWeek,Holidays)))</f>
        <v/>
      </c>
      <c r="DH139" s="115" t="str">
        <f aca="false">IF(NOT(Tasks[[#This Row],[_IsLeaf]]=1),"",IF(Tasks[[#This Row],[_AlapShift]]=0,Tasks[[#This Row],[_LeafCalcFinish]],WORKDAY.INTL(Tasks[[#This Row],[_LeafCalcFinish]],Tasks[[#This Row],[_AlapShift]],WorkWeek,Holidays)))</f>
        <v/>
      </c>
      <c r="DI139" s="115" t="str">
        <f aca="false">IF(NOT(Tasks[[#This Row],[_IsLeaf]]=1),"",IF(Tasks[[#This Row],[_AlapShift]]=0,Tasks[[#This Row],[_LeafFcstStart]],WORKDAY.INTL(Tasks[[#This Row],[_LeafFcstStart]],Tasks[[#This Row],[_AlapShift]],WorkWeek,Holidays)))</f>
        <v/>
      </c>
      <c r="DJ139" s="115" t="str">
        <f aca="false">IF(NOT(Tasks[[#This Row],[_IsLeaf]]=1),"",IF(Tasks[[#This Row],[_AlapShift]]=0,Tasks[[#This Row],[_LeafFcstFinish]],WORKDAY.INTL(Tasks[[#This Row],[_LeafFcstFinish]],Tasks[[#This Row],[_AlapShift]],WorkWeek,Holidays)))</f>
        <v/>
      </c>
      <c r="DK139" s="115" t="str">
        <f aca="false">IF(Tasks[[#This Row],[Task Name]]="","",IF(Tasks[[#This Row],[_IsSummary]],MIN(INDEX(Tasks[_ShownCalcStart],Tasks[[#This Row],[_Row]]+1):INDEX(Tasks[_ShownCalcStart],Tasks[[#This Row],[_Row]]+Tasks[[#This Row],[_Descendants]])),Tasks[[#This Row],[_ShownCalcStart]]))</f>
        <v/>
      </c>
      <c r="DL139" s="115" t="str">
        <f aca="false">IF(Tasks[[#This Row],[Task Name]]="","",IF(Tasks[[#This Row],[_IsSummary]],MAX(INDEX(Tasks[_ShownCalcFinish],Tasks[[#This Row],[_Row]]+1):INDEX(Tasks[_ShownCalcFinish],Tasks[[#This Row],[_Row]]+Tasks[[#This Row],[_Descendants]])),Tasks[[#This Row],[_ShownCalcFinish]]))</f>
        <v/>
      </c>
      <c r="DM13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3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3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3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3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3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3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3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3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3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3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3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39" s="32" t="n">
        <f aca="false">IF(AND(Tasks[[#This Row],[_IsLeaf]]=1,Tasks[[#This Row],[_LeafTotalWork]]&gt;0),NETWORKDAYS.INTL(ProjectStart,Tasks[[#This Row],[_ShownFcstStart]],WorkWeek,Holidays),0)</f>
        <v>0</v>
      </c>
      <c r="DZ139" s="32" t="n">
        <f aca="false">IF(AND(Tasks[[#This Row],[_IsLeaf]]=1,Tasks[[#This Row],[_LeafTotalWork]]&gt;0),MAX(Tasks[[#This Row],[_StartWorkday]],NETWORKDAYS.INTL(ProjectStart,Tasks[[#This Row],[_ShownFcstFinish]],WorkWeek,Holidays)),0)</f>
        <v>0</v>
      </c>
      <c r="EA139" s="32" t="n">
        <f aca="false">IF(AND(Tasks[[#This Row],[_IsLeaf]]=1,Tasks[[#This Row],[_LeafTotalWork]]&gt;0),Tasks[[#This Row],[_LeafWork]]/(Tasks[[#This Row],[_FinishWorkday]]-Tasks[[#This Row],[_StartWorkday]]+1),0)</f>
        <v>0</v>
      </c>
      <c r="EB139" s="32" t="n">
        <f aca="false">Tasks[[#This Row],[_WorkPerWorkday]]*(Tasks[[#This Row],[_StartWorkday]]-1)</f>
        <v>-0</v>
      </c>
      <c r="EC139" s="32" t="n">
        <f aca="false">IF(Tasks[[#This Row],[_IsLeaf]]=1,MAX(N(Tasks[[#This Row],[Duration]]),0.1),0)</f>
        <v>0</v>
      </c>
      <c r="ED139" s="32" t="n">
        <f aca="false">Tasks[[#This Row],[_WeightDur]]*Tasks[[#This Row],[_LeafProgress]]</f>
        <v>0</v>
      </c>
      <c r="EE13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39" s="32" t="str">
        <f aca="false">IF(AND(Tasks[[#This Row],[_IsLeaf]]=1,N(Tasks[[#This Row],[Duration]])=0,Tasks[[#This Row],[_LeafProgress]]&lt;1),Tasks[[#This Row],[_ShownFcstFinish]]+Tasks[[#This Row],[_Row]]/100000,"")</f>
        <v/>
      </c>
      <c r="EG13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39" s="32" t="n">
        <f aca="false">IF(NOT(Tasks[[#This Row],[_IsLeaf]]=1),0,IF(Tasks[[#This Row],[Baseline Cost]]="",Tasks[[#This Row],[_LeafTotalCost]],N(Tasks[[#This Row],[Baseline Cost]])))</f>
        <v>0</v>
      </c>
      <c r="EI139" s="32" t="n">
        <f aca="false">Tasks[[#This Row],[_LeafBudget]]*Tasks[[#This Row],[_PlannedPct]]</f>
        <v>0</v>
      </c>
      <c r="EJ139" s="32" t="n">
        <f aca="false">Tasks[[#This Row],[_LeafBudget]]*Tasks[[#This Row],[_LeafProgress]]</f>
        <v>0</v>
      </c>
      <c r="EK139" s="32" t="n">
        <f aca="false">IF(NOT(Tasks[[#This Row],[_IsLeaf]]=1),0,IF(Tasks[[#This Row],[Actual Cost]]="",Tasks[[#This Row],[_LeafTotalCost]]*Tasks[[#This Row],[_LeafProgress]],N(Tasks[[#This Row],[Actual Cost]])))</f>
        <v>0</v>
      </c>
      <c r="EL139" s="32" t="str">
        <f aca="false">IF(Tasks[[#This Row],[Task Name]]="","",LEFT(Tasks[[#This Row],[WBS]],FIND(".",Tasks[[#This Row],[WBS]]&amp;".")-1))</f>
        <v/>
      </c>
      <c r="EM139" s="32" t="str">
        <f aca="false">IF(AND(Tasks[[#This Row],[Task Name]]&lt;&gt;"",Tasks[[#This Row],[_Level]]=1),Tasks[[#This Row],[_Row]],"")</f>
        <v/>
      </c>
      <c r="EN139" s="32" t="str">
        <f aca="false">IF(AND(Tasks[[#This Row],[_IsLeaf]]=1,N(Tasks[[#This Row],[Duration]])=0),Tasks[[#This Row],[Planned Finish]]+Tasks[[#This Row],[_Row]]/100000,"")</f>
        <v/>
      </c>
      <c r="EO139" s="32" t="str">
        <f aca="false">IF(AND(Tasks[[#This Row],[_IsLeaf]]=1,Tasks[[#This Row],[_LeafProgress]]&lt;1,OR(N(Tasks[[#This Row],[Finish Var]])&gt;0,Tasks[[#This Row],[Status]]="Late Start")),MAX(0,Tasks[[#This Row],[Finish Var]])+1-Tasks[[#This Row],[_Row]]/1000000,"")</f>
        <v/>
      </c>
      <c r="EP139" s="32" t="str">
        <f aca="false">IF(AND(Tasks[[#This Row],[_IsLeaf]]=1,N(Tasks[[#This Row],[Actual Start]])=0,Tasks[[#This Row],[_ShownFcstStart]]&gt;=StatusDate,Tasks[[#This Row],[_ShownFcstStart]]&lt;=LookaheadEnd),Tasks[[#This Row],[_ShownFcstStart]]+Tasks[[#This Row],[_Row]]/100000,"")</f>
        <v/>
      </c>
      <c r="EQ139" s="32" t="str">
        <f aca="false">IF(AND(Tasks[[#This Row],[_IsLeaf]]=1,Tasks[[#This Row],[_LeafProgress]]&lt;1,Tasks[[#This Row],[_ShownFcstFinish]]&gt;=StatusDate,Tasks[[#This Row],[_ShownFcstFinish]]&lt;=LookaheadEnd),Tasks[[#This Row],[_ShownFcstFinish]]+Tasks[[#This Row],[_Row]]/100000,"")</f>
        <v/>
      </c>
      <c r="ER139" s="32" t="str">
        <f aca="false">IF(Tasks[[#This Row],[_LeafCritical]],Tasks[[#This Row],[_ShownFcstStart]]+Tasks[[#This Row],[_Row]]/100000,"")</f>
        <v/>
      </c>
      <c r="ES139" s="32" t="n">
        <f aca="false">Tasks[[#This Row],[_LeafWork]]*Tasks[[#This Row],[_LeafProgress]]</f>
        <v>0</v>
      </c>
      <c r="ET139" s="115" t="str">
        <f aca="false">IF(AND(Tasks[[#This Row],[_IsLeaf]]=1,Tasks[[#This Row],[_LeafProgress]]&gt;=1),IF(N(Tasks[[#This Row],[Actual Finish]])&gt;0,Tasks[[#This Row],[Actual Finish]],Tasks[[#This Row],[_ShownFcstFinish]]),"")</f>
        <v/>
      </c>
      <c r="EU139" s="32" t="n">
        <f aca="false">IF(Tasks[[#This Row],[_IsLeaf]]=1,N(Tasks[[#This Row],[Story Points]]),0)</f>
        <v>0</v>
      </c>
      <c r="EV139" s="32" t="str">
        <f aca="false">IF(AND(Tasks[[#This Row],[_IsLeaf]]=1,CurrentSprint&lt;&gt;"",Tasks[[#This Row],[Sprint]]=CurrentSprint),Tasks[[#This Row],[_Row]],"")</f>
        <v/>
      </c>
    </row>
    <row r="140" customFormat="false" ht="15" hidden="false" customHeight="false" outlineLevel="0" collapsed="false">
      <c r="A140" s="45" t="str">
        <f aca="false">IF(Tasks[[#This Row],[Task Name]]="","",COUNTA(Tasks[[#Headers],[Task Name]]:Tasks[[#This Row],[Task Name]])-1)</f>
        <v/>
      </c>
      <c r="B140" s="46" t="n">
        <v>135</v>
      </c>
      <c r="C14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0" s="46"/>
      <c r="E140" s="45" t="str">
        <f aca="false">IF(Tasks[[#This Row],[Task Name]]="","",IF(Tasks[[#This Row],[_Level]]&lt;=OutlineShowLevel,"Yes","No"))</f>
        <v/>
      </c>
      <c r="F140" s="47"/>
      <c r="G140" s="46"/>
      <c r="H140" s="46"/>
      <c r="I140" s="46"/>
      <c r="J140" s="46"/>
      <c r="K140" s="46"/>
      <c r="L140" s="46"/>
      <c r="M140" s="46"/>
      <c r="N140" s="46"/>
      <c r="O140" s="46"/>
      <c r="P140" s="46"/>
      <c r="Q140" s="46"/>
      <c r="R140" s="46"/>
      <c r="S140" s="46"/>
      <c r="T140" s="46"/>
      <c r="U140" s="47"/>
      <c r="V140" s="88"/>
      <c r="W140" s="88"/>
      <c r="X140" s="25" t="str">
        <f aca="false">IF(Tasks[[#This Row],[Task Name]]="","",IF(N(Tasks[[#This Row],[Baseline Start]])&gt;0,Tasks[[#This Row],[Baseline Start]],Tasks[[#This Row],[_CalcStart]]))</f>
        <v/>
      </c>
      <c r="Y140" s="25" t="str">
        <f aca="false">IF(Tasks[[#This Row],[Task Name]]="","",IF(N(Tasks[[#This Row],[Baseline Finish]])&gt;0,Tasks[[#This Row],[Baseline Finish]],Tasks[[#This Row],[_CalcFinish]]))</f>
        <v/>
      </c>
      <c r="Z140" s="88"/>
      <c r="AA140" s="88"/>
      <c r="AB140" s="25" t="str">
        <f aca="false">IF(Tasks[[#This Row],[Task Name]]="","",IF(Tasks[[#This Row],[_IsSummary]],MIN(INDEX(Tasks[_ShownFcstStart],Tasks[[#This Row],[_Row]]+1):INDEX(Tasks[_ShownFcstStart],Tasks[[#This Row],[_Row]]+Tasks[[#This Row],[_Descendants]])),Tasks[[#This Row],[_ShownFcstStart]]))</f>
        <v/>
      </c>
      <c r="AC140" s="25" t="str">
        <f aca="false">IF(Tasks[[#This Row],[Task Name]]="","",IF(Tasks[[#This Row],[_IsSummary]],MAX(INDEX(Tasks[_ShownFcstFinish],Tasks[[#This Row],[_Row]]+1):INDEX(Tasks[_ShownFcstFinish],Tasks[[#This Row],[_Row]]+Tasks[[#This Row],[_Descendants]])),Tasks[[#This Row],[_ShownFcstFinish]]))</f>
        <v/>
      </c>
      <c r="AD14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0" s="25" t="str">
        <f aca="false">IF(Tasks[[#This Row],[Task Name]]="","",IF(Tasks[[#This Row],[_IsSummary]],MIN(INDEX(Tasks[_LeafLateStart],Tasks[[#This Row],[_Row]]+1):INDEX(Tasks[_LeafLateStart],Tasks[[#This Row],[_Row]]+Tasks[[#This Row],[_Descendants]])),Tasks[[#This Row],[_LeafLateStart]]))</f>
        <v/>
      </c>
      <c r="AG140" s="25" t="str">
        <f aca="false">IF(Tasks[[#This Row],[Task Name]]="","",IF(Tasks[[#This Row],[_IsSummary]],MAX(INDEX(Tasks[_LeafLateFinish],Tasks[[#This Row],[_Row]]+1):INDEX(Tasks[_LeafLateFinish],Tasks[[#This Row],[_Row]]+Tasks[[#This Row],[_Descendants]])),Tasks[[#This Row],[_LeafLateFinish]]))</f>
        <v/>
      </c>
      <c r="AH140" s="56" t="str">
        <f aca="false">IF(Tasks[[#This Row],[Task Name]]="","",IF(Tasks[[#This Row],[_IsSummary]],MIN(INDEX(Tasks[_LeafTotalSlack],Tasks[[#This Row],[_Row]]+1):INDEX(Tasks[_LeafTotalSlack],Tasks[[#This Row],[_Row]]+Tasks[[#This Row],[_Descendants]])),Tasks[[#This Row],[_LeafTotalSlack]]))</f>
        <v/>
      </c>
      <c r="AI14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0" s="45" t="str">
        <f aca="false">IF(Tasks[[#This Row],[Task Name]]="","",IF(IF(Tasks[[#This Row],[_IsSummary]],COUNTIF(INDEX(Tasks[_LeafCritical],Tasks[[#This Row],[_Row]]+1):INDEX(Tasks[_LeafCritical],Tasks[[#This Row],[_Row]]+Tasks[[#This Row],[_Descendants]]),TRUE())&gt;0,Tasks[[#This Row],[_LeafCritical]]),"Yes",""))</f>
        <v/>
      </c>
      <c r="AK14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0" s="102"/>
      <c r="AN14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0" s="45" t="str">
        <f aca="false">IF(Tasks[[#This Row],[Task Name]]="","",IF(Tasks[[#This Row],[Progress]]&gt;=1,"Complete",IF(OR(N(Tasks[[#This Row],[Actual Start]])&gt;0,Tasks[[#This Row],[Progress]]&gt;0),IF(Tasks[[#This Row],[Finish Var]]&gt;0,"Behind","In Progress"),IF(Tasks[[#This Row],[Planned Start]]&lt;StatusDate,"Late Start","Not Started"))))</f>
        <v/>
      </c>
      <c r="AP140" s="47"/>
      <c r="AQ140" s="102"/>
      <c r="AR14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0" s="110" t="str">
        <f aca="false">IF(Tasks[[#This Row],[Task Name]]="","",IF(Tasks[[#This Row],[_IsSummary]],SUM(INDEX(Tasks[_LeafTotalWork],Tasks[[#This Row],[_Row]]+1):INDEX(Tasks[_LeafTotalWork],Tasks[[#This Row],[_Row]]+Tasks[[#This Row],[_Descendants]])),Tasks[[#This Row],[_LeafTotalWork]]))</f>
        <v/>
      </c>
      <c r="AU140" s="111" t="str">
        <f aca="false">IF(Tasks[[#This Row],[Task Name]]="","",IF(Tasks[[#This Row],[_IsSummary]],SUM(INDEX(Tasks[_LeafTotalCost],Tasks[[#This Row],[_Row]]+1):INDEX(Tasks[_LeafTotalCost],Tasks[[#This Row],[_Row]]+Tasks[[#This Row],[_Descendants]])),Tasks[[#This Row],[_LeafTotalCost]]))</f>
        <v/>
      </c>
      <c r="AV140" s="112"/>
      <c r="AW140" s="46"/>
      <c r="AX14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0" s="96"/>
      <c r="AZ14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0" s="47"/>
      <c r="BB140" s="25" t="str">
        <f aca="false">IF(Tasks[[#This Row],[Task Name]]="","",Tasks[[#This Row],[Forecast Start]])</f>
        <v/>
      </c>
      <c r="BC140" s="25" t="str">
        <f aca="false">IF(Tasks[[#This Row],[Task Name]]="","",Tasks[[#This Row],[Forecast Finish]])</f>
        <v/>
      </c>
      <c r="BD140" s="45" t="str">
        <f aca="false">IF(Tasks[[#This Row],[Task Name]]="","",IF(Tasks[[#This Row],[_IsSummary]],NETWORKDAYS.INTL(Tasks[[#This Row],[Forecast Start]],Tasks[[#This Row],[Forecast Finish]],WorkWeek,Holidays),N(Tasks[[#This Row],[Duration]])))</f>
        <v/>
      </c>
      <c r="BE140" s="110" t="str">
        <f aca="false">IF(Tasks[[#This Row],[Task Name]]="","",Tasks[[#This Row],[Work]])</f>
        <v/>
      </c>
      <c r="BF140" s="111" t="str">
        <f aca="false">IF(Tasks[[#This Row],[Task Name]]="","",Tasks[[#This Row],[Cost]])</f>
        <v/>
      </c>
      <c r="BG140" s="88"/>
      <c r="BH140" s="88"/>
      <c r="BI140" s="46"/>
      <c r="BJ140" s="113"/>
      <c r="BK140" s="112"/>
      <c r="BL140" s="45" t="str">
        <f aca="false">IF(OR(Tasks[[#This Row],[Task Name]]="",Tasks[[#This Row],[Baseline Duration]]=""),"",Tasks[[#This Row],[BL Source Duration]]-N(Tasks[[#This Row],[Baseline Duration]]))</f>
        <v/>
      </c>
      <c r="BM140" s="110" t="str">
        <f aca="false">IF(OR(Tasks[[#This Row],[Task Name]]="",Tasks[[#This Row],[Baseline Work]]=""),"",Tasks[[#This Row],[Work]]-N(Tasks[[#This Row],[Baseline Work]]))</f>
        <v/>
      </c>
      <c r="BN140" s="111" t="str">
        <f aca="false">IF(OR(Tasks[[#This Row],[Task Name]]="",Tasks[[#This Row],[Baseline Cost]]=""),"",Tasks[[#This Row],[Cost]]-N(Tasks[[#This Row],[Baseline Cost]]))</f>
        <v/>
      </c>
      <c r="BO140" s="111" t="str">
        <f aca="false">IF(Tasks[[#This Row],[Task Name]]="","",IF(Tasks[[#This Row],[_IsSummary]],SUM(INDEX(Tasks[_LeafBudget],Tasks[[#This Row],[_Row]]+1):INDEX(Tasks[_LeafBudget],Tasks[[#This Row],[_Row]]+Tasks[[#This Row],[_Descendants]])),Tasks[[#This Row],[_LeafBudget]]))</f>
        <v/>
      </c>
      <c r="BP140" s="111" t="str">
        <f aca="false">IF(Tasks[[#This Row],[Task Name]]="","",IF(Tasks[[#This Row],[_IsSummary]],SUM(INDEX(Tasks[_LeafPV],Tasks[[#This Row],[_Row]]+1):INDEX(Tasks[_LeafPV],Tasks[[#This Row],[_Row]]+Tasks[[#This Row],[_Descendants]])),Tasks[[#This Row],[_LeafPV]]))</f>
        <v/>
      </c>
      <c r="BQ140" s="111" t="str">
        <f aca="false">IF(Tasks[[#This Row],[Task Name]]="","",IF(Tasks[[#This Row],[_IsSummary]],SUM(INDEX(Tasks[_LeafEV],Tasks[[#This Row],[_Row]]+1):INDEX(Tasks[_LeafEV],Tasks[[#This Row],[_Row]]+Tasks[[#This Row],[_Descendants]])),Tasks[[#This Row],[_LeafEV]]))</f>
        <v/>
      </c>
      <c r="BR140" s="111" t="str">
        <f aca="false">IF(Tasks[[#This Row],[Task Name]]="","",IF(Tasks[[#This Row],[_IsSummary]],SUM(INDEX(Tasks[_LeafAC],Tasks[[#This Row],[_Row]]+1):INDEX(Tasks[_LeafAC],Tasks[[#This Row],[_Row]]+Tasks[[#This Row],[_Descendants]])),Tasks[[#This Row],[_LeafAC]]))</f>
        <v/>
      </c>
      <c r="BS140" s="32" t="str">
        <f aca="false">IF(Tasks[[#This Row],[Task Name]]="","",MAX(1,N(Tasks[[#This Row],[Level]])))</f>
        <v/>
      </c>
      <c r="BT140" s="32" t="n">
        <f aca="false">ROW()-ROW(Tasks[[#Headers],[ID]])</f>
        <v>135</v>
      </c>
      <c r="BU140" s="32" t="n">
        <f aca="false">IF(OR(Tasks[[#This Row],[Task Name]]="",Tasks[[#This Row],[_Level]]&lt;=1),0,IFERROR(LOOKUP(2,1/(Tasks[[#Headers],[_Level]]:Tasks[[#This Row],[_Level]]=Tasks[[#This Row],[_Level]]-1),ROW(Tasks[[#Headers],[_Level]]:Tasks[[#This Row],[_Level]])),0))</f>
        <v>0</v>
      </c>
      <c r="BV140" s="32" t="n">
        <f aca="false">IFERROR(N(INDEX(Tasks[_Level],Tasks[[#This Row],[_Row]]+1)),0)</f>
        <v>0</v>
      </c>
      <c r="BW140" s="114" t="b">
        <f aca="false">AND(Tasks[[#This Row],[Task Name]]&lt;&gt;"",Tasks[[#This Row],[_NextLevel]]&gt;Tasks[[#This Row],[_Level]])</f>
        <v>0</v>
      </c>
      <c r="BX140" s="32" t="n">
        <f aca="false">IF(Tasks[[#This Row],[_IsSummary]],COUNTIF(Tasks[WBS],Tasks[[#This Row],[WBS]]&amp;".*"),0)</f>
        <v>0</v>
      </c>
      <c r="BY140" s="32" t="n">
        <f aca="false">IF(AND(Tasks[[#This Row],[Task Name]]&lt;&gt;"",NOT(Tasks[[#This Row],[_IsSummary]])),1,0)</f>
        <v>0</v>
      </c>
      <c r="BZ140" s="32" t="n">
        <f aca="false">IF(N(Tasks[[#This Row],[Pred1 UID]])=0,0,IFERROR(MATCH(Tasks[[#This Row],[Pred1 UID]],Tasks[UID],0),-1))</f>
        <v>0</v>
      </c>
      <c r="CA140" s="32" t="n">
        <f aca="false">IF(N(Tasks[[#This Row],[Pred2 UID]])=0,0,IFERROR(MATCH(Tasks[[#This Row],[Pred2 UID]],Tasks[UID],0),-1))</f>
        <v>0</v>
      </c>
      <c r="CB140" s="32" t="n">
        <f aca="false">IF(N(Tasks[[#This Row],[Pred3 UID]])=0,0,IFERROR(MATCH(Tasks[[#This Row],[Pred3 UID]],Tasks[UID],0),-1))</f>
        <v>0</v>
      </c>
      <c r="CC140" s="32" t="n">
        <f aca="false">IF(N(Tasks[[#This Row],[Pred4 UID]])=0,0,IFERROR(MATCH(Tasks[[#This Row],[Pred4 UID]],Tasks[UID],0),-1))</f>
        <v>0</v>
      </c>
      <c r="CD14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0" s="115" t="n">
        <f aca="false">IF(OR(Tasks[[#This Row],[_ConstraintCode]]=2,Tasks[[#This Row],[_ConstraintCode]]=3,Tasks[[#This Row],[_ConstraintCode]]=4,Tasks[[#This Row],[_ConstraintCode]]=6),Tasks[[#This Row],[_ConstraintStart]],0)</f>
        <v>0</v>
      </c>
      <c r="CG140" s="115" t="n">
        <f aca="false">IF(OR(Tasks[[#This Row],[_ConstraintCode]]=2,Tasks[[#This Row],[_ConstraintCode]]=3,Tasks[[#This Row],[_ConstraintCode]]=5,Tasks[[#This Row],[_ConstraintCode]]=7),Tasks[[#This Row],[_ConstraintStart]],2958465)</f>
        <v>2958465</v>
      </c>
      <c r="CH14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0" s="115" t="str">
        <f aca="false">IF(NOT(Tasks[[#This Row],[_IsLeaf]]=1),"",IF(N(Tasks[[#This Row],[Duration]])&lt;=0,Tasks[[#This Row],[_LeafCalcStart]],WORKDAY.INTL(Tasks[[#This Row],[_LeafCalcStart]],Tasks[[#This Row],[Duration]]-1,WorkWeek,Holidays)))</f>
        <v/>
      </c>
      <c r="CJ14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0" s="32" t="n">
        <f aca="false">IF(NOT(Tasks[[#This Row],[_IsLeaf]]=1),0,IF(N(Tasks[[#This Row],[Actual Finish]])&gt;0,1,MIN(1,N(Tasks[[#This Row],[% Complete]]))))</f>
        <v>0</v>
      </c>
      <c r="CM140" s="32" t="n">
        <f aca="false">IF(OR(NOT(Tasks[[#This Row],[_IsLeaf]]=1),Tasks[[#This Row],[Resource]]=""),0,N(Tasks[[#This Row],[Duration]])*HoursPerDay*IF(Tasks[[#This Row],[Units]]="",DefaultUnits,Tasks[[#This Row],[Units]]))</f>
        <v>0</v>
      </c>
      <c r="CN140" s="32" t="n">
        <f aca="false">IF(Tasks[[#This Row],[_LeafWork]]=0,0,Tasks[[#This Row],[_LeafWork]]*IFERROR(INDEX(res_Rate,MATCH(Tasks[[#This Row],[Resource]],res_Name,0)),0))</f>
        <v>0</v>
      </c>
      <c r="CO140" s="32" t="n">
        <f aca="false">Tasks[[#This Row],[_LeafWork]]+IF(Tasks[[#This Row],[_IsLeaf]]=1,SUMIFS(asg_Work,asg_TaskUID,Tasks[[#This Row],[UID]],asg_Valid,1),0)</f>
        <v>0</v>
      </c>
      <c r="CP140" s="32" t="n">
        <f aca="false">Tasks[[#This Row],[_LeafCost]]+IF(Tasks[[#This Row],[_IsLeaf]]=1,SUMIFS(asg_Cost,asg_TaskUID,Tasks[[#This Row],[UID]],asg_Valid,1),0)</f>
        <v>0</v>
      </c>
      <c r="CQ140" s="32" t="n">
        <f aca="false">IF(Tasks[[#This Row],[_LeafTotalCost]]=0,Tasks[[#This Row],[_LeafAC]],Tasks[[#This Row],[_LeafAC]]*Tasks[[#This Row],[_LeafCost]]/Tasks[[#This Row],[_LeafTotalCost]])</f>
        <v>0</v>
      </c>
      <c r="CR14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0" s="32" t="n">
        <f aca="false">IF(NOT(Tasks[[#This Row],[_IsLeaf]]=1),0,MAX(_xlfn.MAXIFS(Tasks[_Row],Tasks[Pred1 UID],Tasks[[#This Row],[UID]]),_xlfn.MAXIFS(Tasks[_Row],Tasks[Pred2 UID],Tasks[[#This Row],[UID]]),_xlfn.MAXIFS(Tasks[_Row],Tasks[Pred3 UID],Tasks[[#This Row],[UID]]),_xlfn.MAXIFS(Tasks[_Row],Tasks[Pred4 UID],Tasks[[#This Row],[UID]])))</f>
        <v>0</v>
      </c>
      <c r="DA14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0" s="115" t="str">
        <f aca="false">IF(NOT(Tasks[[#This Row],[_IsLeaf]]=1),"",IF(N(Tasks[[#This Row],[Duration]])&lt;=0,Tasks[[#This Row],[_LeafLateFinish]],WORKDAY.INTL(Tasks[[#This Row],[_LeafLateFinish]],-(Tasks[[#This Row],[Duration]]-1),WorkWeek,Holidays)))</f>
        <v/>
      </c>
      <c r="DD14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0" s="114" t="b">
        <f aca="false">AND(Tasks[[#This Row],[_IsLeaf]]=1,Tasks[[#This Row],[_LeafProgress]]&lt;1,N(Tasks[[#This Row],[_LeafTotalSlack]])&lt;=CriticalSlackDays)</f>
        <v>0</v>
      </c>
      <c r="DF140" s="32" t="n">
        <f aca="false">IF(AND(Tasks[[#This Row],[_IsLeaf]]=1,Tasks[[#This Row],[_ConstraintCode]]=1,Tasks[[#This Row],[Mode]]&lt;&gt;"Manual",N(Tasks[[#This Row],[Actual Start]])=0),MAX(0,N(Tasks[[#This Row],[Free Slack]])),0)</f>
        <v>0</v>
      </c>
      <c r="DG140" s="115" t="str">
        <f aca="false">IF(NOT(Tasks[[#This Row],[_IsLeaf]]=1),"",IF(Tasks[[#This Row],[_AlapShift]]=0,Tasks[[#This Row],[_LeafCalcStart]],WORKDAY.INTL(Tasks[[#This Row],[_LeafCalcStart]],Tasks[[#This Row],[_AlapShift]],WorkWeek,Holidays)))</f>
        <v/>
      </c>
      <c r="DH140" s="115" t="str">
        <f aca="false">IF(NOT(Tasks[[#This Row],[_IsLeaf]]=1),"",IF(Tasks[[#This Row],[_AlapShift]]=0,Tasks[[#This Row],[_LeafCalcFinish]],WORKDAY.INTL(Tasks[[#This Row],[_LeafCalcFinish]],Tasks[[#This Row],[_AlapShift]],WorkWeek,Holidays)))</f>
        <v/>
      </c>
      <c r="DI140" s="115" t="str">
        <f aca="false">IF(NOT(Tasks[[#This Row],[_IsLeaf]]=1),"",IF(Tasks[[#This Row],[_AlapShift]]=0,Tasks[[#This Row],[_LeafFcstStart]],WORKDAY.INTL(Tasks[[#This Row],[_LeafFcstStart]],Tasks[[#This Row],[_AlapShift]],WorkWeek,Holidays)))</f>
        <v/>
      </c>
      <c r="DJ140" s="115" t="str">
        <f aca="false">IF(NOT(Tasks[[#This Row],[_IsLeaf]]=1),"",IF(Tasks[[#This Row],[_AlapShift]]=0,Tasks[[#This Row],[_LeafFcstFinish]],WORKDAY.INTL(Tasks[[#This Row],[_LeafFcstFinish]],Tasks[[#This Row],[_AlapShift]],WorkWeek,Holidays)))</f>
        <v/>
      </c>
      <c r="DK140" s="115" t="str">
        <f aca="false">IF(Tasks[[#This Row],[Task Name]]="","",IF(Tasks[[#This Row],[_IsSummary]],MIN(INDEX(Tasks[_ShownCalcStart],Tasks[[#This Row],[_Row]]+1):INDEX(Tasks[_ShownCalcStart],Tasks[[#This Row],[_Row]]+Tasks[[#This Row],[_Descendants]])),Tasks[[#This Row],[_ShownCalcStart]]))</f>
        <v/>
      </c>
      <c r="DL140" s="115" t="str">
        <f aca="false">IF(Tasks[[#This Row],[Task Name]]="","",IF(Tasks[[#This Row],[_IsSummary]],MAX(INDEX(Tasks[_ShownCalcFinish],Tasks[[#This Row],[_Row]]+1):INDEX(Tasks[_ShownCalcFinish],Tasks[[#This Row],[_Row]]+Tasks[[#This Row],[_Descendants]])),Tasks[[#This Row],[_ShownCalcFinish]]))</f>
        <v/>
      </c>
      <c r="DM14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0" s="32" t="n">
        <f aca="false">IF(AND(Tasks[[#This Row],[_IsLeaf]]=1,Tasks[[#This Row],[_LeafTotalWork]]&gt;0),NETWORKDAYS.INTL(ProjectStart,Tasks[[#This Row],[_ShownFcstStart]],WorkWeek,Holidays),0)</f>
        <v>0</v>
      </c>
      <c r="DZ140" s="32" t="n">
        <f aca="false">IF(AND(Tasks[[#This Row],[_IsLeaf]]=1,Tasks[[#This Row],[_LeafTotalWork]]&gt;0),MAX(Tasks[[#This Row],[_StartWorkday]],NETWORKDAYS.INTL(ProjectStart,Tasks[[#This Row],[_ShownFcstFinish]],WorkWeek,Holidays)),0)</f>
        <v>0</v>
      </c>
      <c r="EA140" s="32" t="n">
        <f aca="false">IF(AND(Tasks[[#This Row],[_IsLeaf]]=1,Tasks[[#This Row],[_LeafTotalWork]]&gt;0),Tasks[[#This Row],[_LeafWork]]/(Tasks[[#This Row],[_FinishWorkday]]-Tasks[[#This Row],[_StartWorkday]]+1),0)</f>
        <v>0</v>
      </c>
      <c r="EB140" s="32" t="n">
        <f aca="false">Tasks[[#This Row],[_WorkPerWorkday]]*(Tasks[[#This Row],[_StartWorkday]]-1)</f>
        <v>-0</v>
      </c>
      <c r="EC140" s="32" t="n">
        <f aca="false">IF(Tasks[[#This Row],[_IsLeaf]]=1,MAX(N(Tasks[[#This Row],[Duration]]),0.1),0)</f>
        <v>0</v>
      </c>
      <c r="ED140" s="32" t="n">
        <f aca="false">Tasks[[#This Row],[_WeightDur]]*Tasks[[#This Row],[_LeafProgress]]</f>
        <v>0</v>
      </c>
      <c r="EE14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0" s="32" t="str">
        <f aca="false">IF(AND(Tasks[[#This Row],[_IsLeaf]]=1,N(Tasks[[#This Row],[Duration]])=0,Tasks[[#This Row],[_LeafProgress]]&lt;1),Tasks[[#This Row],[_ShownFcstFinish]]+Tasks[[#This Row],[_Row]]/100000,"")</f>
        <v/>
      </c>
      <c r="EG14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0" s="32" t="n">
        <f aca="false">IF(NOT(Tasks[[#This Row],[_IsLeaf]]=1),0,IF(Tasks[[#This Row],[Baseline Cost]]="",Tasks[[#This Row],[_LeafTotalCost]],N(Tasks[[#This Row],[Baseline Cost]])))</f>
        <v>0</v>
      </c>
      <c r="EI140" s="32" t="n">
        <f aca="false">Tasks[[#This Row],[_LeafBudget]]*Tasks[[#This Row],[_PlannedPct]]</f>
        <v>0</v>
      </c>
      <c r="EJ140" s="32" t="n">
        <f aca="false">Tasks[[#This Row],[_LeafBudget]]*Tasks[[#This Row],[_LeafProgress]]</f>
        <v>0</v>
      </c>
      <c r="EK140" s="32" t="n">
        <f aca="false">IF(NOT(Tasks[[#This Row],[_IsLeaf]]=1),0,IF(Tasks[[#This Row],[Actual Cost]]="",Tasks[[#This Row],[_LeafTotalCost]]*Tasks[[#This Row],[_LeafProgress]],N(Tasks[[#This Row],[Actual Cost]])))</f>
        <v>0</v>
      </c>
      <c r="EL140" s="32" t="str">
        <f aca="false">IF(Tasks[[#This Row],[Task Name]]="","",LEFT(Tasks[[#This Row],[WBS]],FIND(".",Tasks[[#This Row],[WBS]]&amp;".")-1))</f>
        <v/>
      </c>
      <c r="EM140" s="32" t="str">
        <f aca="false">IF(AND(Tasks[[#This Row],[Task Name]]&lt;&gt;"",Tasks[[#This Row],[_Level]]=1),Tasks[[#This Row],[_Row]],"")</f>
        <v/>
      </c>
      <c r="EN140" s="32" t="str">
        <f aca="false">IF(AND(Tasks[[#This Row],[_IsLeaf]]=1,N(Tasks[[#This Row],[Duration]])=0),Tasks[[#This Row],[Planned Finish]]+Tasks[[#This Row],[_Row]]/100000,"")</f>
        <v/>
      </c>
      <c r="EO140" s="32" t="str">
        <f aca="false">IF(AND(Tasks[[#This Row],[_IsLeaf]]=1,Tasks[[#This Row],[_LeafProgress]]&lt;1,OR(N(Tasks[[#This Row],[Finish Var]])&gt;0,Tasks[[#This Row],[Status]]="Late Start")),MAX(0,Tasks[[#This Row],[Finish Var]])+1-Tasks[[#This Row],[_Row]]/1000000,"")</f>
        <v/>
      </c>
      <c r="EP140" s="32" t="str">
        <f aca="false">IF(AND(Tasks[[#This Row],[_IsLeaf]]=1,N(Tasks[[#This Row],[Actual Start]])=0,Tasks[[#This Row],[_ShownFcstStart]]&gt;=StatusDate,Tasks[[#This Row],[_ShownFcstStart]]&lt;=LookaheadEnd),Tasks[[#This Row],[_ShownFcstStart]]+Tasks[[#This Row],[_Row]]/100000,"")</f>
        <v/>
      </c>
      <c r="EQ140" s="32" t="str">
        <f aca="false">IF(AND(Tasks[[#This Row],[_IsLeaf]]=1,Tasks[[#This Row],[_LeafProgress]]&lt;1,Tasks[[#This Row],[_ShownFcstFinish]]&gt;=StatusDate,Tasks[[#This Row],[_ShownFcstFinish]]&lt;=LookaheadEnd),Tasks[[#This Row],[_ShownFcstFinish]]+Tasks[[#This Row],[_Row]]/100000,"")</f>
        <v/>
      </c>
      <c r="ER140" s="32" t="str">
        <f aca="false">IF(Tasks[[#This Row],[_LeafCritical]],Tasks[[#This Row],[_ShownFcstStart]]+Tasks[[#This Row],[_Row]]/100000,"")</f>
        <v/>
      </c>
      <c r="ES140" s="32" t="n">
        <f aca="false">Tasks[[#This Row],[_LeafWork]]*Tasks[[#This Row],[_LeafProgress]]</f>
        <v>0</v>
      </c>
      <c r="ET140" s="115" t="str">
        <f aca="false">IF(AND(Tasks[[#This Row],[_IsLeaf]]=1,Tasks[[#This Row],[_LeafProgress]]&gt;=1),IF(N(Tasks[[#This Row],[Actual Finish]])&gt;0,Tasks[[#This Row],[Actual Finish]],Tasks[[#This Row],[_ShownFcstFinish]]),"")</f>
        <v/>
      </c>
      <c r="EU140" s="32" t="n">
        <f aca="false">IF(Tasks[[#This Row],[_IsLeaf]]=1,N(Tasks[[#This Row],[Story Points]]),0)</f>
        <v>0</v>
      </c>
      <c r="EV140" s="32" t="str">
        <f aca="false">IF(AND(Tasks[[#This Row],[_IsLeaf]]=1,CurrentSprint&lt;&gt;"",Tasks[[#This Row],[Sprint]]=CurrentSprint),Tasks[[#This Row],[_Row]],"")</f>
        <v/>
      </c>
    </row>
    <row r="141" customFormat="false" ht="15" hidden="false" customHeight="false" outlineLevel="0" collapsed="false">
      <c r="A141" s="45" t="str">
        <f aca="false">IF(Tasks[[#This Row],[Task Name]]="","",COUNTA(Tasks[[#Headers],[Task Name]]:Tasks[[#This Row],[Task Name]])-1)</f>
        <v/>
      </c>
      <c r="B141" s="46" t="n">
        <v>136</v>
      </c>
      <c r="C14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1" s="46"/>
      <c r="E141" s="45" t="str">
        <f aca="false">IF(Tasks[[#This Row],[Task Name]]="","",IF(Tasks[[#This Row],[_Level]]&lt;=OutlineShowLevel,"Yes","No"))</f>
        <v/>
      </c>
      <c r="F141" s="47"/>
      <c r="G141" s="46"/>
      <c r="H141" s="46"/>
      <c r="I141" s="46"/>
      <c r="J141" s="46"/>
      <c r="K141" s="46"/>
      <c r="L141" s="46"/>
      <c r="M141" s="46"/>
      <c r="N141" s="46"/>
      <c r="O141" s="46"/>
      <c r="P141" s="46"/>
      <c r="Q141" s="46"/>
      <c r="R141" s="46"/>
      <c r="S141" s="46"/>
      <c r="T141" s="46"/>
      <c r="U141" s="47"/>
      <c r="V141" s="88"/>
      <c r="W141" s="88"/>
      <c r="X141" s="25" t="str">
        <f aca="false">IF(Tasks[[#This Row],[Task Name]]="","",IF(N(Tasks[[#This Row],[Baseline Start]])&gt;0,Tasks[[#This Row],[Baseline Start]],Tasks[[#This Row],[_CalcStart]]))</f>
        <v/>
      </c>
      <c r="Y141" s="25" t="str">
        <f aca="false">IF(Tasks[[#This Row],[Task Name]]="","",IF(N(Tasks[[#This Row],[Baseline Finish]])&gt;0,Tasks[[#This Row],[Baseline Finish]],Tasks[[#This Row],[_CalcFinish]]))</f>
        <v/>
      </c>
      <c r="Z141" s="88"/>
      <c r="AA141" s="88"/>
      <c r="AB141" s="25" t="str">
        <f aca="false">IF(Tasks[[#This Row],[Task Name]]="","",IF(Tasks[[#This Row],[_IsSummary]],MIN(INDEX(Tasks[_ShownFcstStart],Tasks[[#This Row],[_Row]]+1):INDEX(Tasks[_ShownFcstStart],Tasks[[#This Row],[_Row]]+Tasks[[#This Row],[_Descendants]])),Tasks[[#This Row],[_ShownFcstStart]]))</f>
        <v/>
      </c>
      <c r="AC141" s="25" t="str">
        <f aca="false">IF(Tasks[[#This Row],[Task Name]]="","",IF(Tasks[[#This Row],[_IsSummary]],MAX(INDEX(Tasks[_ShownFcstFinish],Tasks[[#This Row],[_Row]]+1):INDEX(Tasks[_ShownFcstFinish],Tasks[[#This Row],[_Row]]+Tasks[[#This Row],[_Descendants]])),Tasks[[#This Row],[_ShownFcstFinish]]))</f>
        <v/>
      </c>
      <c r="AD14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1" s="25" t="str">
        <f aca="false">IF(Tasks[[#This Row],[Task Name]]="","",IF(Tasks[[#This Row],[_IsSummary]],MIN(INDEX(Tasks[_LeafLateStart],Tasks[[#This Row],[_Row]]+1):INDEX(Tasks[_LeafLateStart],Tasks[[#This Row],[_Row]]+Tasks[[#This Row],[_Descendants]])),Tasks[[#This Row],[_LeafLateStart]]))</f>
        <v/>
      </c>
      <c r="AG141" s="25" t="str">
        <f aca="false">IF(Tasks[[#This Row],[Task Name]]="","",IF(Tasks[[#This Row],[_IsSummary]],MAX(INDEX(Tasks[_LeafLateFinish],Tasks[[#This Row],[_Row]]+1):INDEX(Tasks[_LeafLateFinish],Tasks[[#This Row],[_Row]]+Tasks[[#This Row],[_Descendants]])),Tasks[[#This Row],[_LeafLateFinish]]))</f>
        <v/>
      </c>
      <c r="AH141" s="56" t="str">
        <f aca="false">IF(Tasks[[#This Row],[Task Name]]="","",IF(Tasks[[#This Row],[_IsSummary]],MIN(INDEX(Tasks[_LeafTotalSlack],Tasks[[#This Row],[_Row]]+1):INDEX(Tasks[_LeafTotalSlack],Tasks[[#This Row],[_Row]]+Tasks[[#This Row],[_Descendants]])),Tasks[[#This Row],[_LeafTotalSlack]]))</f>
        <v/>
      </c>
      <c r="AI14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1" s="45" t="str">
        <f aca="false">IF(Tasks[[#This Row],[Task Name]]="","",IF(IF(Tasks[[#This Row],[_IsSummary]],COUNTIF(INDEX(Tasks[_LeafCritical],Tasks[[#This Row],[_Row]]+1):INDEX(Tasks[_LeafCritical],Tasks[[#This Row],[_Row]]+Tasks[[#This Row],[_Descendants]]),TRUE())&gt;0,Tasks[[#This Row],[_LeafCritical]]),"Yes",""))</f>
        <v/>
      </c>
      <c r="AK14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1" s="102"/>
      <c r="AN14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1" s="45" t="str">
        <f aca="false">IF(Tasks[[#This Row],[Task Name]]="","",IF(Tasks[[#This Row],[Progress]]&gt;=1,"Complete",IF(OR(N(Tasks[[#This Row],[Actual Start]])&gt;0,Tasks[[#This Row],[Progress]]&gt;0),IF(Tasks[[#This Row],[Finish Var]]&gt;0,"Behind","In Progress"),IF(Tasks[[#This Row],[Planned Start]]&lt;StatusDate,"Late Start","Not Started"))))</f>
        <v/>
      </c>
      <c r="AP141" s="47"/>
      <c r="AQ141" s="102"/>
      <c r="AR14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1" s="110" t="str">
        <f aca="false">IF(Tasks[[#This Row],[Task Name]]="","",IF(Tasks[[#This Row],[_IsSummary]],SUM(INDEX(Tasks[_LeafTotalWork],Tasks[[#This Row],[_Row]]+1):INDEX(Tasks[_LeafTotalWork],Tasks[[#This Row],[_Row]]+Tasks[[#This Row],[_Descendants]])),Tasks[[#This Row],[_LeafTotalWork]]))</f>
        <v/>
      </c>
      <c r="AU141" s="111" t="str">
        <f aca="false">IF(Tasks[[#This Row],[Task Name]]="","",IF(Tasks[[#This Row],[_IsSummary]],SUM(INDEX(Tasks[_LeafTotalCost],Tasks[[#This Row],[_Row]]+1):INDEX(Tasks[_LeafTotalCost],Tasks[[#This Row],[_Row]]+Tasks[[#This Row],[_Descendants]])),Tasks[[#This Row],[_LeafTotalCost]]))</f>
        <v/>
      </c>
      <c r="AV141" s="112"/>
      <c r="AW141" s="46"/>
      <c r="AX14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1" s="96"/>
      <c r="AZ14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1" s="47"/>
      <c r="BB141" s="25" t="str">
        <f aca="false">IF(Tasks[[#This Row],[Task Name]]="","",Tasks[[#This Row],[Forecast Start]])</f>
        <v/>
      </c>
      <c r="BC141" s="25" t="str">
        <f aca="false">IF(Tasks[[#This Row],[Task Name]]="","",Tasks[[#This Row],[Forecast Finish]])</f>
        <v/>
      </c>
      <c r="BD141" s="45" t="str">
        <f aca="false">IF(Tasks[[#This Row],[Task Name]]="","",IF(Tasks[[#This Row],[_IsSummary]],NETWORKDAYS.INTL(Tasks[[#This Row],[Forecast Start]],Tasks[[#This Row],[Forecast Finish]],WorkWeek,Holidays),N(Tasks[[#This Row],[Duration]])))</f>
        <v/>
      </c>
      <c r="BE141" s="110" t="str">
        <f aca="false">IF(Tasks[[#This Row],[Task Name]]="","",Tasks[[#This Row],[Work]])</f>
        <v/>
      </c>
      <c r="BF141" s="111" t="str">
        <f aca="false">IF(Tasks[[#This Row],[Task Name]]="","",Tasks[[#This Row],[Cost]])</f>
        <v/>
      </c>
      <c r="BG141" s="88"/>
      <c r="BH141" s="88"/>
      <c r="BI141" s="46"/>
      <c r="BJ141" s="113"/>
      <c r="BK141" s="112"/>
      <c r="BL141" s="45" t="str">
        <f aca="false">IF(OR(Tasks[[#This Row],[Task Name]]="",Tasks[[#This Row],[Baseline Duration]]=""),"",Tasks[[#This Row],[BL Source Duration]]-N(Tasks[[#This Row],[Baseline Duration]]))</f>
        <v/>
      </c>
      <c r="BM141" s="110" t="str">
        <f aca="false">IF(OR(Tasks[[#This Row],[Task Name]]="",Tasks[[#This Row],[Baseline Work]]=""),"",Tasks[[#This Row],[Work]]-N(Tasks[[#This Row],[Baseline Work]]))</f>
        <v/>
      </c>
      <c r="BN141" s="111" t="str">
        <f aca="false">IF(OR(Tasks[[#This Row],[Task Name]]="",Tasks[[#This Row],[Baseline Cost]]=""),"",Tasks[[#This Row],[Cost]]-N(Tasks[[#This Row],[Baseline Cost]]))</f>
        <v/>
      </c>
      <c r="BO141" s="111" t="str">
        <f aca="false">IF(Tasks[[#This Row],[Task Name]]="","",IF(Tasks[[#This Row],[_IsSummary]],SUM(INDEX(Tasks[_LeafBudget],Tasks[[#This Row],[_Row]]+1):INDEX(Tasks[_LeafBudget],Tasks[[#This Row],[_Row]]+Tasks[[#This Row],[_Descendants]])),Tasks[[#This Row],[_LeafBudget]]))</f>
        <v/>
      </c>
      <c r="BP141" s="111" t="str">
        <f aca="false">IF(Tasks[[#This Row],[Task Name]]="","",IF(Tasks[[#This Row],[_IsSummary]],SUM(INDEX(Tasks[_LeafPV],Tasks[[#This Row],[_Row]]+1):INDEX(Tasks[_LeafPV],Tasks[[#This Row],[_Row]]+Tasks[[#This Row],[_Descendants]])),Tasks[[#This Row],[_LeafPV]]))</f>
        <v/>
      </c>
      <c r="BQ141" s="111" t="str">
        <f aca="false">IF(Tasks[[#This Row],[Task Name]]="","",IF(Tasks[[#This Row],[_IsSummary]],SUM(INDEX(Tasks[_LeafEV],Tasks[[#This Row],[_Row]]+1):INDEX(Tasks[_LeafEV],Tasks[[#This Row],[_Row]]+Tasks[[#This Row],[_Descendants]])),Tasks[[#This Row],[_LeafEV]]))</f>
        <v/>
      </c>
      <c r="BR141" s="111" t="str">
        <f aca="false">IF(Tasks[[#This Row],[Task Name]]="","",IF(Tasks[[#This Row],[_IsSummary]],SUM(INDEX(Tasks[_LeafAC],Tasks[[#This Row],[_Row]]+1):INDEX(Tasks[_LeafAC],Tasks[[#This Row],[_Row]]+Tasks[[#This Row],[_Descendants]])),Tasks[[#This Row],[_LeafAC]]))</f>
        <v/>
      </c>
      <c r="BS141" s="32" t="str">
        <f aca="false">IF(Tasks[[#This Row],[Task Name]]="","",MAX(1,N(Tasks[[#This Row],[Level]])))</f>
        <v/>
      </c>
      <c r="BT141" s="32" t="n">
        <f aca="false">ROW()-ROW(Tasks[[#Headers],[ID]])</f>
        <v>136</v>
      </c>
      <c r="BU141" s="32" t="n">
        <f aca="false">IF(OR(Tasks[[#This Row],[Task Name]]="",Tasks[[#This Row],[_Level]]&lt;=1),0,IFERROR(LOOKUP(2,1/(Tasks[[#Headers],[_Level]]:Tasks[[#This Row],[_Level]]=Tasks[[#This Row],[_Level]]-1),ROW(Tasks[[#Headers],[_Level]]:Tasks[[#This Row],[_Level]])),0))</f>
        <v>0</v>
      </c>
      <c r="BV141" s="32" t="n">
        <f aca="false">IFERROR(N(INDEX(Tasks[_Level],Tasks[[#This Row],[_Row]]+1)),0)</f>
        <v>0</v>
      </c>
      <c r="BW141" s="114" t="b">
        <f aca="false">AND(Tasks[[#This Row],[Task Name]]&lt;&gt;"",Tasks[[#This Row],[_NextLevel]]&gt;Tasks[[#This Row],[_Level]])</f>
        <v>0</v>
      </c>
      <c r="BX141" s="32" t="n">
        <f aca="false">IF(Tasks[[#This Row],[_IsSummary]],COUNTIF(Tasks[WBS],Tasks[[#This Row],[WBS]]&amp;".*"),0)</f>
        <v>0</v>
      </c>
      <c r="BY141" s="32" t="n">
        <f aca="false">IF(AND(Tasks[[#This Row],[Task Name]]&lt;&gt;"",NOT(Tasks[[#This Row],[_IsSummary]])),1,0)</f>
        <v>0</v>
      </c>
      <c r="BZ141" s="32" t="n">
        <f aca="false">IF(N(Tasks[[#This Row],[Pred1 UID]])=0,0,IFERROR(MATCH(Tasks[[#This Row],[Pred1 UID]],Tasks[UID],0),-1))</f>
        <v>0</v>
      </c>
      <c r="CA141" s="32" t="n">
        <f aca="false">IF(N(Tasks[[#This Row],[Pred2 UID]])=0,0,IFERROR(MATCH(Tasks[[#This Row],[Pred2 UID]],Tasks[UID],0),-1))</f>
        <v>0</v>
      </c>
      <c r="CB141" s="32" t="n">
        <f aca="false">IF(N(Tasks[[#This Row],[Pred3 UID]])=0,0,IFERROR(MATCH(Tasks[[#This Row],[Pred3 UID]],Tasks[UID],0),-1))</f>
        <v>0</v>
      </c>
      <c r="CC141" s="32" t="n">
        <f aca="false">IF(N(Tasks[[#This Row],[Pred4 UID]])=0,0,IFERROR(MATCH(Tasks[[#This Row],[Pred4 UID]],Tasks[UID],0),-1))</f>
        <v>0</v>
      </c>
      <c r="CD14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1" s="115" t="n">
        <f aca="false">IF(OR(Tasks[[#This Row],[_ConstraintCode]]=2,Tasks[[#This Row],[_ConstraintCode]]=3,Tasks[[#This Row],[_ConstraintCode]]=4,Tasks[[#This Row],[_ConstraintCode]]=6),Tasks[[#This Row],[_ConstraintStart]],0)</f>
        <v>0</v>
      </c>
      <c r="CG141" s="115" t="n">
        <f aca="false">IF(OR(Tasks[[#This Row],[_ConstraintCode]]=2,Tasks[[#This Row],[_ConstraintCode]]=3,Tasks[[#This Row],[_ConstraintCode]]=5,Tasks[[#This Row],[_ConstraintCode]]=7),Tasks[[#This Row],[_ConstraintStart]],2958465)</f>
        <v>2958465</v>
      </c>
      <c r="CH14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1" s="115" t="str">
        <f aca="false">IF(NOT(Tasks[[#This Row],[_IsLeaf]]=1),"",IF(N(Tasks[[#This Row],[Duration]])&lt;=0,Tasks[[#This Row],[_LeafCalcStart]],WORKDAY.INTL(Tasks[[#This Row],[_LeafCalcStart]],Tasks[[#This Row],[Duration]]-1,WorkWeek,Holidays)))</f>
        <v/>
      </c>
      <c r="CJ14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1" s="32" t="n">
        <f aca="false">IF(NOT(Tasks[[#This Row],[_IsLeaf]]=1),0,IF(N(Tasks[[#This Row],[Actual Finish]])&gt;0,1,MIN(1,N(Tasks[[#This Row],[% Complete]]))))</f>
        <v>0</v>
      </c>
      <c r="CM141" s="32" t="n">
        <f aca="false">IF(OR(NOT(Tasks[[#This Row],[_IsLeaf]]=1),Tasks[[#This Row],[Resource]]=""),0,N(Tasks[[#This Row],[Duration]])*HoursPerDay*IF(Tasks[[#This Row],[Units]]="",DefaultUnits,Tasks[[#This Row],[Units]]))</f>
        <v>0</v>
      </c>
      <c r="CN141" s="32" t="n">
        <f aca="false">IF(Tasks[[#This Row],[_LeafWork]]=0,0,Tasks[[#This Row],[_LeafWork]]*IFERROR(INDEX(res_Rate,MATCH(Tasks[[#This Row],[Resource]],res_Name,0)),0))</f>
        <v>0</v>
      </c>
      <c r="CO141" s="32" t="n">
        <f aca="false">Tasks[[#This Row],[_LeafWork]]+IF(Tasks[[#This Row],[_IsLeaf]]=1,SUMIFS(asg_Work,asg_TaskUID,Tasks[[#This Row],[UID]],asg_Valid,1),0)</f>
        <v>0</v>
      </c>
      <c r="CP141" s="32" t="n">
        <f aca="false">Tasks[[#This Row],[_LeafCost]]+IF(Tasks[[#This Row],[_IsLeaf]]=1,SUMIFS(asg_Cost,asg_TaskUID,Tasks[[#This Row],[UID]],asg_Valid,1),0)</f>
        <v>0</v>
      </c>
      <c r="CQ141" s="32" t="n">
        <f aca="false">IF(Tasks[[#This Row],[_LeafTotalCost]]=0,Tasks[[#This Row],[_LeafAC]],Tasks[[#This Row],[_LeafAC]]*Tasks[[#This Row],[_LeafCost]]/Tasks[[#This Row],[_LeafTotalCost]])</f>
        <v>0</v>
      </c>
      <c r="CR14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1" s="32" t="n">
        <f aca="false">IF(NOT(Tasks[[#This Row],[_IsLeaf]]=1),0,MAX(_xlfn.MAXIFS(Tasks[_Row],Tasks[Pred1 UID],Tasks[[#This Row],[UID]]),_xlfn.MAXIFS(Tasks[_Row],Tasks[Pred2 UID],Tasks[[#This Row],[UID]]),_xlfn.MAXIFS(Tasks[_Row],Tasks[Pred3 UID],Tasks[[#This Row],[UID]]),_xlfn.MAXIFS(Tasks[_Row],Tasks[Pred4 UID],Tasks[[#This Row],[UID]])))</f>
        <v>0</v>
      </c>
      <c r="DA14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1" s="115" t="str">
        <f aca="false">IF(NOT(Tasks[[#This Row],[_IsLeaf]]=1),"",IF(N(Tasks[[#This Row],[Duration]])&lt;=0,Tasks[[#This Row],[_LeafLateFinish]],WORKDAY.INTL(Tasks[[#This Row],[_LeafLateFinish]],-(Tasks[[#This Row],[Duration]]-1),WorkWeek,Holidays)))</f>
        <v/>
      </c>
      <c r="DD14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1" s="114" t="b">
        <f aca="false">AND(Tasks[[#This Row],[_IsLeaf]]=1,Tasks[[#This Row],[_LeafProgress]]&lt;1,N(Tasks[[#This Row],[_LeafTotalSlack]])&lt;=CriticalSlackDays)</f>
        <v>0</v>
      </c>
      <c r="DF141" s="32" t="n">
        <f aca="false">IF(AND(Tasks[[#This Row],[_IsLeaf]]=1,Tasks[[#This Row],[_ConstraintCode]]=1,Tasks[[#This Row],[Mode]]&lt;&gt;"Manual",N(Tasks[[#This Row],[Actual Start]])=0),MAX(0,N(Tasks[[#This Row],[Free Slack]])),0)</f>
        <v>0</v>
      </c>
      <c r="DG141" s="115" t="str">
        <f aca="false">IF(NOT(Tasks[[#This Row],[_IsLeaf]]=1),"",IF(Tasks[[#This Row],[_AlapShift]]=0,Tasks[[#This Row],[_LeafCalcStart]],WORKDAY.INTL(Tasks[[#This Row],[_LeafCalcStart]],Tasks[[#This Row],[_AlapShift]],WorkWeek,Holidays)))</f>
        <v/>
      </c>
      <c r="DH141" s="115" t="str">
        <f aca="false">IF(NOT(Tasks[[#This Row],[_IsLeaf]]=1),"",IF(Tasks[[#This Row],[_AlapShift]]=0,Tasks[[#This Row],[_LeafCalcFinish]],WORKDAY.INTL(Tasks[[#This Row],[_LeafCalcFinish]],Tasks[[#This Row],[_AlapShift]],WorkWeek,Holidays)))</f>
        <v/>
      </c>
      <c r="DI141" s="115" t="str">
        <f aca="false">IF(NOT(Tasks[[#This Row],[_IsLeaf]]=1),"",IF(Tasks[[#This Row],[_AlapShift]]=0,Tasks[[#This Row],[_LeafFcstStart]],WORKDAY.INTL(Tasks[[#This Row],[_LeafFcstStart]],Tasks[[#This Row],[_AlapShift]],WorkWeek,Holidays)))</f>
        <v/>
      </c>
      <c r="DJ141" s="115" t="str">
        <f aca="false">IF(NOT(Tasks[[#This Row],[_IsLeaf]]=1),"",IF(Tasks[[#This Row],[_AlapShift]]=0,Tasks[[#This Row],[_LeafFcstFinish]],WORKDAY.INTL(Tasks[[#This Row],[_LeafFcstFinish]],Tasks[[#This Row],[_AlapShift]],WorkWeek,Holidays)))</f>
        <v/>
      </c>
      <c r="DK141" s="115" t="str">
        <f aca="false">IF(Tasks[[#This Row],[Task Name]]="","",IF(Tasks[[#This Row],[_IsSummary]],MIN(INDEX(Tasks[_ShownCalcStart],Tasks[[#This Row],[_Row]]+1):INDEX(Tasks[_ShownCalcStart],Tasks[[#This Row],[_Row]]+Tasks[[#This Row],[_Descendants]])),Tasks[[#This Row],[_ShownCalcStart]]))</f>
        <v/>
      </c>
      <c r="DL141" s="115" t="str">
        <f aca="false">IF(Tasks[[#This Row],[Task Name]]="","",IF(Tasks[[#This Row],[_IsSummary]],MAX(INDEX(Tasks[_ShownCalcFinish],Tasks[[#This Row],[_Row]]+1):INDEX(Tasks[_ShownCalcFinish],Tasks[[#This Row],[_Row]]+Tasks[[#This Row],[_Descendants]])),Tasks[[#This Row],[_ShownCalcFinish]]))</f>
        <v/>
      </c>
      <c r="DM14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1" s="32" t="n">
        <f aca="false">IF(AND(Tasks[[#This Row],[_IsLeaf]]=1,Tasks[[#This Row],[_LeafTotalWork]]&gt;0),NETWORKDAYS.INTL(ProjectStart,Tasks[[#This Row],[_ShownFcstStart]],WorkWeek,Holidays),0)</f>
        <v>0</v>
      </c>
      <c r="DZ141" s="32" t="n">
        <f aca="false">IF(AND(Tasks[[#This Row],[_IsLeaf]]=1,Tasks[[#This Row],[_LeafTotalWork]]&gt;0),MAX(Tasks[[#This Row],[_StartWorkday]],NETWORKDAYS.INTL(ProjectStart,Tasks[[#This Row],[_ShownFcstFinish]],WorkWeek,Holidays)),0)</f>
        <v>0</v>
      </c>
      <c r="EA141" s="32" t="n">
        <f aca="false">IF(AND(Tasks[[#This Row],[_IsLeaf]]=1,Tasks[[#This Row],[_LeafTotalWork]]&gt;0),Tasks[[#This Row],[_LeafWork]]/(Tasks[[#This Row],[_FinishWorkday]]-Tasks[[#This Row],[_StartWorkday]]+1),0)</f>
        <v>0</v>
      </c>
      <c r="EB141" s="32" t="n">
        <f aca="false">Tasks[[#This Row],[_WorkPerWorkday]]*(Tasks[[#This Row],[_StartWorkday]]-1)</f>
        <v>-0</v>
      </c>
      <c r="EC141" s="32" t="n">
        <f aca="false">IF(Tasks[[#This Row],[_IsLeaf]]=1,MAX(N(Tasks[[#This Row],[Duration]]),0.1),0)</f>
        <v>0</v>
      </c>
      <c r="ED141" s="32" t="n">
        <f aca="false">Tasks[[#This Row],[_WeightDur]]*Tasks[[#This Row],[_LeafProgress]]</f>
        <v>0</v>
      </c>
      <c r="EE14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1" s="32" t="str">
        <f aca="false">IF(AND(Tasks[[#This Row],[_IsLeaf]]=1,N(Tasks[[#This Row],[Duration]])=0,Tasks[[#This Row],[_LeafProgress]]&lt;1),Tasks[[#This Row],[_ShownFcstFinish]]+Tasks[[#This Row],[_Row]]/100000,"")</f>
        <v/>
      </c>
      <c r="EG14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1" s="32" t="n">
        <f aca="false">IF(NOT(Tasks[[#This Row],[_IsLeaf]]=1),0,IF(Tasks[[#This Row],[Baseline Cost]]="",Tasks[[#This Row],[_LeafTotalCost]],N(Tasks[[#This Row],[Baseline Cost]])))</f>
        <v>0</v>
      </c>
      <c r="EI141" s="32" t="n">
        <f aca="false">Tasks[[#This Row],[_LeafBudget]]*Tasks[[#This Row],[_PlannedPct]]</f>
        <v>0</v>
      </c>
      <c r="EJ141" s="32" t="n">
        <f aca="false">Tasks[[#This Row],[_LeafBudget]]*Tasks[[#This Row],[_LeafProgress]]</f>
        <v>0</v>
      </c>
      <c r="EK141" s="32" t="n">
        <f aca="false">IF(NOT(Tasks[[#This Row],[_IsLeaf]]=1),0,IF(Tasks[[#This Row],[Actual Cost]]="",Tasks[[#This Row],[_LeafTotalCost]]*Tasks[[#This Row],[_LeafProgress]],N(Tasks[[#This Row],[Actual Cost]])))</f>
        <v>0</v>
      </c>
      <c r="EL141" s="32" t="str">
        <f aca="false">IF(Tasks[[#This Row],[Task Name]]="","",LEFT(Tasks[[#This Row],[WBS]],FIND(".",Tasks[[#This Row],[WBS]]&amp;".")-1))</f>
        <v/>
      </c>
      <c r="EM141" s="32" t="str">
        <f aca="false">IF(AND(Tasks[[#This Row],[Task Name]]&lt;&gt;"",Tasks[[#This Row],[_Level]]=1),Tasks[[#This Row],[_Row]],"")</f>
        <v/>
      </c>
      <c r="EN141" s="32" t="str">
        <f aca="false">IF(AND(Tasks[[#This Row],[_IsLeaf]]=1,N(Tasks[[#This Row],[Duration]])=0),Tasks[[#This Row],[Planned Finish]]+Tasks[[#This Row],[_Row]]/100000,"")</f>
        <v/>
      </c>
      <c r="EO141" s="32" t="str">
        <f aca="false">IF(AND(Tasks[[#This Row],[_IsLeaf]]=1,Tasks[[#This Row],[_LeafProgress]]&lt;1,OR(N(Tasks[[#This Row],[Finish Var]])&gt;0,Tasks[[#This Row],[Status]]="Late Start")),MAX(0,Tasks[[#This Row],[Finish Var]])+1-Tasks[[#This Row],[_Row]]/1000000,"")</f>
        <v/>
      </c>
      <c r="EP141" s="32" t="str">
        <f aca="false">IF(AND(Tasks[[#This Row],[_IsLeaf]]=1,N(Tasks[[#This Row],[Actual Start]])=0,Tasks[[#This Row],[_ShownFcstStart]]&gt;=StatusDate,Tasks[[#This Row],[_ShownFcstStart]]&lt;=LookaheadEnd),Tasks[[#This Row],[_ShownFcstStart]]+Tasks[[#This Row],[_Row]]/100000,"")</f>
        <v/>
      </c>
      <c r="EQ141" s="32" t="str">
        <f aca="false">IF(AND(Tasks[[#This Row],[_IsLeaf]]=1,Tasks[[#This Row],[_LeafProgress]]&lt;1,Tasks[[#This Row],[_ShownFcstFinish]]&gt;=StatusDate,Tasks[[#This Row],[_ShownFcstFinish]]&lt;=LookaheadEnd),Tasks[[#This Row],[_ShownFcstFinish]]+Tasks[[#This Row],[_Row]]/100000,"")</f>
        <v/>
      </c>
      <c r="ER141" s="32" t="str">
        <f aca="false">IF(Tasks[[#This Row],[_LeafCritical]],Tasks[[#This Row],[_ShownFcstStart]]+Tasks[[#This Row],[_Row]]/100000,"")</f>
        <v/>
      </c>
      <c r="ES141" s="32" t="n">
        <f aca="false">Tasks[[#This Row],[_LeafWork]]*Tasks[[#This Row],[_LeafProgress]]</f>
        <v>0</v>
      </c>
      <c r="ET141" s="115" t="str">
        <f aca="false">IF(AND(Tasks[[#This Row],[_IsLeaf]]=1,Tasks[[#This Row],[_LeafProgress]]&gt;=1),IF(N(Tasks[[#This Row],[Actual Finish]])&gt;0,Tasks[[#This Row],[Actual Finish]],Tasks[[#This Row],[_ShownFcstFinish]]),"")</f>
        <v/>
      </c>
      <c r="EU141" s="32" t="n">
        <f aca="false">IF(Tasks[[#This Row],[_IsLeaf]]=1,N(Tasks[[#This Row],[Story Points]]),0)</f>
        <v>0</v>
      </c>
      <c r="EV141" s="32" t="str">
        <f aca="false">IF(AND(Tasks[[#This Row],[_IsLeaf]]=1,CurrentSprint&lt;&gt;"",Tasks[[#This Row],[Sprint]]=CurrentSprint),Tasks[[#This Row],[_Row]],"")</f>
        <v/>
      </c>
    </row>
    <row r="142" customFormat="false" ht="15" hidden="false" customHeight="false" outlineLevel="0" collapsed="false">
      <c r="A142" s="45" t="str">
        <f aca="false">IF(Tasks[[#This Row],[Task Name]]="","",COUNTA(Tasks[[#Headers],[Task Name]]:Tasks[[#This Row],[Task Name]])-1)</f>
        <v/>
      </c>
      <c r="B142" s="46" t="n">
        <v>137</v>
      </c>
      <c r="C14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2" s="46"/>
      <c r="E142" s="45" t="str">
        <f aca="false">IF(Tasks[[#This Row],[Task Name]]="","",IF(Tasks[[#This Row],[_Level]]&lt;=OutlineShowLevel,"Yes","No"))</f>
        <v/>
      </c>
      <c r="F142" s="47"/>
      <c r="G142" s="46"/>
      <c r="H142" s="46"/>
      <c r="I142" s="46"/>
      <c r="J142" s="46"/>
      <c r="K142" s="46"/>
      <c r="L142" s="46"/>
      <c r="M142" s="46"/>
      <c r="N142" s="46"/>
      <c r="O142" s="46"/>
      <c r="P142" s="46"/>
      <c r="Q142" s="46"/>
      <c r="R142" s="46"/>
      <c r="S142" s="46"/>
      <c r="T142" s="46"/>
      <c r="U142" s="47"/>
      <c r="V142" s="88"/>
      <c r="W142" s="88"/>
      <c r="X142" s="25" t="str">
        <f aca="false">IF(Tasks[[#This Row],[Task Name]]="","",IF(N(Tasks[[#This Row],[Baseline Start]])&gt;0,Tasks[[#This Row],[Baseline Start]],Tasks[[#This Row],[_CalcStart]]))</f>
        <v/>
      </c>
      <c r="Y142" s="25" t="str">
        <f aca="false">IF(Tasks[[#This Row],[Task Name]]="","",IF(N(Tasks[[#This Row],[Baseline Finish]])&gt;0,Tasks[[#This Row],[Baseline Finish]],Tasks[[#This Row],[_CalcFinish]]))</f>
        <v/>
      </c>
      <c r="Z142" s="88"/>
      <c r="AA142" s="88"/>
      <c r="AB142" s="25" t="str">
        <f aca="false">IF(Tasks[[#This Row],[Task Name]]="","",IF(Tasks[[#This Row],[_IsSummary]],MIN(INDEX(Tasks[_ShownFcstStart],Tasks[[#This Row],[_Row]]+1):INDEX(Tasks[_ShownFcstStart],Tasks[[#This Row],[_Row]]+Tasks[[#This Row],[_Descendants]])),Tasks[[#This Row],[_ShownFcstStart]]))</f>
        <v/>
      </c>
      <c r="AC142" s="25" t="str">
        <f aca="false">IF(Tasks[[#This Row],[Task Name]]="","",IF(Tasks[[#This Row],[_IsSummary]],MAX(INDEX(Tasks[_ShownFcstFinish],Tasks[[#This Row],[_Row]]+1):INDEX(Tasks[_ShownFcstFinish],Tasks[[#This Row],[_Row]]+Tasks[[#This Row],[_Descendants]])),Tasks[[#This Row],[_ShownFcstFinish]]))</f>
        <v/>
      </c>
      <c r="AD14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2" s="25" t="str">
        <f aca="false">IF(Tasks[[#This Row],[Task Name]]="","",IF(Tasks[[#This Row],[_IsSummary]],MIN(INDEX(Tasks[_LeafLateStart],Tasks[[#This Row],[_Row]]+1):INDEX(Tasks[_LeafLateStart],Tasks[[#This Row],[_Row]]+Tasks[[#This Row],[_Descendants]])),Tasks[[#This Row],[_LeafLateStart]]))</f>
        <v/>
      </c>
      <c r="AG142" s="25" t="str">
        <f aca="false">IF(Tasks[[#This Row],[Task Name]]="","",IF(Tasks[[#This Row],[_IsSummary]],MAX(INDEX(Tasks[_LeafLateFinish],Tasks[[#This Row],[_Row]]+1):INDEX(Tasks[_LeafLateFinish],Tasks[[#This Row],[_Row]]+Tasks[[#This Row],[_Descendants]])),Tasks[[#This Row],[_LeafLateFinish]]))</f>
        <v/>
      </c>
      <c r="AH142" s="56" t="str">
        <f aca="false">IF(Tasks[[#This Row],[Task Name]]="","",IF(Tasks[[#This Row],[_IsSummary]],MIN(INDEX(Tasks[_LeafTotalSlack],Tasks[[#This Row],[_Row]]+1):INDEX(Tasks[_LeafTotalSlack],Tasks[[#This Row],[_Row]]+Tasks[[#This Row],[_Descendants]])),Tasks[[#This Row],[_LeafTotalSlack]]))</f>
        <v/>
      </c>
      <c r="AI14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2" s="45" t="str">
        <f aca="false">IF(Tasks[[#This Row],[Task Name]]="","",IF(IF(Tasks[[#This Row],[_IsSummary]],COUNTIF(INDEX(Tasks[_LeafCritical],Tasks[[#This Row],[_Row]]+1):INDEX(Tasks[_LeafCritical],Tasks[[#This Row],[_Row]]+Tasks[[#This Row],[_Descendants]]),TRUE())&gt;0,Tasks[[#This Row],[_LeafCritical]]),"Yes",""))</f>
        <v/>
      </c>
      <c r="AK14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2" s="102"/>
      <c r="AN14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2" s="45" t="str">
        <f aca="false">IF(Tasks[[#This Row],[Task Name]]="","",IF(Tasks[[#This Row],[Progress]]&gt;=1,"Complete",IF(OR(N(Tasks[[#This Row],[Actual Start]])&gt;0,Tasks[[#This Row],[Progress]]&gt;0),IF(Tasks[[#This Row],[Finish Var]]&gt;0,"Behind","In Progress"),IF(Tasks[[#This Row],[Planned Start]]&lt;StatusDate,"Late Start","Not Started"))))</f>
        <v/>
      </c>
      <c r="AP142" s="47"/>
      <c r="AQ142" s="102"/>
      <c r="AR14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2" s="110" t="str">
        <f aca="false">IF(Tasks[[#This Row],[Task Name]]="","",IF(Tasks[[#This Row],[_IsSummary]],SUM(INDEX(Tasks[_LeafTotalWork],Tasks[[#This Row],[_Row]]+1):INDEX(Tasks[_LeafTotalWork],Tasks[[#This Row],[_Row]]+Tasks[[#This Row],[_Descendants]])),Tasks[[#This Row],[_LeafTotalWork]]))</f>
        <v/>
      </c>
      <c r="AU142" s="111" t="str">
        <f aca="false">IF(Tasks[[#This Row],[Task Name]]="","",IF(Tasks[[#This Row],[_IsSummary]],SUM(INDEX(Tasks[_LeafTotalCost],Tasks[[#This Row],[_Row]]+1):INDEX(Tasks[_LeafTotalCost],Tasks[[#This Row],[_Row]]+Tasks[[#This Row],[_Descendants]])),Tasks[[#This Row],[_LeafTotalCost]]))</f>
        <v/>
      </c>
      <c r="AV142" s="112"/>
      <c r="AW142" s="46"/>
      <c r="AX14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2" s="96"/>
      <c r="AZ14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2" s="47"/>
      <c r="BB142" s="25" t="str">
        <f aca="false">IF(Tasks[[#This Row],[Task Name]]="","",Tasks[[#This Row],[Forecast Start]])</f>
        <v/>
      </c>
      <c r="BC142" s="25" t="str">
        <f aca="false">IF(Tasks[[#This Row],[Task Name]]="","",Tasks[[#This Row],[Forecast Finish]])</f>
        <v/>
      </c>
      <c r="BD142" s="45" t="str">
        <f aca="false">IF(Tasks[[#This Row],[Task Name]]="","",IF(Tasks[[#This Row],[_IsSummary]],NETWORKDAYS.INTL(Tasks[[#This Row],[Forecast Start]],Tasks[[#This Row],[Forecast Finish]],WorkWeek,Holidays),N(Tasks[[#This Row],[Duration]])))</f>
        <v/>
      </c>
      <c r="BE142" s="110" t="str">
        <f aca="false">IF(Tasks[[#This Row],[Task Name]]="","",Tasks[[#This Row],[Work]])</f>
        <v/>
      </c>
      <c r="BF142" s="111" t="str">
        <f aca="false">IF(Tasks[[#This Row],[Task Name]]="","",Tasks[[#This Row],[Cost]])</f>
        <v/>
      </c>
      <c r="BG142" s="88"/>
      <c r="BH142" s="88"/>
      <c r="BI142" s="46"/>
      <c r="BJ142" s="113"/>
      <c r="BK142" s="112"/>
      <c r="BL142" s="45" t="str">
        <f aca="false">IF(OR(Tasks[[#This Row],[Task Name]]="",Tasks[[#This Row],[Baseline Duration]]=""),"",Tasks[[#This Row],[BL Source Duration]]-N(Tasks[[#This Row],[Baseline Duration]]))</f>
        <v/>
      </c>
      <c r="BM142" s="110" t="str">
        <f aca="false">IF(OR(Tasks[[#This Row],[Task Name]]="",Tasks[[#This Row],[Baseline Work]]=""),"",Tasks[[#This Row],[Work]]-N(Tasks[[#This Row],[Baseline Work]]))</f>
        <v/>
      </c>
      <c r="BN142" s="111" t="str">
        <f aca="false">IF(OR(Tasks[[#This Row],[Task Name]]="",Tasks[[#This Row],[Baseline Cost]]=""),"",Tasks[[#This Row],[Cost]]-N(Tasks[[#This Row],[Baseline Cost]]))</f>
        <v/>
      </c>
      <c r="BO142" s="111" t="str">
        <f aca="false">IF(Tasks[[#This Row],[Task Name]]="","",IF(Tasks[[#This Row],[_IsSummary]],SUM(INDEX(Tasks[_LeafBudget],Tasks[[#This Row],[_Row]]+1):INDEX(Tasks[_LeafBudget],Tasks[[#This Row],[_Row]]+Tasks[[#This Row],[_Descendants]])),Tasks[[#This Row],[_LeafBudget]]))</f>
        <v/>
      </c>
      <c r="BP142" s="111" t="str">
        <f aca="false">IF(Tasks[[#This Row],[Task Name]]="","",IF(Tasks[[#This Row],[_IsSummary]],SUM(INDEX(Tasks[_LeafPV],Tasks[[#This Row],[_Row]]+1):INDEX(Tasks[_LeafPV],Tasks[[#This Row],[_Row]]+Tasks[[#This Row],[_Descendants]])),Tasks[[#This Row],[_LeafPV]]))</f>
        <v/>
      </c>
      <c r="BQ142" s="111" t="str">
        <f aca="false">IF(Tasks[[#This Row],[Task Name]]="","",IF(Tasks[[#This Row],[_IsSummary]],SUM(INDEX(Tasks[_LeafEV],Tasks[[#This Row],[_Row]]+1):INDEX(Tasks[_LeafEV],Tasks[[#This Row],[_Row]]+Tasks[[#This Row],[_Descendants]])),Tasks[[#This Row],[_LeafEV]]))</f>
        <v/>
      </c>
      <c r="BR142" s="111" t="str">
        <f aca="false">IF(Tasks[[#This Row],[Task Name]]="","",IF(Tasks[[#This Row],[_IsSummary]],SUM(INDEX(Tasks[_LeafAC],Tasks[[#This Row],[_Row]]+1):INDEX(Tasks[_LeafAC],Tasks[[#This Row],[_Row]]+Tasks[[#This Row],[_Descendants]])),Tasks[[#This Row],[_LeafAC]]))</f>
        <v/>
      </c>
      <c r="BS142" s="32" t="str">
        <f aca="false">IF(Tasks[[#This Row],[Task Name]]="","",MAX(1,N(Tasks[[#This Row],[Level]])))</f>
        <v/>
      </c>
      <c r="BT142" s="32" t="n">
        <f aca="false">ROW()-ROW(Tasks[[#Headers],[ID]])</f>
        <v>137</v>
      </c>
      <c r="BU142" s="32" t="n">
        <f aca="false">IF(OR(Tasks[[#This Row],[Task Name]]="",Tasks[[#This Row],[_Level]]&lt;=1),0,IFERROR(LOOKUP(2,1/(Tasks[[#Headers],[_Level]]:Tasks[[#This Row],[_Level]]=Tasks[[#This Row],[_Level]]-1),ROW(Tasks[[#Headers],[_Level]]:Tasks[[#This Row],[_Level]])),0))</f>
        <v>0</v>
      </c>
      <c r="BV142" s="32" t="n">
        <f aca="false">IFERROR(N(INDEX(Tasks[_Level],Tasks[[#This Row],[_Row]]+1)),0)</f>
        <v>0</v>
      </c>
      <c r="BW142" s="114" t="b">
        <f aca="false">AND(Tasks[[#This Row],[Task Name]]&lt;&gt;"",Tasks[[#This Row],[_NextLevel]]&gt;Tasks[[#This Row],[_Level]])</f>
        <v>0</v>
      </c>
      <c r="BX142" s="32" t="n">
        <f aca="false">IF(Tasks[[#This Row],[_IsSummary]],COUNTIF(Tasks[WBS],Tasks[[#This Row],[WBS]]&amp;".*"),0)</f>
        <v>0</v>
      </c>
      <c r="BY142" s="32" t="n">
        <f aca="false">IF(AND(Tasks[[#This Row],[Task Name]]&lt;&gt;"",NOT(Tasks[[#This Row],[_IsSummary]])),1,0)</f>
        <v>0</v>
      </c>
      <c r="BZ142" s="32" t="n">
        <f aca="false">IF(N(Tasks[[#This Row],[Pred1 UID]])=0,0,IFERROR(MATCH(Tasks[[#This Row],[Pred1 UID]],Tasks[UID],0),-1))</f>
        <v>0</v>
      </c>
      <c r="CA142" s="32" t="n">
        <f aca="false">IF(N(Tasks[[#This Row],[Pred2 UID]])=0,0,IFERROR(MATCH(Tasks[[#This Row],[Pred2 UID]],Tasks[UID],0),-1))</f>
        <v>0</v>
      </c>
      <c r="CB142" s="32" t="n">
        <f aca="false">IF(N(Tasks[[#This Row],[Pred3 UID]])=0,0,IFERROR(MATCH(Tasks[[#This Row],[Pred3 UID]],Tasks[UID],0),-1))</f>
        <v>0</v>
      </c>
      <c r="CC142" s="32" t="n">
        <f aca="false">IF(N(Tasks[[#This Row],[Pred4 UID]])=0,0,IFERROR(MATCH(Tasks[[#This Row],[Pred4 UID]],Tasks[UID],0),-1))</f>
        <v>0</v>
      </c>
      <c r="CD14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2" s="115" t="n">
        <f aca="false">IF(OR(Tasks[[#This Row],[_ConstraintCode]]=2,Tasks[[#This Row],[_ConstraintCode]]=3,Tasks[[#This Row],[_ConstraintCode]]=4,Tasks[[#This Row],[_ConstraintCode]]=6),Tasks[[#This Row],[_ConstraintStart]],0)</f>
        <v>0</v>
      </c>
      <c r="CG142" s="115" t="n">
        <f aca="false">IF(OR(Tasks[[#This Row],[_ConstraintCode]]=2,Tasks[[#This Row],[_ConstraintCode]]=3,Tasks[[#This Row],[_ConstraintCode]]=5,Tasks[[#This Row],[_ConstraintCode]]=7),Tasks[[#This Row],[_ConstraintStart]],2958465)</f>
        <v>2958465</v>
      </c>
      <c r="CH14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2" s="115" t="str">
        <f aca="false">IF(NOT(Tasks[[#This Row],[_IsLeaf]]=1),"",IF(N(Tasks[[#This Row],[Duration]])&lt;=0,Tasks[[#This Row],[_LeafCalcStart]],WORKDAY.INTL(Tasks[[#This Row],[_LeafCalcStart]],Tasks[[#This Row],[Duration]]-1,WorkWeek,Holidays)))</f>
        <v/>
      </c>
      <c r="CJ14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2" s="32" t="n">
        <f aca="false">IF(NOT(Tasks[[#This Row],[_IsLeaf]]=1),0,IF(N(Tasks[[#This Row],[Actual Finish]])&gt;0,1,MIN(1,N(Tasks[[#This Row],[% Complete]]))))</f>
        <v>0</v>
      </c>
      <c r="CM142" s="32" t="n">
        <f aca="false">IF(OR(NOT(Tasks[[#This Row],[_IsLeaf]]=1),Tasks[[#This Row],[Resource]]=""),0,N(Tasks[[#This Row],[Duration]])*HoursPerDay*IF(Tasks[[#This Row],[Units]]="",DefaultUnits,Tasks[[#This Row],[Units]]))</f>
        <v>0</v>
      </c>
      <c r="CN142" s="32" t="n">
        <f aca="false">IF(Tasks[[#This Row],[_LeafWork]]=0,0,Tasks[[#This Row],[_LeafWork]]*IFERROR(INDEX(res_Rate,MATCH(Tasks[[#This Row],[Resource]],res_Name,0)),0))</f>
        <v>0</v>
      </c>
      <c r="CO142" s="32" t="n">
        <f aca="false">Tasks[[#This Row],[_LeafWork]]+IF(Tasks[[#This Row],[_IsLeaf]]=1,SUMIFS(asg_Work,asg_TaskUID,Tasks[[#This Row],[UID]],asg_Valid,1),0)</f>
        <v>0</v>
      </c>
      <c r="CP142" s="32" t="n">
        <f aca="false">Tasks[[#This Row],[_LeafCost]]+IF(Tasks[[#This Row],[_IsLeaf]]=1,SUMIFS(asg_Cost,asg_TaskUID,Tasks[[#This Row],[UID]],asg_Valid,1),0)</f>
        <v>0</v>
      </c>
      <c r="CQ142" s="32" t="n">
        <f aca="false">IF(Tasks[[#This Row],[_LeafTotalCost]]=0,Tasks[[#This Row],[_LeafAC]],Tasks[[#This Row],[_LeafAC]]*Tasks[[#This Row],[_LeafCost]]/Tasks[[#This Row],[_LeafTotalCost]])</f>
        <v>0</v>
      </c>
      <c r="CR14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2" s="32" t="n">
        <f aca="false">IF(NOT(Tasks[[#This Row],[_IsLeaf]]=1),0,MAX(_xlfn.MAXIFS(Tasks[_Row],Tasks[Pred1 UID],Tasks[[#This Row],[UID]]),_xlfn.MAXIFS(Tasks[_Row],Tasks[Pred2 UID],Tasks[[#This Row],[UID]]),_xlfn.MAXIFS(Tasks[_Row],Tasks[Pred3 UID],Tasks[[#This Row],[UID]]),_xlfn.MAXIFS(Tasks[_Row],Tasks[Pred4 UID],Tasks[[#This Row],[UID]])))</f>
        <v>0</v>
      </c>
      <c r="DA14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2" s="115" t="str">
        <f aca="false">IF(NOT(Tasks[[#This Row],[_IsLeaf]]=1),"",IF(N(Tasks[[#This Row],[Duration]])&lt;=0,Tasks[[#This Row],[_LeafLateFinish]],WORKDAY.INTL(Tasks[[#This Row],[_LeafLateFinish]],-(Tasks[[#This Row],[Duration]]-1),WorkWeek,Holidays)))</f>
        <v/>
      </c>
      <c r="DD14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2" s="114" t="b">
        <f aca="false">AND(Tasks[[#This Row],[_IsLeaf]]=1,Tasks[[#This Row],[_LeafProgress]]&lt;1,N(Tasks[[#This Row],[_LeafTotalSlack]])&lt;=CriticalSlackDays)</f>
        <v>0</v>
      </c>
      <c r="DF142" s="32" t="n">
        <f aca="false">IF(AND(Tasks[[#This Row],[_IsLeaf]]=1,Tasks[[#This Row],[_ConstraintCode]]=1,Tasks[[#This Row],[Mode]]&lt;&gt;"Manual",N(Tasks[[#This Row],[Actual Start]])=0),MAX(0,N(Tasks[[#This Row],[Free Slack]])),0)</f>
        <v>0</v>
      </c>
      <c r="DG142" s="115" t="str">
        <f aca="false">IF(NOT(Tasks[[#This Row],[_IsLeaf]]=1),"",IF(Tasks[[#This Row],[_AlapShift]]=0,Tasks[[#This Row],[_LeafCalcStart]],WORKDAY.INTL(Tasks[[#This Row],[_LeafCalcStart]],Tasks[[#This Row],[_AlapShift]],WorkWeek,Holidays)))</f>
        <v/>
      </c>
      <c r="DH142" s="115" t="str">
        <f aca="false">IF(NOT(Tasks[[#This Row],[_IsLeaf]]=1),"",IF(Tasks[[#This Row],[_AlapShift]]=0,Tasks[[#This Row],[_LeafCalcFinish]],WORKDAY.INTL(Tasks[[#This Row],[_LeafCalcFinish]],Tasks[[#This Row],[_AlapShift]],WorkWeek,Holidays)))</f>
        <v/>
      </c>
      <c r="DI142" s="115" t="str">
        <f aca="false">IF(NOT(Tasks[[#This Row],[_IsLeaf]]=1),"",IF(Tasks[[#This Row],[_AlapShift]]=0,Tasks[[#This Row],[_LeafFcstStart]],WORKDAY.INTL(Tasks[[#This Row],[_LeafFcstStart]],Tasks[[#This Row],[_AlapShift]],WorkWeek,Holidays)))</f>
        <v/>
      </c>
      <c r="DJ142" s="115" t="str">
        <f aca="false">IF(NOT(Tasks[[#This Row],[_IsLeaf]]=1),"",IF(Tasks[[#This Row],[_AlapShift]]=0,Tasks[[#This Row],[_LeafFcstFinish]],WORKDAY.INTL(Tasks[[#This Row],[_LeafFcstFinish]],Tasks[[#This Row],[_AlapShift]],WorkWeek,Holidays)))</f>
        <v/>
      </c>
      <c r="DK142" s="115" t="str">
        <f aca="false">IF(Tasks[[#This Row],[Task Name]]="","",IF(Tasks[[#This Row],[_IsSummary]],MIN(INDEX(Tasks[_ShownCalcStart],Tasks[[#This Row],[_Row]]+1):INDEX(Tasks[_ShownCalcStart],Tasks[[#This Row],[_Row]]+Tasks[[#This Row],[_Descendants]])),Tasks[[#This Row],[_ShownCalcStart]]))</f>
        <v/>
      </c>
      <c r="DL142" s="115" t="str">
        <f aca="false">IF(Tasks[[#This Row],[Task Name]]="","",IF(Tasks[[#This Row],[_IsSummary]],MAX(INDEX(Tasks[_ShownCalcFinish],Tasks[[#This Row],[_Row]]+1):INDEX(Tasks[_ShownCalcFinish],Tasks[[#This Row],[_Row]]+Tasks[[#This Row],[_Descendants]])),Tasks[[#This Row],[_ShownCalcFinish]]))</f>
        <v/>
      </c>
      <c r="DM14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2" s="32" t="n">
        <f aca="false">IF(AND(Tasks[[#This Row],[_IsLeaf]]=1,Tasks[[#This Row],[_LeafTotalWork]]&gt;0),NETWORKDAYS.INTL(ProjectStart,Tasks[[#This Row],[_ShownFcstStart]],WorkWeek,Holidays),0)</f>
        <v>0</v>
      </c>
      <c r="DZ142" s="32" t="n">
        <f aca="false">IF(AND(Tasks[[#This Row],[_IsLeaf]]=1,Tasks[[#This Row],[_LeafTotalWork]]&gt;0),MAX(Tasks[[#This Row],[_StartWorkday]],NETWORKDAYS.INTL(ProjectStart,Tasks[[#This Row],[_ShownFcstFinish]],WorkWeek,Holidays)),0)</f>
        <v>0</v>
      </c>
      <c r="EA142" s="32" t="n">
        <f aca="false">IF(AND(Tasks[[#This Row],[_IsLeaf]]=1,Tasks[[#This Row],[_LeafTotalWork]]&gt;0),Tasks[[#This Row],[_LeafWork]]/(Tasks[[#This Row],[_FinishWorkday]]-Tasks[[#This Row],[_StartWorkday]]+1),0)</f>
        <v>0</v>
      </c>
      <c r="EB142" s="32" t="n">
        <f aca="false">Tasks[[#This Row],[_WorkPerWorkday]]*(Tasks[[#This Row],[_StartWorkday]]-1)</f>
        <v>-0</v>
      </c>
      <c r="EC142" s="32" t="n">
        <f aca="false">IF(Tasks[[#This Row],[_IsLeaf]]=1,MAX(N(Tasks[[#This Row],[Duration]]),0.1),0)</f>
        <v>0</v>
      </c>
      <c r="ED142" s="32" t="n">
        <f aca="false">Tasks[[#This Row],[_WeightDur]]*Tasks[[#This Row],[_LeafProgress]]</f>
        <v>0</v>
      </c>
      <c r="EE14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2" s="32" t="str">
        <f aca="false">IF(AND(Tasks[[#This Row],[_IsLeaf]]=1,N(Tasks[[#This Row],[Duration]])=0,Tasks[[#This Row],[_LeafProgress]]&lt;1),Tasks[[#This Row],[_ShownFcstFinish]]+Tasks[[#This Row],[_Row]]/100000,"")</f>
        <v/>
      </c>
      <c r="EG14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2" s="32" t="n">
        <f aca="false">IF(NOT(Tasks[[#This Row],[_IsLeaf]]=1),0,IF(Tasks[[#This Row],[Baseline Cost]]="",Tasks[[#This Row],[_LeafTotalCost]],N(Tasks[[#This Row],[Baseline Cost]])))</f>
        <v>0</v>
      </c>
      <c r="EI142" s="32" t="n">
        <f aca="false">Tasks[[#This Row],[_LeafBudget]]*Tasks[[#This Row],[_PlannedPct]]</f>
        <v>0</v>
      </c>
      <c r="EJ142" s="32" t="n">
        <f aca="false">Tasks[[#This Row],[_LeafBudget]]*Tasks[[#This Row],[_LeafProgress]]</f>
        <v>0</v>
      </c>
      <c r="EK142" s="32" t="n">
        <f aca="false">IF(NOT(Tasks[[#This Row],[_IsLeaf]]=1),0,IF(Tasks[[#This Row],[Actual Cost]]="",Tasks[[#This Row],[_LeafTotalCost]]*Tasks[[#This Row],[_LeafProgress]],N(Tasks[[#This Row],[Actual Cost]])))</f>
        <v>0</v>
      </c>
      <c r="EL142" s="32" t="str">
        <f aca="false">IF(Tasks[[#This Row],[Task Name]]="","",LEFT(Tasks[[#This Row],[WBS]],FIND(".",Tasks[[#This Row],[WBS]]&amp;".")-1))</f>
        <v/>
      </c>
      <c r="EM142" s="32" t="str">
        <f aca="false">IF(AND(Tasks[[#This Row],[Task Name]]&lt;&gt;"",Tasks[[#This Row],[_Level]]=1),Tasks[[#This Row],[_Row]],"")</f>
        <v/>
      </c>
      <c r="EN142" s="32" t="str">
        <f aca="false">IF(AND(Tasks[[#This Row],[_IsLeaf]]=1,N(Tasks[[#This Row],[Duration]])=0),Tasks[[#This Row],[Planned Finish]]+Tasks[[#This Row],[_Row]]/100000,"")</f>
        <v/>
      </c>
      <c r="EO142" s="32" t="str">
        <f aca="false">IF(AND(Tasks[[#This Row],[_IsLeaf]]=1,Tasks[[#This Row],[_LeafProgress]]&lt;1,OR(N(Tasks[[#This Row],[Finish Var]])&gt;0,Tasks[[#This Row],[Status]]="Late Start")),MAX(0,Tasks[[#This Row],[Finish Var]])+1-Tasks[[#This Row],[_Row]]/1000000,"")</f>
        <v/>
      </c>
      <c r="EP142" s="32" t="str">
        <f aca="false">IF(AND(Tasks[[#This Row],[_IsLeaf]]=1,N(Tasks[[#This Row],[Actual Start]])=0,Tasks[[#This Row],[_ShownFcstStart]]&gt;=StatusDate,Tasks[[#This Row],[_ShownFcstStart]]&lt;=LookaheadEnd),Tasks[[#This Row],[_ShownFcstStart]]+Tasks[[#This Row],[_Row]]/100000,"")</f>
        <v/>
      </c>
      <c r="EQ142" s="32" t="str">
        <f aca="false">IF(AND(Tasks[[#This Row],[_IsLeaf]]=1,Tasks[[#This Row],[_LeafProgress]]&lt;1,Tasks[[#This Row],[_ShownFcstFinish]]&gt;=StatusDate,Tasks[[#This Row],[_ShownFcstFinish]]&lt;=LookaheadEnd),Tasks[[#This Row],[_ShownFcstFinish]]+Tasks[[#This Row],[_Row]]/100000,"")</f>
        <v/>
      </c>
      <c r="ER142" s="32" t="str">
        <f aca="false">IF(Tasks[[#This Row],[_LeafCritical]],Tasks[[#This Row],[_ShownFcstStart]]+Tasks[[#This Row],[_Row]]/100000,"")</f>
        <v/>
      </c>
      <c r="ES142" s="32" t="n">
        <f aca="false">Tasks[[#This Row],[_LeafWork]]*Tasks[[#This Row],[_LeafProgress]]</f>
        <v>0</v>
      </c>
      <c r="ET142" s="115" t="str">
        <f aca="false">IF(AND(Tasks[[#This Row],[_IsLeaf]]=1,Tasks[[#This Row],[_LeafProgress]]&gt;=1),IF(N(Tasks[[#This Row],[Actual Finish]])&gt;0,Tasks[[#This Row],[Actual Finish]],Tasks[[#This Row],[_ShownFcstFinish]]),"")</f>
        <v/>
      </c>
      <c r="EU142" s="32" t="n">
        <f aca="false">IF(Tasks[[#This Row],[_IsLeaf]]=1,N(Tasks[[#This Row],[Story Points]]),0)</f>
        <v>0</v>
      </c>
      <c r="EV142" s="32" t="str">
        <f aca="false">IF(AND(Tasks[[#This Row],[_IsLeaf]]=1,CurrentSprint&lt;&gt;"",Tasks[[#This Row],[Sprint]]=CurrentSprint),Tasks[[#This Row],[_Row]],"")</f>
        <v/>
      </c>
    </row>
    <row r="143" customFormat="false" ht="15" hidden="false" customHeight="false" outlineLevel="0" collapsed="false">
      <c r="A143" s="45" t="str">
        <f aca="false">IF(Tasks[[#This Row],[Task Name]]="","",COUNTA(Tasks[[#Headers],[Task Name]]:Tasks[[#This Row],[Task Name]])-1)</f>
        <v/>
      </c>
      <c r="B143" s="46" t="n">
        <v>138</v>
      </c>
      <c r="C14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3" s="46"/>
      <c r="E143" s="45" t="str">
        <f aca="false">IF(Tasks[[#This Row],[Task Name]]="","",IF(Tasks[[#This Row],[_Level]]&lt;=OutlineShowLevel,"Yes","No"))</f>
        <v/>
      </c>
      <c r="F143" s="47"/>
      <c r="G143" s="46"/>
      <c r="H143" s="46"/>
      <c r="I143" s="46"/>
      <c r="J143" s="46"/>
      <c r="K143" s="46"/>
      <c r="L143" s="46"/>
      <c r="M143" s="46"/>
      <c r="N143" s="46"/>
      <c r="O143" s="46"/>
      <c r="P143" s="46"/>
      <c r="Q143" s="46"/>
      <c r="R143" s="46"/>
      <c r="S143" s="46"/>
      <c r="T143" s="46"/>
      <c r="U143" s="47"/>
      <c r="V143" s="88"/>
      <c r="W143" s="88"/>
      <c r="X143" s="25" t="str">
        <f aca="false">IF(Tasks[[#This Row],[Task Name]]="","",IF(N(Tasks[[#This Row],[Baseline Start]])&gt;0,Tasks[[#This Row],[Baseline Start]],Tasks[[#This Row],[_CalcStart]]))</f>
        <v/>
      </c>
      <c r="Y143" s="25" t="str">
        <f aca="false">IF(Tasks[[#This Row],[Task Name]]="","",IF(N(Tasks[[#This Row],[Baseline Finish]])&gt;0,Tasks[[#This Row],[Baseline Finish]],Tasks[[#This Row],[_CalcFinish]]))</f>
        <v/>
      </c>
      <c r="Z143" s="88"/>
      <c r="AA143" s="88"/>
      <c r="AB143" s="25" t="str">
        <f aca="false">IF(Tasks[[#This Row],[Task Name]]="","",IF(Tasks[[#This Row],[_IsSummary]],MIN(INDEX(Tasks[_ShownFcstStart],Tasks[[#This Row],[_Row]]+1):INDEX(Tasks[_ShownFcstStart],Tasks[[#This Row],[_Row]]+Tasks[[#This Row],[_Descendants]])),Tasks[[#This Row],[_ShownFcstStart]]))</f>
        <v/>
      </c>
      <c r="AC143" s="25" t="str">
        <f aca="false">IF(Tasks[[#This Row],[Task Name]]="","",IF(Tasks[[#This Row],[_IsSummary]],MAX(INDEX(Tasks[_ShownFcstFinish],Tasks[[#This Row],[_Row]]+1):INDEX(Tasks[_ShownFcstFinish],Tasks[[#This Row],[_Row]]+Tasks[[#This Row],[_Descendants]])),Tasks[[#This Row],[_ShownFcstFinish]]))</f>
        <v/>
      </c>
      <c r="AD14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3" s="25" t="str">
        <f aca="false">IF(Tasks[[#This Row],[Task Name]]="","",IF(Tasks[[#This Row],[_IsSummary]],MIN(INDEX(Tasks[_LeafLateStart],Tasks[[#This Row],[_Row]]+1):INDEX(Tasks[_LeafLateStart],Tasks[[#This Row],[_Row]]+Tasks[[#This Row],[_Descendants]])),Tasks[[#This Row],[_LeafLateStart]]))</f>
        <v/>
      </c>
      <c r="AG143" s="25" t="str">
        <f aca="false">IF(Tasks[[#This Row],[Task Name]]="","",IF(Tasks[[#This Row],[_IsSummary]],MAX(INDEX(Tasks[_LeafLateFinish],Tasks[[#This Row],[_Row]]+1):INDEX(Tasks[_LeafLateFinish],Tasks[[#This Row],[_Row]]+Tasks[[#This Row],[_Descendants]])),Tasks[[#This Row],[_LeafLateFinish]]))</f>
        <v/>
      </c>
      <c r="AH143" s="56" t="str">
        <f aca="false">IF(Tasks[[#This Row],[Task Name]]="","",IF(Tasks[[#This Row],[_IsSummary]],MIN(INDEX(Tasks[_LeafTotalSlack],Tasks[[#This Row],[_Row]]+1):INDEX(Tasks[_LeafTotalSlack],Tasks[[#This Row],[_Row]]+Tasks[[#This Row],[_Descendants]])),Tasks[[#This Row],[_LeafTotalSlack]]))</f>
        <v/>
      </c>
      <c r="AI14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3" s="45" t="str">
        <f aca="false">IF(Tasks[[#This Row],[Task Name]]="","",IF(IF(Tasks[[#This Row],[_IsSummary]],COUNTIF(INDEX(Tasks[_LeafCritical],Tasks[[#This Row],[_Row]]+1):INDEX(Tasks[_LeafCritical],Tasks[[#This Row],[_Row]]+Tasks[[#This Row],[_Descendants]]),TRUE())&gt;0,Tasks[[#This Row],[_LeafCritical]]),"Yes",""))</f>
        <v/>
      </c>
      <c r="AK14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3" s="102"/>
      <c r="AN14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3" s="45" t="str">
        <f aca="false">IF(Tasks[[#This Row],[Task Name]]="","",IF(Tasks[[#This Row],[Progress]]&gt;=1,"Complete",IF(OR(N(Tasks[[#This Row],[Actual Start]])&gt;0,Tasks[[#This Row],[Progress]]&gt;0),IF(Tasks[[#This Row],[Finish Var]]&gt;0,"Behind","In Progress"),IF(Tasks[[#This Row],[Planned Start]]&lt;StatusDate,"Late Start","Not Started"))))</f>
        <v/>
      </c>
      <c r="AP143" s="47"/>
      <c r="AQ143" s="102"/>
      <c r="AR14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3" s="110" t="str">
        <f aca="false">IF(Tasks[[#This Row],[Task Name]]="","",IF(Tasks[[#This Row],[_IsSummary]],SUM(INDEX(Tasks[_LeafTotalWork],Tasks[[#This Row],[_Row]]+1):INDEX(Tasks[_LeafTotalWork],Tasks[[#This Row],[_Row]]+Tasks[[#This Row],[_Descendants]])),Tasks[[#This Row],[_LeafTotalWork]]))</f>
        <v/>
      </c>
      <c r="AU143" s="111" t="str">
        <f aca="false">IF(Tasks[[#This Row],[Task Name]]="","",IF(Tasks[[#This Row],[_IsSummary]],SUM(INDEX(Tasks[_LeafTotalCost],Tasks[[#This Row],[_Row]]+1):INDEX(Tasks[_LeafTotalCost],Tasks[[#This Row],[_Row]]+Tasks[[#This Row],[_Descendants]])),Tasks[[#This Row],[_LeafTotalCost]]))</f>
        <v/>
      </c>
      <c r="AV143" s="112"/>
      <c r="AW143" s="46"/>
      <c r="AX14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3" s="96"/>
      <c r="AZ14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3" s="47"/>
      <c r="BB143" s="25" t="str">
        <f aca="false">IF(Tasks[[#This Row],[Task Name]]="","",Tasks[[#This Row],[Forecast Start]])</f>
        <v/>
      </c>
      <c r="BC143" s="25" t="str">
        <f aca="false">IF(Tasks[[#This Row],[Task Name]]="","",Tasks[[#This Row],[Forecast Finish]])</f>
        <v/>
      </c>
      <c r="BD143" s="45" t="str">
        <f aca="false">IF(Tasks[[#This Row],[Task Name]]="","",IF(Tasks[[#This Row],[_IsSummary]],NETWORKDAYS.INTL(Tasks[[#This Row],[Forecast Start]],Tasks[[#This Row],[Forecast Finish]],WorkWeek,Holidays),N(Tasks[[#This Row],[Duration]])))</f>
        <v/>
      </c>
      <c r="BE143" s="110" t="str">
        <f aca="false">IF(Tasks[[#This Row],[Task Name]]="","",Tasks[[#This Row],[Work]])</f>
        <v/>
      </c>
      <c r="BF143" s="111" t="str">
        <f aca="false">IF(Tasks[[#This Row],[Task Name]]="","",Tasks[[#This Row],[Cost]])</f>
        <v/>
      </c>
      <c r="BG143" s="88"/>
      <c r="BH143" s="88"/>
      <c r="BI143" s="46"/>
      <c r="BJ143" s="113"/>
      <c r="BK143" s="112"/>
      <c r="BL143" s="45" t="str">
        <f aca="false">IF(OR(Tasks[[#This Row],[Task Name]]="",Tasks[[#This Row],[Baseline Duration]]=""),"",Tasks[[#This Row],[BL Source Duration]]-N(Tasks[[#This Row],[Baseline Duration]]))</f>
        <v/>
      </c>
      <c r="BM143" s="110" t="str">
        <f aca="false">IF(OR(Tasks[[#This Row],[Task Name]]="",Tasks[[#This Row],[Baseline Work]]=""),"",Tasks[[#This Row],[Work]]-N(Tasks[[#This Row],[Baseline Work]]))</f>
        <v/>
      </c>
      <c r="BN143" s="111" t="str">
        <f aca="false">IF(OR(Tasks[[#This Row],[Task Name]]="",Tasks[[#This Row],[Baseline Cost]]=""),"",Tasks[[#This Row],[Cost]]-N(Tasks[[#This Row],[Baseline Cost]]))</f>
        <v/>
      </c>
      <c r="BO143" s="111" t="str">
        <f aca="false">IF(Tasks[[#This Row],[Task Name]]="","",IF(Tasks[[#This Row],[_IsSummary]],SUM(INDEX(Tasks[_LeafBudget],Tasks[[#This Row],[_Row]]+1):INDEX(Tasks[_LeafBudget],Tasks[[#This Row],[_Row]]+Tasks[[#This Row],[_Descendants]])),Tasks[[#This Row],[_LeafBudget]]))</f>
        <v/>
      </c>
      <c r="BP143" s="111" t="str">
        <f aca="false">IF(Tasks[[#This Row],[Task Name]]="","",IF(Tasks[[#This Row],[_IsSummary]],SUM(INDEX(Tasks[_LeafPV],Tasks[[#This Row],[_Row]]+1):INDEX(Tasks[_LeafPV],Tasks[[#This Row],[_Row]]+Tasks[[#This Row],[_Descendants]])),Tasks[[#This Row],[_LeafPV]]))</f>
        <v/>
      </c>
      <c r="BQ143" s="111" t="str">
        <f aca="false">IF(Tasks[[#This Row],[Task Name]]="","",IF(Tasks[[#This Row],[_IsSummary]],SUM(INDEX(Tasks[_LeafEV],Tasks[[#This Row],[_Row]]+1):INDEX(Tasks[_LeafEV],Tasks[[#This Row],[_Row]]+Tasks[[#This Row],[_Descendants]])),Tasks[[#This Row],[_LeafEV]]))</f>
        <v/>
      </c>
      <c r="BR143" s="111" t="str">
        <f aca="false">IF(Tasks[[#This Row],[Task Name]]="","",IF(Tasks[[#This Row],[_IsSummary]],SUM(INDEX(Tasks[_LeafAC],Tasks[[#This Row],[_Row]]+1):INDEX(Tasks[_LeafAC],Tasks[[#This Row],[_Row]]+Tasks[[#This Row],[_Descendants]])),Tasks[[#This Row],[_LeafAC]]))</f>
        <v/>
      </c>
      <c r="BS143" s="32" t="str">
        <f aca="false">IF(Tasks[[#This Row],[Task Name]]="","",MAX(1,N(Tasks[[#This Row],[Level]])))</f>
        <v/>
      </c>
      <c r="BT143" s="32" t="n">
        <f aca="false">ROW()-ROW(Tasks[[#Headers],[ID]])</f>
        <v>138</v>
      </c>
      <c r="BU143" s="32" t="n">
        <f aca="false">IF(OR(Tasks[[#This Row],[Task Name]]="",Tasks[[#This Row],[_Level]]&lt;=1),0,IFERROR(LOOKUP(2,1/(Tasks[[#Headers],[_Level]]:Tasks[[#This Row],[_Level]]=Tasks[[#This Row],[_Level]]-1),ROW(Tasks[[#Headers],[_Level]]:Tasks[[#This Row],[_Level]])),0))</f>
        <v>0</v>
      </c>
      <c r="BV143" s="32" t="n">
        <f aca="false">IFERROR(N(INDEX(Tasks[_Level],Tasks[[#This Row],[_Row]]+1)),0)</f>
        <v>0</v>
      </c>
      <c r="BW143" s="114" t="b">
        <f aca="false">AND(Tasks[[#This Row],[Task Name]]&lt;&gt;"",Tasks[[#This Row],[_NextLevel]]&gt;Tasks[[#This Row],[_Level]])</f>
        <v>0</v>
      </c>
      <c r="BX143" s="32" t="n">
        <f aca="false">IF(Tasks[[#This Row],[_IsSummary]],COUNTIF(Tasks[WBS],Tasks[[#This Row],[WBS]]&amp;".*"),0)</f>
        <v>0</v>
      </c>
      <c r="BY143" s="32" t="n">
        <f aca="false">IF(AND(Tasks[[#This Row],[Task Name]]&lt;&gt;"",NOT(Tasks[[#This Row],[_IsSummary]])),1,0)</f>
        <v>0</v>
      </c>
      <c r="BZ143" s="32" t="n">
        <f aca="false">IF(N(Tasks[[#This Row],[Pred1 UID]])=0,0,IFERROR(MATCH(Tasks[[#This Row],[Pred1 UID]],Tasks[UID],0),-1))</f>
        <v>0</v>
      </c>
      <c r="CA143" s="32" t="n">
        <f aca="false">IF(N(Tasks[[#This Row],[Pred2 UID]])=0,0,IFERROR(MATCH(Tasks[[#This Row],[Pred2 UID]],Tasks[UID],0),-1))</f>
        <v>0</v>
      </c>
      <c r="CB143" s="32" t="n">
        <f aca="false">IF(N(Tasks[[#This Row],[Pred3 UID]])=0,0,IFERROR(MATCH(Tasks[[#This Row],[Pred3 UID]],Tasks[UID],0),-1))</f>
        <v>0</v>
      </c>
      <c r="CC143" s="32" t="n">
        <f aca="false">IF(N(Tasks[[#This Row],[Pred4 UID]])=0,0,IFERROR(MATCH(Tasks[[#This Row],[Pred4 UID]],Tasks[UID],0),-1))</f>
        <v>0</v>
      </c>
      <c r="CD14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3" s="115" t="n">
        <f aca="false">IF(OR(Tasks[[#This Row],[_ConstraintCode]]=2,Tasks[[#This Row],[_ConstraintCode]]=3,Tasks[[#This Row],[_ConstraintCode]]=4,Tasks[[#This Row],[_ConstraintCode]]=6),Tasks[[#This Row],[_ConstraintStart]],0)</f>
        <v>0</v>
      </c>
      <c r="CG143" s="115" t="n">
        <f aca="false">IF(OR(Tasks[[#This Row],[_ConstraintCode]]=2,Tasks[[#This Row],[_ConstraintCode]]=3,Tasks[[#This Row],[_ConstraintCode]]=5,Tasks[[#This Row],[_ConstraintCode]]=7),Tasks[[#This Row],[_ConstraintStart]],2958465)</f>
        <v>2958465</v>
      </c>
      <c r="CH14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3" s="115" t="str">
        <f aca="false">IF(NOT(Tasks[[#This Row],[_IsLeaf]]=1),"",IF(N(Tasks[[#This Row],[Duration]])&lt;=0,Tasks[[#This Row],[_LeafCalcStart]],WORKDAY.INTL(Tasks[[#This Row],[_LeafCalcStart]],Tasks[[#This Row],[Duration]]-1,WorkWeek,Holidays)))</f>
        <v/>
      </c>
      <c r="CJ14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3" s="32" t="n">
        <f aca="false">IF(NOT(Tasks[[#This Row],[_IsLeaf]]=1),0,IF(N(Tasks[[#This Row],[Actual Finish]])&gt;0,1,MIN(1,N(Tasks[[#This Row],[% Complete]]))))</f>
        <v>0</v>
      </c>
      <c r="CM143" s="32" t="n">
        <f aca="false">IF(OR(NOT(Tasks[[#This Row],[_IsLeaf]]=1),Tasks[[#This Row],[Resource]]=""),0,N(Tasks[[#This Row],[Duration]])*HoursPerDay*IF(Tasks[[#This Row],[Units]]="",DefaultUnits,Tasks[[#This Row],[Units]]))</f>
        <v>0</v>
      </c>
      <c r="CN143" s="32" t="n">
        <f aca="false">IF(Tasks[[#This Row],[_LeafWork]]=0,0,Tasks[[#This Row],[_LeafWork]]*IFERROR(INDEX(res_Rate,MATCH(Tasks[[#This Row],[Resource]],res_Name,0)),0))</f>
        <v>0</v>
      </c>
      <c r="CO143" s="32" t="n">
        <f aca="false">Tasks[[#This Row],[_LeafWork]]+IF(Tasks[[#This Row],[_IsLeaf]]=1,SUMIFS(asg_Work,asg_TaskUID,Tasks[[#This Row],[UID]],asg_Valid,1),0)</f>
        <v>0</v>
      </c>
      <c r="CP143" s="32" t="n">
        <f aca="false">Tasks[[#This Row],[_LeafCost]]+IF(Tasks[[#This Row],[_IsLeaf]]=1,SUMIFS(asg_Cost,asg_TaskUID,Tasks[[#This Row],[UID]],asg_Valid,1),0)</f>
        <v>0</v>
      </c>
      <c r="CQ143" s="32" t="n">
        <f aca="false">IF(Tasks[[#This Row],[_LeafTotalCost]]=0,Tasks[[#This Row],[_LeafAC]],Tasks[[#This Row],[_LeafAC]]*Tasks[[#This Row],[_LeafCost]]/Tasks[[#This Row],[_LeafTotalCost]])</f>
        <v>0</v>
      </c>
      <c r="CR14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3" s="32" t="n">
        <f aca="false">IF(NOT(Tasks[[#This Row],[_IsLeaf]]=1),0,MAX(_xlfn.MAXIFS(Tasks[_Row],Tasks[Pred1 UID],Tasks[[#This Row],[UID]]),_xlfn.MAXIFS(Tasks[_Row],Tasks[Pred2 UID],Tasks[[#This Row],[UID]]),_xlfn.MAXIFS(Tasks[_Row],Tasks[Pred3 UID],Tasks[[#This Row],[UID]]),_xlfn.MAXIFS(Tasks[_Row],Tasks[Pred4 UID],Tasks[[#This Row],[UID]])))</f>
        <v>0</v>
      </c>
      <c r="DA14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3" s="115" t="str">
        <f aca="false">IF(NOT(Tasks[[#This Row],[_IsLeaf]]=1),"",IF(N(Tasks[[#This Row],[Duration]])&lt;=0,Tasks[[#This Row],[_LeafLateFinish]],WORKDAY.INTL(Tasks[[#This Row],[_LeafLateFinish]],-(Tasks[[#This Row],[Duration]]-1),WorkWeek,Holidays)))</f>
        <v/>
      </c>
      <c r="DD14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3" s="114" t="b">
        <f aca="false">AND(Tasks[[#This Row],[_IsLeaf]]=1,Tasks[[#This Row],[_LeafProgress]]&lt;1,N(Tasks[[#This Row],[_LeafTotalSlack]])&lt;=CriticalSlackDays)</f>
        <v>0</v>
      </c>
      <c r="DF143" s="32" t="n">
        <f aca="false">IF(AND(Tasks[[#This Row],[_IsLeaf]]=1,Tasks[[#This Row],[_ConstraintCode]]=1,Tasks[[#This Row],[Mode]]&lt;&gt;"Manual",N(Tasks[[#This Row],[Actual Start]])=0),MAX(0,N(Tasks[[#This Row],[Free Slack]])),0)</f>
        <v>0</v>
      </c>
      <c r="DG143" s="115" t="str">
        <f aca="false">IF(NOT(Tasks[[#This Row],[_IsLeaf]]=1),"",IF(Tasks[[#This Row],[_AlapShift]]=0,Tasks[[#This Row],[_LeafCalcStart]],WORKDAY.INTL(Tasks[[#This Row],[_LeafCalcStart]],Tasks[[#This Row],[_AlapShift]],WorkWeek,Holidays)))</f>
        <v/>
      </c>
      <c r="DH143" s="115" t="str">
        <f aca="false">IF(NOT(Tasks[[#This Row],[_IsLeaf]]=1),"",IF(Tasks[[#This Row],[_AlapShift]]=0,Tasks[[#This Row],[_LeafCalcFinish]],WORKDAY.INTL(Tasks[[#This Row],[_LeafCalcFinish]],Tasks[[#This Row],[_AlapShift]],WorkWeek,Holidays)))</f>
        <v/>
      </c>
      <c r="DI143" s="115" t="str">
        <f aca="false">IF(NOT(Tasks[[#This Row],[_IsLeaf]]=1),"",IF(Tasks[[#This Row],[_AlapShift]]=0,Tasks[[#This Row],[_LeafFcstStart]],WORKDAY.INTL(Tasks[[#This Row],[_LeafFcstStart]],Tasks[[#This Row],[_AlapShift]],WorkWeek,Holidays)))</f>
        <v/>
      </c>
      <c r="DJ143" s="115" t="str">
        <f aca="false">IF(NOT(Tasks[[#This Row],[_IsLeaf]]=1),"",IF(Tasks[[#This Row],[_AlapShift]]=0,Tasks[[#This Row],[_LeafFcstFinish]],WORKDAY.INTL(Tasks[[#This Row],[_LeafFcstFinish]],Tasks[[#This Row],[_AlapShift]],WorkWeek,Holidays)))</f>
        <v/>
      </c>
      <c r="DK143" s="115" t="str">
        <f aca="false">IF(Tasks[[#This Row],[Task Name]]="","",IF(Tasks[[#This Row],[_IsSummary]],MIN(INDEX(Tasks[_ShownCalcStart],Tasks[[#This Row],[_Row]]+1):INDEX(Tasks[_ShownCalcStart],Tasks[[#This Row],[_Row]]+Tasks[[#This Row],[_Descendants]])),Tasks[[#This Row],[_ShownCalcStart]]))</f>
        <v/>
      </c>
      <c r="DL143" s="115" t="str">
        <f aca="false">IF(Tasks[[#This Row],[Task Name]]="","",IF(Tasks[[#This Row],[_IsSummary]],MAX(INDEX(Tasks[_ShownCalcFinish],Tasks[[#This Row],[_Row]]+1):INDEX(Tasks[_ShownCalcFinish],Tasks[[#This Row],[_Row]]+Tasks[[#This Row],[_Descendants]])),Tasks[[#This Row],[_ShownCalcFinish]]))</f>
        <v/>
      </c>
      <c r="DM14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3" s="32" t="n">
        <f aca="false">IF(AND(Tasks[[#This Row],[_IsLeaf]]=1,Tasks[[#This Row],[_LeafTotalWork]]&gt;0),NETWORKDAYS.INTL(ProjectStart,Tasks[[#This Row],[_ShownFcstStart]],WorkWeek,Holidays),0)</f>
        <v>0</v>
      </c>
      <c r="DZ143" s="32" t="n">
        <f aca="false">IF(AND(Tasks[[#This Row],[_IsLeaf]]=1,Tasks[[#This Row],[_LeafTotalWork]]&gt;0),MAX(Tasks[[#This Row],[_StartWorkday]],NETWORKDAYS.INTL(ProjectStart,Tasks[[#This Row],[_ShownFcstFinish]],WorkWeek,Holidays)),0)</f>
        <v>0</v>
      </c>
      <c r="EA143" s="32" t="n">
        <f aca="false">IF(AND(Tasks[[#This Row],[_IsLeaf]]=1,Tasks[[#This Row],[_LeafTotalWork]]&gt;0),Tasks[[#This Row],[_LeafWork]]/(Tasks[[#This Row],[_FinishWorkday]]-Tasks[[#This Row],[_StartWorkday]]+1),0)</f>
        <v>0</v>
      </c>
      <c r="EB143" s="32" t="n">
        <f aca="false">Tasks[[#This Row],[_WorkPerWorkday]]*(Tasks[[#This Row],[_StartWorkday]]-1)</f>
        <v>-0</v>
      </c>
      <c r="EC143" s="32" t="n">
        <f aca="false">IF(Tasks[[#This Row],[_IsLeaf]]=1,MAX(N(Tasks[[#This Row],[Duration]]),0.1),0)</f>
        <v>0</v>
      </c>
      <c r="ED143" s="32" t="n">
        <f aca="false">Tasks[[#This Row],[_WeightDur]]*Tasks[[#This Row],[_LeafProgress]]</f>
        <v>0</v>
      </c>
      <c r="EE14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3" s="32" t="str">
        <f aca="false">IF(AND(Tasks[[#This Row],[_IsLeaf]]=1,N(Tasks[[#This Row],[Duration]])=0,Tasks[[#This Row],[_LeafProgress]]&lt;1),Tasks[[#This Row],[_ShownFcstFinish]]+Tasks[[#This Row],[_Row]]/100000,"")</f>
        <v/>
      </c>
      <c r="EG14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3" s="32" t="n">
        <f aca="false">IF(NOT(Tasks[[#This Row],[_IsLeaf]]=1),0,IF(Tasks[[#This Row],[Baseline Cost]]="",Tasks[[#This Row],[_LeafTotalCost]],N(Tasks[[#This Row],[Baseline Cost]])))</f>
        <v>0</v>
      </c>
      <c r="EI143" s="32" t="n">
        <f aca="false">Tasks[[#This Row],[_LeafBudget]]*Tasks[[#This Row],[_PlannedPct]]</f>
        <v>0</v>
      </c>
      <c r="EJ143" s="32" t="n">
        <f aca="false">Tasks[[#This Row],[_LeafBudget]]*Tasks[[#This Row],[_LeafProgress]]</f>
        <v>0</v>
      </c>
      <c r="EK143" s="32" t="n">
        <f aca="false">IF(NOT(Tasks[[#This Row],[_IsLeaf]]=1),0,IF(Tasks[[#This Row],[Actual Cost]]="",Tasks[[#This Row],[_LeafTotalCost]]*Tasks[[#This Row],[_LeafProgress]],N(Tasks[[#This Row],[Actual Cost]])))</f>
        <v>0</v>
      </c>
      <c r="EL143" s="32" t="str">
        <f aca="false">IF(Tasks[[#This Row],[Task Name]]="","",LEFT(Tasks[[#This Row],[WBS]],FIND(".",Tasks[[#This Row],[WBS]]&amp;".")-1))</f>
        <v/>
      </c>
      <c r="EM143" s="32" t="str">
        <f aca="false">IF(AND(Tasks[[#This Row],[Task Name]]&lt;&gt;"",Tasks[[#This Row],[_Level]]=1),Tasks[[#This Row],[_Row]],"")</f>
        <v/>
      </c>
      <c r="EN143" s="32" t="str">
        <f aca="false">IF(AND(Tasks[[#This Row],[_IsLeaf]]=1,N(Tasks[[#This Row],[Duration]])=0),Tasks[[#This Row],[Planned Finish]]+Tasks[[#This Row],[_Row]]/100000,"")</f>
        <v/>
      </c>
      <c r="EO143" s="32" t="str">
        <f aca="false">IF(AND(Tasks[[#This Row],[_IsLeaf]]=1,Tasks[[#This Row],[_LeafProgress]]&lt;1,OR(N(Tasks[[#This Row],[Finish Var]])&gt;0,Tasks[[#This Row],[Status]]="Late Start")),MAX(0,Tasks[[#This Row],[Finish Var]])+1-Tasks[[#This Row],[_Row]]/1000000,"")</f>
        <v/>
      </c>
      <c r="EP143" s="32" t="str">
        <f aca="false">IF(AND(Tasks[[#This Row],[_IsLeaf]]=1,N(Tasks[[#This Row],[Actual Start]])=0,Tasks[[#This Row],[_ShownFcstStart]]&gt;=StatusDate,Tasks[[#This Row],[_ShownFcstStart]]&lt;=LookaheadEnd),Tasks[[#This Row],[_ShownFcstStart]]+Tasks[[#This Row],[_Row]]/100000,"")</f>
        <v/>
      </c>
      <c r="EQ143" s="32" t="str">
        <f aca="false">IF(AND(Tasks[[#This Row],[_IsLeaf]]=1,Tasks[[#This Row],[_LeafProgress]]&lt;1,Tasks[[#This Row],[_ShownFcstFinish]]&gt;=StatusDate,Tasks[[#This Row],[_ShownFcstFinish]]&lt;=LookaheadEnd),Tasks[[#This Row],[_ShownFcstFinish]]+Tasks[[#This Row],[_Row]]/100000,"")</f>
        <v/>
      </c>
      <c r="ER143" s="32" t="str">
        <f aca="false">IF(Tasks[[#This Row],[_LeafCritical]],Tasks[[#This Row],[_ShownFcstStart]]+Tasks[[#This Row],[_Row]]/100000,"")</f>
        <v/>
      </c>
      <c r="ES143" s="32" t="n">
        <f aca="false">Tasks[[#This Row],[_LeafWork]]*Tasks[[#This Row],[_LeafProgress]]</f>
        <v>0</v>
      </c>
      <c r="ET143" s="115" t="str">
        <f aca="false">IF(AND(Tasks[[#This Row],[_IsLeaf]]=1,Tasks[[#This Row],[_LeafProgress]]&gt;=1),IF(N(Tasks[[#This Row],[Actual Finish]])&gt;0,Tasks[[#This Row],[Actual Finish]],Tasks[[#This Row],[_ShownFcstFinish]]),"")</f>
        <v/>
      </c>
      <c r="EU143" s="32" t="n">
        <f aca="false">IF(Tasks[[#This Row],[_IsLeaf]]=1,N(Tasks[[#This Row],[Story Points]]),0)</f>
        <v>0</v>
      </c>
      <c r="EV143" s="32" t="str">
        <f aca="false">IF(AND(Tasks[[#This Row],[_IsLeaf]]=1,CurrentSprint&lt;&gt;"",Tasks[[#This Row],[Sprint]]=CurrentSprint),Tasks[[#This Row],[_Row]],"")</f>
        <v/>
      </c>
    </row>
    <row r="144" customFormat="false" ht="15" hidden="false" customHeight="false" outlineLevel="0" collapsed="false">
      <c r="A144" s="45" t="str">
        <f aca="false">IF(Tasks[[#This Row],[Task Name]]="","",COUNTA(Tasks[[#Headers],[Task Name]]:Tasks[[#This Row],[Task Name]])-1)</f>
        <v/>
      </c>
      <c r="B144" s="46" t="n">
        <v>139</v>
      </c>
      <c r="C14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4" s="46"/>
      <c r="E144" s="45" t="str">
        <f aca="false">IF(Tasks[[#This Row],[Task Name]]="","",IF(Tasks[[#This Row],[_Level]]&lt;=OutlineShowLevel,"Yes","No"))</f>
        <v/>
      </c>
      <c r="F144" s="47"/>
      <c r="G144" s="46"/>
      <c r="H144" s="46"/>
      <c r="I144" s="46"/>
      <c r="J144" s="46"/>
      <c r="K144" s="46"/>
      <c r="L144" s="46"/>
      <c r="M144" s="46"/>
      <c r="N144" s="46"/>
      <c r="O144" s="46"/>
      <c r="P144" s="46"/>
      <c r="Q144" s="46"/>
      <c r="R144" s="46"/>
      <c r="S144" s="46"/>
      <c r="T144" s="46"/>
      <c r="U144" s="47"/>
      <c r="V144" s="88"/>
      <c r="W144" s="88"/>
      <c r="X144" s="25" t="str">
        <f aca="false">IF(Tasks[[#This Row],[Task Name]]="","",IF(N(Tasks[[#This Row],[Baseline Start]])&gt;0,Tasks[[#This Row],[Baseline Start]],Tasks[[#This Row],[_CalcStart]]))</f>
        <v/>
      </c>
      <c r="Y144" s="25" t="str">
        <f aca="false">IF(Tasks[[#This Row],[Task Name]]="","",IF(N(Tasks[[#This Row],[Baseline Finish]])&gt;0,Tasks[[#This Row],[Baseline Finish]],Tasks[[#This Row],[_CalcFinish]]))</f>
        <v/>
      </c>
      <c r="Z144" s="88"/>
      <c r="AA144" s="88"/>
      <c r="AB144" s="25" t="str">
        <f aca="false">IF(Tasks[[#This Row],[Task Name]]="","",IF(Tasks[[#This Row],[_IsSummary]],MIN(INDEX(Tasks[_ShownFcstStart],Tasks[[#This Row],[_Row]]+1):INDEX(Tasks[_ShownFcstStart],Tasks[[#This Row],[_Row]]+Tasks[[#This Row],[_Descendants]])),Tasks[[#This Row],[_ShownFcstStart]]))</f>
        <v/>
      </c>
      <c r="AC144" s="25" t="str">
        <f aca="false">IF(Tasks[[#This Row],[Task Name]]="","",IF(Tasks[[#This Row],[_IsSummary]],MAX(INDEX(Tasks[_ShownFcstFinish],Tasks[[#This Row],[_Row]]+1):INDEX(Tasks[_ShownFcstFinish],Tasks[[#This Row],[_Row]]+Tasks[[#This Row],[_Descendants]])),Tasks[[#This Row],[_ShownFcstFinish]]))</f>
        <v/>
      </c>
      <c r="AD14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4" s="25" t="str">
        <f aca="false">IF(Tasks[[#This Row],[Task Name]]="","",IF(Tasks[[#This Row],[_IsSummary]],MIN(INDEX(Tasks[_LeafLateStart],Tasks[[#This Row],[_Row]]+1):INDEX(Tasks[_LeafLateStart],Tasks[[#This Row],[_Row]]+Tasks[[#This Row],[_Descendants]])),Tasks[[#This Row],[_LeafLateStart]]))</f>
        <v/>
      </c>
      <c r="AG144" s="25" t="str">
        <f aca="false">IF(Tasks[[#This Row],[Task Name]]="","",IF(Tasks[[#This Row],[_IsSummary]],MAX(INDEX(Tasks[_LeafLateFinish],Tasks[[#This Row],[_Row]]+1):INDEX(Tasks[_LeafLateFinish],Tasks[[#This Row],[_Row]]+Tasks[[#This Row],[_Descendants]])),Tasks[[#This Row],[_LeafLateFinish]]))</f>
        <v/>
      </c>
      <c r="AH144" s="56" t="str">
        <f aca="false">IF(Tasks[[#This Row],[Task Name]]="","",IF(Tasks[[#This Row],[_IsSummary]],MIN(INDEX(Tasks[_LeafTotalSlack],Tasks[[#This Row],[_Row]]+1):INDEX(Tasks[_LeafTotalSlack],Tasks[[#This Row],[_Row]]+Tasks[[#This Row],[_Descendants]])),Tasks[[#This Row],[_LeafTotalSlack]]))</f>
        <v/>
      </c>
      <c r="AI14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4" s="45" t="str">
        <f aca="false">IF(Tasks[[#This Row],[Task Name]]="","",IF(IF(Tasks[[#This Row],[_IsSummary]],COUNTIF(INDEX(Tasks[_LeafCritical],Tasks[[#This Row],[_Row]]+1):INDEX(Tasks[_LeafCritical],Tasks[[#This Row],[_Row]]+Tasks[[#This Row],[_Descendants]]),TRUE())&gt;0,Tasks[[#This Row],[_LeafCritical]]),"Yes",""))</f>
        <v/>
      </c>
      <c r="AK14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4" s="102"/>
      <c r="AN14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4" s="45" t="str">
        <f aca="false">IF(Tasks[[#This Row],[Task Name]]="","",IF(Tasks[[#This Row],[Progress]]&gt;=1,"Complete",IF(OR(N(Tasks[[#This Row],[Actual Start]])&gt;0,Tasks[[#This Row],[Progress]]&gt;0),IF(Tasks[[#This Row],[Finish Var]]&gt;0,"Behind","In Progress"),IF(Tasks[[#This Row],[Planned Start]]&lt;StatusDate,"Late Start","Not Started"))))</f>
        <v/>
      </c>
      <c r="AP144" s="47"/>
      <c r="AQ144" s="102"/>
      <c r="AR14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4" s="110" t="str">
        <f aca="false">IF(Tasks[[#This Row],[Task Name]]="","",IF(Tasks[[#This Row],[_IsSummary]],SUM(INDEX(Tasks[_LeafTotalWork],Tasks[[#This Row],[_Row]]+1):INDEX(Tasks[_LeafTotalWork],Tasks[[#This Row],[_Row]]+Tasks[[#This Row],[_Descendants]])),Tasks[[#This Row],[_LeafTotalWork]]))</f>
        <v/>
      </c>
      <c r="AU144" s="111" t="str">
        <f aca="false">IF(Tasks[[#This Row],[Task Name]]="","",IF(Tasks[[#This Row],[_IsSummary]],SUM(INDEX(Tasks[_LeafTotalCost],Tasks[[#This Row],[_Row]]+1):INDEX(Tasks[_LeafTotalCost],Tasks[[#This Row],[_Row]]+Tasks[[#This Row],[_Descendants]])),Tasks[[#This Row],[_LeafTotalCost]]))</f>
        <v/>
      </c>
      <c r="AV144" s="112"/>
      <c r="AW144" s="46"/>
      <c r="AX14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4" s="96"/>
      <c r="AZ14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4" s="47"/>
      <c r="BB144" s="25" t="str">
        <f aca="false">IF(Tasks[[#This Row],[Task Name]]="","",Tasks[[#This Row],[Forecast Start]])</f>
        <v/>
      </c>
      <c r="BC144" s="25" t="str">
        <f aca="false">IF(Tasks[[#This Row],[Task Name]]="","",Tasks[[#This Row],[Forecast Finish]])</f>
        <v/>
      </c>
      <c r="BD144" s="45" t="str">
        <f aca="false">IF(Tasks[[#This Row],[Task Name]]="","",IF(Tasks[[#This Row],[_IsSummary]],NETWORKDAYS.INTL(Tasks[[#This Row],[Forecast Start]],Tasks[[#This Row],[Forecast Finish]],WorkWeek,Holidays),N(Tasks[[#This Row],[Duration]])))</f>
        <v/>
      </c>
      <c r="BE144" s="110" t="str">
        <f aca="false">IF(Tasks[[#This Row],[Task Name]]="","",Tasks[[#This Row],[Work]])</f>
        <v/>
      </c>
      <c r="BF144" s="111" t="str">
        <f aca="false">IF(Tasks[[#This Row],[Task Name]]="","",Tasks[[#This Row],[Cost]])</f>
        <v/>
      </c>
      <c r="BG144" s="88"/>
      <c r="BH144" s="88"/>
      <c r="BI144" s="46"/>
      <c r="BJ144" s="113"/>
      <c r="BK144" s="112"/>
      <c r="BL144" s="45" t="str">
        <f aca="false">IF(OR(Tasks[[#This Row],[Task Name]]="",Tasks[[#This Row],[Baseline Duration]]=""),"",Tasks[[#This Row],[BL Source Duration]]-N(Tasks[[#This Row],[Baseline Duration]]))</f>
        <v/>
      </c>
      <c r="BM144" s="110" t="str">
        <f aca="false">IF(OR(Tasks[[#This Row],[Task Name]]="",Tasks[[#This Row],[Baseline Work]]=""),"",Tasks[[#This Row],[Work]]-N(Tasks[[#This Row],[Baseline Work]]))</f>
        <v/>
      </c>
      <c r="BN144" s="111" t="str">
        <f aca="false">IF(OR(Tasks[[#This Row],[Task Name]]="",Tasks[[#This Row],[Baseline Cost]]=""),"",Tasks[[#This Row],[Cost]]-N(Tasks[[#This Row],[Baseline Cost]]))</f>
        <v/>
      </c>
      <c r="BO144" s="111" t="str">
        <f aca="false">IF(Tasks[[#This Row],[Task Name]]="","",IF(Tasks[[#This Row],[_IsSummary]],SUM(INDEX(Tasks[_LeafBudget],Tasks[[#This Row],[_Row]]+1):INDEX(Tasks[_LeafBudget],Tasks[[#This Row],[_Row]]+Tasks[[#This Row],[_Descendants]])),Tasks[[#This Row],[_LeafBudget]]))</f>
        <v/>
      </c>
      <c r="BP144" s="111" t="str">
        <f aca="false">IF(Tasks[[#This Row],[Task Name]]="","",IF(Tasks[[#This Row],[_IsSummary]],SUM(INDEX(Tasks[_LeafPV],Tasks[[#This Row],[_Row]]+1):INDEX(Tasks[_LeafPV],Tasks[[#This Row],[_Row]]+Tasks[[#This Row],[_Descendants]])),Tasks[[#This Row],[_LeafPV]]))</f>
        <v/>
      </c>
      <c r="BQ144" s="111" t="str">
        <f aca="false">IF(Tasks[[#This Row],[Task Name]]="","",IF(Tasks[[#This Row],[_IsSummary]],SUM(INDEX(Tasks[_LeafEV],Tasks[[#This Row],[_Row]]+1):INDEX(Tasks[_LeafEV],Tasks[[#This Row],[_Row]]+Tasks[[#This Row],[_Descendants]])),Tasks[[#This Row],[_LeafEV]]))</f>
        <v/>
      </c>
      <c r="BR144" s="111" t="str">
        <f aca="false">IF(Tasks[[#This Row],[Task Name]]="","",IF(Tasks[[#This Row],[_IsSummary]],SUM(INDEX(Tasks[_LeafAC],Tasks[[#This Row],[_Row]]+1):INDEX(Tasks[_LeafAC],Tasks[[#This Row],[_Row]]+Tasks[[#This Row],[_Descendants]])),Tasks[[#This Row],[_LeafAC]]))</f>
        <v/>
      </c>
      <c r="BS144" s="32" t="str">
        <f aca="false">IF(Tasks[[#This Row],[Task Name]]="","",MAX(1,N(Tasks[[#This Row],[Level]])))</f>
        <v/>
      </c>
      <c r="BT144" s="32" t="n">
        <f aca="false">ROW()-ROW(Tasks[[#Headers],[ID]])</f>
        <v>139</v>
      </c>
      <c r="BU144" s="32" t="n">
        <f aca="false">IF(OR(Tasks[[#This Row],[Task Name]]="",Tasks[[#This Row],[_Level]]&lt;=1),0,IFERROR(LOOKUP(2,1/(Tasks[[#Headers],[_Level]]:Tasks[[#This Row],[_Level]]=Tasks[[#This Row],[_Level]]-1),ROW(Tasks[[#Headers],[_Level]]:Tasks[[#This Row],[_Level]])),0))</f>
        <v>0</v>
      </c>
      <c r="BV144" s="32" t="n">
        <f aca="false">IFERROR(N(INDEX(Tasks[_Level],Tasks[[#This Row],[_Row]]+1)),0)</f>
        <v>0</v>
      </c>
      <c r="BW144" s="114" t="b">
        <f aca="false">AND(Tasks[[#This Row],[Task Name]]&lt;&gt;"",Tasks[[#This Row],[_NextLevel]]&gt;Tasks[[#This Row],[_Level]])</f>
        <v>0</v>
      </c>
      <c r="BX144" s="32" t="n">
        <f aca="false">IF(Tasks[[#This Row],[_IsSummary]],COUNTIF(Tasks[WBS],Tasks[[#This Row],[WBS]]&amp;".*"),0)</f>
        <v>0</v>
      </c>
      <c r="BY144" s="32" t="n">
        <f aca="false">IF(AND(Tasks[[#This Row],[Task Name]]&lt;&gt;"",NOT(Tasks[[#This Row],[_IsSummary]])),1,0)</f>
        <v>0</v>
      </c>
      <c r="BZ144" s="32" t="n">
        <f aca="false">IF(N(Tasks[[#This Row],[Pred1 UID]])=0,0,IFERROR(MATCH(Tasks[[#This Row],[Pred1 UID]],Tasks[UID],0),-1))</f>
        <v>0</v>
      </c>
      <c r="CA144" s="32" t="n">
        <f aca="false">IF(N(Tasks[[#This Row],[Pred2 UID]])=0,0,IFERROR(MATCH(Tasks[[#This Row],[Pred2 UID]],Tasks[UID],0),-1))</f>
        <v>0</v>
      </c>
      <c r="CB144" s="32" t="n">
        <f aca="false">IF(N(Tasks[[#This Row],[Pred3 UID]])=0,0,IFERROR(MATCH(Tasks[[#This Row],[Pred3 UID]],Tasks[UID],0),-1))</f>
        <v>0</v>
      </c>
      <c r="CC144" s="32" t="n">
        <f aca="false">IF(N(Tasks[[#This Row],[Pred4 UID]])=0,0,IFERROR(MATCH(Tasks[[#This Row],[Pred4 UID]],Tasks[UID],0),-1))</f>
        <v>0</v>
      </c>
      <c r="CD14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4" s="115" t="n">
        <f aca="false">IF(OR(Tasks[[#This Row],[_ConstraintCode]]=2,Tasks[[#This Row],[_ConstraintCode]]=3,Tasks[[#This Row],[_ConstraintCode]]=4,Tasks[[#This Row],[_ConstraintCode]]=6),Tasks[[#This Row],[_ConstraintStart]],0)</f>
        <v>0</v>
      </c>
      <c r="CG144" s="115" t="n">
        <f aca="false">IF(OR(Tasks[[#This Row],[_ConstraintCode]]=2,Tasks[[#This Row],[_ConstraintCode]]=3,Tasks[[#This Row],[_ConstraintCode]]=5,Tasks[[#This Row],[_ConstraintCode]]=7),Tasks[[#This Row],[_ConstraintStart]],2958465)</f>
        <v>2958465</v>
      </c>
      <c r="CH14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4" s="115" t="str">
        <f aca="false">IF(NOT(Tasks[[#This Row],[_IsLeaf]]=1),"",IF(N(Tasks[[#This Row],[Duration]])&lt;=0,Tasks[[#This Row],[_LeafCalcStart]],WORKDAY.INTL(Tasks[[#This Row],[_LeafCalcStart]],Tasks[[#This Row],[Duration]]-1,WorkWeek,Holidays)))</f>
        <v/>
      </c>
      <c r="CJ14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4" s="32" t="n">
        <f aca="false">IF(NOT(Tasks[[#This Row],[_IsLeaf]]=1),0,IF(N(Tasks[[#This Row],[Actual Finish]])&gt;0,1,MIN(1,N(Tasks[[#This Row],[% Complete]]))))</f>
        <v>0</v>
      </c>
      <c r="CM144" s="32" t="n">
        <f aca="false">IF(OR(NOT(Tasks[[#This Row],[_IsLeaf]]=1),Tasks[[#This Row],[Resource]]=""),0,N(Tasks[[#This Row],[Duration]])*HoursPerDay*IF(Tasks[[#This Row],[Units]]="",DefaultUnits,Tasks[[#This Row],[Units]]))</f>
        <v>0</v>
      </c>
      <c r="CN144" s="32" t="n">
        <f aca="false">IF(Tasks[[#This Row],[_LeafWork]]=0,0,Tasks[[#This Row],[_LeafWork]]*IFERROR(INDEX(res_Rate,MATCH(Tasks[[#This Row],[Resource]],res_Name,0)),0))</f>
        <v>0</v>
      </c>
      <c r="CO144" s="32" t="n">
        <f aca="false">Tasks[[#This Row],[_LeafWork]]+IF(Tasks[[#This Row],[_IsLeaf]]=1,SUMIFS(asg_Work,asg_TaskUID,Tasks[[#This Row],[UID]],asg_Valid,1),0)</f>
        <v>0</v>
      </c>
      <c r="CP144" s="32" t="n">
        <f aca="false">Tasks[[#This Row],[_LeafCost]]+IF(Tasks[[#This Row],[_IsLeaf]]=1,SUMIFS(asg_Cost,asg_TaskUID,Tasks[[#This Row],[UID]],asg_Valid,1),0)</f>
        <v>0</v>
      </c>
      <c r="CQ144" s="32" t="n">
        <f aca="false">IF(Tasks[[#This Row],[_LeafTotalCost]]=0,Tasks[[#This Row],[_LeafAC]],Tasks[[#This Row],[_LeafAC]]*Tasks[[#This Row],[_LeafCost]]/Tasks[[#This Row],[_LeafTotalCost]])</f>
        <v>0</v>
      </c>
      <c r="CR14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4" s="32" t="n">
        <f aca="false">IF(NOT(Tasks[[#This Row],[_IsLeaf]]=1),0,MAX(_xlfn.MAXIFS(Tasks[_Row],Tasks[Pred1 UID],Tasks[[#This Row],[UID]]),_xlfn.MAXIFS(Tasks[_Row],Tasks[Pred2 UID],Tasks[[#This Row],[UID]]),_xlfn.MAXIFS(Tasks[_Row],Tasks[Pred3 UID],Tasks[[#This Row],[UID]]),_xlfn.MAXIFS(Tasks[_Row],Tasks[Pred4 UID],Tasks[[#This Row],[UID]])))</f>
        <v>0</v>
      </c>
      <c r="DA14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4" s="115" t="str">
        <f aca="false">IF(NOT(Tasks[[#This Row],[_IsLeaf]]=1),"",IF(N(Tasks[[#This Row],[Duration]])&lt;=0,Tasks[[#This Row],[_LeafLateFinish]],WORKDAY.INTL(Tasks[[#This Row],[_LeafLateFinish]],-(Tasks[[#This Row],[Duration]]-1),WorkWeek,Holidays)))</f>
        <v/>
      </c>
      <c r="DD14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4" s="114" t="b">
        <f aca="false">AND(Tasks[[#This Row],[_IsLeaf]]=1,Tasks[[#This Row],[_LeafProgress]]&lt;1,N(Tasks[[#This Row],[_LeafTotalSlack]])&lt;=CriticalSlackDays)</f>
        <v>0</v>
      </c>
      <c r="DF144" s="32" t="n">
        <f aca="false">IF(AND(Tasks[[#This Row],[_IsLeaf]]=1,Tasks[[#This Row],[_ConstraintCode]]=1,Tasks[[#This Row],[Mode]]&lt;&gt;"Manual",N(Tasks[[#This Row],[Actual Start]])=0),MAX(0,N(Tasks[[#This Row],[Free Slack]])),0)</f>
        <v>0</v>
      </c>
      <c r="DG144" s="115" t="str">
        <f aca="false">IF(NOT(Tasks[[#This Row],[_IsLeaf]]=1),"",IF(Tasks[[#This Row],[_AlapShift]]=0,Tasks[[#This Row],[_LeafCalcStart]],WORKDAY.INTL(Tasks[[#This Row],[_LeafCalcStart]],Tasks[[#This Row],[_AlapShift]],WorkWeek,Holidays)))</f>
        <v/>
      </c>
      <c r="DH144" s="115" t="str">
        <f aca="false">IF(NOT(Tasks[[#This Row],[_IsLeaf]]=1),"",IF(Tasks[[#This Row],[_AlapShift]]=0,Tasks[[#This Row],[_LeafCalcFinish]],WORKDAY.INTL(Tasks[[#This Row],[_LeafCalcFinish]],Tasks[[#This Row],[_AlapShift]],WorkWeek,Holidays)))</f>
        <v/>
      </c>
      <c r="DI144" s="115" t="str">
        <f aca="false">IF(NOT(Tasks[[#This Row],[_IsLeaf]]=1),"",IF(Tasks[[#This Row],[_AlapShift]]=0,Tasks[[#This Row],[_LeafFcstStart]],WORKDAY.INTL(Tasks[[#This Row],[_LeafFcstStart]],Tasks[[#This Row],[_AlapShift]],WorkWeek,Holidays)))</f>
        <v/>
      </c>
      <c r="DJ144" s="115" t="str">
        <f aca="false">IF(NOT(Tasks[[#This Row],[_IsLeaf]]=1),"",IF(Tasks[[#This Row],[_AlapShift]]=0,Tasks[[#This Row],[_LeafFcstFinish]],WORKDAY.INTL(Tasks[[#This Row],[_LeafFcstFinish]],Tasks[[#This Row],[_AlapShift]],WorkWeek,Holidays)))</f>
        <v/>
      </c>
      <c r="DK144" s="115" t="str">
        <f aca="false">IF(Tasks[[#This Row],[Task Name]]="","",IF(Tasks[[#This Row],[_IsSummary]],MIN(INDEX(Tasks[_ShownCalcStart],Tasks[[#This Row],[_Row]]+1):INDEX(Tasks[_ShownCalcStart],Tasks[[#This Row],[_Row]]+Tasks[[#This Row],[_Descendants]])),Tasks[[#This Row],[_ShownCalcStart]]))</f>
        <v/>
      </c>
      <c r="DL144" s="115" t="str">
        <f aca="false">IF(Tasks[[#This Row],[Task Name]]="","",IF(Tasks[[#This Row],[_IsSummary]],MAX(INDEX(Tasks[_ShownCalcFinish],Tasks[[#This Row],[_Row]]+1):INDEX(Tasks[_ShownCalcFinish],Tasks[[#This Row],[_Row]]+Tasks[[#This Row],[_Descendants]])),Tasks[[#This Row],[_ShownCalcFinish]]))</f>
        <v/>
      </c>
      <c r="DM14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4" s="32" t="n">
        <f aca="false">IF(AND(Tasks[[#This Row],[_IsLeaf]]=1,Tasks[[#This Row],[_LeafTotalWork]]&gt;0),NETWORKDAYS.INTL(ProjectStart,Tasks[[#This Row],[_ShownFcstStart]],WorkWeek,Holidays),0)</f>
        <v>0</v>
      </c>
      <c r="DZ144" s="32" t="n">
        <f aca="false">IF(AND(Tasks[[#This Row],[_IsLeaf]]=1,Tasks[[#This Row],[_LeafTotalWork]]&gt;0),MAX(Tasks[[#This Row],[_StartWorkday]],NETWORKDAYS.INTL(ProjectStart,Tasks[[#This Row],[_ShownFcstFinish]],WorkWeek,Holidays)),0)</f>
        <v>0</v>
      </c>
      <c r="EA144" s="32" t="n">
        <f aca="false">IF(AND(Tasks[[#This Row],[_IsLeaf]]=1,Tasks[[#This Row],[_LeafTotalWork]]&gt;0),Tasks[[#This Row],[_LeafWork]]/(Tasks[[#This Row],[_FinishWorkday]]-Tasks[[#This Row],[_StartWorkday]]+1),0)</f>
        <v>0</v>
      </c>
      <c r="EB144" s="32" t="n">
        <f aca="false">Tasks[[#This Row],[_WorkPerWorkday]]*(Tasks[[#This Row],[_StartWorkday]]-1)</f>
        <v>-0</v>
      </c>
      <c r="EC144" s="32" t="n">
        <f aca="false">IF(Tasks[[#This Row],[_IsLeaf]]=1,MAX(N(Tasks[[#This Row],[Duration]]),0.1),0)</f>
        <v>0</v>
      </c>
      <c r="ED144" s="32" t="n">
        <f aca="false">Tasks[[#This Row],[_WeightDur]]*Tasks[[#This Row],[_LeafProgress]]</f>
        <v>0</v>
      </c>
      <c r="EE14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4" s="32" t="str">
        <f aca="false">IF(AND(Tasks[[#This Row],[_IsLeaf]]=1,N(Tasks[[#This Row],[Duration]])=0,Tasks[[#This Row],[_LeafProgress]]&lt;1),Tasks[[#This Row],[_ShownFcstFinish]]+Tasks[[#This Row],[_Row]]/100000,"")</f>
        <v/>
      </c>
      <c r="EG14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4" s="32" t="n">
        <f aca="false">IF(NOT(Tasks[[#This Row],[_IsLeaf]]=1),0,IF(Tasks[[#This Row],[Baseline Cost]]="",Tasks[[#This Row],[_LeafTotalCost]],N(Tasks[[#This Row],[Baseline Cost]])))</f>
        <v>0</v>
      </c>
      <c r="EI144" s="32" t="n">
        <f aca="false">Tasks[[#This Row],[_LeafBudget]]*Tasks[[#This Row],[_PlannedPct]]</f>
        <v>0</v>
      </c>
      <c r="EJ144" s="32" t="n">
        <f aca="false">Tasks[[#This Row],[_LeafBudget]]*Tasks[[#This Row],[_LeafProgress]]</f>
        <v>0</v>
      </c>
      <c r="EK144" s="32" t="n">
        <f aca="false">IF(NOT(Tasks[[#This Row],[_IsLeaf]]=1),0,IF(Tasks[[#This Row],[Actual Cost]]="",Tasks[[#This Row],[_LeafTotalCost]]*Tasks[[#This Row],[_LeafProgress]],N(Tasks[[#This Row],[Actual Cost]])))</f>
        <v>0</v>
      </c>
      <c r="EL144" s="32" t="str">
        <f aca="false">IF(Tasks[[#This Row],[Task Name]]="","",LEFT(Tasks[[#This Row],[WBS]],FIND(".",Tasks[[#This Row],[WBS]]&amp;".")-1))</f>
        <v/>
      </c>
      <c r="EM144" s="32" t="str">
        <f aca="false">IF(AND(Tasks[[#This Row],[Task Name]]&lt;&gt;"",Tasks[[#This Row],[_Level]]=1),Tasks[[#This Row],[_Row]],"")</f>
        <v/>
      </c>
      <c r="EN144" s="32" t="str">
        <f aca="false">IF(AND(Tasks[[#This Row],[_IsLeaf]]=1,N(Tasks[[#This Row],[Duration]])=0),Tasks[[#This Row],[Planned Finish]]+Tasks[[#This Row],[_Row]]/100000,"")</f>
        <v/>
      </c>
      <c r="EO144" s="32" t="str">
        <f aca="false">IF(AND(Tasks[[#This Row],[_IsLeaf]]=1,Tasks[[#This Row],[_LeafProgress]]&lt;1,OR(N(Tasks[[#This Row],[Finish Var]])&gt;0,Tasks[[#This Row],[Status]]="Late Start")),MAX(0,Tasks[[#This Row],[Finish Var]])+1-Tasks[[#This Row],[_Row]]/1000000,"")</f>
        <v/>
      </c>
      <c r="EP144" s="32" t="str">
        <f aca="false">IF(AND(Tasks[[#This Row],[_IsLeaf]]=1,N(Tasks[[#This Row],[Actual Start]])=0,Tasks[[#This Row],[_ShownFcstStart]]&gt;=StatusDate,Tasks[[#This Row],[_ShownFcstStart]]&lt;=LookaheadEnd),Tasks[[#This Row],[_ShownFcstStart]]+Tasks[[#This Row],[_Row]]/100000,"")</f>
        <v/>
      </c>
      <c r="EQ144" s="32" t="str">
        <f aca="false">IF(AND(Tasks[[#This Row],[_IsLeaf]]=1,Tasks[[#This Row],[_LeafProgress]]&lt;1,Tasks[[#This Row],[_ShownFcstFinish]]&gt;=StatusDate,Tasks[[#This Row],[_ShownFcstFinish]]&lt;=LookaheadEnd),Tasks[[#This Row],[_ShownFcstFinish]]+Tasks[[#This Row],[_Row]]/100000,"")</f>
        <v/>
      </c>
      <c r="ER144" s="32" t="str">
        <f aca="false">IF(Tasks[[#This Row],[_LeafCritical]],Tasks[[#This Row],[_ShownFcstStart]]+Tasks[[#This Row],[_Row]]/100000,"")</f>
        <v/>
      </c>
      <c r="ES144" s="32" t="n">
        <f aca="false">Tasks[[#This Row],[_LeafWork]]*Tasks[[#This Row],[_LeafProgress]]</f>
        <v>0</v>
      </c>
      <c r="ET144" s="115" t="str">
        <f aca="false">IF(AND(Tasks[[#This Row],[_IsLeaf]]=1,Tasks[[#This Row],[_LeafProgress]]&gt;=1),IF(N(Tasks[[#This Row],[Actual Finish]])&gt;0,Tasks[[#This Row],[Actual Finish]],Tasks[[#This Row],[_ShownFcstFinish]]),"")</f>
        <v/>
      </c>
      <c r="EU144" s="32" t="n">
        <f aca="false">IF(Tasks[[#This Row],[_IsLeaf]]=1,N(Tasks[[#This Row],[Story Points]]),0)</f>
        <v>0</v>
      </c>
      <c r="EV144" s="32" t="str">
        <f aca="false">IF(AND(Tasks[[#This Row],[_IsLeaf]]=1,CurrentSprint&lt;&gt;"",Tasks[[#This Row],[Sprint]]=CurrentSprint),Tasks[[#This Row],[_Row]],"")</f>
        <v/>
      </c>
    </row>
    <row r="145" customFormat="false" ht="15" hidden="false" customHeight="false" outlineLevel="0" collapsed="false">
      <c r="A145" s="45" t="str">
        <f aca="false">IF(Tasks[[#This Row],[Task Name]]="","",COUNTA(Tasks[[#Headers],[Task Name]]:Tasks[[#This Row],[Task Name]])-1)</f>
        <v/>
      </c>
      <c r="B145" s="46" t="n">
        <v>140</v>
      </c>
      <c r="C14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5" s="46"/>
      <c r="E145" s="45" t="str">
        <f aca="false">IF(Tasks[[#This Row],[Task Name]]="","",IF(Tasks[[#This Row],[_Level]]&lt;=OutlineShowLevel,"Yes","No"))</f>
        <v/>
      </c>
      <c r="F145" s="47"/>
      <c r="G145" s="46"/>
      <c r="H145" s="46"/>
      <c r="I145" s="46"/>
      <c r="J145" s="46"/>
      <c r="K145" s="46"/>
      <c r="L145" s="46"/>
      <c r="M145" s="46"/>
      <c r="N145" s="46"/>
      <c r="O145" s="46"/>
      <c r="P145" s="46"/>
      <c r="Q145" s="46"/>
      <c r="R145" s="46"/>
      <c r="S145" s="46"/>
      <c r="T145" s="46"/>
      <c r="U145" s="47"/>
      <c r="V145" s="88"/>
      <c r="W145" s="88"/>
      <c r="X145" s="25" t="str">
        <f aca="false">IF(Tasks[[#This Row],[Task Name]]="","",IF(N(Tasks[[#This Row],[Baseline Start]])&gt;0,Tasks[[#This Row],[Baseline Start]],Tasks[[#This Row],[_CalcStart]]))</f>
        <v/>
      </c>
      <c r="Y145" s="25" t="str">
        <f aca="false">IF(Tasks[[#This Row],[Task Name]]="","",IF(N(Tasks[[#This Row],[Baseline Finish]])&gt;0,Tasks[[#This Row],[Baseline Finish]],Tasks[[#This Row],[_CalcFinish]]))</f>
        <v/>
      </c>
      <c r="Z145" s="88"/>
      <c r="AA145" s="88"/>
      <c r="AB145" s="25" t="str">
        <f aca="false">IF(Tasks[[#This Row],[Task Name]]="","",IF(Tasks[[#This Row],[_IsSummary]],MIN(INDEX(Tasks[_ShownFcstStart],Tasks[[#This Row],[_Row]]+1):INDEX(Tasks[_ShownFcstStart],Tasks[[#This Row],[_Row]]+Tasks[[#This Row],[_Descendants]])),Tasks[[#This Row],[_ShownFcstStart]]))</f>
        <v/>
      </c>
      <c r="AC145" s="25" t="str">
        <f aca="false">IF(Tasks[[#This Row],[Task Name]]="","",IF(Tasks[[#This Row],[_IsSummary]],MAX(INDEX(Tasks[_ShownFcstFinish],Tasks[[#This Row],[_Row]]+1):INDEX(Tasks[_ShownFcstFinish],Tasks[[#This Row],[_Row]]+Tasks[[#This Row],[_Descendants]])),Tasks[[#This Row],[_ShownFcstFinish]]))</f>
        <v/>
      </c>
      <c r="AD14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5" s="25" t="str">
        <f aca="false">IF(Tasks[[#This Row],[Task Name]]="","",IF(Tasks[[#This Row],[_IsSummary]],MIN(INDEX(Tasks[_LeafLateStart],Tasks[[#This Row],[_Row]]+1):INDEX(Tasks[_LeafLateStart],Tasks[[#This Row],[_Row]]+Tasks[[#This Row],[_Descendants]])),Tasks[[#This Row],[_LeafLateStart]]))</f>
        <v/>
      </c>
      <c r="AG145" s="25" t="str">
        <f aca="false">IF(Tasks[[#This Row],[Task Name]]="","",IF(Tasks[[#This Row],[_IsSummary]],MAX(INDEX(Tasks[_LeafLateFinish],Tasks[[#This Row],[_Row]]+1):INDEX(Tasks[_LeafLateFinish],Tasks[[#This Row],[_Row]]+Tasks[[#This Row],[_Descendants]])),Tasks[[#This Row],[_LeafLateFinish]]))</f>
        <v/>
      </c>
      <c r="AH145" s="56" t="str">
        <f aca="false">IF(Tasks[[#This Row],[Task Name]]="","",IF(Tasks[[#This Row],[_IsSummary]],MIN(INDEX(Tasks[_LeafTotalSlack],Tasks[[#This Row],[_Row]]+1):INDEX(Tasks[_LeafTotalSlack],Tasks[[#This Row],[_Row]]+Tasks[[#This Row],[_Descendants]])),Tasks[[#This Row],[_LeafTotalSlack]]))</f>
        <v/>
      </c>
      <c r="AI14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5" s="45" t="str">
        <f aca="false">IF(Tasks[[#This Row],[Task Name]]="","",IF(IF(Tasks[[#This Row],[_IsSummary]],COUNTIF(INDEX(Tasks[_LeafCritical],Tasks[[#This Row],[_Row]]+1):INDEX(Tasks[_LeafCritical],Tasks[[#This Row],[_Row]]+Tasks[[#This Row],[_Descendants]]),TRUE())&gt;0,Tasks[[#This Row],[_LeafCritical]]),"Yes",""))</f>
        <v/>
      </c>
      <c r="AK14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5" s="102"/>
      <c r="AN14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5" s="45" t="str">
        <f aca="false">IF(Tasks[[#This Row],[Task Name]]="","",IF(Tasks[[#This Row],[Progress]]&gt;=1,"Complete",IF(OR(N(Tasks[[#This Row],[Actual Start]])&gt;0,Tasks[[#This Row],[Progress]]&gt;0),IF(Tasks[[#This Row],[Finish Var]]&gt;0,"Behind","In Progress"),IF(Tasks[[#This Row],[Planned Start]]&lt;StatusDate,"Late Start","Not Started"))))</f>
        <v/>
      </c>
      <c r="AP145" s="47"/>
      <c r="AQ145" s="102"/>
      <c r="AR14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5" s="110" t="str">
        <f aca="false">IF(Tasks[[#This Row],[Task Name]]="","",IF(Tasks[[#This Row],[_IsSummary]],SUM(INDEX(Tasks[_LeafTotalWork],Tasks[[#This Row],[_Row]]+1):INDEX(Tasks[_LeafTotalWork],Tasks[[#This Row],[_Row]]+Tasks[[#This Row],[_Descendants]])),Tasks[[#This Row],[_LeafTotalWork]]))</f>
        <v/>
      </c>
      <c r="AU145" s="111" t="str">
        <f aca="false">IF(Tasks[[#This Row],[Task Name]]="","",IF(Tasks[[#This Row],[_IsSummary]],SUM(INDEX(Tasks[_LeafTotalCost],Tasks[[#This Row],[_Row]]+1):INDEX(Tasks[_LeafTotalCost],Tasks[[#This Row],[_Row]]+Tasks[[#This Row],[_Descendants]])),Tasks[[#This Row],[_LeafTotalCost]]))</f>
        <v/>
      </c>
      <c r="AV145" s="112"/>
      <c r="AW145" s="46"/>
      <c r="AX14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5" s="96"/>
      <c r="AZ14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5" s="47"/>
      <c r="BB145" s="25" t="str">
        <f aca="false">IF(Tasks[[#This Row],[Task Name]]="","",Tasks[[#This Row],[Forecast Start]])</f>
        <v/>
      </c>
      <c r="BC145" s="25" t="str">
        <f aca="false">IF(Tasks[[#This Row],[Task Name]]="","",Tasks[[#This Row],[Forecast Finish]])</f>
        <v/>
      </c>
      <c r="BD145" s="45" t="str">
        <f aca="false">IF(Tasks[[#This Row],[Task Name]]="","",IF(Tasks[[#This Row],[_IsSummary]],NETWORKDAYS.INTL(Tasks[[#This Row],[Forecast Start]],Tasks[[#This Row],[Forecast Finish]],WorkWeek,Holidays),N(Tasks[[#This Row],[Duration]])))</f>
        <v/>
      </c>
      <c r="BE145" s="110" t="str">
        <f aca="false">IF(Tasks[[#This Row],[Task Name]]="","",Tasks[[#This Row],[Work]])</f>
        <v/>
      </c>
      <c r="BF145" s="111" t="str">
        <f aca="false">IF(Tasks[[#This Row],[Task Name]]="","",Tasks[[#This Row],[Cost]])</f>
        <v/>
      </c>
      <c r="BG145" s="88"/>
      <c r="BH145" s="88"/>
      <c r="BI145" s="46"/>
      <c r="BJ145" s="113"/>
      <c r="BK145" s="112"/>
      <c r="BL145" s="45" t="str">
        <f aca="false">IF(OR(Tasks[[#This Row],[Task Name]]="",Tasks[[#This Row],[Baseline Duration]]=""),"",Tasks[[#This Row],[BL Source Duration]]-N(Tasks[[#This Row],[Baseline Duration]]))</f>
        <v/>
      </c>
      <c r="BM145" s="110" t="str">
        <f aca="false">IF(OR(Tasks[[#This Row],[Task Name]]="",Tasks[[#This Row],[Baseline Work]]=""),"",Tasks[[#This Row],[Work]]-N(Tasks[[#This Row],[Baseline Work]]))</f>
        <v/>
      </c>
      <c r="BN145" s="111" t="str">
        <f aca="false">IF(OR(Tasks[[#This Row],[Task Name]]="",Tasks[[#This Row],[Baseline Cost]]=""),"",Tasks[[#This Row],[Cost]]-N(Tasks[[#This Row],[Baseline Cost]]))</f>
        <v/>
      </c>
      <c r="BO145" s="111" t="str">
        <f aca="false">IF(Tasks[[#This Row],[Task Name]]="","",IF(Tasks[[#This Row],[_IsSummary]],SUM(INDEX(Tasks[_LeafBudget],Tasks[[#This Row],[_Row]]+1):INDEX(Tasks[_LeafBudget],Tasks[[#This Row],[_Row]]+Tasks[[#This Row],[_Descendants]])),Tasks[[#This Row],[_LeafBudget]]))</f>
        <v/>
      </c>
      <c r="BP145" s="111" t="str">
        <f aca="false">IF(Tasks[[#This Row],[Task Name]]="","",IF(Tasks[[#This Row],[_IsSummary]],SUM(INDEX(Tasks[_LeafPV],Tasks[[#This Row],[_Row]]+1):INDEX(Tasks[_LeafPV],Tasks[[#This Row],[_Row]]+Tasks[[#This Row],[_Descendants]])),Tasks[[#This Row],[_LeafPV]]))</f>
        <v/>
      </c>
      <c r="BQ145" s="111" t="str">
        <f aca="false">IF(Tasks[[#This Row],[Task Name]]="","",IF(Tasks[[#This Row],[_IsSummary]],SUM(INDEX(Tasks[_LeafEV],Tasks[[#This Row],[_Row]]+1):INDEX(Tasks[_LeafEV],Tasks[[#This Row],[_Row]]+Tasks[[#This Row],[_Descendants]])),Tasks[[#This Row],[_LeafEV]]))</f>
        <v/>
      </c>
      <c r="BR145" s="111" t="str">
        <f aca="false">IF(Tasks[[#This Row],[Task Name]]="","",IF(Tasks[[#This Row],[_IsSummary]],SUM(INDEX(Tasks[_LeafAC],Tasks[[#This Row],[_Row]]+1):INDEX(Tasks[_LeafAC],Tasks[[#This Row],[_Row]]+Tasks[[#This Row],[_Descendants]])),Tasks[[#This Row],[_LeafAC]]))</f>
        <v/>
      </c>
      <c r="BS145" s="32" t="str">
        <f aca="false">IF(Tasks[[#This Row],[Task Name]]="","",MAX(1,N(Tasks[[#This Row],[Level]])))</f>
        <v/>
      </c>
      <c r="BT145" s="32" t="n">
        <f aca="false">ROW()-ROW(Tasks[[#Headers],[ID]])</f>
        <v>140</v>
      </c>
      <c r="BU145" s="32" t="n">
        <f aca="false">IF(OR(Tasks[[#This Row],[Task Name]]="",Tasks[[#This Row],[_Level]]&lt;=1),0,IFERROR(LOOKUP(2,1/(Tasks[[#Headers],[_Level]]:Tasks[[#This Row],[_Level]]=Tasks[[#This Row],[_Level]]-1),ROW(Tasks[[#Headers],[_Level]]:Tasks[[#This Row],[_Level]])),0))</f>
        <v>0</v>
      </c>
      <c r="BV145" s="32" t="n">
        <f aca="false">IFERROR(N(INDEX(Tasks[_Level],Tasks[[#This Row],[_Row]]+1)),0)</f>
        <v>0</v>
      </c>
      <c r="BW145" s="114" t="b">
        <f aca="false">AND(Tasks[[#This Row],[Task Name]]&lt;&gt;"",Tasks[[#This Row],[_NextLevel]]&gt;Tasks[[#This Row],[_Level]])</f>
        <v>0</v>
      </c>
      <c r="BX145" s="32" t="n">
        <f aca="false">IF(Tasks[[#This Row],[_IsSummary]],COUNTIF(Tasks[WBS],Tasks[[#This Row],[WBS]]&amp;".*"),0)</f>
        <v>0</v>
      </c>
      <c r="BY145" s="32" t="n">
        <f aca="false">IF(AND(Tasks[[#This Row],[Task Name]]&lt;&gt;"",NOT(Tasks[[#This Row],[_IsSummary]])),1,0)</f>
        <v>0</v>
      </c>
      <c r="BZ145" s="32" t="n">
        <f aca="false">IF(N(Tasks[[#This Row],[Pred1 UID]])=0,0,IFERROR(MATCH(Tasks[[#This Row],[Pred1 UID]],Tasks[UID],0),-1))</f>
        <v>0</v>
      </c>
      <c r="CA145" s="32" t="n">
        <f aca="false">IF(N(Tasks[[#This Row],[Pred2 UID]])=0,0,IFERROR(MATCH(Tasks[[#This Row],[Pred2 UID]],Tasks[UID],0),-1))</f>
        <v>0</v>
      </c>
      <c r="CB145" s="32" t="n">
        <f aca="false">IF(N(Tasks[[#This Row],[Pred3 UID]])=0,0,IFERROR(MATCH(Tasks[[#This Row],[Pred3 UID]],Tasks[UID],0),-1))</f>
        <v>0</v>
      </c>
      <c r="CC145" s="32" t="n">
        <f aca="false">IF(N(Tasks[[#This Row],[Pred4 UID]])=0,0,IFERROR(MATCH(Tasks[[#This Row],[Pred4 UID]],Tasks[UID],0),-1))</f>
        <v>0</v>
      </c>
      <c r="CD14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5" s="115" t="n">
        <f aca="false">IF(OR(Tasks[[#This Row],[_ConstraintCode]]=2,Tasks[[#This Row],[_ConstraintCode]]=3,Tasks[[#This Row],[_ConstraintCode]]=4,Tasks[[#This Row],[_ConstraintCode]]=6),Tasks[[#This Row],[_ConstraintStart]],0)</f>
        <v>0</v>
      </c>
      <c r="CG145" s="115" t="n">
        <f aca="false">IF(OR(Tasks[[#This Row],[_ConstraintCode]]=2,Tasks[[#This Row],[_ConstraintCode]]=3,Tasks[[#This Row],[_ConstraintCode]]=5,Tasks[[#This Row],[_ConstraintCode]]=7),Tasks[[#This Row],[_ConstraintStart]],2958465)</f>
        <v>2958465</v>
      </c>
      <c r="CH14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5" s="115" t="str">
        <f aca="false">IF(NOT(Tasks[[#This Row],[_IsLeaf]]=1),"",IF(N(Tasks[[#This Row],[Duration]])&lt;=0,Tasks[[#This Row],[_LeafCalcStart]],WORKDAY.INTL(Tasks[[#This Row],[_LeafCalcStart]],Tasks[[#This Row],[Duration]]-1,WorkWeek,Holidays)))</f>
        <v/>
      </c>
      <c r="CJ14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5" s="32" t="n">
        <f aca="false">IF(NOT(Tasks[[#This Row],[_IsLeaf]]=1),0,IF(N(Tasks[[#This Row],[Actual Finish]])&gt;0,1,MIN(1,N(Tasks[[#This Row],[% Complete]]))))</f>
        <v>0</v>
      </c>
      <c r="CM145" s="32" t="n">
        <f aca="false">IF(OR(NOT(Tasks[[#This Row],[_IsLeaf]]=1),Tasks[[#This Row],[Resource]]=""),0,N(Tasks[[#This Row],[Duration]])*HoursPerDay*IF(Tasks[[#This Row],[Units]]="",DefaultUnits,Tasks[[#This Row],[Units]]))</f>
        <v>0</v>
      </c>
      <c r="CN145" s="32" t="n">
        <f aca="false">IF(Tasks[[#This Row],[_LeafWork]]=0,0,Tasks[[#This Row],[_LeafWork]]*IFERROR(INDEX(res_Rate,MATCH(Tasks[[#This Row],[Resource]],res_Name,0)),0))</f>
        <v>0</v>
      </c>
      <c r="CO145" s="32" t="n">
        <f aca="false">Tasks[[#This Row],[_LeafWork]]+IF(Tasks[[#This Row],[_IsLeaf]]=1,SUMIFS(asg_Work,asg_TaskUID,Tasks[[#This Row],[UID]],asg_Valid,1),0)</f>
        <v>0</v>
      </c>
      <c r="CP145" s="32" t="n">
        <f aca="false">Tasks[[#This Row],[_LeafCost]]+IF(Tasks[[#This Row],[_IsLeaf]]=1,SUMIFS(asg_Cost,asg_TaskUID,Tasks[[#This Row],[UID]],asg_Valid,1),0)</f>
        <v>0</v>
      </c>
      <c r="CQ145" s="32" t="n">
        <f aca="false">IF(Tasks[[#This Row],[_LeafTotalCost]]=0,Tasks[[#This Row],[_LeafAC]],Tasks[[#This Row],[_LeafAC]]*Tasks[[#This Row],[_LeafCost]]/Tasks[[#This Row],[_LeafTotalCost]])</f>
        <v>0</v>
      </c>
      <c r="CR14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5" s="32" t="n">
        <f aca="false">IF(NOT(Tasks[[#This Row],[_IsLeaf]]=1),0,MAX(_xlfn.MAXIFS(Tasks[_Row],Tasks[Pred1 UID],Tasks[[#This Row],[UID]]),_xlfn.MAXIFS(Tasks[_Row],Tasks[Pred2 UID],Tasks[[#This Row],[UID]]),_xlfn.MAXIFS(Tasks[_Row],Tasks[Pred3 UID],Tasks[[#This Row],[UID]]),_xlfn.MAXIFS(Tasks[_Row],Tasks[Pred4 UID],Tasks[[#This Row],[UID]])))</f>
        <v>0</v>
      </c>
      <c r="DA14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5" s="115" t="str">
        <f aca="false">IF(NOT(Tasks[[#This Row],[_IsLeaf]]=1),"",IF(N(Tasks[[#This Row],[Duration]])&lt;=0,Tasks[[#This Row],[_LeafLateFinish]],WORKDAY.INTL(Tasks[[#This Row],[_LeafLateFinish]],-(Tasks[[#This Row],[Duration]]-1),WorkWeek,Holidays)))</f>
        <v/>
      </c>
      <c r="DD14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5" s="114" t="b">
        <f aca="false">AND(Tasks[[#This Row],[_IsLeaf]]=1,Tasks[[#This Row],[_LeafProgress]]&lt;1,N(Tasks[[#This Row],[_LeafTotalSlack]])&lt;=CriticalSlackDays)</f>
        <v>0</v>
      </c>
      <c r="DF145" s="32" t="n">
        <f aca="false">IF(AND(Tasks[[#This Row],[_IsLeaf]]=1,Tasks[[#This Row],[_ConstraintCode]]=1,Tasks[[#This Row],[Mode]]&lt;&gt;"Manual",N(Tasks[[#This Row],[Actual Start]])=0),MAX(0,N(Tasks[[#This Row],[Free Slack]])),0)</f>
        <v>0</v>
      </c>
      <c r="DG145" s="115" t="str">
        <f aca="false">IF(NOT(Tasks[[#This Row],[_IsLeaf]]=1),"",IF(Tasks[[#This Row],[_AlapShift]]=0,Tasks[[#This Row],[_LeafCalcStart]],WORKDAY.INTL(Tasks[[#This Row],[_LeafCalcStart]],Tasks[[#This Row],[_AlapShift]],WorkWeek,Holidays)))</f>
        <v/>
      </c>
      <c r="DH145" s="115" t="str">
        <f aca="false">IF(NOT(Tasks[[#This Row],[_IsLeaf]]=1),"",IF(Tasks[[#This Row],[_AlapShift]]=0,Tasks[[#This Row],[_LeafCalcFinish]],WORKDAY.INTL(Tasks[[#This Row],[_LeafCalcFinish]],Tasks[[#This Row],[_AlapShift]],WorkWeek,Holidays)))</f>
        <v/>
      </c>
      <c r="DI145" s="115" t="str">
        <f aca="false">IF(NOT(Tasks[[#This Row],[_IsLeaf]]=1),"",IF(Tasks[[#This Row],[_AlapShift]]=0,Tasks[[#This Row],[_LeafFcstStart]],WORKDAY.INTL(Tasks[[#This Row],[_LeafFcstStart]],Tasks[[#This Row],[_AlapShift]],WorkWeek,Holidays)))</f>
        <v/>
      </c>
      <c r="DJ145" s="115" t="str">
        <f aca="false">IF(NOT(Tasks[[#This Row],[_IsLeaf]]=1),"",IF(Tasks[[#This Row],[_AlapShift]]=0,Tasks[[#This Row],[_LeafFcstFinish]],WORKDAY.INTL(Tasks[[#This Row],[_LeafFcstFinish]],Tasks[[#This Row],[_AlapShift]],WorkWeek,Holidays)))</f>
        <v/>
      </c>
      <c r="DK145" s="115" t="str">
        <f aca="false">IF(Tasks[[#This Row],[Task Name]]="","",IF(Tasks[[#This Row],[_IsSummary]],MIN(INDEX(Tasks[_ShownCalcStart],Tasks[[#This Row],[_Row]]+1):INDEX(Tasks[_ShownCalcStart],Tasks[[#This Row],[_Row]]+Tasks[[#This Row],[_Descendants]])),Tasks[[#This Row],[_ShownCalcStart]]))</f>
        <v/>
      </c>
      <c r="DL145" s="115" t="str">
        <f aca="false">IF(Tasks[[#This Row],[Task Name]]="","",IF(Tasks[[#This Row],[_IsSummary]],MAX(INDEX(Tasks[_ShownCalcFinish],Tasks[[#This Row],[_Row]]+1):INDEX(Tasks[_ShownCalcFinish],Tasks[[#This Row],[_Row]]+Tasks[[#This Row],[_Descendants]])),Tasks[[#This Row],[_ShownCalcFinish]]))</f>
        <v/>
      </c>
      <c r="DM14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5" s="32" t="n">
        <f aca="false">IF(AND(Tasks[[#This Row],[_IsLeaf]]=1,Tasks[[#This Row],[_LeafTotalWork]]&gt;0),NETWORKDAYS.INTL(ProjectStart,Tasks[[#This Row],[_ShownFcstStart]],WorkWeek,Holidays),0)</f>
        <v>0</v>
      </c>
      <c r="DZ145" s="32" t="n">
        <f aca="false">IF(AND(Tasks[[#This Row],[_IsLeaf]]=1,Tasks[[#This Row],[_LeafTotalWork]]&gt;0),MAX(Tasks[[#This Row],[_StartWorkday]],NETWORKDAYS.INTL(ProjectStart,Tasks[[#This Row],[_ShownFcstFinish]],WorkWeek,Holidays)),0)</f>
        <v>0</v>
      </c>
      <c r="EA145" s="32" t="n">
        <f aca="false">IF(AND(Tasks[[#This Row],[_IsLeaf]]=1,Tasks[[#This Row],[_LeafTotalWork]]&gt;0),Tasks[[#This Row],[_LeafWork]]/(Tasks[[#This Row],[_FinishWorkday]]-Tasks[[#This Row],[_StartWorkday]]+1),0)</f>
        <v>0</v>
      </c>
      <c r="EB145" s="32" t="n">
        <f aca="false">Tasks[[#This Row],[_WorkPerWorkday]]*(Tasks[[#This Row],[_StartWorkday]]-1)</f>
        <v>-0</v>
      </c>
      <c r="EC145" s="32" t="n">
        <f aca="false">IF(Tasks[[#This Row],[_IsLeaf]]=1,MAX(N(Tasks[[#This Row],[Duration]]),0.1),0)</f>
        <v>0</v>
      </c>
      <c r="ED145" s="32" t="n">
        <f aca="false">Tasks[[#This Row],[_WeightDur]]*Tasks[[#This Row],[_LeafProgress]]</f>
        <v>0</v>
      </c>
      <c r="EE14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5" s="32" t="str">
        <f aca="false">IF(AND(Tasks[[#This Row],[_IsLeaf]]=1,N(Tasks[[#This Row],[Duration]])=0,Tasks[[#This Row],[_LeafProgress]]&lt;1),Tasks[[#This Row],[_ShownFcstFinish]]+Tasks[[#This Row],[_Row]]/100000,"")</f>
        <v/>
      </c>
      <c r="EG14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5" s="32" t="n">
        <f aca="false">IF(NOT(Tasks[[#This Row],[_IsLeaf]]=1),0,IF(Tasks[[#This Row],[Baseline Cost]]="",Tasks[[#This Row],[_LeafTotalCost]],N(Tasks[[#This Row],[Baseline Cost]])))</f>
        <v>0</v>
      </c>
      <c r="EI145" s="32" t="n">
        <f aca="false">Tasks[[#This Row],[_LeafBudget]]*Tasks[[#This Row],[_PlannedPct]]</f>
        <v>0</v>
      </c>
      <c r="EJ145" s="32" t="n">
        <f aca="false">Tasks[[#This Row],[_LeafBudget]]*Tasks[[#This Row],[_LeafProgress]]</f>
        <v>0</v>
      </c>
      <c r="EK145" s="32" t="n">
        <f aca="false">IF(NOT(Tasks[[#This Row],[_IsLeaf]]=1),0,IF(Tasks[[#This Row],[Actual Cost]]="",Tasks[[#This Row],[_LeafTotalCost]]*Tasks[[#This Row],[_LeafProgress]],N(Tasks[[#This Row],[Actual Cost]])))</f>
        <v>0</v>
      </c>
      <c r="EL145" s="32" t="str">
        <f aca="false">IF(Tasks[[#This Row],[Task Name]]="","",LEFT(Tasks[[#This Row],[WBS]],FIND(".",Tasks[[#This Row],[WBS]]&amp;".")-1))</f>
        <v/>
      </c>
      <c r="EM145" s="32" t="str">
        <f aca="false">IF(AND(Tasks[[#This Row],[Task Name]]&lt;&gt;"",Tasks[[#This Row],[_Level]]=1),Tasks[[#This Row],[_Row]],"")</f>
        <v/>
      </c>
      <c r="EN145" s="32" t="str">
        <f aca="false">IF(AND(Tasks[[#This Row],[_IsLeaf]]=1,N(Tasks[[#This Row],[Duration]])=0),Tasks[[#This Row],[Planned Finish]]+Tasks[[#This Row],[_Row]]/100000,"")</f>
        <v/>
      </c>
      <c r="EO145" s="32" t="str">
        <f aca="false">IF(AND(Tasks[[#This Row],[_IsLeaf]]=1,Tasks[[#This Row],[_LeafProgress]]&lt;1,OR(N(Tasks[[#This Row],[Finish Var]])&gt;0,Tasks[[#This Row],[Status]]="Late Start")),MAX(0,Tasks[[#This Row],[Finish Var]])+1-Tasks[[#This Row],[_Row]]/1000000,"")</f>
        <v/>
      </c>
      <c r="EP145" s="32" t="str">
        <f aca="false">IF(AND(Tasks[[#This Row],[_IsLeaf]]=1,N(Tasks[[#This Row],[Actual Start]])=0,Tasks[[#This Row],[_ShownFcstStart]]&gt;=StatusDate,Tasks[[#This Row],[_ShownFcstStart]]&lt;=LookaheadEnd),Tasks[[#This Row],[_ShownFcstStart]]+Tasks[[#This Row],[_Row]]/100000,"")</f>
        <v/>
      </c>
      <c r="EQ145" s="32" t="str">
        <f aca="false">IF(AND(Tasks[[#This Row],[_IsLeaf]]=1,Tasks[[#This Row],[_LeafProgress]]&lt;1,Tasks[[#This Row],[_ShownFcstFinish]]&gt;=StatusDate,Tasks[[#This Row],[_ShownFcstFinish]]&lt;=LookaheadEnd),Tasks[[#This Row],[_ShownFcstFinish]]+Tasks[[#This Row],[_Row]]/100000,"")</f>
        <v/>
      </c>
      <c r="ER145" s="32" t="str">
        <f aca="false">IF(Tasks[[#This Row],[_LeafCritical]],Tasks[[#This Row],[_ShownFcstStart]]+Tasks[[#This Row],[_Row]]/100000,"")</f>
        <v/>
      </c>
      <c r="ES145" s="32" t="n">
        <f aca="false">Tasks[[#This Row],[_LeafWork]]*Tasks[[#This Row],[_LeafProgress]]</f>
        <v>0</v>
      </c>
      <c r="ET145" s="115" t="str">
        <f aca="false">IF(AND(Tasks[[#This Row],[_IsLeaf]]=1,Tasks[[#This Row],[_LeafProgress]]&gt;=1),IF(N(Tasks[[#This Row],[Actual Finish]])&gt;0,Tasks[[#This Row],[Actual Finish]],Tasks[[#This Row],[_ShownFcstFinish]]),"")</f>
        <v/>
      </c>
      <c r="EU145" s="32" t="n">
        <f aca="false">IF(Tasks[[#This Row],[_IsLeaf]]=1,N(Tasks[[#This Row],[Story Points]]),0)</f>
        <v>0</v>
      </c>
      <c r="EV145" s="32" t="str">
        <f aca="false">IF(AND(Tasks[[#This Row],[_IsLeaf]]=1,CurrentSprint&lt;&gt;"",Tasks[[#This Row],[Sprint]]=CurrentSprint),Tasks[[#This Row],[_Row]],"")</f>
        <v/>
      </c>
    </row>
    <row r="146" customFormat="false" ht="15" hidden="false" customHeight="false" outlineLevel="0" collapsed="false">
      <c r="A146" s="45" t="str">
        <f aca="false">IF(Tasks[[#This Row],[Task Name]]="","",COUNTA(Tasks[[#Headers],[Task Name]]:Tasks[[#This Row],[Task Name]])-1)</f>
        <v/>
      </c>
      <c r="B146" s="46" t="n">
        <v>141</v>
      </c>
      <c r="C14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6" s="46"/>
      <c r="E146" s="45" t="str">
        <f aca="false">IF(Tasks[[#This Row],[Task Name]]="","",IF(Tasks[[#This Row],[_Level]]&lt;=OutlineShowLevel,"Yes","No"))</f>
        <v/>
      </c>
      <c r="F146" s="47"/>
      <c r="G146" s="46"/>
      <c r="H146" s="46"/>
      <c r="I146" s="46"/>
      <c r="J146" s="46"/>
      <c r="K146" s="46"/>
      <c r="L146" s="46"/>
      <c r="M146" s="46"/>
      <c r="N146" s="46"/>
      <c r="O146" s="46"/>
      <c r="P146" s="46"/>
      <c r="Q146" s="46"/>
      <c r="R146" s="46"/>
      <c r="S146" s="46"/>
      <c r="T146" s="46"/>
      <c r="U146" s="47"/>
      <c r="V146" s="88"/>
      <c r="W146" s="88"/>
      <c r="X146" s="25" t="str">
        <f aca="false">IF(Tasks[[#This Row],[Task Name]]="","",IF(N(Tasks[[#This Row],[Baseline Start]])&gt;0,Tasks[[#This Row],[Baseline Start]],Tasks[[#This Row],[_CalcStart]]))</f>
        <v/>
      </c>
      <c r="Y146" s="25" t="str">
        <f aca="false">IF(Tasks[[#This Row],[Task Name]]="","",IF(N(Tasks[[#This Row],[Baseline Finish]])&gt;0,Tasks[[#This Row],[Baseline Finish]],Tasks[[#This Row],[_CalcFinish]]))</f>
        <v/>
      </c>
      <c r="Z146" s="88"/>
      <c r="AA146" s="88"/>
      <c r="AB146" s="25" t="str">
        <f aca="false">IF(Tasks[[#This Row],[Task Name]]="","",IF(Tasks[[#This Row],[_IsSummary]],MIN(INDEX(Tasks[_ShownFcstStart],Tasks[[#This Row],[_Row]]+1):INDEX(Tasks[_ShownFcstStart],Tasks[[#This Row],[_Row]]+Tasks[[#This Row],[_Descendants]])),Tasks[[#This Row],[_ShownFcstStart]]))</f>
        <v/>
      </c>
      <c r="AC146" s="25" t="str">
        <f aca="false">IF(Tasks[[#This Row],[Task Name]]="","",IF(Tasks[[#This Row],[_IsSummary]],MAX(INDEX(Tasks[_ShownFcstFinish],Tasks[[#This Row],[_Row]]+1):INDEX(Tasks[_ShownFcstFinish],Tasks[[#This Row],[_Row]]+Tasks[[#This Row],[_Descendants]])),Tasks[[#This Row],[_ShownFcstFinish]]))</f>
        <v/>
      </c>
      <c r="AD14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6" s="25" t="str">
        <f aca="false">IF(Tasks[[#This Row],[Task Name]]="","",IF(Tasks[[#This Row],[_IsSummary]],MIN(INDEX(Tasks[_LeafLateStart],Tasks[[#This Row],[_Row]]+1):INDEX(Tasks[_LeafLateStart],Tasks[[#This Row],[_Row]]+Tasks[[#This Row],[_Descendants]])),Tasks[[#This Row],[_LeafLateStart]]))</f>
        <v/>
      </c>
      <c r="AG146" s="25" t="str">
        <f aca="false">IF(Tasks[[#This Row],[Task Name]]="","",IF(Tasks[[#This Row],[_IsSummary]],MAX(INDEX(Tasks[_LeafLateFinish],Tasks[[#This Row],[_Row]]+1):INDEX(Tasks[_LeafLateFinish],Tasks[[#This Row],[_Row]]+Tasks[[#This Row],[_Descendants]])),Tasks[[#This Row],[_LeafLateFinish]]))</f>
        <v/>
      </c>
      <c r="AH146" s="56" t="str">
        <f aca="false">IF(Tasks[[#This Row],[Task Name]]="","",IF(Tasks[[#This Row],[_IsSummary]],MIN(INDEX(Tasks[_LeafTotalSlack],Tasks[[#This Row],[_Row]]+1):INDEX(Tasks[_LeafTotalSlack],Tasks[[#This Row],[_Row]]+Tasks[[#This Row],[_Descendants]])),Tasks[[#This Row],[_LeafTotalSlack]]))</f>
        <v/>
      </c>
      <c r="AI14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6" s="45" t="str">
        <f aca="false">IF(Tasks[[#This Row],[Task Name]]="","",IF(IF(Tasks[[#This Row],[_IsSummary]],COUNTIF(INDEX(Tasks[_LeafCritical],Tasks[[#This Row],[_Row]]+1):INDEX(Tasks[_LeafCritical],Tasks[[#This Row],[_Row]]+Tasks[[#This Row],[_Descendants]]),TRUE())&gt;0,Tasks[[#This Row],[_LeafCritical]]),"Yes",""))</f>
        <v/>
      </c>
      <c r="AK14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6" s="102"/>
      <c r="AN14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6" s="45" t="str">
        <f aca="false">IF(Tasks[[#This Row],[Task Name]]="","",IF(Tasks[[#This Row],[Progress]]&gt;=1,"Complete",IF(OR(N(Tasks[[#This Row],[Actual Start]])&gt;0,Tasks[[#This Row],[Progress]]&gt;0),IF(Tasks[[#This Row],[Finish Var]]&gt;0,"Behind","In Progress"),IF(Tasks[[#This Row],[Planned Start]]&lt;StatusDate,"Late Start","Not Started"))))</f>
        <v/>
      </c>
      <c r="AP146" s="47"/>
      <c r="AQ146" s="102"/>
      <c r="AR14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6" s="110" t="str">
        <f aca="false">IF(Tasks[[#This Row],[Task Name]]="","",IF(Tasks[[#This Row],[_IsSummary]],SUM(INDEX(Tasks[_LeafTotalWork],Tasks[[#This Row],[_Row]]+1):INDEX(Tasks[_LeafTotalWork],Tasks[[#This Row],[_Row]]+Tasks[[#This Row],[_Descendants]])),Tasks[[#This Row],[_LeafTotalWork]]))</f>
        <v/>
      </c>
      <c r="AU146" s="111" t="str">
        <f aca="false">IF(Tasks[[#This Row],[Task Name]]="","",IF(Tasks[[#This Row],[_IsSummary]],SUM(INDEX(Tasks[_LeafTotalCost],Tasks[[#This Row],[_Row]]+1):INDEX(Tasks[_LeafTotalCost],Tasks[[#This Row],[_Row]]+Tasks[[#This Row],[_Descendants]])),Tasks[[#This Row],[_LeafTotalCost]]))</f>
        <v/>
      </c>
      <c r="AV146" s="112"/>
      <c r="AW146" s="46"/>
      <c r="AX14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6" s="96"/>
      <c r="AZ14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6" s="47"/>
      <c r="BB146" s="25" t="str">
        <f aca="false">IF(Tasks[[#This Row],[Task Name]]="","",Tasks[[#This Row],[Forecast Start]])</f>
        <v/>
      </c>
      <c r="BC146" s="25" t="str">
        <f aca="false">IF(Tasks[[#This Row],[Task Name]]="","",Tasks[[#This Row],[Forecast Finish]])</f>
        <v/>
      </c>
      <c r="BD146" s="45" t="str">
        <f aca="false">IF(Tasks[[#This Row],[Task Name]]="","",IF(Tasks[[#This Row],[_IsSummary]],NETWORKDAYS.INTL(Tasks[[#This Row],[Forecast Start]],Tasks[[#This Row],[Forecast Finish]],WorkWeek,Holidays),N(Tasks[[#This Row],[Duration]])))</f>
        <v/>
      </c>
      <c r="BE146" s="110" t="str">
        <f aca="false">IF(Tasks[[#This Row],[Task Name]]="","",Tasks[[#This Row],[Work]])</f>
        <v/>
      </c>
      <c r="BF146" s="111" t="str">
        <f aca="false">IF(Tasks[[#This Row],[Task Name]]="","",Tasks[[#This Row],[Cost]])</f>
        <v/>
      </c>
      <c r="BG146" s="88"/>
      <c r="BH146" s="88"/>
      <c r="BI146" s="46"/>
      <c r="BJ146" s="113"/>
      <c r="BK146" s="112"/>
      <c r="BL146" s="45" t="str">
        <f aca="false">IF(OR(Tasks[[#This Row],[Task Name]]="",Tasks[[#This Row],[Baseline Duration]]=""),"",Tasks[[#This Row],[BL Source Duration]]-N(Tasks[[#This Row],[Baseline Duration]]))</f>
        <v/>
      </c>
      <c r="BM146" s="110" t="str">
        <f aca="false">IF(OR(Tasks[[#This Row],[Task Name]]="",Tasks[[#This Row],[Baseline Work]]=""),"",Tasks[[#This Row],[Work]]-N(Tasks[[#This Row],[Baseline Work]]))</f>
        <v/>
      </c>
      <c r="BN146" s="111" t="str">
        <f aca="false">IF(OR(Tasks[[#This Row],[Task Name]]="",Tasks[[#This Row],[Baseline Cost]]=""),"",Tasks[[#This Row],[Cost]]-N(Tasks[[#This Row],[Baseline Cost]]))</f>
        <v/>
      </c>
      <c r="BO146" s="111" t="str">
        <f aca="false">IF(Tasks[[#This Row],[Task Name]]="","",IF(Tasks[[#This Row],[_IsSummary]],SUM(INDEX(Tasks[_LeafBudget],Tasks[[#This Row],[_Row]]+1):INDEX(Tasks[_LeafBudget],Tasks[[#This Row],[_Row]]+Tasks[[#This Row],[_Descendants]])),Tasks[[#This Row],[_LeafBudget]]))</f>
        <v/>
      </c>
      <c r="BP146" s="111" t="str">
        <f aca="false">IF(Tasks[[#This Row],[Task Name]]="","",IF(Tasks[[#This Row],[_IsSummary]],SUM(INDEX(Tasks[_LeafPV],Tasks[[#This Row],[_Row]]+1):INDEX(Tasks[_LeafPV],Tasks[[#This Row],[_Row]]+Tasks[[#This Row],[_Descendants]])),Tasks[[#This Row],[_LeafPV]]))</f>
        <v/>
      </c>
      <c r="BQ146" s="111" t="str">
        <f aca="false">IF(Tasks[[#This Row],[Task Name]]="","",IF(Tasks[[#This Row],[_IsSummary]],SUM(INDEX(Tasks[_LeafEV],Tasks[[#This Row],[_Row]]+1):INDEX(Tasks[_LeafEV],Tasks[[#This Row],[_Row]]+Tasks[[#This Row],[_Descendants]])),Tasks[[#This Row],[_LeafEV]]))</f>
        <v/>
      </c>
      <c r="BR146" s="111" t="str">
        <f aca="false">IF(Tasks[[#This Row],[Task Name]]="","",IF(Tasks[[#This Row],[_IsSummary]],SUM(INDEX(Tasks[_LeafAC],Tasks[[#This Row],[_Row]]+1):INDEX(Tasks[_LeafAC],Tasks[[#This Row],[_Row]]+Tasks[[#This Row],[_Descendants]])),Tasks[[#This Row],[_LeafAC]]))</f>
        <v/>
      </c>
      <c r="BS146" s="32" t="str">
        <f aca="false">IF(Tasks[[#This Row],[Task Name]]="","",MAX(1,N(Tasks[[#This Row],[Level]])))</f>
        <v/>
      </c>
      <c r="BT146" s="32" t="n">
        <f aca="false">ROW()-ROW(Tasks[[#Headers],[ID]])</f>
        <v>141</v>
      </c>
      <c r="BU146" s="32" t="n">
        <f aca="false">IF(OR(Tasks[[#This Row],[Task Name]]="",Tasks[[#This Row],[_Level]]&lt;=1),0,IFERROR(LOOKUP(2,1/(Tasks[[#Headers],[_Level]]:Tasks[[#This Row],[_Level]]=Tasks[[#This Row],[_Level]]-1),ROW(Tasks[[#Headers],[_Level]]:Tasks[[#This Row],[_Level]])),0))</f>
        <v>0</v>
      </c>
      <c r="BV146" s="32" t="n">
        <f aca="false">IFERROR(N(INDEX(Tasks[_Level],Tasks[[#This Row],[_Row]]+1)),0)</f>
        <v>0</v>
      </c>
      <c r="BW146" s="114" t="b">
        <f aca="false">AND(Tasks[[#This Row],[Task Name]]&lt;&gt;"",Tasks[[#This Row],[_NextLevel]]&gt;Tasks[[#This Row],[_Level]])</f>
        <v>0</v>
      </c>
      <c r="BX146" s="32" t="n">
        <f aca="false">IF(Tasks[[#This Row],[_IsSummary]],COUNTIF(Tasks[WBS],Tasks[[#This Row],[WBS]]&amp;".*"),0)</f>
        <v>0</v>
      </c>
      <c r="BY146" s="32" t="n">
        <f aca="false">IF(AND(Tasks[[#This Row],[Task Name]]&lt;&gt;"",NOT(Tasks[[#This Row],[_IsSummary]])),1,0)</f>
        <v>0</v>
      </c>
      <c r="BZ146" s="32" t="n">
        <f aca="false">IF(N(Tasks[[#This Row],[Pred1 UID]])=0,0,IFERROR(MATCH(Tasks[[#This Row],[Pred1 UID]],Tasks[UID],0),-1))</f>
        <v>0</v>
      </c>
      <c r="CA146" s="32" t="n">
        <f aca="false">IF(N(Tasks[[#This Row],[Pred2 UID]])=0,0,IFERROR(MATCH(Tasks[[#This Row],[Pred2 UID]],Tasks[UID],0),-1))</f>
        <v>0</v>
      </c>
      <c r="CB146" s="32" t="n">
        <f aca="false">IF(N(Tasks[[#This Row],[Pred3 UID]])=0,0,IFERROR(MATCH(Tasks[[#This Row],[Pred3 UID]],Tasks[UID],0),-1))</f>
        <v>0</v>
      </c>
      <c r="CC146" s="32" t="n">
        <f aca="false">IF(N(Tasks[[#This Row],[Pred4 UID]])=0,0,IFERROR(MATCH(Tasks[[#This Row],[Pred4 UID]],Tasks[UID],0),-1))</f>
        <v>0</v>
      </c>
      <c r="CD14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6" s="115" t="n">
        <f aca="false">IF(OR(Tasks[[#This Row],[_ConstraintCode]]=2,Tasks[[#This Row],[_ConstraintCode]]=3,Tasks[[#This Row],[_ConstraintCode]]=4,Tasks[[#This Row],[_ConstraintCode]]=6),Tasks[[#This Row],[_ConstraintStart]],0)</f>
        <v>0</v>
      </c>
      <c r="CG146" s="115" t="n">
        <f aca="false">IF(OR(Tasks[[#This Row],[_ConstraintCode]]=2,Tasks[[#This Row],[_ConstraintCode]]=3,Tasks[[#This Row],[_ConstraintCode]]=5,Tasks[[#This Row],[_ConstraintCode]]=7),Tasks[[#This Row],[_ConstraintStart]],2958465)</f>
        <v>2958465</v>
      </c>
      <c r="CH14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6" s="115" t="str">
        <f aca="false">IF(NOT(Tasks[[#This Row],[_IsLeaf]]=1),"",IF(N(Tasks[[#This Row],[Duration]])&lt;=0,Tasks[[#This Row],[_LeafCalcStart]],WORKDAY.INTL(Tasks[[#This Row],[_LeafCalcStart]],Tasks[[#This Row],[Duration]]-1,WorkWeek,Holidays)))</f>
        <v/>
      </c>
      <c r="CJ14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6" s="32" t="n">
        <f aca="false">IF(NOT(Tasks[[#This Row],[_IsLeaf]]=1),0,IF(N(Tasks[[#This Row],[Actual Finish]])&gt;0,1,MIN(1,N(Tasks[[#This Row],[% Complete]]))))</f>
        <v>0</v>
      </c>
      <c r="CM146" s="32" t="n">
        <f aca="false">IF(OR(NOT(Tasks[[#This Row],[_IsLeaf]]=1),Tasks[[#This Row],[Resource]]=""),0,N(Tasks[[#This Row],[Duration]])*HoursPerDay*IF(Tasks[[#This Row],[Units]]="",DefaultUnits,Tasks[[#This Row],[Units]]))</f>
        <v>0</v>
      </c>
      <c r="CN146" s="32" t="n">
        <f aca="false">IF(Tasks[[#This Row],[_LeafWork]]=0,0,Tasks[[#This Row],[_LeafWork]]*IFERROR(INDEX(res_Rate,MATCH(Tasks[[#This Row],[Resource]],res_Name,0)),0))</f>
        <v>0</v>
      </c>
      <c r="CO146" s="32" t="n">
        <f aca="false">Tasks[[#This Row],[_LeafWork]]+IF(Tasks[[#This Row],[_IsLeaf]]=1,SUMIFS(asg_Work,asg_TaskUID,Tasks[[#This Row],[UID]],asg_Valid,1),0)</f>
        <v>0</v>
      </c>
      <c r="CP146" s="32" t="n">
        <f aca="false">Tasks[[#This Row],[_LeafCost]]+IF(Tasks[[#This Row],[_IsLeaf]]=1,SUMIFS(asg_Cost,asg_TaskUID,Tasks[[#This Row],[UID]],asg_Valid,1),0)</f>
        <v>0</v>
      </c>
      <c r="CQ146" s="32" t="n">
        <f aca="false">IF(Tasks[[#This Row],[_LeafTotalCost]]=0,Tasks[[#This Row],[_LeafAC]],Tasks[[#This Row],[_LeafAC]]*Tasks[[#This Row],[_LeafCost]]/Tasks[[#This Row],[_LeafTotalCost]])</f>
        <v>0</v>
      </c>
      <c r="CR14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6" s="32" t="n">
        <f aca="false">IF(NOT(Tasks[[#This Row],[_IsLeaf]]=1),0,MAX(_xlfn.MAXIFS(Tasks[_Row],Tasks[Pred1 UID],Tasks[[#This Row],[UID]]),_xlfn.MAXIFS(Tasks[_Row],Tasks[Pred2 UID],Tasks[[#This Row],[UID]]),_xlfn.MAXIFS(Tasks[_Row],Tasks[Pred3 UID],Tasks[[#This Row],[UID]]),_xlfn.MAXIFS(Tasks[_Row],Tasks[Pred4 UID],Tasks[[#This Row],[UID]])))</f>
        <v>0</v>
      </c>
      <c r="DA14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6" s="115" t="str">
        <f aca="false">IF(NOT(Tasks[[#This Row],[_IsLeaf]]=1),"",IF(N(Tasks[[#This Row],[Duration]])&lt;=0,Tasks[[#This Row],[_LeafLateFinish]],WORKDAY.INTL(Tasks[[#This Row],[_LeafLateFinish]],-(Tasks[[#This Row],[Duration]]-1),WorkWeek,Holidays)))</f>
        <v/>
      </c>
      <c r="DD14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6" s="114" t="b">
        <f aca="false">AND(Tasks[[#This Row],[_IsLeaf]]=1,Tasks[[#This Row],[_LeafProgress]]&lt;1,N(Tasks[[#This Row],[_LeafTotalSlack]])&lt;=CriticalSlackDays)</f>
        <v>0</v>
      </c>
      <c r="DF146" s="32" t="n">
        <f aca="false">IF(AND(Tasks[[#This Row],[_IsLeaf]]=1,Tasks[[#This Row],[_ConstraintCode]]=1,Tasks[[#This Row],[Mode]]&lt;&gt;"Manual",N(Tasks[[#This Row],[Actual Start]])=0),MAX(0,N(Tasks[[#This Row],[Free Slack]])),0)</f>
        <v>0</v>
      </c>
      <c r="DG146" s="115" t="str">
        <f aca="false">IF(NOT(Tasks[[#This Row],[_IsLeaf]]=1),"",IF(Tasks[[#This Row],[_AlapShift]]=0,Tasks[[#This Row],[_LeafCalcStart]],WORKDAY.INTL(Tasks[[#This Row],[_LeafCalcStart]],Tasks[[#This Row],[_AlapShift]],WorkWeek,Holidays)))</f>
        <v/>
      </c>
      <c r="DH146" s="115" t="str">
        <f aca="false">IF(NOT(Tasks[[#This Row],[_IsLeaf]]=1),"",IF(Tasks[[#This Row],[_AlapShift]]=0,Tasks[[#This Row],[_LeafCalcFinish]],WORKDAY.INTL(Tasks[[#This Row],[_LeafCalcFinish]],Tasks[[#This Row],[_AlapShift]],WorkWeek,Holidays)))</f>
        <v/>
      </c>
      <c r="DI146" s="115" t="str">
        <f aca="false">IF(NOT(Tasks[[#This Row],[_IsLeaf]]=1),"",IF(Tasks[[#This Row],[_AlapShift]]=0,Tasks[[#This Row],[_LeafFcstStart]],WORKDAY.INTL(Tasks[[#This Row],[_LeafFcstStart]],Tasks[[#This Row],[_AlapShift]],WorkWeek,Holidays)))</f>
        <v/>
      </c>
      <c r="DJ146" s="115" t="str">
        <f aca="false">IF(NOT(Tasks[[#This Row],[_IsLeaf]]=1),"",IF(Tasks[[#This Row],[_AlapShift]]=0,Tasks[[#This Row],[_LeafFcstFinish]],WORKDAY.INTL(Tasks[[#This Row],[_LeafFcstFinish]],Tasks[[#This Row],[_AlapShift]],WorkWeek,Holidays)))</f>
        <v/>
      </c>
      <c r="DK146" s="115" t="str">
        <f aca="false">IF(Tasks[[#This Row],[Task Name]]="","",IF(Tasks[[#This Row],[_IsSummary]],MIN(INDEX(Tasks[_ShownCalcStart],Tasks[[#This Row],[_Row]]+1):INDEX(Tasks[_ShownCalcStart],Tasks[[#This Row],[_Row]]+Tasks[[#This Row],[_Descendants]])),Tasks[[#This Row],[_ShownCalcStart]]))</f>
        <v/>
      </c>
      <c r="DL146" s="115" t="str">
        <f aca="false">IF(Tasks[[#This Row],[Task Name]]="","",IF(Tasks[[#This Row],[_IsSummary]],MAX(INDEX(Tasks[_ShownCalcFinish],Tasks[[#This Row],[_Row]]+1):INDEX(Tasks[_ShownCalcFinish],Tasks[[#This Row],[_Row]]+Tasks[[#This Row],[_Descendants]])),Tasks[[#This Row],[_ShownCalcFinish]]))</f>
        <v/>
      </c>
      <c r="DM14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6" s="32" t="n">
        <f aca="false">IF(AND(Tasks[[#This Row],[_IsLeaf]]=1,Tasks[[#This Row],[_LeafTotalWork]]&gt;0),NETWORKDAYS.INTL(ProjectStart,Tasks[[#This Row],[_ShownFcstStart]],WorkWeek,Holidays),0)</f>
        <v>0</v>
      </c>
      <c r="DZ146" s="32" t="n">
        <f aca="false">IF(AND(Tasks[[#This Row],[_IsLeaf]]=1,Tasks[[#This Row],[_LeafTotalWork]]&gt;0),MAX(Tasks[[#This Row],[_StartWorkday]],NETWORKDAYS.INTL(ProjectStart,Tasks[[#This Row],[_ShownFcstFinish]],WorkWeek,Holidays)),0)</f>
        <v>0</v>
      </c>
      <c r="EA146" s="32" t="n">
        <f aca="false">IF(AND(Tasks[[#This Row],[_IsLeaf]]=1,Tasks[[#This Row],[_LeafTotalWork]]&gt;0),Tasks[[#This Row],[_LeafWork]]/(Tasks[[#This Row],[_FinishWorkday]]-Tasks[[#This Row],[_StartWorkday]]+1),0)</f>
        <v>0</v>
      </c>
      <c r="EB146" s="32" t="n">
        <f aca="false">Tasks[[#This Row],[_WorkPerWorkday]]*(Tasks[[#This Row],[_StartWorkday]]-1)</f>
        <v>-0</v>
      </c>
      <c r="EC146" s="32" t="n">
        <f aca="false">IF(Tasks[[#This Row],[_IsLeaf]]=1,MAX(N(Tasks[[#This Row],[Duration]]),0.1),0)</f>
        <v>0</v>
      </c>
      <c r="ED146" s="32" t="n">
        <f aca="false">Tasks[[#This Row],[_WeightDur]]*Tasks[[#This Row],[_LeafProgress]]</f>
        <v>0</v>
      </c>
      <c r="EE14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6" s="32" t="str">
        <f aca="false">IF(AND(Tasks[[#This Row],[_IsLeaf]]=1,N(Tasks[[#This Row],[Duration]])=0,Tasks[[#This Row],[_LeafProgress]]&lt;1),Tasks[[#This Row],[_ShownFcstFinish]]+Tasks[[#This Row],[_Row]]/100000,"")</f>
        <v/>
      </c>
      <c r="EG14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6" s="32" t="n">
        <f aca="false">IF(NOT(Tasks[[#This Row],[_IsLeaf]]=1),0,IF(Tasks[[#This Row],[Baseline Cost]]="",Tasks[[#This Row],[_LeafTotalCost]],N(Tasks[[#This Row],[Baseline Cost]])))</f>
        <v>0</v>
      </c>
      <c r="EI146" s="32" t="n">
        <f aca="false">Tasks[[#This Row],[_LeafBudget]]*Tasks[[#This Row],[_PlannedPct]]</f>
        <v>0</v>
      </c>
      <c r="EJ146" s="32" t="n">
        <f aca="false">Tasks[[#This Row],[_LeafBudget]]*Tasks[[#This Row],[_LeafProgress]]</f>
        <v>0</v>
      </c>
      <c r="EK146" s="32" t="n">
        <f aca="false">IF(NOT(Tasks[[#This Row],[_IsLeaf]]=1),0,IF(Tasks[[#This Row],[Actual Cost]]="",Tasks[[#This Row],[_LeafTotalCost]]*Tasks[[#This Row],[_LeafProgress]],N(Tasks[[#This Row],[Actual Cost]])))</f>
        <v>0</v>
      </c>
      <c r="EL146" s="32" t="str">
        <f aca="false">IF(Tasks[[#This Row],[Task Name]]="","",LEFT(Tasks[[#This Row],[WBS]],FIND(".",Tasks[[#This Row],[WBS]]&amp;".")-1))</f>
        <v/>
      </c>
      <c r="EM146" s="32" t="str">
        <f aca="false">IF(AND(Tasks[[#This Row],[Task Name]]&lt;&gt;"",Tasks[[#This Row],[_Level]]=1),Tasks[[#This Row],[_Row]],"")</f>
        <v/>
      </c>
      <c r="EN146" s="32" t="str">
        <f aca="false">IF(AND(Tasks[[#This Row],[_IsLeaf]]=1,N(Tasks[[#This Row],[Duration]])=0),Tasks[[#This Row],[Planned Finish]]+Tasks[[#This Row],[_Row]]/100000,"")</f>
        <v/>
      </c>
      <c r="EO146" s="32" t="str">
        <f aca="false">IF(AND(Tasks[[#This Row],[_IsLeaf]]=1,Tasks[[#This Row],[_LeafProgress]]&lt;1,OR(N(Tasks[[#This Row],[Finish Var]])&gt;0,Tasks[[#This Row],[Status]]="Late Start")),MAX(0,Tasks[[#This Row],[Finish Var]])+1-Tasks[[#This Row],[_Row]]/1000000,"")</f>
        <v/>
      </c>
      <c r="EP146" s="32" t="str">
        <f aca="false">IF(AND(Tasks[[#This Row],[_IsLeaf]]=1,N(Tasks[[#This Row],[Actual Start]])=0,Tasks[[#This Row],[_ShownFcstStart]]&gt;=StatusDate,Tasks[[#This Row],[_ShownFcstStart]]&lt;=LookaheadEnd),Tasks[[#This Row],[_ShownFcstStart]]+Tasks[[#This Row],[_Row]]/100000,"")</f>
        <v/>
      </c>
      <c r="EQ146" s="32" t="str">
        <f aca="false">IF(AND(Tasks[[#This Row],[_IsLeaf]]=1,Tasks[[#This Row],[_LeafProgress]]&lt;1,Tasks[[#This Row],[_ShownFcstFinish]]&gt;=StatusDate,Tasks[[#This Row],[_ShownFcstFinish]]&lt;=LookaheadEnd),Tasks[[#This Row],[_ShownFcstFinish]]+Tasks[[#This Row],[_Row]]/100000,"")</f>
        <v/>
      </c>
      <c r="ER146" s="32" t="str">
        <f aca="false">IF(Tasks[[#This Row],[_LeafCritical]],Tasks[[#This Row],[_ShownFcstStart]]+Tasks[[#This Row],[_Row]]/100000,"")</f>
        <v/>
      </c>
      <c r="ES146" s="32" t="n">
        <f aca="false">Tasks[[#This Row],[_LeafWork]]*Tasks[[#This Row],[_LeafProgress]]</f>
        <v>0</v>
      </c>
      <c r="ET146" s="115" t="str">
        <f aca="false">IF(AND(Tasks[[#This Row],[_IsLeaf]]=1,Tasks[[#This Row],[_LeafProgress]]&gt;=1),IF(N(Tasks[[#This Row],[Actual Finish]])&gt;0,Tasks[[#This Row],[Actual Finish]],Tasks[[#This Row],[_ShownFcstFinish]]),"")</f>
        <v/>
      </c>
      <c r="EU146" s="32" t="n">
        <f aca="false">IF(Tasks[[#This Row],[_IsLeaf]]=1,N(Tasks[[#This Row],[Story Points]]),0)</f>
        <v>0</v>
      </c>
      <c r="EV146" s="32" t="str">
        <f aca="false">IF(AND(Tasks[[#This Row],[_IsLeaf]]=1,CurrentSprint&lt;&gt;"",Tasks[[#This Row],[Sprint]]=CurrentSprint),Tasks[[#This Row],[_Row]],"")</f>
        <v/>
      </c>
    </row>
    <row r="147" customFormat="false" ht="15" hidden="false" customHeight="false" outlineLevel="0" collapsed="false">
      <c r="A147" s="45" t="str">
        <f aca="false">IF(Tasks[[#This Row],[Task Name]]="","",COUNTA(Tasks[[#Headers],[Task Name]]:Tasks[[#This Row],[Task Name]])-1)</f>
        <v/>
      </c>
      <c r="B147" s="46" t="n">
        <v>142</v>
      </c>
      <c r="C14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7" s="46"/>
      <c r="E147" s="45" t="str">
        <f aca="false">IF(Tasks[[#This Row],[Task Name]]="","",IF(Tasks[[#This Row],[_Level]]&lt;=OutlineShowLevel,"Yes","No"))</f>
        <v/>
      </c>
      <c r="F147" s="47"/>
      <c r="G147" s="46"/>
      <c r="H147" s="46"/>
      <c r="I147" s="46"/>
      <c r="J147" s="46"/>
      <c r="K147" s="46"/>
      <c r="L147" s="46"/>
      <c r="M147" s="46"/>
      <c r="N147" s="46"/>
      <c r="O147" s="46"/>
      <c r="P147" s="46"/>
      <c r="Q147" s="46"/>
      <c r="R147" s="46"/>
      <c r="S147" s="46"/>
      <c r="T147" s="46"/>
      <c r="U147" s="47"/>
      <c r="V147" s="88"/>
      <c r="W147" s="88"/>
      <c r="X147" s="25" t="str">
        <f aca="false">IF(Tasks[[#This Row],[Task Name]]="","",IF(N(Tasks[[#This Row],[Baseline Start]])&gt;0,Tasks[[#This Row],[Baseline Start]],Tasks[[#This Row],[_CalcStart]]))</f>
        <v/>
      </c>
      <c r="Y147" s="25" t="str">
        <f aca="false">IF(Tasks[[#This Row],[Task Name]]="","",IF(N(Tasks[[#This Row],[Baseline Finish]])&gt;0,Tasks[[#This Row],[Baseline Finish]],Tasks[[#This Row],[_CalcFinish]]))</f>
        <v/>
      </c>
      <c r="Z147" s="88"/>
      <c r="AA147" s="88"/>
      <c r="AB147" s="25" t="str">
        <f aca="false">IF(Tasks[[#This Row],[Task Name]]="","",IF(Tasks[[#This Row],[_IsSummary]],MIN(INDEX(Tasks[_ShownFcstStart],Tasks[[#This Row],[_Row]]+1):INDEX(Tasks[_ShownFcstStart],Tasks[[#This Row],[_Row]]+Tasks[[#This Row],[_Descendants]])),Tasks[[#This Row],[_ShownFcstStart]]))</f>
        <v/>
      </c>
      <c r="AC147" s="25" t="str">
        <f aca="false">IF(Tasks[[#This Row],[Task Name]]="","",IF(Tasks[[#This Row],[_IsSummary]],MAX(INDEX(Tasks[_ShownFcstFinish],Tasks[[#This Row],[_Row]]+1):INDEX(Tasks[_ShownFcstFinish],Tasks[[#This Row],[_Row]]+Tasks[[#This Row],[_Descendants]])),Tasks[[#This Row],[_ShownFcstFinish]]))</f>
        <v/>
      </c>
      <c r="AD14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7" s="25" t="str">
        <f aca="false">IF(Tasks[[#This Row],[Task Name]]="","",IF(Tasks[[#This Row],[_IsSummary]],MIN(INDEX(Tasks[_LeafLateStart],Tasks[[#This Row],[_Row]]+1):INDEX(Tasks[_LeafLateStart],Tasks[[#This Row],[_Row]]+Tasks[[#This Row],[_Descendants]])),Tasks[[#This Row],[_LeafLateStart]]))</f>
        <v/>
      </c>
      <c r="AG147" s="25" t="str">
        <f aca="false">IF(Tasks[[#This Row],[Task Name]]="","",IF(Tasks[[#This Row],[_IsSummary]],MAX(INDEX(Tasks[_LeafLateFinish],Tasks[[#This Row],[_Row]]+1):INDEX(Tasks[_LeafLateFinish],Tasks[[#This Row],[_Row]]+Tasks[[#This Row],[_Descendants]])),Tasks[[#This Row],[_LeafLateFinish]]))</f>
        <v/>
      </c>
      <c r="AH147" s="56" t="str">
        <f aca="false">IF(Tasks[[#This Row],[Task Name]]="","",IF(Tasks[[#This Row],[_IsSummary]],MIN(INDEX(Tasks[_LeafTotalSlack],Tasks[[#This Row],[_Row]]+1):INDEX(Tasks[_LeafTotalSlack],Tasks[[#This Row],[_Row]]+Tasks[[#This Row],[_Descendants]])),Tasks[[#This Row],[_LeafTotalSlack]]))</f>
        <v/>
      </c>
      <c r="AI14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7" s="45" t="str">
        <f aca="false">IF(Tasks[[#This Row],[Task Name]]="","",IF(IF(Tasks[[#This Row],[_IsSummary]],COUNTIF(INDEX(Tasks[_LeafCritical],Tasks[[#This Row],[_Row]]+1):INDEX(Tasks[_LeafCritical],Tasks[[#This Row],[_Row]]+Tasks[[#This Row],[_Descendants]]),TRUE())&gt;0,Tasks[[#This Row],[_LeafCritical]]),"Yes",""))</f>
        <v/>
      </c>
      <c r="AK14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7" s="102"/>
      <c r="AN14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7" s="45" t="str">
        <f aca="false">IF(Tasks[[#This Row],[Task Name]]="","",IF(Tasks[[#This Row],[Progress]]&gt;=1,"Complete",IF(OR(N(Tasks[[#This Row],[Actual Start]])&gt;0,Tasks[[#This Row],[Progress]]&gt;0),IF(Tasks[[#This Row],[Finish Var]]&gt;0,"Behind","In Progress"),IF(Tasks[[#This Row],[Planned Start]]&lt;StatusDate,"Late Start","Not Started"))))</f>
        <v/>
      </c>
      <c r="AP147" s="47"/>
      <c r="AQ147" s="102"/>
      <c r="AR14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7" s="110" t="str">
        <f aca="false">IF(Tasks[[#This Row],[Task Name]]="","",IF(Tasks[[#This Row],[_IsSummary]],SUM(INDEX(Tasks[_LeafTotalWork],Tasks[[#This Row],[_Row]]+1):INDEX(Tasks[_LeafTotalWork],Tasks[[#This Row],[_Row]]+Tasks[[#This Row],[_Descendants]])),Tasks[[#This Row],[_LeafTotalWork]]))</f>
        <v/>
      </c>
      <c r="AU147" s="111" t="str">
        <f aca="false">IF(Tasks[[#This Row],[Task Name]]="","",IF(Tasks[[#This Row],[_IsSummary]],SUM(INDEX(Tasks[_LeafTotalCost],Tasks[[#This Row],[_Row]]+1):INDEX(Tasks[_LeafTotalCost],Tasks[[#This Row],[_Row]]+Tasks[[#This Row],[_Descendants]])),Tasks[[#This Row],[_LeafTotalCost]]))</f>
        <v/>
      </c>
      <c r="AV147" s="112"/>
      <c r="AW147" s="46"/>
      <c r="AX14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7" s="96"/>
      <c r="AZ14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7" s="47"/>
      <c r="BB147" s="25" t="str">
        <f aca="false">IF(Tasks[[#This Row],[Task Name]]="","",Tasks[[#This Row],[Forecast Start]])</f>
        <v/>
      </c>
      <c r="BC147" s="25" t="str">
        <f aca="false">IF(Tasks[[#This Row],[Task Name]]="","",Tasks[[#This Row],[Forecast Finish]])</f>
        <v/>
      </c>
      <c r="BD147" s="45" t="str">
        <f aca="false">IF(Tasks[[#This Row],[Task Name]]="","",IF(Tasks[[#This Row],[_IsSummary]],NETWORKDAYS.INTL(Tasks[[#This Row],[Forecast Start]],Tasks[[#This Row],[Forecast Finish]],WorkWeek,Holidays),N(Tasks[[#This Row],[Duration]])))</f>
        <v/>
      </c>
      <c r="BE147" s="110" t="str">
        <f aca="false">IF(Tasks[[#This Row],[Task Name]]="","",Tasks[[#This Row],[Work]])</f>
        <v/>
      </c>
      <c r="BF147" s="111" t="str">
        <f aca="false">IF(Tasks[[#This Row],[Task Name]]="","",Tasks[[#This Row],[Cost]])</f>
        <v/>
      </c>
      <c r="BG147" s="88"/>
      <c r="BH147" s="88"/>
      <c r="BI147" s="46"/>
      <c r="BJ147" s="113"/>
      <c r="BK147" s="112"/>
      <c r="BL147" s="45" t="str">
        <f aca="false">IF(OR(Tasks[[#This Row],[Task Name]]="",Tasks[[#This Row],[Baseline Duration]]=""),"",Tasks[[#This Row],[BL Source Duration]]-N(Tasks[[#This Row],[Baseline Duration]]))</f>
        <v/>
      </c>
      <c r="BM147" s="110" t="str">
        <f aca="false">IF(OR(Tasks[[#This Row],[Task Name]]="",Tasks[[#This Row],[Baseline Work]]=""),"",Tasks[[#This Row],[Work]]-N(Tasks[[#This Row],[Baseline Work]]))</f>
        <v/>
      </c>
      <c r="BN147" s="111" t="str">
        <f aca="false">IF(OR(Tasks[[#This Row],[Task Name]]="",Tasks[[#This Row],[Baseline Cost]]=""),"",Tasks[[#This Row],[Cost]]-N(Tasks[[#This Row],[Baseline Cost]]))</f>
        <v/>
      </c>
      <c r="BO147" s="111" t="str">
        <f aca="false">IF(Tasks[[#This Row],[Task Name]]="","",IF(Tasks[[#This Row],[_IsSummary]],SUM(INDEX(Tasks[_LeafBudget],Tasks[[#This Row],[_Row]]+1):INDEX(Tasks[_LeafBudget],Tasks[[#This Row],[_Row]]+Tasks[[#This Row],[_Descendants]])),Tasks[[#This Row],[_LeafBudget]]))</f>
        <v/>
      </c>
      <c r="BP147" s="111" t="str">
        <f aca="false">IF(Tasks[[#This Row],[Task Name]]="","",IF(Tasks[[#This Row],[_IsSummary]],SUM(INDEX(Tasks[_LeafPV],Tasks[[#This Row],[_Row]]+1):INDEX(Tasks[_LeafPV],Tasks[[#This Row],[_Row]]+Tasks[[#This Row],[_Descendants]])),Tasks[[#This Row],[_LeafPV]]))</f>
        <v/>
      </c>
      <c r="BQ147" s="111" t="str">
        <f aca="false">IF(Tasks[[#This Row],[Task Name]]="","",IF(Tasks[[#This Row],[_IsSummary]],SUM(INDEX(Tasks[_LeafEV],Tasks[[#This Row],[_Row]]+1):INDEX(Tasks[_LeafEV],Tasks[[#This Row],[_Row]]+Tasks[[#This Row],[_Descendants]])),Tasks[[#This Row],[_LeafEV]]))</f>
        <v/>
      </c>
      <c r="BR147" s="111" t="str">
        <f aca="false">IF(Tasks[[#This Row],[Task Name]]="","",IF(Tasks[[#This Row],[_IsSummary]],SUM(INDEX(Tasks[_LeafAC],Tasks[[#This Row],[_Row]]+1):INDEX(Tasks[_LeafAC],Tasks[[#This Row],[_Row]]+Tasks[[#This Row],[_Descendants]])),Tasks[[#This Row],[_LeafAC]]))</f>
        <v/>
      </c>
      <c r="BS147" s="32" t="str">
        <f aca="false">IF(Tasks[[#This Row],[Task Name]]="","",MAX(1,N(Tasks[[#This Row],[Level]])))</f>
        <v/>
      </c>
      <c r="BT147" s="32" t="n">
        <f aca="false">ROW()-ROW(Tasks[[#Headers],[ID]])</f>
        <v>142</v>
      </c>
      <c r="BU147" s="32" t="n">
        <f aca="false">IF(OR(Tasks[[#This Row],[Task Name]]="",Tasks[[#This Row],[_Level]]&lt;=1),0,IFERROR(LOOKUP(2,1/(Tasks[[#Headers],[_Level]]:Tasks[[#This Row],[_Level]]=Tasks[[#This Row],[_Level]]-1),ROW(Tasks[[#Headers],[_Level]]:Tasks[[#This Row],[_Level]])),0))</f>
        <v>0</v>
      </c>
      <c r="BV147" s="32" t="n">
        <f aca="false">IFERROR(N(INDEX(Tasks[_Level],Tasks[[#This Row],[_Row]]+1)),0)</f>
        <v>0</v>
      </c>
      <c r="BW147" s="114" t="b">
        <f aca="false">AND(Tasks[[#This Row],[Task Name]]&lt;&gt;"",Tasks[[#This Row],[_NextLevel]]&gt;Tasks[[#This Row],[_Level]])</f>
        <v>0</v>
      </c>
      <c r="BX147" s="32" t="n">
        <f aca="false">IF(Tasks[[#This Row],[_IsSummary]],COUNTIF(Tasks[WBS],Tasks[[#This Row],[WBS]]&amp;".*"),0)</f>
        <v>0</v>
      </c>
      <c r="BY147" s="32" t="n">
        <f aca="false">IF(AND(Tasks[[#This Row],[Task Name]]&lt;&gt;"",NOT(Tasks[[#This Row],[_IsSummary]])),1,0)</f>
        <v>0</v>
      </c>
      <c r="BZ147" s="32" t="n">
        <f aca="false">IF(N(Tasks[[#This Row],[Pred1 UID]])=0,0,IFERROR(MATCH(Tasks[[#This Row],[Pred1 UID]],Tasks[UID],0),-1))</f>
        <v>0</v>
      </c>
      <c r="CA147" s="32" t="n">
        <f aca="false">IF(N(Tasks[[#This Row],[Pred2 UID]])=0,0,IFERROR(MATCH(Tasks[[#This Row],[Pred2 UID]],Tasks[UID],0),-1))</f>
        <v>0</v>
      </c>
      <c r="CB147" s="32" t="n">
        <f aca="false">IF(N(Tasks[[#This Row],[Pred3 UID]])=0,0,IFERROR(MATCH(Tasks[[#This Row],[Pred3 UID]],Tasks[UID],0),-1))</f>
        <v>0</v>
      </c>
      <c r="CC147" s="32" t="n">
        <f aca="false">IF(N(Tasks[[#This Row],[Pred4 UID]])=0,0,IFERROR(MATCH(Tasks[[#This Row],[Pred4 UID]],Tasks[UID],0),-1))</f>
        <v>0</v>
      </c>
      <c r="CD14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7" s="115" t="n">
        <f aca="false">IF(OR(Tasks[[#This Row],[_ConstraintCode]]=2,Tasks[[#This Row],[_ConstraintCode]]=3,Tasks[[#This Row],[_ConstraintCode]]=4,Tasks[[#This Row],[_ConstraintCode]]=6),Tasks[[#This Row],[_ConstraintStart]],0)</f>
        <v>0</v>
      </c>
      <c r="CG147" s="115" t="n">
        <f aca="false">IF(OR(Tasks[[#This Row],[_ConstraintCode]]=2,Tasks[[#This Row],[_ConstraintCode]]=3,Tasks[[#This Row],[_ConstraintCode]]=5,Tasks[[#This Row],[_ConstraintCode]]=7),Tasks[[#This Row],[_ConstraintStart]],2958465)</f>
        <v>2958465</v>
      </c>
      <c r="CH14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7" s="115" t="str">
        <f aca="false">IF(NOT(Tasks[[#This Row],[_IsLeaf]]=1),"",IF(N(Tasks[[#This Row],[Duration]])&lt;=0,Tasks[[#This Row],[_LeafCalcStart]],WORKDAY.INTL(Tasks[[#This Row],[_LeafCalcStart]],Tasks[[#This Row],[Duration]]-1,WorkWeek,Holidays)))</f>
        <v/>
      </c>
      <c r="CJ14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7" s="32" t="n">
        <f aca="false">IF(NOT(Tasks[[#This Row],[_IsLeaf]]=1),0,IF(N(Tasks[[#This Row],[Actual Finish]])&gt;0,1,MIN(1,N(Tasks[[#This Row],[% Complete]]))))</f>
        <v>0</v>
      </c>
      <c r="CM147" s="32" t="n">
        <f aca="false">IF(OR(NOT(Tasks[[#This Row],[_IsLeaf]]=1),Tasks[[#This Row],[Resource]]=""),0,N(Tasks[[#This Row],[Duration]])*HoursPerDay*IF(Tasks[[#This Row],[Units]]="",DefaultUnits,Tasks[[#This Row],[Units]]))</f>
        <v>0</v>
      </c>
      <c r="CN147" s="32" t="n">
        <f aca="false">IF(Tasks[[#This Row],[_LeafWork]]=0,0,Tasks[[#This Row],[_LeafWork]]*IFERROR(INDEX(res_Rate,MATCH(Tasks[[#This Row],[Resource]],res_Name,0)),0))</f>
        <v>0</v>
      </c>
      <c r="CO147" s="32" t="n">
        <f aca="false">Tasks[[#This Row],[_LeafWork]]+IF(Tasks[[#This Row],[_IsLeaf]]=1,SUMIFS(asg_Work,asg_TaskUID,Tasks[[#This Row],[UID]],asg_Valid,1),0)</f>
        <v>0</v>
      </c>
      <c r="CP147" s="32" t="n">
        <f aca="false">Tasks[[#This Row],[_LeafCost]]+IF(Tasks[[#This Row],[_IsLeaf]]=1,SUMIFS(asg_Cost,asg_TaskUID,Tasks[[#This Row],[UID]],asg_Valid,1),0)</f>
        <v>0</v>
      </c>
      <c r="CQ147" s="32" t="n">
        <f aca="false">IF(Tasks[[#This Row],[_LeafTotalCost]]=0,Tasks[[#This Row],[_LeafAC]],Tasks[[#This Row],[_LeafAC]]*Tasks[[#This Row],[_LeafCost]]/Tasks[[#This Row],[_LeafTotalCost]])</f>
        <v>0</v>
      </c>
      <c r="CR14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7" s="32" t="n">
        <f aca="false">IF(NOT(Tasks[[#This Row],[_IsLeaf]]=1),0,MAX(_xlfn.MAXIFS(Tasks[_Row],Tasks[Pred1 UID],Tasks[[#This Row],[UID]]),_xlfn.MAXIFS(Tasks[_Row],Tasks[Pred2 UID],Tasks[[#This Row],[UID]]),_xlfn.MAXIFS(Tasks[_Row],Tasks[Pred3 UID],Tasks[[#This Row],[UID]]),_xlfn.MAXIFS(Tasks[_Row],Tasks[Pred4 UID],Tasks[[#This Row],[UID]])))</f>
        <v>0</v>
      </c>
      <c r="DA14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7" s="115" t="str">
        <f aca="false">IF(NOT(Tasks[[#This Row],[_IsLeaf]]=1),"",IF(N(Tasks[[#This Row],[Duration]])&lt;=0,Tasks[[#This Row],[_LeafLateFinish]],WORKDAY.INTL(Tasks[[#This Row],[_LeafLateFinish]],-(Tasks[[#This Row],[Duration]]-1),WorkWeek,Holidays)))</f>
        <v/>
      </c>
      <c r="DD14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7" s="114" t="b">
        <f aca="false">AND(Tasks[[#This Row],[_IsLeaf]]=1,Tasks[[#This Row],[_LeafProgress]]&lt;1,N(Tasks[[#This Row],[_LeafTotalSlack]])&lt;=CriticalSlackDays)</f>
        <v>0</v>
      </c>
      <c r="DF147" s="32" t="n">
        <f aca="false">IF(AND(Tasks[[#This Row],[_IsLeaf]]=1,Tasks[[#This Row],[_ConstraintCode]]=1,Tasks[[#This Row],[Mode]]&lt;&gt;"Manual",N(Tasks[[#This Row],[Actual Start]])=0),MAX(0,N(Tasks[[#This Row],[Free Slack]])),0)</f>
        <v>0</v>
      </c>
      <c r="DG147" s="115" t="str">
        <f aca="false">IF(NOT(Tasks[[#This Row],[_IsLeaf]]=1),"",IF(Tasks[[#This Row],[_AlapShift]]=0,Tasks[[#This Row],[_LeafCalcStart]],WORKDAY.INTL(Tasks[[#This Row],[_LeafCalcStart]],Tasks[[#This Row],[_AlapShift]],WorkWeek,Holidays)))</f>
        <v/>
      </c>
      <c r="DH147" s="115" t="str">
        <f aca="false">IF(NOT(Tasks[[#This Row],[_IsLeaf]]=1),"",IF(Tasks[[#This Row],[_AlapShift]]=0,Tasks[[#This Row],[_LeafCalcFinish]],WORKDAY.INTL(Tasks[[#This Row],[_LeafCalcFinish]],Tasks[[#This Row],[_AlapShift]],WorkWeek,Holidays)))</f>
        <v/>
      </c>
      <c r="DI147" s="115" t="str">
        <f aca="false">IF(NOT(Tasks[[#This Row],[_IsLeaf]]=1),"",IF(Tasks[[#This Row],[_AlapShift]]=0,Tasks[[#This Row],[_LeafFcstStart]],WORKDAY.INTL(Tasks[[#This Row],[_LeafFcstStart]],Tasks[[#This Row],[_AlapShift]],WorkWeek,Holidays)))</f>
        <v/>
      </c>
      <c r="DJ147" s="115" t="str">
        <f aca="false">IF(NOT(Tasks[[#This Row],[_IsLeaf]]=1),"",IF(Tasks[[#This Row],[_AlapShift]]=0,Tasks[[#This Row],[_LeafFcstFinish]],WORKDAY.INTL(Tasks[[#This Row],[_LeafFcstFinish]],Tasks[[#This Row],[_AlapShift]],WorkWeek,Holidays)))</f>
        <v/>
      </c>
      <c r="DK147" s="115" t="str">
        <f aca="false">IF(Tasks[[#This Row],[Task Name]]="","",IF(Tasks[[#This Row],[_IsSummary]],MIN(INDEX(Tasks[_ShownCalcStart],Tasks[[#This Row],[_Row]]+1):INDEX(Tasks[_ShownCalcStart],Tasks[[#This Row],[_Row]]+Tasks[[#This Row],[_Descendants]])),Tasks[[#This Row],[_ShownCalcStart]]))</f>
        <v/>
      </c>
      <c r="DL147" s="115" t="str">
        <f aca="false">IF(Tasks[[#This Row],[Task Name]]="","",IF(Tasks[[#This Row],[_IsSummary]],MAX(INDEX(Tasks[_ShownCalcFinish],Tasks[[#This Row],[_Row]]+1):INDEX(Tasks[_ShownCalcFinish],Tasks[[#This Row],[_Row]]+Tasks[[#This Row],[_Descendants]])),Tasks[[#This Row],[_ShownCalcFinish]]))</f>
        <v/>
      </c>
      <c r="DM14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7" s="32" t="n">
        <f aca="false">IF(AND(Tasks[[#This Row],[_IsLeaf]]=1,Tasks[[#This Row],[_LeafTotalWork]]&gt;0),NETWORKDAYS.INTL(ProjectStart,Tasks[[#This Row],[_ShownFcstStart]],WorkWeek,Holidays),0)</f>
        <v>0</v>
      </c>
      <c r="DZ147" s="32" t="n">
        <f aca="false">IF(AND(Tasks[[#This Row],[_IsLeaf]]=1,Tasks[[#This Row],[_LeafTotalWork]]&gt;0),MAX(Tasks[[#This Row],[_StartWorkday]],NETWORKDAYS.INTL(ProjectStart,Tasks[[#This Row],[_ShownFcstFinish]],WorkWeek,Holidays)),0)</f>
        <v>0</v>
      </c>
      <c r="EA147" s="32" t="n">
        <f aca="false">IF(AND(Tasks[[#This Row],[_IsLeaf]]=1,Tasks[[#This Row],[_LeafTotalWork]]&gt;0),Tasks[[#This Row],[_LeafWork]]/(Tasks[[#This Row],[_FinishWorkday]]-Tasks[[#This Row],[_StartWorkday]]+1),0)</f>
        <v>0</v>
      </c>
      <c r="EB147" s="32" t="n">
        <f aca="false">Tasks[[#This Row],[_WorkPerWorkday]]*(Tasks[[#This Row],[_StartWorkday]]-1)</f>
        <v>-0</v>
      </c>
      <c r="EC147" s="32" t="n">
        <f aca="false">IF(Tasks[[#This Row],[_IsLeaf]]=1,MAX(N(Tasks[[#This Row],[Duration]]),0.1),0)</f>
        <v>0</v>
      </c>
      <c r="ED147" s="32" t="n">
        <f aca="false">Tasks[[#This Row],[_WeightDur]]*Tasks[[#This Row],[_LeafProgress]]</f>
        <v>0</v>
      </c>
      <c r="EE14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7" s="32" t="str">
        <f aca="false">IF(AND(Tasks[[#This Row],[_IsLeaf]]=1,N(Tasks[[#This Row],[Duration]])=0,Tasks[[#This Row],[_LeafProgress]]&lt;1),Tasks[[#This Row],[_ShownFcstFinish]]+Tasks[[#This Row],[_Row]]/100000,"")</f>
        <v/>
      </c>
      <c r="EG14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7" s="32" t="n">
        <f aca="false">IF(NOT(Tasks[[#This Row],[_IsLeaf]]=1),0,IF(Tasks[[#This Row],[Baseline Cost]]="",Tasks[[#This Row],[_LeafTotalCost]],N(Tasks[[#This Row],[Baseline Cost]])))</f>
        <v>0</v>
      </c>
      <c r="EI147" s="32" t="n">
        <f aca="false">Tasks[[#This Row],[_LeafBudget]]*Tasks[[#This Row],[_PlannedPct]]</f>
        <v>0</v>
      </c>
      <c r="EJ147" s="32" t="n">
        <f aca="false">Tasks[[#This Row],[_LeafBudget]]*Tasks[[#This Row],[_LeafProgress]]</f>
        <v>0</v>
      </c>
      <c r="EK147" s="32" t="n">
        <f aca="false">IF(NOT(Tasks[[#This Row],[_IsLeaf]]=1),0,IF(Tasks[[#This Row],[Actual Cost]]="",Tasks[[#This Row],[_LeafTotalCost]]*Tasks[[#This Row],[_LeafProgress]],N(Tasks[[#This Row],[Actual Cost]])))</f>
        <v>0</v>
      </c>
      <c r="EL147" s="32" t="str">
        <f aca="false">IF(Tasks[[#This Row],[Task Name]]="","",LEFT(Tasks[[#This Row],[WBS]],FIND(".",Tasks[[#This Row],[WBS]]&amp;".")-1))</f>
        <v/>
      </c>
      <c r="EM147" s="32" t="str">
        <f aca="false">IF(AND(Tasks[[#This Row],[Task Name]]&lt;&gt;"",Tasks[[#This Row],[_Level]]=1),Tasks[[#This Row],[_Row]],"")</f>
        <v/>
      </c>
      <c r="EN147" s="32" t="str">
        <f aca="false">IF(AND(Tasks[[#This Row],[_IsLeaf]]=1,N(Tasks[[#This Row],[Duration]])=0),Tasks[[#This Row],[Planned Finish]]+Tasks[[#This Row],[_Row]]/100000,"")</f>
        <v/>
      </c>
      <c r="EO147" s="32" t="str">
        <f aca="false">IF(AND(Tasks[[#This Row],[_IsLeaf]]=1,Tasks[[#This Row],[_LeafProgress]]&lt;1,OR(N(Tasks[[#This Row],[Finish Var]])&gt;0,Tasks[[#This Row],[Status]]="Late Start")),MAX(0,Tasks[[#This Row],[Finish Var]])+1-Tasks[[#This Row],[_Row]]/1000000,"")</f>
        <v/>
      </c>
      <c r="EP147" s="32" t="str">
        <f aca="false">IF(AND(Tasks[[#This Row],[_IsLeaf]]=1,N(Tasks[[#This Row],[Actual Start]])=0,Tasks[[#This Row],[_ShownFcstStart]]&gt;=StatusDate,Tasks[[#This Row],[_ShownFcstStart]]&lt;=LookaheadEnd),Tasks[[#This Row],[_ShownFcstStart]]+Tasks[[#This Row],[_Row]]/100000,"")</f>
        <v/>
      </c>
      <c r="EQ147" s="32" t="str">
        <f aca="false">IF(AND(Tasks[[#This Row],[_IsLeaf]]=1,Tasks[[#This Row],[_LeafProgress]]&lt;1,Tasks[[#This Row],[_ShownFcstFinish]]&gt;=StatusDate,Tasks[[#This Row],[_ShownFcstFinish]]&lt;=LookaheadEnd),Tasks[[#This Row],[_ShownFcstFinish]]+Tasks[[#This Row],[_Row]]/100000,"")</f>
        <v/>
      </c>
      <c r="ER147" s="32" t="str">
        <f aca="false">IF(Tasks[[#This Row],[_LeafCritical]],Tasks[[#This Row],[_ShownFcstStart]]+Tasks[[#This Row],[_Row]]/100000,"")</f>
        <v/>
      </c>
      <c r="ES147" s="32" t="n">
        <f aca="false">Tasks[[#This Row],[_LeafWork]]*Tasks[[#This Row],[_LeafProgress]]</f>
        <v>0</v>
      </c>
      <c r="ET147" s="115" t="str">
        <f aca="false">IF(AND(Tasks[[#This Row],[_IsLeaf]]=1,Tasks[[#This Row],[_LeafProgress]]&gt;=1),IF(N(Tasks[[#This Row],[Actual Finish]])&gt;0,Tasks[[#This Row],[Actual Finish]],Tasks[[#This Row],[_ShownFcstFinish]]),"")</f>
        <v/>
      </c>
      <c r="EU147" s="32" t="n">
        <f aca="false">IF(Tasks[[#This Row],[_IsLeaf]]=1,N(Tasks[[#This Row],[Story Points]]),0)</f>
        <v>0</v>
      </c>
      <c r="EV147" s="32" t="str">
        <f aca="false">IF(AND(Tasks[[#This Row],[_IsLeaf]]=1,CurrentSprint&lt;&gt;"",Tasks[[#This Row],[Sprint]]=CurrentSprint),Tasks[[#This Row],[_Row]],"")</f>
        <v/>
      </c>
    </row>
    <row r="148" customFormat="false" ht="15" hidden="false" customHeight="false" outlineLevel="0" collapsed="false">
      <c r="A148" s="45" t="str">
        <f aca="false">IF(Tasks[[#This Row],[Task Name]]="","",COUNTA(Tasks[[#Headers],[Task Name]]:Tasks[[#This Row],[Task Name]])-1)</f>
        <v/>
      </c>
      <c r="B148" s="46" t="n">
        <v>143</v>
      </c>
      <c r="C14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8" s="46"/>
      <c r="E148" s="45" t="str">
        <f aca="false">IF(Tasks[[#This Row],[Task Name]]="","",IF(Tasks[[#This Row],[_Level]]&lt;=OutlineShowLevel,"Yes","No"))</f>
        <v/>
      </c>
      <c r="F148" s="47"/>
      <c r="G148" s="46"/>
      <c r="H148" s="46"/>
      <c r="I148" s="46"/>
      <c r="J148" s="46"/>
      <c r="K148" s="46"/>
      <c r="L148" s="46"/>
      <c r="M148" s="46"/>
      <c r="N148" s="46"/>
      <c r="O148" s="46"/>
      <c r="P148" s="46"/>
      <c r="Q148" s="46"/>
      <c r="R148" s="46"/>
      <c r="S148" s="46"/>
      <c r="T148" s="46"/>
      <c r="U148" s="47"/>
      <c r="V148" s="88"/>
      <c r="W148" s="88"/>
      <c r="X148" s="25" t="str">
        <f aca="false">IF(Tasks[[#This Row],[Task Name]]="","",IF(N(Tasks[[#This Row],[Baseline Start]])&gt;0,Tasks[[#This Row],[Baseline Start]],Tasks[[#This Row],[_CalcStart]]))</f>
        <v/>
      </c>
      <c r="Y148" s="25" t="str">
        <f aca="false">IF(Tasks[[#This Row],[Task Name]]="","",IF(N(Tasks[[#This Row],[Baseline Finish]])&gt;0,Tasks[[#This Row],[Baseline Finish]],Tasks[[#This Row],[_CalcFinish]]))</f>
        <v/>
      </c>
      <c r="Z148" s="88"/>
      <c r="AA148" s="88"/>
      <c r="AB148" s="25" t="str">
        <f aca="false">IF(Tasks[[#This Row],[Task Name]]="","",IF(Tasks[[#This Row],[_IsSummary]],MIN(INDEX(Tasks[_ShownFcstStart],Tasks[[#This Row],[_Row]]+1):INDEX(Tasks[_ShownFcstStart],Tasks[[#This Row],[_Row]]+Tasks[[#This Row],[_Descendants]])),Tasks[[#This Row],[_ShownFcstStart]]))</f>
        <v/>
      </c>
      <c r="AC148" s="25" t="str">
        <f aca="false">IF(Tasks[[#This Row],[Task Name]]="","",IF(Tasks[[#This Row],[_IsSummary]],MAX(INDEX(Tasks[_ShownFcstFinish],Tasks[[#This Row],[_Row]]+1):INDEX(Tasks[_ShownFcstFinish],Tasks[[#This Row],[_Row]]+Tasks[[#This Row],[_Descendants]])),Tasks[[#This Row],[_ShownFcstFinish]]))</f>
        <v/>
      </c>
      <c r="AD14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8" s="25" t="str">
        <f aca="false">IF(Tasks[[#This Row],[Task Name]]="","",IF(Tasks[[#This Row],[_IsSummary]],MIN(INDEX(Tasks[_LeafLateStart],Tasks[[#This Row],[_Row]]+1):INDEX(Tasks[_LeafLateStart],Tasks[[#This Row],[_Row]]+Tasks[[#This Row],[_Descendants]])),Tasks[[#This Row],[_LeafLateStart]]))</f>
        <v/>
      </c>
      <c r="AG148" s="25" t="str">
        <f aca="false">IF(Tasks[[#This Row],[Task Name]]="","",IF(Tasks[[#This Row],[_IsSummary]],MAX(INDEX(Tasks[_LeafLateFinish],Tasks[[#This Row],[_Row]]+1):INDEX(Tasks[_LeafLateFinish],Tasks[[#This Row],[_Row]]+Tasks[[#This Row],[_Descendants]])),Tasks[[#This Row],[_LeafLateFinish]]))</f>
        <v/>
      </c>
      <c r="AH148" s="56" t="str">
        <f aca="false">IF(Tasks[[#This Row],[Task Name]]="","",IF(Tasks[[#This Row],[_IsSummary]],MIN(INDEX(Tasks[_LeafTotalSlack],Tasks[[#This Row],[_Row]]+1):INDEX(Tasks[_LeafTotalSlack],Tasks[[#This Row],[_Row]]+Tasks[[#This Row],[_Descendants]])),Tasks[[#This Row],[_LeafTotalSlack]]))</f>
        <v/>
      </c>
      <c r="AI14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8" s="45" t="str">
        <f aca="false">IF(Tasks[[#This Row],[Task Name]]="","",IF(IF(Tasks[[#This Row],[_IsSummary]],COUNTIF(INDEX(Tasks[_LeafCritical],Tasks[[#This Row],[_Row]]+1):INDEX(Tasks[_LeafCritical],Tasks[[#This Row],[_Row]]+Tasks[[#This Row],[_Descendants]]),TRUE())&gt;0,Tasks[[#This Row],[_LeafCritical]]),"Yes",""))</f>
        <v/>
      </c>
      <c r="AK14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8" s="102"/>
      <c r="AN14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8" s="45" t="str">
        <f aca="false">IF(Tasks[[#This Row],[Task Name]]="","",IF(Tasks[[#This Row],[Progress]]&gt;=1,"Complete",IF(OR(N(Tasks[[#This Row],[Actual Start]])&gt;0,Tasks[[#This Row],[Progress]]&gt;0),IF(Tasks[[#This Row],[Finish Var]]&gt;0,"Behind","In Progress"),IF(Tasks[[#This Row],[Planned Start]]&lt;StatusDate,"Late Start","Not Started"))))</f>
        <v/>
      </c>
      <c r="AP148" s="47"/>
      <c r="AQ148" s="102"/>
      <c r="AR14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8" s="110" t="str">
        <f aca="false">IF(Tasks[[#This Row],[Task Name]]="","",IF(Tasks[[#This Row],[_IsSummary]],SUM(INDEX(Tasks[_LeafTotalWork],Tasks[[#This Row],[_Row]]+1):INDEX(Tasks[_LeafTotalWork],Tasks[[#This Row],[_Row]]+Tasks[[#This Row],[_Descendants]])),Tasks[[#This Row],[_LeafTotalWork]]))</f>
        <v/>
      </c>
      <c r="AU148" s="111" t="str">
        <f aca="false">IF(Tasks[[#This Row],[Task Name]]="","",IF(Tasks[[#This Row],[_IsSummary]],SUM(INDEX(Tasks[_LeafTotalCost],Tasks[[#This Row],[_Row]]+1):INDEX(Tasks[_LeafTotalCost],Tasks[[#This Row],[_Row]]+Tasks[[#This Row],[_Descendants]])),Tasks[[#This Row],[_LeafTotalCost]]))</f>
        <v/>
      </c>
      <c r="AV148" s="112"/>
      <c r="AW148" s="46"/>
      <c r="AX14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8" s="96"/>
      <c r="AZ14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8" s="47"/>
      <c r="BB148" s="25" t="str">
        <f aca="false">IF(Tasks[[#This Row],[Task Name]]="","",Tasks[[#This Row],[Forecast Start]])</f>
        <v/>
      </c>
      <c r="BC148" s="25" t="str">
        <f aca="false">IF(Tasks[[#This Row],[Task Name]]="","",Tasks[[#This Row],[Forecast Finish]])</f>
        <v/>
      </c>
      <c r="BD148" s="45" t="str">
        <f aca="false">IF(Tasks[[#This Row],[Task Name]]="","",IF(Tasks[[#This Row],[_IsSummary]],NETWORKDAYS.INTL(Tasks[[#This Row],[Forecast Start]],Tasks[[#This Row],[Forecast Finish]],WorkWeek,Holidays),N(Tasks[[#This Row],[Duration]])))</f>
        <v/>
      </c>
      <c r="BE148" s="110" t="str">
        <f aca="false">IF(Tasks[[#This Row],[Task Name]]="","",Tasks[[#This Row],[Work]])</f>
        <v/>
      </c>
      <c r="BF148" s="111" t="str">
        <f aca="false">IF(Tasks[[#This Row],[Task Name]]="","",Tasks[[#This Row],[Cost]])</f>
        <v/>
      </c>
      <c r="BG148" s="88"/>
      <c r="BH148" s="88"/>
      <c r="BI148" s="46"/>
      <c r="BJ148" s="113"/>
      <c r="BK148" s="112"/>
      <c r="BL148" s="45" t="str">
        <f aca="false">IF(OR(Tasks[[#This Row],[Task Name]]="",Tasks[[#This Row],[Baseline Duration]]=""),"",Tasks[[#This Row],[BL Source Duration]]-N(Tasks[[#This Row],[Baseline Duration]]))</f>
        <v/>
      </c>
      <c r="BM148" s="110" t="str">
        <f aca="false">IF(OR(Tasks[[#This Row],[Task Name]]="",Tasks[[#This Row],[Baseline Work]]=""),"",Tasks[[#This Row],[Work]]-N(Tasks[[#This Row],[Baseline Work]]))</f>
        <v/>
      </c>
      <c r="BN148" s="111" t="str">
        <f aca="false">IF(OR(Tasks[[#This Row],[Task Name]]="",Tasks[[#This Row],[Baseline Cost]]=""),"",Tasks[[#This Row],[Cost]]-N(Tasks[[#This Row],[Baseline Cost]]))</f>
        <v/>
      </c>
      <c r="BO148" s="111" t="str">
        <f aca="false">IF(Tasks[[#This Row],[Task Name]]="","",IF(Tasks[[#This Row],[_IsSummary]],SUM(INDEX(Tasks[_LeafBudget],Tasks[[#This Row],[_Row]]+1):INDEX(Tasks[_LeafBudget],Tasks[[#This Row],[_Row]]+Tasks[[#This Row],[_Descendants]])),Tasks[[#This Row],[_LeafBudget]]))</f>
        <v/>
      </c>
      <c r="BP148" s="111" t="str">
        <f aca="false">IF(Tasks[[#This Row],[Task Name]]="","",IF(Tasks[[#This Row],[_IsSummary]],SUM(INDEX(Tasks[_LeafPV],Tasks[[#This Row],[_Row]]+1):INDEX(Tasks[_LeafPV],Tasks[[#This Row],[_Row]]+Tasks[[#This Row],[_Descendants]])),Tasks[[#This Row],[_LeafPV]]))</f>
        <v/>
      </c>
      <c r="BQ148" s="111" t="str">
        <f aca="false">IF(Tasks[[#This Row],[Task Name]]="","",IF(Tasks[[#This Row],[_IsSummary]],SUM(INDEX(Tasks[_LeafEV],Tasks[[#This Row],[_Row]]+1):INDEX(Tasks[_LeafEV],Tasks[[#This Row],[_Row]]+Tasks[[#This Row],[_Descendants]])),Tasks[[#This Row],[_LeafEV]]))</f>
        <v/>
      </c>
      <c r="BR148" s="111" t="str">
        <f aca="false">IF(Tasks[[#This Row],[Task Name]]="","",IF(Tasks[[#This Row],[_IsSummary]],SUM(INDEX(Tasks[_LeafAC],Tasks[[#This Row],[_Row]]+1):INDEX(Tasks[_LeafAC],Tasks[[#This Row],[_Row]]+Tasks[[#This Row],[_Descendants]])),Tasks[[#This Row],[_LeafAC]]))</f>
        <v/>
      </c>
      <c r="BS148" s="32" t="str">
        <f aca="false">IF(Tasks[[#This Row],[Task Name]]="","",MAX(1,N(Tasks[[#This Row],[Level]])))</f>
        <v/>
      </c>
      <c r="BT148" s="32" t="n">
        <f aca="false">ROW()-ROW(Tasks[[#Headers],[ID]])</f>
        <v>143</v>
      </c>
      <c r="BU148" s="32" t="n">
        <f aca="false">IF(OR(Tasks[[#This Row],[Task Name]]="",Tasks[[#This Row],[_Level]]&lt;=1),0,IFERROR(LOOKUP(2,1/(Tasks[[#Headers],[_Level]]:Tasks[[#This Row],[_Level]]=Tasks[[#This Row],[_Level]]-1),ROW(Tasks[[#Headers],[_Level]]:Tasks[[#This Row],[_Level]])),0))</f>
        <v>0</v>
      </c>
      <c r="BV148" s="32" t="n">
        <f aca="false">IFERROR(N(INDEX(Tasks[_Level],Tasks[[#This Row],[_Row]]+1)),0)</f>
        <v>0</v>
      </c>
      <c r="BW148" s="114" t="b">
        <f aca="false">AND(Tasks[[#This Row],[Task Name]]&lt;&gt;"",Tasks[[#This Row],[_NextLevel]]&gt;Tasks[[#This Row],[_Level]])</f>
        <v>0</v>
      </c>
      <c r="BX148" s="32" t="n">
        <f aca="false">IF(Tasks[[#This Row],[_IsSummary]],COUNTIF(Tasks[WBS],Tasks[[#This Row],[WBS]]&amp;".*"),0)</f>
        <v>0</v>
      </c>
      <c r="BY148" s="32" t="n">
        <f aca="false">IF(AND(Tasks[[#This Row],[Task Name]]&lt;&gt;"",NOT(Tasks[[#This Row],[_IsSummary]])),1,0)</f>
        <v>0</v>
      </c>
      <c r="BZ148" s="32" t="n">
        <f aca="false">IF(N(Tasks[[#This Row],[Pred1 UID]])=0,0,IFERROR(MATCH(Tasks[[#This Row],[Pred1 UID]],Tasks[UID],0),-1))</f>
        <v>0</v>
      </c>
      <c r="CA148" s="32" t="n">
        <f aca="false">IF(N(Tasks[[#This Row],[Pred2 UID]])=0,0,IFERROR(MATCH(Tasks[[#This Row],[Pred2 UID]],Tasks[UID],0),-1))</f>
        <v>0</v>
      </c>
      <c r="CB148" s="32" t="n">
        <f aca="false">IF(N(Tasks[[#This Row],[Pred3 UID]])=0,0,IFERROR(MATCH(Tasks[[#This Row],[Pred3 UID]],Tasks[UID],0),-1))</f>
        <v>0</v>
      </c>
      <c r="CC148" s="32" t="n">
        <f aca="false">IF(N(Tasks[[#This Row],[Pred4 UID]])=0,0,IFERROR(MATCH(Tasks[[#This Row],[Pred4 UID]],Tasks[UID],0),-1))</f>
        <v>0</v>
      </c>
      <c r="CD14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8" s="115" t="n">
        <f aca="false">IF(OR(Tasks[[#This Row],[_ConstraintCode]]=2,Tasks[[#This Row],[_ConstraintCode]]=3,Tasks[[#This Row],[_ConstraintCode]]=4,Tasks[[#This Row],[_ConstraintCode]]=6),Tasks[[#This Row],[_ConstraintStart]],0)</f>
        <v>0</v>
      </c>
      <c r="CG148" s="115" t="n">
        <f aca="false">IF(OR(Tasks[[#This Row],[_ConstraintCode]]=2,Tasks[[#This Row],[_ConstraintCode]]=3,Tasks[[#This Row],[_ConstraintCode]]=5,Tasks[[#This Row],[_ConstraintCode]]=7),Tasks[[#This Row],[_ConstraintStart]],2958465)</f>
        <v>2958465</v>
      </c>
      <c r="CH14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8" s="115" t="str">
        <f aca="false">IF(NOT(Tasks[[#This Row],[_IsLeaf]]=1),"",IF(N(Tasks[[#This Row],[Duration]])&lt;=0,Tasks[[#This Row],[_LeafCalcStart]],WORKDAY.INTL(Tasks[[#This Row],[_LeafCalcStart]],Tasks[[#This Row],[Duration]]-1,WorkWeek,Holidays)))</f>
        <v/>
      </c>
      <c r="CJ14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8" s="32" t="n">
        <f aca="false">IF(NOT(Tasks[[#This Row],[_IsLeaf]]=1),0,IF(N(Tasks[[#This Row],[Actual Finish]])&gt;0,1,MIN(1,N(Tasks[[#This Row],[% Complete]]))))</f>
        <v>0</v>
      </c>
      <c r="CM148" s="32" t="n">
        <f aca="false">IF(OR(NOT(Tasks[[#This Row],[_IsLeaf]]=1),Tasks[[#This Row],[Resource]]=""),0,N(Tasks[[#This Row],[Duration]])*HoursPerDay*IF(Tasks[[#This Row],[Units]]="",DefaultUnits,Tasks[[#This Row],[Units]]))</f>
        <v>0</v>
      </c>
      <c r="CN148" s="32" t="n">
        <f aca="false">IF(Tasks[[#This Row],[_LeafWork]]=0,0,Tasks[[#This Row],[_LeafWork]]*IFERROR(INDEX(res_Rate,MATCH(Tasks[[#This Row],[Resource]],res_Name,0)),0))</f>
        <v>0</v>
      </c>
      <c r="CO148" s="32" t="n">
        <f aca="false">Tasks[[#This Row],[_LeafWork]]+IF(Tasks[[#This Row],[_IsLeaf]]=1,SUMIFS(asg_Work,asg_TaskUID,Tasks[[#This Row],[UID]],asg_Valid,1),0)</f>
        <v>0</v>
      </c>
      <c r="CP148" s="32" t="n">
        <f aca="false">Tasks[[#This Row],[_LeafCost]]+IF(Tasks[[#This Row],[_IsLeaf]]=1,SUMIFS(asg_Cost,asg_TaskUID,Tasks[[#This Row],[UID]],asg_Valid,1),0)</f>
        <v>0</v>
      </c>
      <c r="CQ148" s="32" t="n">
        <f aca="false">IF(Tasks[[#This Row],[_LeafTotalCost]]=0,Tasks[[#This Row],[_LeafAC]],Tasks[[#This Row],[_LeafAC]]*Tasks[[#This Row],[_LeafCost]]/Tasks[[#This Row],[_LeafTotalCost]])</f>
        <v>0</v>
      </c>
      <c r="CR14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8" s="32" t="n">
        <f aca="false">IF(NOT(Tasks[[#This Row],[_IsLeaf]]=1),0,MAX(_xlfn.MAXIFS(Tasks[_Row],Tasks[Pred1 UID],Tasks[[#This Row],[UID]]),_xlfn.MAXIFS(Tasks[_Row],Tasks[Pred2 UID],Tasks[[#This Row],[UID]]),_xlfn.MAXIFS(Tasks[_Row],Tasks[Pred3 UID],Tasks[[#This Row],[UID]]),_xlfn.MAXIFS(Tasks[_Row],Tasks[Pred4 UID],Tasks[[#This Row],[UID]])))</f>
        <v>0</v>
      </c>
      <c r="DA14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8" s="115" t="str">
        <f aca="false">IF(NOT(Tasks[[#This Row],[_IsLeaf]]=1),"",IF(N(Tasks[[#This Row],[Duration]])&lt;=0,Tasks[[#This Row],[_LeafLateFinish]],WORKDAY.INTL(Tasks[[#This Row],[_LeafLateFinish]],-(Tasks[[#This Row],[Duration]]-1),WorkWeek,Holidays)))</f>
        <v/>
      </c>
      <c r="DD14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8" s="114" t="b">
        <f aca="false">AND(Tasks[[#This Row],[_IsLeaf]]=1,Tasks[[#This Row],[_LeafProgress]]&lt;1,N(Tasks[[#This Row],[_LeafTotalSlack]])&lt;=CriticalSlackDays)</f>
        <v>0</v>
      </c>
      <c r="DF148" s="32" t="n">
        <f aca="false">IF(AND(Tasks[[#This Row],[_IsLeaf]]=1,Tasks[[#This Row],[_ConstraintCode]]=1,Tasks[[#This Row],[Mode]]&lt;&gt;"Manual",N(Tasks[[#This Row],[Actual Start]])=0),MAX(0,N(Tasks[[#This Row],[Free Slack]])),0)</f>
        <v>0</v>
      </c>
      <c r="DG148" s="115" t="str">
        <f aca="false">IF(NOT(Tasks[[#This Row],[_IsLeaf]]=1),"",IF(Tasks[[#This Row],[_AlapShift]]=0,Tasks[[#This Row],[_LeafCalcStart]],WORKDAY.INTL(Tasks[[#This Row],[_LeafCalcStart]],Tasks[[#This Row],[_AlapShift]],WorkWeek,Holidays)))</f>
        <v/>
      </c>
      <c r="DH148" s="115" t="str">
        <f aca="false">IF(NOT(Tasks[[#This Row],[_IsLeaf]]=1),"",IF(Tasks[[#This Row],[_AlapShift]]=0,Tasks[[#This Row],[_LeafCalcFinish]],WORKDAY.INTL(Tasks[[#This Row],[_LeafCalcFinish]],Tasks[[#This Row],[_AlapShift]],WorkWeek,Holidays)))</f>
        <v/>
      </c>
      <c r="DI148" s="115" t="str">
        <f aca="false">IF(NOT(Tasks[[#This Row],[_IsLeaf]]=1),"",IF(Tasks[[#This Row],[_AlapShift]]=0,Tasks[[#This Row],[_LeafFcstStart]],WORKDAY.INTL(Tasks[[#This Row],[_LeafFcstStart]],Tasks[[#This Row],[_AlapShift]],WorkWeek,Holidays)))</f>
        <v/>
      </c>
      <c r="DJ148" s="115" t="str">
        <f aca="false">IF(NOT(Tasks[[#This Row],[_IsLeaf]]=1),"",IF(Tasks[[#This Row],[_AlapShift]]=0,Tasks[[#This Row],[_LeafFcstFinish]],WORKDAY.INTL(Tasks[[#This Row],[_LeafFcstFinish]],Tasks[[#This Row],[_AlapShift]],WorkWeek,Holidays)))</f>
        <v/>
      </c>
      <c r="DK148" s="115" t="str">
        <f aca="false">IF(Tasks[[#This Row],[Task Name]]="","",IF(Tasks[[#This Row],[_IsSummary]],MIN(INDEX(Tasks[_ShownCalcStart],Tasks[[#This Row],[_Row]]+1):INDEX(Tasks[_ShownCalcStart],Tasks[[#This Row],[_Row]]+Tasks[[#This Row],[_Descendants]])),Tasks[[#This Row],[_ShownCalcStart]]))</f>
        <v/>
      </c>
      <c r="DL148" s="115" t="str">
        <f aca="false">IF(Tasks[[#This Row],[Task Name]]="","",IF(Tasks[[#This Row],[_IsSummary]],MAX(INDEX(Tasks[_ShownCalcFinish],Tasks[[#This Row],[_Row]]+1):INDEX(Tasks[_ShownCalcFinish],Tasks[[#This Row],[_Row]]+Tasks[[#This Row],[_Descendants]])),Tasks[[#This Row],[_ShownCalcFinish]]))</f>
        <v/>
      </c>
      <c r="DM14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8" s="32" t="n">
        <f aca="false">IF(AND(Tasks[[#This Row],[_IsLeaf]]=1,Tasks[[#This Row],[_LeafTotalWork]]&gt;0),NETWORKDAYS.INTL(ProjectStart,Tasks[[#This Row],[_ShownFcstStart]],WorkWeek,Holidays),0)</f>
        <v>0</v>
      </c>
      <c r="DZ148" s="32" t="n">
        <f aca="false">IF(AND(Tasks[[#This Row],[_IsLeaf]]=1,Tasks[[#This Row],[_LeafTotalWork]]&gt;0),MAX(Tasks[[#This Row],[_StartWorkday]],NETWORKDAYS.INTL(ProjectStart,Tasks[[#This Row],[_ShownFcstFinish]],WorkWeek,Holidays)),0)</f>
        <v>0</v>
      </c>
      <c r="EA148" s="32" t="n">
        <f aca="false">IF(AND(Tasks[[#This Row],[_IsLeaf]]=1,Tasks[[#This Row],[_LeafTotalWork]]&gt;0),Tasks[[#This Row],[_LeafWork]]/(Tasks[[#This Row],[_FinishWorkday]]-Tasks[[#This Row],[_StartWorkday]]+1),0)</f>
        <v>0</v>
      </c>
      <c r="EB148" s="32" t="n">
        <f aca="false">Tasks[[#This Row],[_WorkPerWorkday]]*(Tasks[[#This Row],[_StartWorkday]]-1)</f>
        <v>-0</v>
      </c>
      <c r="EC148" s="32" t="n">
        <f aca="false">IF(Tasks[[#This Row],[_IsLeaf]]=1,MAX(N(Tasks[[#This Row],[Duration]]),0.1),0)</f>
        <v>0</v>
      </c>
      <c r="ED148" s="32" t="n">
        <f aca="false">Tasks[[#This Row],[_WeightDur]]*Tasks[[#This Row],[_LeafProgress]]</f>
        <v>0</v>
      </c>
      <c r="EE14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8" s="32" t="str">
        <f aca="false">IF(AND(Tasks[[#This Row],[_IsLeaf]]=1,N(Tasks[[#This Row],[Duration]])=0,Tasks[[#This Row],[_LeafProgress]]&lt;1),Tasks[[#This Row],[_ShownFcstFinish]]+Tasks[[#This Row],[_Row]]/100000,"")</f>
        <v/>
      </c>
      <c r="EG14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8" s="32" t="n">
        <f aca="false">IF(NOT(Tasks[[#This Row],[_IsLeaf]]=1),0,IF(Tasks[[#This Row],[Baseline Cost]]="",Tasks[[#This Row],[_LeafTotalCost]],N(Tasks[[#This Row],[Baseline Cost]])))</f>
        <v>0</v>
      </c>
      <c r="EI148" s="32" t="n">
        <f aca="false">Tasks[[#This Row],[_LeafBudget]]*Tasks[[#This Row],[_PlannedPct]]</f>
        <v>0</v>
      </c>
      <c r="EJ148" s="32" t="n">
        <f aca="false">Tasks[[#This Row],[_LeafBudget]]*Tasks[[#This Row],[_LeafProgress]]</f>
        <v>0</v>
      </c>
      <c r="EK148" s="32" t="n">
        <f aca="false">IF(NOT(Tasks[[#This Row],[_IsLeaf]]=1),0,IF(Tasks[[#This Row],[Actual Cost]]="",Tasks[[#This Row],[_LeafTotalCost]]*Tasks[[#This Row],[_LeafProgress]],N(Tasks[[#This Row],[Actual Cost]])))</f>
        <v>0</v>
      </c>
      <c r="EL148" s="32" t="str">
        <f aca="false">IF(Tasks[[#This Row],[Task Name]]="","",LEFT(Tasks[[#This Row],[WBS]],FIND(".",Tasks[[#This Row],[WBS]]&amp;".")-1))</f>
        <v/>
      </c>
      <c r="EM148" s="32" t="str">
        <f aca="false">IF(AND(Tasks[[#This Row],[Task Name]]&lt;&gt;"",Tasks[[#This Row],[_Level]]=1),Tasks[[#This Row],[_Row]],"")</f>
        <v/>
      </c>
      <c r="EN148" s="32" t="str">
        <f aca="false">IF(AND(Tasks[[#This Row],[_IsLeaf]]=1,N(Tasks[[#This Row],[Duration]])=0),Tasks[[#This Row],[Planned Finish]]+Tasks[[#This Row],[_Row]]/100000,"")</f>
        <v/>
      </c>
      <c r="EO148" s="32" t="str">
        <f aca="false">IF(AND(Tasks[[#This Row],[_IsLeaf]]=1,Tasks[[#This Row],[_LeafProgress]]&lt;1,OR(N(Tasks[[#This Row],[Finish Var]])&gt;0,Tasks[[#This Row],[Status]]="Late Start")),MAX(0,Tasks[[#This Row],[Finish Var]])+1-Tasks[[#This Row],[_Row]]/1000000,"")</f>
        <v/>
      </c>
      <c r="EP148" s="32" t="str">
        <f aca="false">IF(AND(Tasks[[#This Row],[_IsLeaf]]=1,N(Tasks[[#This Row],[Actual Start]])=0,Tasks[[#This Row],[_ShownFcstStart]]&gt;=StatusDate,Tasks[[#This Row],[_ShownFcstStart]]&lt;=LookaheadEnd),Tasks[[#This Row],[_ShownFcstStart]]+Tasks[[#This Row],[_Row]]/100000,"")</f>
        <v/>
      </c>
      <c r="EQ148" s="32" t="str">
        <f aca="false">IF(AND(Tasks[[#This Row],[_IsLeaf]]=1,Tasks[[#This Row],[_LeafProgress]]&lt;1,Tasks[[#This Row],[_ShownFcstFinish]]&gt;=StatusDate,Tasks[[#This Row],[_ShownFcstFinish]]&lt;=LookaheadEnd),Tasks[[#This Row],[_ShownFcstFinish]]+Tasks[[#This Row],[_Row]]/100000,"")</f>
        <v/>
      </c>
      <c r="ER148" s="32" t="str">
        <f aca="false">IF(Tasks[[#This Row],[_LeafCritical]],Tasks[[#This Row],[_ShownFcstStart]]+Tasks[[#This Row],[_Row]]/100000,"")</f>
        <v/>
      </c>
      <c r="ES148" s="32" t="n">
        <f aca="false">Tasks[[#This Row],[_LeafWork]]*Tasks[[#This Row],[_LeafProgress]]</f>
        <v>0</v>
      </c>
      <c r="ET148" s="115" t="str">
        <f aca="false">IF(AND(Tasks[[#This Row],[_IsLeaf]]=1,Tasks[[#This Row],[_LeafProgress]]&gt;=1),IF(N(Tasks[[#This Row],[Actual Finish]])&gt;0,Tasks[[#This Row],[Actual Finish]],Tasks[[#This Row],[_ShownFcstFinish]]),"")</f>
        <v/>
      </c>
      <c r="EU148" s="32" t="n">
        <f aca="false">IF(Tasks[[#This Row],[_IsLeaf]]=1,N(Tasks[[#This Row],[Story Points]]),0)</f>
        <v>0</v>
      </c>
      <c r="EV148" s="32" t="str">
        <f aca="false">IF(AND(Tasks[[#This Row],[_IsLeaf]]=1,CurrentSprint&lt;&gt;"",Tasks[[#This Row],[Sprint]]=CurrentSprint),Tasks[[#This Row],[_Row]],"")</f>
        <v/>
      </c>
    </row>
    <row r="149" customFormat="false" ht="15" hidden="false" customHeight="false" outlineLevel="0" collapsed="false">
      <c r="A149" s="45" t="str">
        <f aca="false">IF(Tasks[[#This Row],[Task Name]]="","",COUNTA(Tasks[[#Headers],[Task Name]]:Tasks[[#This Row],[Task Name]])-1)</f>
        <v/>
      </c>
      <c r="B149" s="46" t="n">
        <v>144</v>
      </c>
      <c r="C14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49" s="46"/>
      <c r="E149" s="45" t="str">
        <f aca="false">IF(Tasks[[#This Row],[Task Name]]="","",IF(Tasks[[#This Row],[_Level]]&lt;=OutlineShowLevel,"Yes","No"))</f>
        <v/>
      </c>
      <c r="F149" s="47"/>
      <c r="G149" s="46"/>
      <c r="H149" s="46"/>
      <c r="I149" s="46"/>
      <c r="J149" s="46"/>
      <c r="K149" s="46"/>
      <c r="L149" s="46"/>
      <c r="M149" s="46"/>
      <c r="N149" s="46"/>
      <c r="O149" s="46"/>
      <c r="P149" s="46"/>
      <c r="Q149" s="46"/>
      <c r="R149" s="46"/>
      <c r="S149" s="46"/>
      <c r="T149" s="46"/>
      <c r="U149" s="47"/>
      <c r="V149" s="88"/>
      <c r="W149" s="88"/>
      <c r="X149" s="25" t="str">
        <f aca="false">IF(Tasks[[#This Row],[Task Name]]="","",IF(N(Tasks[[#This Row],[Baseline Start]])&gt;0,Tasks[[#This Row],[Baseline Start]],Tasks[[#This Row],[_CalcStart]]))</f>
        <v/>
      </c>
      <c r="Y149" s="25" t="str">
        <f aca="false">IF(Tasks[[#This Row],[Task Name]]="","",IF(N(Tasks[[#This Row],[Baseline Finish]])&gt;0,Tasks[[#This Row],[Baseline Finish]],Tasks[[#This Row],[_CalcFinish]]))</f>
        <v/>
      </c>
      <c r="Z149" s="88"/>
      <c r="AA149" s="88"/>
      <c r="AB149" s="25" t="str">
        <f aca="false">IF(Tasks[[#This Row],[Task Name]]="","",IF(Tasks[[#This Row],[_IsSummary]],MIN(INDEX(Tasks[_ShownFcstStart],Tasks[[#This Row],[_Row]]+1):INDEX(Tasks[_ShownFcstStart],Tasks[[#This Row],[_Row]]+Tasks[[#This Row],[_Descendants]])),Tasks[[#This Row],[_ShownFcstStart]]))</f>
        <v/>
      </c>
      <c r="AC149" s="25" t="str">
        <f aca="false">IF(Tasks[[#This Row],[Task Name]]="","",IF(Tasks[[#This Row],[_IsSummary]],MAX(INDEX(Tasks[_ShownFcstFinish],Tasks[[#This Row],[_Row]]+1):INDEX(Tasks[_ShownFcstFinish],Tasks[[#This Row],[_Row]]+Tasks[[#This Row],[_Descendants]])),Tasks[[#This Row],[_ShownFcstFinish]]))</f>
        <v/>
      </c>
      <c r="AD14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4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49" s="25" t="str">
        <f aca="false">IF(Tasks[[#This Row],[Task Name]]="","",IF(Tasks[[#This Row],[_IsSummary]],MIN(INDEX(Tasks[_LeafLateStart],Tasks[[#This Row],[_Row]]+1):INDEX(Tasks[_LeafLateStart],Tasks[[#This Row],[_Row]]+Tasks[[#This Row],[_Descendants]])),Tasks[[#This Row],[_LeafLateStart]]))</f>
        <v/>
      </c>
      <c r="AG149" s="25" t="str">
        <f aca="false">IF(Tasks[[#This Row],[Task Name]]="","",IF(Tasks[[#This Row],[_IsSummary]],MAX(INDEX(Tasks[_LeafLateFinish],Tasks[[#This Row],[_Row]]+1):INDEX(Tasks[_LeafLateFinish],Tasks[[#This Row],[_Row]]+Tasks[[#This Row],[_Descendants]])),Tasks[[#This Row],[_LeafLateFinish]]))</f>
        <v/>
      </c>
      <c r="AH149" s="56" t="str">
        <f aca="false">IF(Tasks[[#This Row],[Task Name]]="","",IF(Tasks[[#This Row],[_IsSummary]],MIN(INDEX(Tasks[_LeafTotalSlack],Tasks[[#This Row],[_Row]]+1):INDEX(Tasks[_LeafTotalSlack],Tasks[[#This Row],[_Row]]+Tasks[[#This Row],[_Descendants]])),Tasks[[#This Row],[_LeafTotalSlack]]))</f>
        <v/>
      </c>
      <c r="AI14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49" s="45" t="str">
        <f aca="false">IF(Tasks[[#This Row],[Task Name]]="","",IF(IF(Tasks[[#This Row],[_IsSummary]],COUNTIF(INDEX(Tasks[_LeafCritical],Tasks[[#This Row],[_Row]]+1):INDEX(Tasks[_LeafCritical],Tasks[[#This Row],[_Row]]+Tasks[[#This Row],[_Descendants]]),TRUE())&gt;0,Tasks[[#This Row],[_LeafCritical]]),"Yes",""))</f>
        <v/>
      </c>
      <c r="AK14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4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49" s="102"/>
      <c r="AN14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49" s="45" t="str">
        <f aca="false">IF(Tasks[[#This Row],[Task Name]]="","",IF(Tasks[[#This Row],[Progress]]&gt;=1,"Complete",IF(OR(N(Tasks[[#This Row],[Actual Start]])&gt;0,Tasks[[#This Row],[Progress]]&gt;0),IF(Tasks[[#This Row],[Finish Var]]&gt;0,"Behind","In Progress"),IF(Tasks[[#This Row],[Planned Start]]&lt;StatusDate,"Late Start","Not Started"))))</f>
        <v/>
      </c>
      <c r="AP149" s="47"/>
      <c r="AQ149" s="102"/>
      <c r="AR14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4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49" s="110" t="str">
        <f aca="false">IF(Tasks[[#This Row],[Task Name]]="","",IF(Tasks[[#This Row],[_IsSummary]],SUM(INDEX(Tasks[_LeafTotalWork],Tasks[[#This Row],[_Row]]+1):INDEX(Tasks[_LeafTotalWork],Tasks[[#This Row],[_Row]]+Tasks[[#This Row],[_Descendants]])),Tasks[[#This Row],[_LeafTotalWork]]))</f>
        <v/>
      </c>
      <c r="AU149" s="111" t="str">
        <f aca="false">IF(Tasks[[#This Row],[Task Name]]="","",IF(Tasks[[#This Row],[_IsSummary]],SUM(INDEX(Tasks[_LeafTotalCost],Tasks[[#This Row],[_Row]]+1):INDEX(Tasks[_LeafTotalCost],Tasks[[#This Row],[_Row]]+Tasks[[#This Row],[_Descendants]])),Tasks[[#This Row],[_LeafTotalCost]]))</f>
        <v/>
      </c>
      <c r="AV149" s="112"/>
      <c r="AW149" s="46"/>
      <c r="AX14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49" s="96"/>
      <c r="AZ14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49" s="47"/>
      <c r="BB149" s="25" t="str">
        <f aca="false">IF(Tasks[[#This Row],[Task Name]]="","",Tasks[[#This Row],[Forecast Start]])</f>
        <v/>
      </c>
      <c r="BC149" s="25" t="str">
        <f aca="false">IF(Tasks[[#This Row],[Task Name]]="","",Tasks[[#This Row],[Forecast Finish]])</f>
        <v/>
      </c>
      <c r="BD149" s="45" t="str">
        <f aca="false">IF(Tasks[[#This Row],[Task Name]]="","",IF(Tasks[[#This Row],[_IsSummary]],NETWORKDAYS.INTL(Tasks[[#This Row],[Forecast Start]],Tasks[[#This Row],[Forecast Finish]],WorkWeek,Holidays),N(Tasks[[#This Row],[Duration]])))</f>
        <v/>
      </c>
      <c r="BE149" s="110" t="str">
        <f aca="false">IF(Tasks[[#This Row],[Task Name]]="","",Tasks[[#This Row],[Work]])</f>
        <v/>
      </c>
      <c r="BF149" s="111" t="str">
        <f aca="false">IF(Tasks[[#This Row],[Task Name]]="","",Tasks[[#This Row],[Cost]])</f>
        <v/>
      </c>
      <c r="BG149" s="88"/>
      <c r="BH149" s="88"/>
      <c r="BI149" s="46"/>
      <c r="BJ149" s="113"/>
      <c r="BK149" s="112"/>
      <c r="BL149" s="45" t="str">
        <f aca="false">IF(OR(Tasks[[#This Row],[Task Name]]="",Tasks[[#This Row],[Baseline Duration]]=""),"",Tasks[[#This Row],[BL Source Duration]]-N(Tasks[[#This Row],[Baseline Duration]]))</f>
        <v/>
      </c>
      <c r="BM149" s="110" t="str">
        <f aca="false">IF(OR(Tasks[[#This Row],[Task Name]]="",Tasks[[#This Row],[Baseline Work]]=""),"",Tasks[[#This Row],[Work]]-N(Tasks[[#This Row],[Baseline Work]]))</f>
        <v/>
      </c>
      <c r="BN149" s="111" t="str">
        <f aca="false">IF(OR(Tasks[[#This Row],[Task Name]]="",Tasks[[#This Row],[Baseline Cost]]=""),"",Tasks[[#This Row],[Cost]]-N(Tasks[[#This Row],[Baseline Cost]]))</f>
        <v/>
      </c>
      <c r="BO149" s="111" t="str">
        <f aca="false">IF(Tasks[[#This Row],[Task Name]]="","",IF(Tasks[[#This Row],[_IsSummary]],SUM(INDEX(Tasks[_LeafBudget],Tasks[[#This Row],[_Row]]+1):INDEX(Tasks[_LeafBudget],Tasks[[#This Row],[_Row]]+Tasks[[#This Row],[_Descendants]])),Tasks[[#This Row],[_LeafBudget]]))</f>
        <v/>
      </c>
      <c r="BP149" s="111" t="str">
        <f aca="false">IF(Tasks[[#This Row],[Task Name]]="","",IF(Tasks[[#This Row],[_IsSummary]],SUM(INDEX(Tasks[_LeafPV],Tasks[[#This Row],[_Row]]+1):INDEX(Tasks[_LeafPV],Tasks[[#This Row],[_Row]]+Tasks[[#This Row],[_Descendants]])),Tasks[[#This Row],[_LeafPV]]))</f>
        <v/>
      </c>
      <c r="BQ149" s="111" t="str">
        <f aca="false">IF(Tasks[[#This Row],[Task Name]]="","",IF(Tasks[[#This Row],[_IsSummary]],SUM(INDEX(Tasks[_LeafEV],Tasks[[#This Row],[_Row]]+1):INDEX(Tasks[_LeafEV],Tasks[[#This Row],[_Row]]+Tasks[[#This Row],[_Descendants]])),Tasks[[#This Row],[_LeafEV]]))</f>
        <v/>
      </c>
      <c r="BR149" s="111" t="str">
        <f aca="false">IF(Tasks[[#This Row],[Task Name]]="","",IF(Tasks[[#This Row],[_IsSummary]],SUM(INDEX(Tasks[_LeafAC],Tasks[[#This Row],[_Row]]+1):INDEX(Tasks[_LeafAC],Tasks[[#This Row],[_Row]]+Tasks[[#This Row],[_Descendants]])),Tasks[[#This Row],[_LeafAC]]))</f>
        <v/>
      </c>
      <c r="BS149" s="32" t="str">
        <f aca="false">IF(Tasks[[#This Row],[Task Name]]="","",MAX(1,N(Tasks[[#This Row],[Level]])))</f>
        <v/>
      </c>
      <c r="BT149" s="32" t="n">
        <f aca="false">ROW()-ROW(Tasks[[#Headers],[ID]])</f>
        <v>144</v>
      </c>
      <c r="BU149" s="32" t="n">
        <f aca="false">IF(OR(Tasks[[#This Row],[Task Name]]="",Tasks[[#This Row],[_Level]]&lt;=1),0,IFERROR(LOOKUP(2,1/(Tasks[[#Headers],[_Level]]:Tasks[[#This Row],[_Level]]=Tasks[[#This Row],[_Level]]-1),ROW(Tasks[[#Headers],[_Level]]:Tasks[[#This Row],[_Level]])),0))</f>
        <v>0</v>
      </c>
      <c r="BV149" s="32" t="n">
        <f aca="false">IFERROR(N(INDEX(Tasks[_Level],Tasks[[#This Row],[_Row]]+1)),0)</f>
        <v>0</v>
      </c>
      <c r="BW149" s="114" t="b">
        <f aca="false">AND(Tasks[[#This Row],[Task Name]]&lt;&gt;"",Tasks[[#This Row],[_NextLevel]]&gt;Tasks[[#This Row],[_Level]])</f>
        <v>0</v>
      </c>
      <c r="BX149" s="32" t="n">
        <f aca="false">IF(Tasks[[#This Row],[_IsSummary]],COUNTIF(Tasks[WBS],Tasks[[#This Row],[WBS]]&amp;".*"),0)</f>
        <v>0</v>
      </c>
      <c r="BY149" s="32" t="n">
        <f aca="false">IF(AND(Tasks[[#This Row],[Task Name]]&lt;&gt;"",NOT(Tasks[[#This Row],[_IsSummary]])),1,0)</f>
        <v>0</v>
      </c>
      <c r="BZ149" s="32" t="n">
        <f aca="false">IF(N(Tasks[[#This Row],[Pred1 UID]])=0,0,IFERROR(MATCH(Tasks[[#This Row],[Pred1 UID]],Tasks[UID],0),-1))</f>
        <v>0</v>
      </c>
      <c r="CA149" s="32" t="n">
        <f aca="false">IF(N(Tasks[[#This Row],[Pred2 UID]])=0,0,IFERROR(MATCH(Tasks[[#This Row],[Pred2 UID]],Tasks[UID],0),-1))</f>
        <v>0</v>
      </c>
      <c r="CB149" s="32" t="n">
        <f aca="false">IF(N(Tasks[[#This Row],[Pred3 UID]])=0,0,IFERROR(MATCH(Tasks[[#This Row],[Pred3 UID]],Tasks[UID],0),-1))</f>
        <v>0</v>
      </c>
      <c r="CC149" s="32" t="n">
        <f aca="false">IF(N(Tasks[[#This Row],[Pred4 UID]])=0,0,IFERROR(MATCH(Tasks[[#This Row],[Pred4 UID]],Tasks[UID],0),-1))</f>
        <v>0</v>
      </c>
      <c r="CD14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4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49" s="115" t="n">
        <f aca="false">IF(OR(Tasks[[#This Row],[_ConstraintCode]]=2,Tasks[[#This Row],[_ConstraintCode]]=3,Tasks[[#This Row],[_ConstraintCode]]=4,Tasks[[#This Row],[_ConstraintCode]]=6),Tasks[[#This Row],[_ConstraintStart]],0)</f>
        <v>0</v>
      </c>
      <c r="CG149" s="115" t="n">
        <f aca="false">IF(OR(Tasks[[#This Row],[_ConstraintCode]]=2,Tasks[[#This Row],[_ConstraintCode]]=3,Tasks[[#This Row],[_ConstraintCode]]=5,Tasks[[#This Row],[_ConstraintCode]]=7),Tasks[[#This Row],[_ConstraintStart]],2958465)</f>
        <v>2958465</v>
      </c>
      <c r="CH14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49" s="115" t="str">
        <f aca="false">IF(NOT(Tasks[[#This Row],[_IsLeaf]]=1),"",IF(N(Tasks[[#This Row],[Duration]])&lt;=0,Tasks[[#This Row],[_LeafCalcStart]],WORKDAY.INTL(Tasks[[#This Row],[_LeafCalcStart]],Tasks[[#This Row],[Duration]]-1,WorkWeek,Holidays)))</f>
        <v/>
      </c>
      <c r="CJ14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4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49" s="32" t="n">
        <f aca="false">IF(NOT(Tasks[[#This Row],[_IsLeaf]]=1),0,IF(N(Tasks[[#This Row],[Actual Finish]])&gt;0,1,MIN(1,N(Tasks[[#This Row],[% Complete]]))))</f>
        <v>0</v>
      </c>
      <c r="CM149" s="32" t="n">
        <f aca="false">IF(OR(NOT(Tasks[[#This Row],[_IsLeaf]]=1),Tasks[[#This Row],[Resource]]=""),0,N(Tasks[[#This Row],[Duration]])*HoursPerDay*IF(Tasks[[#This Row],[Units]]="",DefaultUnits,Tasks[[#This Row],[Units]]))</f>
        <v>0</v>
      </c>
      <c r="CN149" s="32" t="n">
        <f aca="false">IF(Tasks[[#This Row],[_LeafWork]]=0,0,Tasks[[#This Row],[_LeafWork]]*IFERROR(INDEX(res_Rate,MATCH(Tasks[[#This Row],[Resource]],res_Name,0)),0))</f>
        <v>0</v>
      </c>
      <c r="CO149" s="32" t="n">
        <f aca="false">Tasks[[#This Row],[_LeafWork]]+IF(Tasks[[#This Row],[_IsLeaf]]=1,SUMIFS(asg_Work,asg_TaskUID,Tasks[[#This Row],[UID]],asg_Valid,1),0)</f>
        <v>0</v>
      </c>
      <c r="CP149" s="32" t="n">
        <f aca="false">Tasks[[#This Row],[_LeafCost]]+IF(Tasks[[#This Row],[_IsLeaf]]=1,SUMIFS(asg_Cost,asg_TaskUID,Tasks[[#This Row],[UID]],asg_Valid,1),0)</f>
        <v>0</v>
      </c>
      <c r="CQ149" s="32" t="n">
        <f aca="false">IF(Tasks[[#This Row],[_LeafTotalCost]]=0,Tasks[[#This Row],[_LeafAC]],Tasks[[#This Row],[_LeafAC]]*Tasks[[#This Row],[_LeafCost]]/Tasks[[#This Row],[_LeafTotalCost]])</f>
        <v>0</v>
      </c>
      <c r="CR14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4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4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4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4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4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4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4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49" s="32" t="n">
        <f aca="false">IF(NOT(Tasks[[#This Row],[_IsLeaf]]=1),0,MAX(_xlfn.MAXIFS(Tasks[_Row],Tasks[Pred1 UID],Tasks[[#This Row],[UID]]),_xlfn.MAXIFS(Tasks[_Row],Tasks[Pred2 UID],Tasks[[#This Row],[UID]]),_xlfn.MAXIFS(Tasks[_Row],Tasks[Pred3 UID],Tasks[[#This Row],[UID]]),_xlfn.MAXIFS(Tasks[_Row],Tasks[Pred4 UID],Tasks[[#This Row],[UID]])))</f>
        <v>0</v>
      </c>
      <c r="DA14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4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49" s="115" t="str">
        <f aca="false">IF(NOT(Tasks[[#This Row],[_IsLeaf]]=1),"",IF(N(Tasks[[#This Row],[Duration]])&lt;=0,Tasks[[#This Row],[_LeafLateFinish]],WORKDAY.INTL(Tasks[[#This Row],[_LeafLateFinish]],-(Tasks[[#This Row],[Duration]]-1),WorkWeek,Holidays)))</f>
        <v/>
      </c>
      <c r="DD14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49" s="114" t="b">
        <f aca="false">AND(Tasks[[#This Row],[_IsLeaf]]=1,Tasks[[#This Row],[_LeafProgress]]&lt;1,N(Tasks[[#This Row],[_LeafTotalSlack]])&lt;=CriticalSlackDays)</f>
        <v>0</v>
      </c>
      <c r="DF149" s="32" t="n">
        <f aca="false">IF(AND(Tasks[[#This Row],[_IsLeaf]]=1,Tasks[[#This Row],[_ConstraintCode]]=1,Tasks[[#This Row],[Mode]]&lt;&gt;"Manual",N(Tasks[[#This Row],[Actual Start]])=0),MAX(0,N(Tasks[[#This Row],[Free Slack]])),0)</f>
        <v>0</v>
      </c>
      <c r="DG149" s="115" t="str">
        <f aca="false">IF(NOT(Tasks[[#This Row],[_IsLeaf]]=1),"",IF(Tasks[[#This Row],[_AlapShift]]=0,Tasks[[#This Row],[_LeafCalcStart]],WORKDAY.INTL(Tasks[[#This Row],[_LeafCalcStart]],Tasks[[#This Row],[_AlapShift]],WorkWeek,Holidays)))</f>
        <v/>
      </c>
      <c r="DH149" s="115" t="str">
        <f aca="false">IF(NOT(Tasks[[#This Row],[_IsLeaf]]=1),"",IF(Tasks[[#This Row],[_AlapShift]]=0,Tasks[[#This Row],[_LeafCalcFinish]],WORKDAY.INTL(Tasks[[#This Row],[_LeafCalcFinish]],Tasks[[#This Row],[_AlapShift]],WorkWeek,Holidays)))</f>
        <v/>
      </c>
      <c r="DI149" s="115" t="str">
        <f aca="false">IF(NOT(Tasks[[#This Row],[_IsLeaf]]=1),"",IF(Tasks[[#This Row],[_AlapShift]]=0,Tasks[[#This Row],[_LeafFcstStart]],WORKDAY.INTL(Tasks[[#This Row],[_LeafFcstStart]],Tasks[[#This Row],[_AlapShift]],WorkWeek,Holidays)))</f>
        <v/>
      </c>
      <c r="DJ149" s="115" t="str">
        <f aca="false">IF(NOT(Tasks[[#This Row],[_IsLeaf]]=1),"",IF(Tasks[[#This Row],[_AlapShift]]=0,Tasks[[#This Row],[_LeafFcstFinish]],WORKDAY.INTL(Tasks[[#This Row],[_LeafFcstFinish]],Tasks[[#This Row],[_AlapShift]],WorkWeek,Holidays)))</f>
        <v/>
      </c>
      <c r="DK149" s="115" t="str">
        <f aca="false">IF(Tasks[[#This Row],[Task Name]]="","",IF(Tasks[[#This Row],[_IsSummary]],MIN(INDEX(Tasks[_ShownCalcStart],Tasks[[#This Row],[_Row]]+1):INDEX(Tasks[_ShownCalcStart],Tasks[[#This Row],[_Row]]+Tasks[[#This Row],[_Descendants]])),Tasks[[#This Row],[_ShownCalcStart]]))</f>
        <v/>
      </c>
      <c r="DL149" s="115" t="str">
        <f aca="false">IF(Tasks[[#This Row],[Task Name]]="","",IF(Tasks[[#This Row],[_IsSummary]],MAX(INDEX(Tasks[_ShownCalcFinish],Tasks[[#This Row],[_Row]]+1):INDEX(Tasks[_ShownCalcFinish],Tasks[[#This Row],[_Row]]+Tasks[[#This Row],[_Descendants]])),Tasks[[#This Row],[_ShownCalcFinish]]))</f>
        <v/>
      </c>
      <c r="DM14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4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4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4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4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4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4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4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4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4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4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4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49" s="32" t="n">
        <f aca="false">IF(AND(Tasks[[#This Row],[_IsLeaf]]=1,Tasks[[#This Row],[_LeafTotalWork]]&gt;0),NETWORKDAYS.INTL(ProjectStart,Tasks[[#This Row],[_ShownFcstStart]],WorkWeek,Holidays),0)</f>
        <v>0</v>
      </c>
      <c r="DZ149" s="32" t="n">
        <f aca="false">IF(AND(Tasks[[#This Row],[_IsLeaf]]=1,Tasks[[#This Row],[_LeafTotalWork]]&gt;0),MAX(Tasks[[#This Row],[_StartWorkday]],NETWORKDAYS.INTL(ProjectStart,Tasks[[#This Row],[_ShownFcstFinish]],WorkWeek,Holidays)),0)</f>
        <v>0</v>
      </c>
      <c r="EA149" s="32" t="n">
        <f aca="false">IF(AND(Tasks[[#This Row],[_IsLeaf]]=1,Tasks[[#This Row],[_LeafTotalWork]]&gt;0),Tasks[[#This Row],[_LeafWork]]/(Tasks[[#This Row],[_FinishWorkday]]-Tasks[[#This Row],[_StartWorkday]]+1),0)</f>
        <v>0</v>
      </c>
      <c r="EB149" s="32" t="n">
        <f aca="false">Tasks[[#This Row],[_WorkPerWorkday]]*(Tasks[[#This Row],[_StartWorkday]]-1)</f>
        <v>-0</v>
      </c>
      <c r="EC149" s="32" t="n">
        <f aca="false">IF(Tasks[[#This Row],[_IsLeaf]]=1,MAX(N(Tasks[[#This Row],[Duration]]),0.1),0)</f>
        <v>0</v>
      </c>
      <c r="ED149" s="32" t="n">
        <f aca="false">Tasks[[#This Row],[_WeightDur]]*Tasks[[#This Row],[_LeafProgress]]</f>
        <v>0</v>
      </c>
      <c r="EE14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49" s="32" t="str">
        <f aca="false">IF(AND(Tasks[[#This Row],[_IsLeaf]]=1,N(Tasks[[#This Row],[Duration]])=0,Tasks[[#This Row],[_LeafProgress]]&lt;1),Tasks[[#This Row],[_ShownFcstFinish]]+Tasks[[#This Row],[_Row]]/100000,"")</f>
        <v/>
      </c>
      <c r="EG14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49" s="32" t="n">
        <f aca="false">IF(NOT(Tasks[[#This Row],[_IsLeaf]]=1),0,IF(Tasks[[#This Row],[Baseline Cost]]="",Tasks[[#This Row],[_LeafTotalCost]],N(Tasks[[#This Row],[Baseline Cost]])))</f>
        <v>0</v>
      </c>
      <c r="EI149" s="32" t="n">
        <f aca="false">Tasks[[#This Row],[_LeafBudget]]*Tasks[[#This Row],[_PlannedPct]]</f>
        <v>0</v>
      </c>
      <c r="EJ149" s="32" t="n">
        <f aca="false">Tasks[[#This Row],[_LeafBudget]]*Tasks[[#This Row],[_LeafProgress]]</f>
        <v>0</v>
      </c>
      <c r="EK149" s="32" t="n">
        <f aca="false">IF(NOT(Tasks[[#This Row],[_IsLeaf]]=1),0,IF(Tasks[[#This Row],[Actual Cost]]="",Tasks[[#This Row],[_LeafTotalCost]]*Tasks[[#This Row],[_LeafProgress]],N(Tasks[[#This Row],[Actual Cost]])))</f>
        <v>0</v>
      </c>
      <c r="EL149" s="32" t="str">
        <f aca="false">IF(Tasks[[#This Row],[Task Name]]="","",LEFT(Tasks[[#This Row],[WBS]],FIND(".",Tasks[[#This Row],[WBS]]&amp;".")-1))</f>
        <v/>
      </c>
      <c r="EM149" s="32" t="str">
        <f aca="false">IF(AND(Tasks[[#This Row],[Task Name]]&lt;&gt;"",Tasks[[#This Row],[_Level]]=1),Tasks[[#This Row],[_Row]],"")</f>
        <v/>
      </c>
      <c r="EN149" s="32" t="str">
        <f aca="false">IF(AND(Tasks[[#This Row],[_IsLeaf]]=1,N(Tasks[[#This Row],[Duration]])=0),Tasks[[#This Row],[Planned Finish]]+Tasks[[#This Row],[_Row]]/100000,"")</f>
        <v/>
      </c>
      <c r="EO149" s="32" t="str">
        <f aca="false">IF(AND(Tasks[[#This Row],[_IsLeaf]]=1,Tasks[[#This Row],[_LeafProgress]]&lt;1,OR(N(Tasks[[#This Row],[Finish Var]])&gt;0,Tasks[[#This Row],[Status]]="Late Start")),MAX(0,Tasks[[#This Row],[Finish Var]])+1-Tasks[[#This Row],[_Row]]/1000000,"")</f>
        <v/>
      </c>
      <c r="EP149" s="32" t="str">
        <f aca="false">IF(AND(Tasks[[#This Row],[_IsLeaf]]=1,N(Tasks[[#This Row],[Actual Start]])=0,Tasks[[#This Row],[_ShownFcstStart]]&gt;=StatusDate,Tasks[[#This Row],[_ShownFcstStart]]&lt;=LookaheadEnd),Tasks[[#This Row],[_ShownFcstStart]]+Tasks[[#This Row],[_Row]]/100000,"")</f>
        <v/>
      </c>
      <c r="EQ149" s="32" t="str">
        <f aca="false">IF(AND(Tasks[[#This Row],[_IsLeaf]]=1,Tasks[[#This Row],[_LeafProgress]]&lt;1,Tasks[[#This Row],[_ShownFcstFinish]]&gt;=StatusDate,Tasks[[#This Row],[_ShownFcstFinish]]&lt;=LookaheadEnd),Tasks[[#This Row],[_ShownFcstFinish]]+Tasks[[#This Row],[_Row]]/100000,"")</f>
        <v/>
      </c>
      <c r="ER149" s="32" t="str">
        <f aca="false">IF(Tasks[[#This Row],[_LeafCritical]],Tasks[[#This Row],[_ShownFcstStart]]+Tasks[[#This Row],[_Row]]/100000,"")</f>
        <v/>
      </c>
      <c r="ES149" s="32" t="n">
        <f aca="false">Tasks[[#This Row],[_LeafWork]]*Tasks[[#This Row],[_LeafProgress]]</f>
        <v>0</v>
      </c>
      <c r="ET149" s="115" t="str">
        <f aca="false">IF(AND(Tasks[[#This Row],[_IsLeaf]]=1,Tasks[[#This Row],[_LeafProgress]]&gt;=1),IF(N(Tasks[[#This Row],[Actual Finish]])&gt;0,Tasks[[#This Row],[Actual Finish]],Tasks[[#This Row],[_ShownFcstFinish]]),"")</f>
        <v/>
      </c>
      <c r="EU149" s="32" t="n">
        <f aca="false">IF(Tasks[[#This Row],[_IsLeaf]]=1,N(Tasks[[#This Row],[Story Points]]),0)</f>
        <v>0</v>
      </c>
      <c r="EV149" s="32" t="str">
        <f aca="false">IF(AND(Tasks[[#This Row],[_IsLeaf]]=1,CurrentSprint&lt;&gt;"",Tasks[[#This Row],[Sprint]]=CurrentSprint),Tasks[[#This Row],[_Row]],"")</f>
        <v/>
      </c>
    </row>
    <row r="150" customFormat="false" ht="15" hidden="false" customHeight="false" outlineLevel="0" collapsed="false">
      <c r="A150" s="45" t="str">
        <f aca="false">IF(Tasks[[#This Row],[Task Name]]="","",COUNTA(Tasks[[#Headers],[Task Name]]:Tasks[[#This Row],[Task Name]])-1)</f>
        <v/>
      </c>
      <c r="B150" s="46" t="n">
        <v>145</v>
      </c>
      <c r="C15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0" s="46"/>
      <c r="E150" s="45" t="str">
        <f aca="false">IF(Tasks[[#This Row],[Task Name]]="","",IF(Tasks[[#This Row],[_Level]]&lt;=OutlineShowLevel,"Yes","No"))</f>
        <v/>
      </c>
      <c r="F150" s="47"/>
      <c r="G150" s="46"/>
      <c r="H150" s="46"/>
      <c r="I150" s="46"/>
      <c r="J150" s="46"/>
      <c r="K150" s="46"/>
      <c r="L150" s="46"/>
      <c r="M150" s="46"/>
      <c r="N150" s="46"/>
      <c r="O150" s="46"/>
      <c r="P150" s="46"/>
      <c r="Q150" s="46"/>
      <c r="R150" s="46"/>
      <c r="S150" s="46"/>
      <c r="T150" s="46"/>
      <c r="U150" s="47"/>
      <c r="V150" s="88"/>
      <c r="W150" s="88"/>
      <c r="X150" s="25" t="str">
        <f aca="false">IF(Tasks[[#This Row],[Task Name]]="","",IF(N(Tasks[[#This Row],[Baseline Start]])&gt;0,Tasks[[#This Row],[Baseline Start]],Tasks[[#This Row],[_CalcStart]]))</f>
        <v/>
      </c>
      <c r="Y150" s="25" t="str">
        <f aca="false">IF(Tasks[[#This Row],[Task Name]]="","",IF(N(Tasks[[#This Row],[Baseline Finish]])&gt;0,Tasks[[#This Row],[Baseline Finish]],Tasks[[#This Row],[_CalcFinish]]))</f>
        <v/>
      </c>
      <c r="Z150" s="88"/>
      <c r="AA150" s="88"/>
      <c r="AB150" s="25" t="str">
        <f aca="false">IF(Tasks[[#This Row],[Task Name]]="","",IF(Tasks[[#This Row],[_IsSummary]],MIN(INDEX(Tasks[_ShownFcstStart],Tasks[[#This Row],[_Row]]+1):INDEX(Tasks[_ShownFcstStart],Tasks[[#This Row],[_Row]]+Tasks[[#This Row],[_Descendants]])),Tasks[[#This Row],[_ShownFcstStart]]))</f>
        <v/>
      </c>
      <c r="AC150" s="25" t="str">
        <f aca="false">IF(Tasks[[#This Row],[Task Name]]="","",IF(Tasks[[#This Row],[_IsSummary]],MAX(INDEX(Tasks[_ShownFcstFinish],Tasks[[#This Row],[_Row]]+1):INDEX(Tasks[_ShownFcstFinish],Tasks[[#This Row],[_Row]]+Tasks[[#This Row],[_Descendants]])),Tasks[[#This Row],[_ShownFcstFinish]]))</f>
        <v/>
      </c>
      <c r="AD15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0" s="25" t="str">
        <f aca="false">IF(Tasks[[#This Row],[Task Name]]="","",IF(Tasks[[#This Row],[_IsSummary]],MIN(INDEX(Tasks[_LeafLateStart],Tasks[[#This Row],[_Row]]+1):INDEX(Tasks[_LeafLateStart],Tasks[[#This Row],[_Row]]+Tasks[[#This Row],[_Descendants]])),Tasks[[#This Row],[_LeafLateStart]]))</f>
        <v/>
      </c>
      <c r="AG150" s="25" t="str">
        <f aca="false">IF(Tasks[[#This Row],[Task Name]]="","",IF(Tasks[[#This Row],[_IsSummary]],MAX(INDEX(Tasks[_LeafLateFinish],Tasks[[#This Row],[_Row]]+1):INDEX(Tasks[_LeafLateFinish],Tasks[[#This Row],[_Row]]+Tasks[[#This Row],[_Descendants]])),Tasks[[#This Row],[_LeafLateFinish]]))</f>
        <v/>
      </c>
      <c r="AH150" s="56" t="str">
        <f aca="false">IF(Tasks[[#This Row],[Task Name]]="","",IF(Tasks[[#This Row],[_IsSummary]],MIN(INDEX(Tasks[_LeafTotalSlack],Tasks[[#This Row],[_Row]]+1):INDEX(Tasks[_LeafTotalSlack],Tasks[[#This Row],[_Row]]+Tasks[[#This Row],[_Descendants]])),Tasks[[#This Row],[_LeafTotalSlack]]))</f>
        <v/>
      </c>
      <c r="AI15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0" s="45" t="str">
        <f aca="false">IF(Tasks[[#This Row],[Task Name]]="","",IF(IF(Tasks[[#This Row],[_IsSummary]],COUNTIF(INDEX(Tasks[_LeafCritical],Tasks[[#This Row],[_Row]]+1):INDEX(Tasks[_LeafCritical],Tasks[[#This Row],[_Row]]+Tasks[[#This Row],[_Descendants]]),TRUE())&gt;0,Tasks[[#This Row],[_LeafCritical]]),"Yes",""))</f>
        <v/>
      </c>
      <c r="AK15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0" s="102"/>
      <c r="AN15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0" s="45" t="str">
        <f aca="false">IF(Tasks[[#This Row],[Task Name]]="","",IF(Tasks[[#This Row],[Progress]]&gt;=1,"Complete",IF(OR(N(Tasks[[#This Row],[Actual Start]])&gt;0,Tasks[[#This Row],[Progress]]&gt;0),IF(Tasks[[#This Row],[Finish Var]]&gt;0,"Behind","In Progress"),IF(Tasks[[#This Row],[Planned Start]]&lt;StatusDate,"Late Start","Not Started"))))</f>
        <v/>
      </c>
      <c r="AP150" s="47"/>
      <c r="AQ150" s="102"/>
      <c r="AR15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0" s="110" t="str">
        <f aca="false">IF(Tasks[[#This Row],[Task Name]]="","",IF(Tasks[[#This Row],[_IsSummary]],SUM(INDEX(Tasks[_LeafTotalWork],Tasks[[#This Row],[_Row]]+1):INDEX(Tasks[_LeafTotalWork],Tasks[[#This Row],[_Row]]+Tasks[[#This Row],[_Descendants]])),Tasks[[#This Row],[_LeafTotalWork]]))</f>
        <v/>
      </c>
      <c r="AU150" s="111" t="str">
        <f aca="false">IF(Tasks[[#This Row],[Task Name]]="","",IF(Tasks[[#This Row],[_IsSummary]],SUM(INDEX(Tasks[_LeafTotalCost],Tasks[[#This Row],[_Row]]+1):INDEX(Tasks[_LeafTotalCost],Tasks[[#This Row],[_Row]]+Tasks[[#This Row],[_Descendants]])),Tasks[[#This Row],[_LeafTotalCost]]))</f>
        <v/>
      </c>
      <c r="AV150" s="112"/>
      <c r="AW150" s="46"/>
      <c r="AX15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0" s="96"/>
      <c r="AZ15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0" s="47"/>
      <c r="BB150" s="25" t="str">
        <f aca="false">IF(Tasks[[#This Row],[Task Name]]="","",Tasks[[#This Row],[Forecast Start]])</f>
        <v/>
      </c>
      <c r="BC150" s="25" t="str">
        <f aca="false">IF(Tasks[[#This Row],[Task Name]]="","",Tasks[[#This Row],[Forecast Finish]])</f>
        <v/>
      </c>
      <c r="BD150" s="45" t="str">
        <f aca="false">IF(Tasks[[#This Row],[Task Name]]="","",IF(Tasks[[#This Row],[_IsSummary]],NETWORKDAYS.INTL(Tasks[[#This Row],[Forecast Start]],Tasks[[#This Row],[Forecast Finish]],WorkWeek,Holidays),N(Tasks[[#This Row],[Duration]])))</f>
        <v/>
      </c>
      <c r="BE150" s="110" t="str">
        <f aca="false">IF(Tasks[[#This Row],[Task Name]]="","",Tasks[[#This Row],[Work]])</f>
        <v/>
      </c>
      <c r="BF150" s="111" t="str">
        <f aca="false">IF(Tasks[[#This Row],[Task Name]]="","",Tasks[[#This Row],[Cost]])</f>
        <v/>
      </c>
      <c r="BG150" s="88"/>
      <c r="BH150" s="88"/>
      <c r="BI150" s="46"/>
      <c r="BJ150" s="113"/>
      <c r="BK150" s="112"/>
      <c r="BL150" s="45" t="str">
        <f aca="false">IF(OR(Tasks[[#This Row],[Task Name]]="",Tasks[[#This Row],[Baseline Duration]]=""),"",Tasks[[#This Row],[BL Source Duration]]-N(Tasks[[#This Row],[Baseline Duration]]))</f>
        <v/>
      </c>
      <c r="BM150" s="110" t="str">
        <f aca="false">IF(OR(Tasks[[#This Row],[Task Name]]="",Tasks[[#This Row],[Baseline Work]]=""),"",Tasks[[#This Row],[Work]]-N(Tasks[[#This Row],[Baseline Work]]))</f>
        <v/>
      </c>
      <c r="BN150" s="111" t="str">
        <f aca="false">IF(OR(Tasks[[#This Row],[Task Name]]="",Tasks[[#This Row],[Baseline Cost]]=""),"",Tasks[[#This Row],[Cost]]-N(Tasks[[#This Row],[Baseline Cost]]))</f>
        <v/>
      </c>
      <c r="BO150" s="111" t="str">
        <f aca="false">IF(Tasks[[#This Row],[Task Name]]="","",IF(Tasks[[#This Row],[_IsSummary]],SUM(INDEX(Tasks[_LeafBudget],Tasks[[#This Row],[_Row]]+1):INDEX(Tasks[_LeafBudget],Tasks[[#This Row],[_Row]]+Tasks[[#This Row],[_Descendants]])),Tasks[[#This Row],[_LeafBudget]]))</f>
        <v/>
      </c>
      <c r="BP150" s="111" t="str">
        <f aca="false">IF(Tasks[[#This Row],[Task Name]]="","",IF(Tasks[[#This Row],[_IsSummary]],SUM(INDEX(Tasks[_LeafPV],Tasks[[#This Row],[_Row]]+1):INDEX(Tasks[_LeafPV],Tasks[[#This Row],[_Row]]+Tasks[[#This Row],[_Descendants]])),Tasks[[#This Row],[_LeafPV]]))</f>
        <v/>
      </c>
      <c r="BQ150" s="111" t="str">
        <f aca="false">IF(Tasks[[#This Row],[Task Name]]="","",IF(Tasks[[#This Row],[_IsSummary]],SUM(INDEX(Tasks[_LeafEV],Tasks[[#This Row],[_Row]]+1):INDEX(Tasks[_LeafEV],Tasks[[#This Row],[_Row]]+Tasks[[#This Row],[_Descendants]])),Tasks[[#This Row],[_LeafEV]]))</f>
        <v/>
      </c>
      <c r="BR150" s="111" t="str">
        <f aca="false">IF(Tasks[[#This Row],[Task Name]]="","",IF(Tasks[[#This Row],[_IsSummary]],SUM(INDEX(Tasks[_LeafAC],Tasks[[#This Row],[_Row]]+1):INDEX(Tasks[_LeafAC],Tasks[[#This Row],[_Row]]+Tasks[[#This Row],[_Descendants]])),Tasks[[#This Row],[_LeafAC]]))</f>
        <v/>
      </c>
      <c r="BS150" s="32" t="str">
        <f aca="false">IF(Tasks[[#This Row],[Task Name]]="","",MAX(1,N(Tasks[[#This Row],[Level]])))</f>
        <v/>
      </c>
      <c r="BT150" s="32" t="n">
        <f aca="false">ROW()-ROW(Tasks[[#Headers],[ID]])</f>
        <v>145</v>
      </c>
      <c r="BU150" s="32" t="n">
        <f aca="false">IF(OR(Tasks[[#This Row],[Task Name]]="",Tasks[[#This Row],[_Level]]&lt;=1),0,IFERROR(LOOKUP(2,1/(Tasks[[#Headers],[_Level]]:Tasks[[#This Row],[_Level]]=Tasks[[#This Row],[_Level]]-1),ROW(Tasks[[#Headers],[_Level]]:Tasks[[#This Row],[_Level]])),0))</f>
        <v>0</v>
      </c>
      <c r="BV150" s="32" t="n">
        <f aca="false">IFERROR(N(INDEX(Tasks[_Level],Tasks[[#This Row],[_Row]]+1)),0)</f>
        <v>0</v>
      </c>
      <c r="BW150" s="114" t="b">
        <f aca="false">AND(Tasks[[#This Row],[Task Name]]&lt;&gt;"",Tasks[[#This Row],[_NextLevel]]&gt;Tasks[[#This Row],[_Level]])</f>
        <v>0</v>
      </c>
      <c r="BX150" s="32" t="n">
        <f aca="false">IF(Tasks[[#This Row],[_IsSummary]],COUNTIF(Tasks[WBS],Tasks[[#This Row],[WBS]]&amp;".*"),0)</f>
        <v>0</v>
      </c>
      <c r="BY150" s="32" t="n">
        <f aca="false">IF(AND(Tasks[[#This Row],[Task Name]]&lt;&gt;"",NOT(Tasks[[#This Row],[_IsSummary]])),1,0)</f>
        <v>0</v>
      </c>
      <c r="BZ150" s="32" t="n">
        <f aca="false">IF(N(Tasks[[#This Row],[Pred1 UID]])=0,0,IFERROR(MATCH(Tasks[[#This Row],[Pred1 UID]],Tasks[UID],0),-1))</f>
        <v>0</v>
      </c>
      <c r="CA150" s="32" t="n">
        <f aca="false">IF(N(Tasks[[#This Row],[Pred2 UID]])=0,0,IFERROR(MATCH(Tasks[[#This Row],[Pred2 UID]],Tasks[UID],0),-1))</f>
        <v>0</v>
      </c>
      <c r="CB150" s="32" t="n">
        <f aca="false">IF(N(Tasks[[#This Row],[Pred3 UID]])=0,0,IFERROR(MATCH(Tasks[[#This Row],[Pred3 UID]],Tasks[UID],0),-1))</f>
        <v>0</v>
      </c>
      <c r="CC150" s="32" t="n">
        <f aca="false">IF(N(Tasks[[#This Row],[Pred4 UID]])=0,0,IFERROR(MATCH(Tasks[[#This Row],[Pred4 UID]],Tasks[UID],0),-1))</f>
        <v>0</v>
      </c>
      <c r="CD15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0" s="115" t="n">
        <f aca="false">IF(OR(Tasks[[#This Row],[_ConstraintCode]]=2,Tasks[[#This Row],[_ConstraintCode]]=3,Tasks[[#This Row],[_ConstraintCode]]=4,Tasks[[#This Row],[_ConstraintCode]]=6),Tasks[[#This Row],[_ConstraintStart]],0)</f>
        <v>0</v>
      </c>
      <c r="CG150" s="115" t="n">
        <f aca="false">IF(OR(Tasks[[#This Row],[_ConstraintCode]]=2,Tasks[[#This Row],[_ConstraintCode]]=3,Tasks[[#This Row],[_ConstraintCode]]=5,Tasks[[#This Row],[_ConstraintCode]]=7),Tasks[[#This Row],[_ConstraintStart]],2958465)</f>
        <v>2958465</v>
      </c>
      <c r="CH15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0" s="115" t="str">
        <f aca="false">IF(NOT(Tasks[[#This Row],[_IsLeaf]]=1),"",IF(N(Tasks[[#This Row],[Duration]])&lt;=0,Tasks[[#This Row],[_LeafCalcStart]],WORKDAY.INTL(Tasks[[#This Row],[_LeafCalcStart]],Tasks[[#This Row],[Duration]]-1,WorkWeek,Holidays)))</f>
        <v/>
      </c>
      <c r="CJ15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0" s="32" t="n">
        <f aca="false">IF(NOT(Tasks[[#This Row],[_IsLeaf]]=1),0,IF(N(Tasks[[#This Row],[Actual Finish]])&gt;0,1,MIN(1,N(Tasks[[#This Row],[% Complete]]))))</f>
        <v>0</v>
      </c>
      <c r="CM150" s="32" t="n">
        <f aca="false">IF(OR(NOT(Tasks[[#This Row],[_IsLeaf]]=1),Tasks[[#This Row],[Resource]]=""),0,N(Tasks[[#This Row],[Duration]])*HoursPerDay*IF(Tasks[[#This Row],[Units]]="",DefaultUnits,Tasks[[#This Row],[Units]]))</f>
        <v>0</v>
      </c>
      <c r="CN150" s="32" t="n">
        <f aca="false">IF(Tasks[[#This Row],[_LeafWork]]=0,0,Tasks[[#This Row],[_LeafWork]]*IFERROR(INDEX(res_Rate,MATCH(Tasks[[#This Row],[Resource]],res_Name,0)),0))</f>
        <v>0</v>
      </c>
      <c r="CO150" s="32" t="n">
        <f aca="false">Tasks[[#This Row],[_LeafWork]]+IF(Tasks[[#This Row],[_IsLeaf]]=1,SUMIFS(asg_Work,asg_TaskUID,Tasks[[#This Row],[UID]],asg_Valid,1),0)</f>
        <v>0</v>
      </c>
      <c r="CP150" s="32" t="n">
        <f aca="false">Tasks[[#This Row],[_LeafCost]]+IF(Tasks[[#This Row],[_IsLeaf]]=1,SUMIFS(asg_Cost,asg_TaskUID,Tasks[[#This Row],[UID]],asg_Valid,1),0)</f>
        <v>0</v>
      </c>
      <c r="CQ150" s="32" t="n">
        <f aca="false">IF(Tasks[[#This Row],[_LeafTotalCost]]=0,Tasks[[#This Row],[_LeafAC]],Tasks[[#This Row],[_LeafAC]]*Tasks[[#This Row],[_LeafCost]]/Tasks[[#This Row],[_LeafTotalCost]])</f>
        <v>0</v>
      </c>
      <c r="CR15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0" s="32" t="n">
        <f aca="false">IF(NOT(Tasks[[#This Row],[_IsLeaf]]=1),0,MAX(_xlfn.MAXIFS(Tasks[_Row],Tasks[Pred1 UID],Tasks[[#This Row],[UID]]),_xlfn.MAXIFS(Tasks[_Row],Tasks[Pred2 UID],Tasks[[#This Row],[UID]]),_xlfn.MAXIFS(Tasks[_Row],Tasks[Pred3 UID],Tasks[[#This Row],[UID]]),_xlfn.MAXIFS(Tasks[_Row],Tasks[Pred4 UID],Tasks[[#This Row],[UID]])))</f>
        <v>0</v>
      </c>
      <c r="DA15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0" s="115" t="str">
        <f aca="false">IF(NOT(Tasks[[#This Row],[_IsLeaf]]=1),"",IF(N(Tasks[[#This Row],[Duration]])&lt;=0,Tasks[[#This Row],[_LeafLateFinish]],WORKDAY.INTL(Tasks[[#This Row],[_LeafLateFinish]],-(Tasks[[#This Row],[Duration]]-1),WorkWeek,Holidays)))</f>
        <v/>
      </c>
      <c r="DD15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0" s="114" t="b">
        <f aca="false">AND(Tasks[[#This Row],[_IsLeaf]]=1,Tasks[[#This Row],[_LeafProgress]]&lt;1,N(Tasks[[#This Row],[_LeafTotalSlack]])&lt;=CriticalSlackDays)</f>
        <v>0</v>
      </c>
      <c r="DF150" s="32" t="n">
        <f aca="false">IF(AND(Tasks[[#This Row],[_IsLeaf]]=1,Tasks[[#This Row],[_ConstraintCode]]=1,Tasks[[#This Row],[Mode]]&lt;&gt;"Manual",N(Tasks[[#This Row],[Actual Start]])=0),MAX(0,N(Tasks[[#This Row],[Free Slack]])),0)</f>
        <v>0</v>
      </c>
      <c r="DG150" s="115" t="str">
        <f aca="false">IF(NOT(Tasks[[#This Row],[_IsLeaf]]=1),"",IF(Tasks[[#This Row],[_AlapShift]]=0,Tasks[[#This Row],[_LeafCalcStart]],WORKDAY.INTL(Tasks[[#This Row],[_LeafCalcStart]],Tasks[[#This Row],[_AlapShift]],WorkWeek,Holidays)))</f>
        <v/>
      </c>
      <c r="DH150" s="115" t="str">
        <f aca="false">IF(NOT(Tasks[[#This Row],[_IsLeaf]]=1),"",IF(Tasks[[#This Row],[_AlapShift]]=0,Tasks[[#This Row],[_LeafCalcFinish]],WORKDAY.INTL(Tasks[[#This Row],[_LeafCalcFinish]],Tasks[[#This Row],[_AlapShift]],WorkWeek,Holidays)))</f>
        <v/>
      </c>
      <c r="DI150" s="115" t="str">
        <f aca="false">IF(NOT(Tasks[[#This Row],[_IsLeaf]]=1),"",IF(Tasks[[#This Row],[_AlapShift]]=0,Tasks[[#This Row],[_LeafFcstStart]],WORKDAY.INTL(Tasks[[#This Row],[_LeafFcstStart]],Tasks[[#This Row],[_AlapShift]],WorkWeek,Holidays)))</f>
        <v/>
      </c>
      <c r="DJ150" s="115" t="str">
        <f aca="false">IF(NOT(Tasks[[#This Row],[_IsLeaf]]=1),"",IF(Tasks[[#This Row],[_AlapShift]]=0,Tasks[[#This Row],[_LeafFcstFinish]],WORKDAY.INTL(Tasks[[#This Row],[_LeafFcstFinish]],Tasks[[#This Row],[_AlapShift]],WorkWeek,Holidays)))</f>
        <v/>
      </c>
      <c r="DK150" s="115" t="str">
        <f aca="false">IF(Tasks[[#This Row],[Task Name]]="","",IF(Tasks[[#This Row],[_IsSummary]],MIN(INDEX(Tasks[_ShownCalcStart],Tasks[[#This Row],[_Row]]+1):INDEX(Tasks[_ShownCalcStart],Tasks[[#This Row],[_Row]]+Tasks[[#This Row],[_Descendants]])),Tasks[[#This Row],[_ShownCalcStart]]))</f>
        <v/>
      </c>
      <c r="DL150" s="115" t="str">
        <f aca="false">IF(Tasks[[#This Row],[Task Name]]="","",IF(Tasks[[#This Row],[_IsSummary]],MAX(INDEX(Tasks[_ShownCalcFinish],Tasks[[#This Row],[_Row]]+1):INDEX(Tasks[_ShownCalcFinish],Tasks[[#This Row],[_Row]]+Tasks[[#This Row],[_Descendants]])),Tasks[[#This Row],[_ShownCalcFinish]]))</f>
        <v/>
      </c>
      <c r="DM15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0" s="32" t="n">
        <f aca="false">IF(AND(Tasks[[#This Row],[_IsLeaf]]=1,Tasks[[#This Row],[_LeafTotalWork]]&gt;0),NETWORKDAYS.INTL(ProjectStart,Tasks[[#This Row],[_ShownFcstStart]],WorkWeek,Holidays),0)</f>
        <v>0</v>
      </c>
      <c r="DZ150" s="32" t="n">
        <f aca="false">IF(AND(Tasks[[#This Row],[_IsLeaf]]=1,Tasks[[#This Row],[_LeafTotalWork]]&gt;0),MAX(Tasks[[#This Row],[_StartWorkday]],NETWORKDAYS.INTL(ProjectStart,Tasks[[#This Row],[_ShownFcstFinish]],WorkWeek,Holidays)),0)</f>
        <v>0</v>
      </c>
      <c r="EA150" s="32" t="n">
        <f aca="false">IF(AND(Tasks[[#This Row],[_IsLeaf]]=1,Tasks[[#This Row],[_LeafTotalWork]]&gt;0),Tasks[[#This Row],[_LeafWork]]/(Tasks[[#This Row],[_FinishWorkday]]-Tasks[[#This Row],[_StartWorkday]]+1),0)</f>
        <v>0</v>
      </c>
      <c r="EB150" s="32" t="n">
        <f aca="false">Tasks[[#This Row],[_WorkPerWorkday]]*(Tasks[[#This Row],[_StartWorkday]]-1)</f>
        <v>-0</v>
      </c>
      <c r="EC150" s="32" t="n">
        <f aca="false">IF(Tasks[[#This Row],[_IsLeaf]]=1,MAX(N(Tasks[[#This Row],[Duration]]),0.1),0)</f>
        <v>0</v>
      </c>
      <c r="ED150" s="32" t="n">
        <f aca="false">Tasks[[#This Row],[_WeightDur]]*Tasks[[#This Row],[_LeafProgress]]</f>
        <v>0</v>
      </c>
      <c r="EE15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0" s="32" t="str">
        <f aca="false">IF(AND(Tasks[[#This Row],[_IsLeaf]]=1,N(Tasks[[#This Row],[Duration]])=0,Tasks[[#This Row],[_LeafProgress]]&lt;1),Tasks[[#This Row],[_ShownFcstFinish]]+Tasks[[#This Row],[_Row]]/100000,"")</f>
        <v/>
      </c>
      <c r="EG15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0" s="32" t="n">
        <f aca="false">IF(NOT(Tasks[[#This Row],[_IsLeaf]]=1),0,IF(Tasks[[#This Row],[Baseline Cost]]="",Tasks[[#This Row],[_LeafTotalCost]],N(Tasks[[#This Row],[Baseline Cost]])))</f>
        <v>0</v>
      </c>
      <c r="EI150" s="32" t="n">
        <f aca="false">Tasks[[#This Row],[_LeafBudget]]*Tasks[[#This Row],[_PlannedPct]]</f>
        <v>0</v>
      </c>
      <c r="EJ150" s="32" t="n">
        <f aca="false">Tasks[[#This Row],[_LeafBudget]]*Tasks[[#This Row],[_LeafProgress]]</f>
        <v>0</v>
      </c>
      <c r="EK150" s="32" t="n">
        <f aca="false">IF(NOT(Tasks[[#This Row],[_IsLeaf]]=1),0,IF(Tasks[[#This Row],[Actual Cost]]="",Tasks[[#This Row],[_LeafTotalCost]]*Tasks[[#This Row],[_LeafProgress]],N(Tasks[[#This Row],[Actual Cost]])))</f>
        <v>0</v>
      </c>
      <c r="EL150" s="32" t="str">
        <f aca="false">IF(Tasks[[#This Row],[Task Name]]="","",LEFT(Tasks[[#This Row],[WBS]],FIND(".",Tasks[[#This Row],[WBS]]&amp;".")-1))</f>
        <v/>
      </c>
      <c r="EM150" s="32" t="str">
        <f aca="false">IF(AND(Tasks[[#This Row],[Task Name]]&lt;&gt;"",Tasks[[#This Row],[_Level]]=1),Tasks[[#This Row],[_Row]],"")</f>
        <v/>
      </c>
      <c r="EN150" s="32" t="str">
        <f aca="false">IF(AND(Tasks[[#This Row],[_IsLeaf]]=1,N(Tasks[[#This Row],[Duration]])=0),Tasks[[#This Row],[Planned Finish]]+Tasks[[#This Row],[_Row]]/100000,"")</f>
        <v/>
      </c>
      <c r="EO150" s="32" t="str">
        <f aca="false">IF(AND(Tasks[[#This Row],[_IsLeaf]]=1,Tasks[[#This Row],[_LeafProgress]]&lt;1,OR(N(Tasks[[#This Row],[Finish Var]])&gt;0,Tasks[[#This Row],[Status]]="Late Start")),MAX(0,Tasks[[#This Row],[Finish Var]])+1-Tasks[[#This Row],[_Row]]/1000000,"")</f>
        <v/>
      </c>
      <c r="EP150" s="32" t="str">
        <f aca="false">IF(AND(Tasks[[#This Row],[_IsLeaf]]=1,N(Tasks[[#This Row],[Actual Start]])=0,Tasks[[#This Row],[_ShownFcstStart]]&gt;=StatusDate,Tasks[[#This Row],[_ShownFcstStart]]&lt;=LookaheadEnd),Tasks[[#This Row],[_ShownFcstStart]]+Tasks[[#This Row],[_Row]]/100000,"")</f>
        <v/>
      </c>
      <c r="EQ150" s="32" t="str">
        <f aca="false">IF(AND(Tasks[[#This Row],[_IsLeaf]]=1,Tasks[[#This Row],[_LeafProgress]]&lt;1,Tasks[[#This Row],[_ShownFcstFinish]]&gt;=StatusDate,Tasks[[#This Row],[_ShownFcstFinish]]&lt;=LookaheadEnd),Tasks[[#This Row],[_ShownFcstFinish]]+Tasks[[#This Row],[_Row]]/100000,"")</f>
        <v/>
      </c>
      <c r="ER150" s="32" t="str">
        <f aca="false">IF(Tasks[[#This Row],[_LeafCritical]],Tasks[[#This Row],[_ShownFcstStart]]+Tasks[[#This Row],[_Row]]/100000,"")</f>
        <v/>
      </c>
      <c r="ES150" s="32" t="n">
        <f aca="false">Tasks[[#This Row],[_LeafWork]]*Tasks[[#This Row],[_LeafProgress]]</f>
        <v>0</v>
      </c>
      <c r="ET150" s="115" t="str">
        <f aca="false">IF(AND(Tasks[[#This Row],[_IsLeaf]]=1,Tasks[[#This Row],[_LeafProgress]]&gt;=1),IF(N(Tasks[[#This Row],[Actual Finish]])&gt;0,Tasks[[#This Row],[Actual Finish]],Tasks[[#This Row],[_ShownFcstFinish]]),"")</f>
        <v/>
      </c>
      <c r="EU150" s="32" t="n">
        <f aca="false">IF(Tasks[[#This Row],[_IsLeaf]]=1,N(Tasks[[#This Row],[Story Points]]),0)</f>
        <v>0</v>
      </c>
      <c r="EV150" s="32" t="str">
        <f aca="false">IF(AND(Tasks[[#This Row],[_IsLeaf]]=1,CurrentSprint&lt;&gt;"",Tasks[[#This Row],[Sprint]]=CurrentSprint),Tasks[[#This Row],[_Row]],"")</f>
        <v/>
      </c>
    </row>
    <row r="151" customFormat="false" ht="15" hidden="false" customHeight="false" outlineLevel="0" collapsed="false">
      <c r="A151" s="45" t="str">
        <f aca="false">IF(Tasks[[#This Row],[Task Name]]="","",COUNTA(Tasks[[#Headers],[Task Name]]:Tasks[[#This Row],[Task Name]])-1)</f>
        <v/>
      </c>
      <c r="B151" s="46" t="n">
        <v>146</v>
      </c>
      <c r="C15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1" s="46"/>
      <c r="E151" s="45" t="str">
        <f aca="false">IF(Tasks[[#This Row],[Task Name]]="","",IF(Tasks[[#This Row],[_Level]]&lt;=OutlineShowLevel,"Yes","No"))</f>
        <v/>
      </c>
      <c r="F151" s="47"/>
      <c r="G151" s="46"/>
      <c r="H151" s="46"/>
      <c r="I151" s="46"/>
      <c r="J151" s="46"/>
      <c r="K151" s="46"/>
      <c r="L151" s="46"/>
      <c r="M151" s="46"/>
      <c r="N151" s="46"/>
      <c r="O151" s="46"/>
      <c r="P151" s="46"/>
      <c r="Q151" s="46"/>
      <c r="R151" s="46"/>
      <c r="S151" s="46"/>
      <c r="T151" s="46"/>
      <c r="U151" s="47"/>
      <c r="V151" s="88"/>
      <c r="W151" s="88"/>
      <c r="X151" s="25" t="str">
        <f aca="false">IF(Tasks[[#This Row],[Task Name]]="","",IF(N(Tasks[[#This Row],[Baseline Start]])&gt;0,Tasks[[#This Row],[Baseline Start]],Tasks[[#This Row],[_CalcStart]]))</f>
        <v/>
      </c>
      <c r="Y151" s="25" t="str">
        <f aca="false">IF(Tasks[[#This Row],[Task Name]]="","",IF(N(Tasks[[#This Row],[Baseline Finish]])&gt;0,Tasks[[#This Row],[Baseline Finish]],Tasks[[#This Row],[_CalcFinish]]))</f>
        <v/>
      </c>
      <c r="Z151" s="88"/>
      <c r="AA151" s="88"/>
      <c r="AB151" s="25" t="str">
        <f aca="false">IF(Tasks[[#This Row],[Task Name]]="","",IF(Tasks[[#This Row],[_IsSummary]],MIN(INDEX(Tasks[_ShownFcstStart],Tasks[[#This Row],[_Row]]+1):INDEX(Tasks[_ShownFcstStart],Tasks[[#This Row],[_Row]]+Tasks[[#This Row],[_Descendants]])),Tasks[[#This Row],[_ShownFcstStart]]))</f>
        <v/>
      </c>
      <c r="AC151" s="25" t="str">
        <f aca="false">IF(Tasks[[#This Row],[Task Name]]="","",IF(Tasks[[#This Row],[_IsSummary]],MAX(INDEX(Tasks[_ShownFcstFinish],Tasks[[#This Row],[_Row]]+1):INDEX(Tasks[_ShownFcstFinish],Tasks[[#This Row],[_Row]]+Tasks[[#This Row],[_Descendants]])),Tasks[[#This Row],[_ShownFcstFinish]]))</f>
        <v/>
      </c>
      <c r="AD15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1" s="25" t="str">
        <f aca="false">IF(Tasks[[#This Row],[Task Name]]="","",IF(Tasks[[#This Row],[_IsSummary]],MIN(INDEX(Tasks[_LeafLateStart],Tasks[[#This Row],[_Row]]+1):INDEX(Tasks[_LeafLateStart],Tasks[[#This Row],[_Row]]+Tasks[[#This Row],[_Descendants]])),Tasks[[#This Row],[_LeafLateStart]]))</f>
        <v/>
      </c>
      <c r="AG151" s="25" t="str">
        <f aca="false">IF(Tasks[[#This Row],[Task Name]]="","",IF(Tasks[[#This Row],[_IsSummary]],MAX(INDEX(Tasks[_LeafLateFinish],Tasks[[#This Row],[_Row]]+1):INDEX(Tasks[_LeafLateFinish],Tasks[[#This Row],[_Row]]+Tasks[[#This Row],[_Descendants]])),Tasks[[#This Row],[_LeafLateFinish]]))</f>
        <v/>
      </c>
      <c r="AH151" s="56" t="str">
        <f aca="false">IF(Tasks[[#This Row],[Task Name]]="","",IF(Tasks[[#This Row],[_IsSummary]],MIN(INDEX(Tasks[_LeafTotalSlack],Tasks[[#This Row],[_Row]]+1):INDEX(Tasks[_LeafTotalSlack],Tasks[[#This Row],[_Row]]+Tasks[[#This Row],[_Descendants]])),Tasks[[#This Row],[_LeafTotalSlack]]))</f>
        <v/>
      </c>
      <c r="AI15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1" s="45" t="str">
        <f aca="false">IF(Tasks[[#This Row],[Task Name]]="","",IF(IF(Tasks[[#This Row],[_IsSummary]],COUNTIF(INDEX(Tasks[_LeafCritical],Tasks[[#This Row],[_Row]]+1):INDEX(Tasks[_LeafCritical],Tasks[[#This Row],[_Row]]+Tasks[[#This Row],[_Descendants]]),TRUE())&gt;0,Tasks[[#This Row],[_LeafCritical]]),"Yes",""))</f>
        <v/>
      </c>
      <c r="AK15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1" s="102"/>
      <c r="AN15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1" s="45" t="str">
        <f aca="false">IF(Tasks[[#This Row],[Task Name]]="","",IF(Tasks[[#This Row],[Progress]]&gt;=1,"Complete",IF(OR(N(Tasks[[#This Row],[Actual Start]])&gt;0,Tasks[[#This Row],[Progress]]&gt;0),IF(Tasks[[#This Row],[Finish Var]]&gt;0,"Behind","In Progress"),IF(Tasks[[#This Row],[Planned Start]]&lt;StatusDate,"Late Start","Not Started"))))</f>
        <v/>
      </c>
      <c r="AP151" s="47"/>
      <c r="AQ151" s="102"/>
      <c r="AR15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1" s="110" t="str">
        <f aca="false">IF(Tasks[[#This Row],[Task Name]]="","",IF(Tasks[[#This Row],[_IsSummary]],SUM(INDEX(Tasks[_LeafTotalWork],Tasks[[#This Row],[_Row]]+1):INDEX(Tasks[_LeafTotalWork],Tasks[[#This Row],[_Row]]+Tasks[[#This Row],[_Descendants]])),Tasks[[#This Row],[_LeafTotalWork]]))</f>
        <v/>
      </c>
      <c r="AU151" s="111" t="str">
        <f aca="false">IF(Tasks[[#This Row],[Task Name]]="","",IF(Tasks[[#This Row],[_IsSummary]],SUM(INDEX(Tasks[_LeafTotalCost],Tasks[[#This Row],[_Row]]+1):INDEX(Tasks[_LeafTotalCost],Tasks[[#This Row],[_Row]]+Tasks[[#This Row],[_Descendants]])),Tasks[[#This Row],[_LeafTotalCost]]))</f>
        <v/>
      </c>
      <c r="AV151" s="112"/>
      <c r="AW151" s="46"/>
      <c r="AX15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1" s="96"/>
      <c r="AZ15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1" s="47"/>
      <c r="BB151" s="25" t="str">
        <f aca="false">IF(Tasks[[#This Row],[Task Name]]="","",Tasks[[#This Row],[Forecast Start]])</f>
        <v/>
      </c>
      <c r="BC151" s="25" t="str">
        <f aca="false">IF(Tasks[[#This Row],[Task Name]]="","",Tasks[[#This Row],[Forecast Finish]])</f>
        <v/>
      </c>
      <c r="BD151" s="45" t="str">
        <f aca="false">IF(Tasks[[#This Row],[Task Name]]="","",IF(Tasks[[#This Row],[_IsSummary]],NETWORKDAYS.INTL(Tasks[[#This Row],[Forecast Start]],Tasks[[#This Row],[Forecast Finish]],WorkWeek,Holidays),N(Tasks[[#This Row],[Duration]])))</f>
        <v/>
      </c>
      <c r="BE151" s="110" t="str">
        <f aca="false">IF(Tasks[[#This Row],[Task Name]]="","",Tasks[[#This Row],[Work]])</f>
        <v/>
      </c>
      <c r="BF151" s="111" t="str">
        <f aca="false">IF(Tasks[[#This Row],[Task Name]]="","",Tasks[[#This Row],[Cost]])</f>
        <v/>
      </c>
      <c r="BG151" s="88"/>
      <c r="BH151" s="88"/>
      <c r="BI151" s="46"/>
      <c r="BJ151" s="113"/>
      <c r="BK151" s="112"/>
      <c r="BL151" s="45" t="str">
        <f aca="false">IF(OR(Tasks[[#This Row],[Task Name]]="",Tasks[[#This Row],[Baseline Duration]]=""),"",Tasks[[#This Row],[BL Source Duration]]-N(Tasks[[#This Row],[Baseline Duration]]))</f>
        <v/>
      </c>
      <c r="BM151" s="110" t="str">
        <f aca="false">IF(OR(Tasks[[#This Row],[Task Name]]="",Tasks[[#This Row],[Baseline Work]]=""),"",Tasks[[#This Row],[Work]]-N(Tasks[[#This Row],[Baseline Work]]))</f>
        <v/>
      </c>
      <c r="BN151" s="111" t="str">
        <f aca="false">IF(OR(Tasks[[#This Row],[Task Name]]="",Tasks[[#This Row],[Baseline Cost]]=""),"",Tasks[[#This Row],[Cost]]-N(Tasks[[#This Row],[Baseline Cost]]))</f>
        <v/>
      </c>
      <c r="BO151" s="111" t="str">
        <f aca="false">IF(Tasks[[#This Row],[Task Name]]="","",IF(Tasks[[#This Row],[_IsSummary]],SUM(INDEX(Tasks[_LeafBudget],Tasks[[#This Row],[_Row]]+1):INDEX(Tasks[_LeafBudget],Tasks[[#This Row],[_Row]]+Tasks[[#This Row],[_Descendants]])),Tasks[[#This Row],[_LeafBudget]]))</f>
        <v/>
      </c>
      <c r="BP151" s="111" t="str">
        <f aca="false">IF(Tasks[[#This Row],[Task Name]]="","",IF(Tasks[[#This Row],[_IsSummary]],SUM(INDEX(Tasks[_LeafPV],Tasks[[#This Row],[_Row]]+1):INDEX(Tasks[_LeafPV],Tasks[[#This Row],[_Row]]+Tasks[[#This Row],[_Descendants]])),Tasks[[#This Row],[_LeafPV]]))</f>
        <v/>
      </c>
      <c r="BQ151" s="111" t="str">
        <f aca="false">IF(Tasks[[#This Row],[Task Name]]="","",IF(Tasks[[#This Row],[_IsSummary]],SUM(INDEX(Tasks[_LeafEV],Tasks[[#This Row],[_Row]]+1):INDEX(Tasks[_LeafEV],Tasks[[#This Row],[_Row]]+Tasks[[#This Row],[_Descendants]])),Tasks[[#This Row],[_LeafEV]]))</f>
        <v/>
      </c>
      <c r="BR151" s="111" t="str">
        <f aca="false">IF(Tasks[[#This Row],[Task Name]]="","",IF(Tasks[[#This Row],[_IsSummary]],SUM(INDEX(Tasks[_LeafAC],Tasks[[#This Row],[_Row]]+1):INDEX(Tasks[_LeafAC],Tasks[[#This Row],[_Row]]+Tasks[[#This Row],[_Descendants]])),Tasks[[#This Row],[_LeafAC]]))</f>
        <v/>
      </c>
      <c r="BS151" s="32" t="str">
        <f aca="false">IF(Tasks[[#This Row],[Task Name]]="","",MAX(1,N(Tasks[[#This Row],[Level]])))</f>
        <v/>
      </c>
      <c r="BT151" s="32" t="n">
        <f aca="false">ROW()-ROW(Tasks[[#Headers],[ID]])</f>
        <v>146</v>
      </c>
      <c r="BU151" s="32" t="n">
        <f aca="false">IF(OR(Tasks[[#This Row],[Task Name]]="",Tasks[[#This Row],[_Level]]&lt;=1),0,IFERROR(LOOKUP(2,1/(Tasks[[#Headers],[_Level]]:Tasks[[#This Row],[_Level]]=Tasks[[#This Row],[_Level]]-1),ROW(Tasks[[#Headers],[_Level]]:Tasks[[#This Row],[_Level]])),0))</f>
        <v>0</v>
      </c>
      <c r="BV151" s="32" t="n">
        <f aca="false">IFERROR(N(INDEX(Tasks[_Level],Tasks[[#This Row],[_Row]]+1)),0)</f>
        <v>0</v>
      </c>
      <c r="BW151" s="114" t="b">
        <f aca="false">AND(Tasks[[#This Row],[Task Name]]&lt;&gt;"",Tasks[[#This Row],[_NextLevel]]&gt;Tasks[[#This Row],[_Level]])</f>
        <v>0</v>
      </c>
      <c r="BX151" s="32" t="n">
        <f aca="false">IF(Tasks[[#This Row],[_IsSummary]],COUNTIF(Tasks[WBS],Tasks[[#This Row],[WBS]]&amp;".*"),0)</f>
        <v>0</v>
      </c>
      <c r="BY151" s="32" t="n">
        <f aca="false">IF(AND(Tasks[[#This Row],[Task Name]]&lt;&gt;"",NOT(Tasks[[#This Row],[_IsSummary]])),1,0)</f>
        <v>0</v>
      </c>
      <c r="BZ151" s="32" t="n">
        <f aca="false">IF(N(Tasks[[#This Row],[Pred1 UID]])=0,0,IFERROR(MATCH(Tasks[[#This Row],[Pred1 UID]],Tasks[UID],0),-1))</f>
        <v>0</v>
      </c>
      <c r="CA151" s="32" t="n">
        <f aca="false">IF(N(Tasks[[#This Row],[Pred2 UID]])=0,0,IFERROR(MATCH(Tasks[[#This Row],[Pred2 UID]],Tasks[UID],0),-1))</f>
        <v>0</v>
      </c>
      <c r="CB151" s="32" t="n">
        <f aca="false">IF(N(Tasks[[#This Row],[Pred3 UID]])=0,0,IFERROR(MATCH(Tasks[[#This Row],[Pred3 UID]],Tasks[UID],0),-1))</f>
        <v>0</v>
      </c>
      <c r="CC151" s="32" t="n">
        <f aca="false">IF(N(Tasks[[#This Row],[Pred4 UID]])=0,0,IFERROR(MATCH(Tasks[[#This Row],[Pred4 UID]],Tasks[UID],0),-1))</f>
        <v>0</v>
      </c>
      <c r="CD15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1" s="115" t="n">
        <f aca="false">IF(OR(Tasks[[#This Row],[_ConstraintCode]]=2,Tasks[[#This Row],[_ConstraintCode]]=3,Tasks[[#This Row],[_ConstraintCode]]=4,Tasks[[#This Row],[_ConstraintCode]]=6),Tasks[[#This Row],[_ConstraintStart]],0)</f>
        <v>0</v>
      </c>
      <c r="CG151" s="115" t="n">
        <f aca="false">IF(OR(Tasks[[#This Row],[_ConstraintCode]]=2,Tasks[[#This Row],[_ConstraintCode]]=3,Tasks[[#This Row],[_ConstraintCode]]=5,Tasks[[#This Row],[_ConstraintCode]]=7),Tasks[[#This Row],[_ConstraintStart]],2958465)</f>
        <v>2958465</v>
      </c>
      <c r="CH15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1" s="115" t="str">
        <f aca="false">IF(NOT(Tasks[[#This Row],[_IsLeaf]]=1),"",IF(N(Tasks[[#This Row],[Duration]])&lt;=0,Tasks[[#This Row],[_LeafCalcStart]],WORKDAY.INTL(Tasks[[#This Row],[_LeafCalcStart]],Tasks[[#This Row],[Duration]]-1,WorkWeek,Holidays)))</f>
        <v/>
      </c>
      <c r="CJ15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1" s="32" t="n">
        <f aca="false">IF(NOT(Tasks[[#This Row],[_IsLeaf]]=1),0,IF(N(Tasks[[#This Row],[Actual Finish]])&gt;0,1,MIN(1,N(Tasks[[#This Row],[% Complete]]))))</f>
        <v>0</v>
      </c>
      <c r="CM151" s="32" t="n">
        <f aca="false">IF(OR(NOT(Tasks[[#This Row],[_IsLeaf]]=1),Tasks[[#This Row],[Resource]]=""),0,N(Tasks[[#This Row],[Duration]])*HoursPerDay*IF(Tasks[[#This Row],[Units]]="",DefaultUnits,Tasks[[#This Row],[Units]]))</f>
        <v>0</v>
      </c>
      <c r="CN151" s="32" t="n">
        <f aca="false">IF(Tasks[[#This Row],[_LeafWork]]=0,0,Tasks[[#This Row],[_LeafWork]]*IFERROR(INDEX(res_Rate,MATCH(Tasks[[#This Row],[Resource]],res_Name,0)),0))</f>
        <v>0</v>
      </c>
      <c r="CO151" s="32" t="n">
        <f aca="false">Tasks[[#This Row],[_LeafWork]]+IF(Tasks[[#This Row],[_IsLeaf]]=1,SUMIFS(asg_Work,asg_TaskUID,Tasks[[#This Row],[UID]],asg_Valid,1),0)</f>
        <v>0</v>
      </c>
      <c r="CP151" s="32" t="n">
        <f aca="false">Tasks[[#This Row],[_LeafCost]]+IF(Tasks[[#This Row],[_IsLeaf]]=1,SUMIFS(asg_Cost,asg_TaskUID,Tasks[[#This Row],[UID]],asg_Valid,1),0)</f>
        <v>0</v>
      </c>
      <c r="CQ151" s="32" t="n">
        <f aca="false">IF(Tasks[[#This Row],[_LeafTotalCost]]=0,Tasks[[#This Row],[_LeafAC]],Tasks[[#This Row],[_LeafAC]]*Tasks[[#This Row],[_LeafCost]]/Tasks[[#This Row],[_LeafTotalCost]])</f>
        <v>0</v>
      </c>
      <c r="CR15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1" s="32" t="n">
        <f aca="false">IF(NOT(Tasks[[#This Row],[_IsLeaf]]=1),0,MAX(_xlfn.MAXIFS(Tasks[_Row],Tasks[Pred1 UID],Tasks[[#This Row],[UID]]),_xlfn.MAXIFS(Tasks[_Row],Tasks[Pred2 UID],Tasks[[#This Row],[UID]]),_xlfn.MAXIFS(Tasks[_Row],Tasks[Pred3 UID],Tasks[[#This Row],[UID]]),_xlfn.MAXIFS(Tasks[_Row],Tasks[Pred4 UID],Tasks[[#This Row],[UID]])))</f>
        <v>0</v>
      </c>
      <c r="DA15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1" s="115" t="str">
        <f aca="false">IF(NOT(Tasks[[#This Row],[_IsLeaf]]=1),"",IF(N(Tasks[[#This Row],[Duration]])&lt;=0,Tasks[[#This Row],[_LeafLateFinish]],WORKDAY.INTL(Tasks[[#This Row],[_LeafLateFinish]],-(Tasks[[#This Row],[Duration]]-1),WorkWeek,Holidays)))</f>
        <v/>
      </c>
      <c r="DD15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1" s="114" t="b">
        <f aca="false">AND(Tasks[[#This Row],[_IsLeaf]]=1,Tasks[[#This Row],[_LeafProgress]]&lt;1,N(Tasks[[#This Row],[_LeafTotalSlack]])&lt;=CriticalSlackDays)</f>
        <v>0</v>
      </c>
      <c r="DF151" s="32" t="n">
        <f aca="false">IF(AND(Tasks[[#This Row],[_IsLeaf]]=1,Tasks[[#This Row],[_ConstraintCode]]=1,Tasks[[#This Row],[Mode]]&lt;&gt;"Manual",N(Tasks[[#This Row],[Actual Start]])=0),MAX(0,N(Tasks[[#This Row],[Free Slack]])),0)</f>
        <v>0</v>
      </c>
      <c r="DG151" s="115" t="str">
        <f aca="false">IF(NOT(Tasks[[#This Row],[_IsLeaf]]=1),"",IF(Tasks[[#This Row],[_AlapShift]]=0,Tasks[[#This Row],[_LeafCalcStart]],WORKDAY.INTL(Tasks[[#This Row],[_LeafCalcStart]],Tasks[[#This Row],[_AlapShift]],WorkWeek,Holidays)))</f>
        <v/>
      </c>
      <c r="DH151" s="115" t="str">
        <f aca="false">IF(NOT(Tasks[[#This Row],[_IsLeaf]]=1),"",IF(Tasks[[#This Row],[_AlapShift]]=0,Tasks[[#This Row],[_LeafCalcFinish]],WORKDAY.INTL(Tasks[[#This Row],[_LeafCalcFinish]],Tasks[[#This Row],[_AlapShift]],WorkWeek,Holidays)))</f>
        <v/>
      </c>
      <c r="DI151" s="115" t="str">
        <f aca="false">IF(NOT(Tasks[[#This Row],[_IsLeaf]]=1),"",IF(Tasks[[#This Row],[_AlapShift]]=0,Tasks[[#This Row],[_LeafFcstStart]],WORKDAY.INTL(Tasks[[#This Row],[_LeafFcstStart]],Tasks[[#This Row],[_AlapShift]],WorkWeek,Holidays)))</f>
        <v/>
      </c>
      <c r="DJ151" s="115" t="str">
        <f aca="false">IF(NOT(Tasks[[#This Row],[_IsLeaf]]=1),"",IF(Tasks[[#This Row],[_AlapShift]]=0,Tasks[[#This Row],[_LeafFcstFinish]],WORKDAY.INTL(Tasks[[#This Row],[_LeafFcstFinish]],Tasks[[#This Row],[_AlapShift]],WorkWeek,Holidays)))</f>
        <v/>
      </c>
      <c r="DK151" s="115" t="str">
        <f aca="false">IF(Tasks[[#This Row],[Task Name]]="","",IF(Tasks[[#This Row],[_IsSummary]],MIN(INDEX(Tasks[_ShownCalcStart],Tasks[[#This Row],[_Row]]+1):INDEX(Tasks[_ShownCalcStart],Tasks[[#This Row],[_Row]]+Tasks[[#This Row],[_Descendants]])),Tasks[[#This Row],[_ShownCalcStart]]))</f>
        <v/>
      </c>
      <c r="DL151" s="115" t="str">
        <f aca="false">IF(Tasks[[#This Row],[Task Name]]="","",IF(Tasks[[#This Row],[_IsSummary]],MAX(INDEX(Tasks[_ShownCalcFinish],Tasks[[#This Row],[_Row]]+1):INDEX(Tasks[_ShownCalcFinish],Tasks[[#This Row],[_Row]]+Tasks[[#This Row],[_Descendants]])),Tasks[[#This Row],[_ShownCalcFinish]]))</f>
        <v/>
      </c>
      <c r="DM15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1" s="32" t="n">
        <f aca="false">IF(AND(Tasks[[#This Row],[_IsLeaf]]=1,Tasks[[#This Row],[_LeafTotalWork]]&gt;0),NETWORKDAYS.INTL(ProjectStart,Tasks[[#This Row],[_ShownFcstStart]],WorkWeek,Holidays),0)</f>
        <v>0</v>
      </c>
      <c r="DZ151" s="32" t="n">
        <f aca="false">IF(AND(Tasks[[#This Row],[_IsLeaf]]=1,Tasks[[#This Row],[_LeafTotalWork]]&gt;0),MAX(Tasks[[#This Row],[_StartWorkday]],NETWORKDAYS.INTL(ProjectStart,Tasks[[#This Row],[_ShownFcstFinish]],WorkWeek,Holidays)),0)</f>
        <v>0</v>
      </c>
      <c r="EA151" s="32" t="n">
        <f aca="false">IF(AND(Tasks[[#This Row],[_IsLeaf]]=1,Tasks[[#This Row],[_LeafTotalWork]]&gt;0),Tasks[[#This Row],[_LeafWork]]/(Tasks[[#This Row],[_FinishWorkday]]-Tasks[[#This Row],[_StartWorkday]]+1),0)</f>
        <v>0</v>
      </c>
      <c r="EB151" s="32" t="n">
        <f aca="false">Tasks[[#This Row],[_WorkPerWorkday]]*(Tasks[[#This Row],[_StartWorkday]]-1)</f>
        <v>-0</v>
      </c>
      <c r="EC151" s="32" t="n">
        <f aca="false">IF(Tasks[[#This Row],[_IsLeaf]]=1,MAX(N(Tasks[[#This Row],[Duration]]),0.1),0)</f>
        <v>0</v>
      </c>
      <c r="ED151" s="32" t="n">
        <f aca="false">Tasks[[#This Row],[_WeightDur]]*Tasks[[#This Row],[_LeafProgress]]</f>
        <v>0</v>
      </c>
      <c r="EE15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1" s="32" t="str">
        <f aca="false">IF(AND(Tasks[[#This Row],[_IsLeaf]]=1,N(Tasks[[#This Row],[Duration]])=0,Tasks[[#This Row],[_LeafProgress]]&lt;1),Tasks[[#This Row],[_ShownFcstFinish]]+Tasks[[#This Row],[_Row]]/100000,"")</f>
        <v/>
      </c>
      <c r="EG15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1" s="32" t="n">
        <f aca="false">IF(NOT(Tasks[[#This Row],[_IsLeaf]]=1),0,IF(Tasks[[#This Row],[Baseline Cost]]="",Tasks[[#This Row],[_LeafTotalCost]],N(Tasks[[#This Row],[Baseline Cost]])))</f>
        <v>0</v>
      </c>
      <c r="EI151" s="32" t="n">
        <f aca="false">Tasks[[#This Row],[_LeafBudget]]*Tasks[[#This Row],[_PlannedPct]]</f>
        <v>0</v>
      </c>
      <c r="EJ151" s="32" t="n">
        <f aca="false">Tasks[[#This Row],[_LeafBudget]]*Tasks[[#This Row],[_LeafProgress]]</f>
        <v>0</v>
      </c>
      <c r="EK151" s="32" t="n">
        <f aca="false">IF(NOT(Tasks[[#This Row],[_IsLeaf]]=1),0,IF(Tasks[[#This Row],[Actual Cost]]="",Tasks[[#This Row],[_LeafTotalCost]]*Tasks[[#This Row],[_LeafProgress]],N(Tasks[[#This Row],[Actual Cost]])))</f>
        <v>0</v>
      </c>
      <c r="EL151" s="32" t="str">
        <f aca="false">IF(Tasks[[#This Row],[Task Name]]="","",LEFT(Tasks[[#This Row],[WBS]],FIND(".",Tasks[[#This Row],[WBS]]&amp;".")-1))</f>
        <v/>
      </c>
      <c r="EM151" s="32" t="str">
        <f aca="false">IF(AND(Tasks[[#This Row],[Task Name]]&lt;&gt;"",Tasks[[#This Row],[_Level]]=1),Tasks[[#This Row],[_Row]],"")</f>
        <v/>
      </c>
      <c r="EN151" s="32" t="str">
        <f aca="false">IF(AND(Tasks[[#This Row],[_IsLeaf]]=1,N(Tasks[[#This Row],[Duration]])=0),Tasks[[#This Row],[Planned Finish]]+Tasks[[#This Row],[_Row]]/100000,"")</f>
        <v/>
      </c>
      <c r="EO151" s="32" t="str">
        <f aca="false">IF(AND(Tasks[[#This Row],[_IsLeaf]]=1,Tasks[[#This Row],[_LeafProgress]]&lt;1,OR(N(Tasks[[#This Row],[Finish Var]])&gt;0,Tasks[[#This Row],[Status]]="Late Start")),MAX(0,Tasks[[#This Row],[Finish Var]])+1-Tasks[[#This Row],[_Row]]/1000000,"")</f>
        <v/>
      </c>
      <c r="EP151" s="32" t="str">
        <f aca="false">IF(AND(Tasks[[#This Row],[_IsLeaf]]=1,N(Tasks[[#This Row],[Actual Start]])=0,Tasks[[#This Row],[_ShownFcstStart]]&gt;=StatusDate,Tasks[[#This Row],[_ShownFcstStart]]&lt;=LookaheadEnd),Tasks[[#This Row],[_ShownFcstStart]]+Tasks[[#This Row],[_Row]]/100000,"")</f>
        <v/>
      </c>
      <c r="EQ151" s="32" t="str">
        <f aca="false">IF(AND(Tasks[[#This Row],[_IsLeaf]]=1,Tasks[[#This Row],[_LeafProgress]]&lt;1,Tasks[[#This Row],[_ShownFcstFinish]]&gt;=StatusDate,Tasks[[#This Row],[_ShownFcstFinish]]&lt;=LookaheadEnd),Tasks[[#This Row],[_ShownFcstFinish]]+Tasks[[#This Row],[_Row]]/100000,"")</f>
        <v/>
      </c>
      <c r="ER151" s="32" t="str">
        <f aca="false">IF(Tasks[[#This Row],[_LeafCritical]],Tasks[[#This Row],[_ShownFcstStart]]+Tasks[[#This Row],[_Row]]/100000,"")</f>
        <v/>
      </c>
      <c r="ES151" s="32" t="n">
        <f aca="false">Tasks[[#This Row],[_LeafWork]]*Tasks[[#This Row],[_LeafProgress]]</f>
        <v>0</v>
      </c>
      <c r="ET151" s="115" t="str">
        <f aca="false">IF(AND(Tasks[[#This Row],[_IsLeaf]]=1,Tasks[[#This Row],[_LeafProgress]]&gt;=1),IF(N(Tasks[[#This Row],[Actual Finish]])&gt;0,Tasks[[#This Row],[Actual Finish]],Tasks[[#This Row],[_ShownFcstFinish]]),"")</f>
        <v/>
      </c>
      <c r="EU151" s="32" t="n">
        <f aca="false">IF(Tasks[[#This Row],[_IsLeaf]]=1,N(Tasks[[#This Row],[Story Points]]),0)</f>
        <v>0</v>
      </c>
      <c r="EV151" s="32" t="str">
        <f aca="false">IF(AND(Tasks[[#This Row],[_IsLeaf]]=1,CurrentSprint&lt;&gt;"",Tasks[[#This Row],[Sprint]]=CurrentSprint),Tasks[[#This Row],[_Row]],"")</f>
        <v/>
      </c>
    </row>
    <row r="152" customFormat="false" ht="15" hidden="false" customHeight="false" outlineLevel="0" collapsed="false">
      <c r="A152" s="45" t="str">
        <f aca="false">IF(Tasks[[#This Row],[Task Name]]="","",COUNTA(Tasks[[#Headers],[Task Name]]:Tasks[[#This Row],[Task Name]])-1)</f>
        <v/>
      </c>
      <c r="B152" s="46" t="n">
        <v>147</v>
      </c>
      <c r="C15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2" s="46"/>
      <c r="E152" s="45" t="str">
        <f aca="false">IF(Tasks[[#This Row],[Task Name]]="","",IF(Tasks[[#This Row],[_Level]]&lt;=OutlineShowLevel,"Yes","No"))</f>
        <v/>
      </c>
      <c r="F152" s="47"/>
      <c r="G152" s="46"/>
      <c r="H152" s="46"/>
      <c r="I152" s="46"/>
      <c r="J152" s="46"/>
      <c r="K152" s="46"/>
      <c r="L152" s="46"/>
      <c r="M152" s="46"/>
      <c r="N152" s="46"/>
      <c r="O152" s="46"/>
      <c r="P152" s="46"/>
      <c r="Q152" s="46"/>
      <c r="R152" s="46"/>
      <c r="S152" s="46"/>
      <c r="T152" s="46"/>
      <c r="U152" s="47"/>
      <c r="V152" s="88"/>
      <c r="W152" s="88"/>
      <c r="X152" s="25" t="str">
        <f aca="false">IF(Tasks[[#This Row],[Task Name]]="","",IF(N(Tasks[[#This Row],[Baseline Start]])&gt;0,Tasks[[#This Row],[Baseline Start]],Tasks[[#This Row],[_CalcStart]]))</f>
        <v/>
      </c>
      <c r="Y152" s="25" t="str">
        <f aca="false">IF(Tasks[[#This Row],[Task Name]]="","",IF(N(Tasks[[#This Row],[Baseline Finish]])&gt;0,Tasks[[#This Row],[Baseline Finish]],Tasks[[#This Row],[_CalcFinish]]))</f>
        <v/>
      </c>
      <c r="Z152" s="88"/>
      <c r="AA152" s="88"/>
      <c r="AB152" s="25" t="str">
        <f aca="false">IF(Tasks[[#This Row],[Task Name]]="","",IF(Tasks[[#This Row],[_IsSummary]],MIN(INDEX(Tasks[_ShownFcstStart],Tasks[[#This Row],[_Row]]+1):INDEX(Tasks[_ShownFcstStart],Tasks[[#This Row],[_Row]]+Tasks[[#This Row],[_Descendants]])),Tasks[[#This Row],[_ShownFcstStart]]))</f>
        <v/>
      </c>
      <c r="AC152" s="25" t="str">
        <f aca="false">IF(Tasks[[#This Row],[Task Name]]="","",IF(Tasks[[#This Row],[_IsSummary]],MAX(INDEX(Tasks[_ShownFcstFinish],Tasks[[#This Row],[_Row]]+1):INDEX(Tasks[_ShownFcstFinish],Tasks[[#This Row],[_Row]]+Tasks[[#This Row],[_Descendants]])),Tasks[[#This Row],[_ShownFcstFinish]]))</f>
        <v/>
      </c>
      <c r="AD15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2" s="25" t="str">
        <f aca="false">IF(Tasks[[#This Row],[Task Name]]="","",IF(Tasks[[#This Row],[_IsSummary]],MIN(INDEX(Tasks[_LeafLateStart],Tasks[[#This Row],[_Row]]+1):INDEX(Tasks[_LeafLateStart],Tasks[[#This Row],[_Row]]+Tasks[[#This Row],[_Descendants]])),Tasks[[#This Row],[_LeafLateStart]]))</f>
        <v/>
      </c>
      <c r="AG152" s="25" t="str">
        <f aca="false">IF(Tasks[[#This Row],[Task Name]]="","",IF(Tasks[[#This Row],[_IsSummary]],MAX(INDEX(Tasks[_LeafLateFinish],Tasks[[#This Row],[_Row]]+1):INDEX(Tasks[_LeafLateFinish],Tasks[[#This Row],[_Row]]+Tasks[[#This Row],[_Descendants]])),Tasks[[#This Row],[_LeafLateFinish]]))</f>
        <v/>
      </c>
      <c r="AH152" s="56" t="str">
        <f aca="false">IF(Tasks[[#This Row],[Task Name]]="","",IF(Tasks[[#This Row],[_IsSummary]],MIN(INDEX(Tasks[_LeafTotalSlack],Tasks[[#This Row],[_Row]]+1):INDEX(Tasks[_LeafTotalSlack],Tasks[[#This Row],[_Row]]+Tasks[[#This Row],[_Descendants]])),Tasks[[#This Row],[_LeafTotalSlack]]))</f>
        <v/>
      </c>
      <c r="AI15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2" s="45" t="str">
        <f aca="false">IF(Tasks[[#This Row],[Task Name]]="","",IF(IF(Tasks[[#This Row],[_IsSummary]],COUNTIF(INDEX(Tasks[_LeafCritical],Tasks[[#This Row],[_Row]]+1):INDEX(Tasks[_LeafCritical],Tasks[[#This Row],[_Row]]+Tasks[[#This Row],[_Descendants]]),TRUE())&gt;0,Tasks[[#This Row],[_LeafCritical]]),"Yes",""))</f>
        <v/>
      </c>
      <c r="AK15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2" s="102"/>
      <c r="AN15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2" s="45" t="str">
        <f aca="false">IF(Tasks[[#This Row],[Task Name]]="","",IF(Tasks[[#This Row],[Progress]]&gt;=1,"Complete",IF(OR(N(Tasks[[#This Row],[Actual Start]])&gt;0,Tasks[[#This Row],[Progress]]&gt;0),IF(Tasks[[#This Row],[Finish Var]]&gt;0,"Behind","In Progress"),IF(Tasks[[#This Row],[Planned Start]]&lt;StatusDate,"Late Start","Not Started"))))</f>
        <v/>
      </c>
      <c r="AP152" s="47"/>
      <c r="AQ152" s="102"/>
      <c r="AR15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2" s="110" t="str">
        <f aca="false">IF(Tasks[[#This Row],[Task Name]]="","",IF(Tasks[[#This Row],[_IsSummary]],SUM(INDEX(Tasks[_LeafTotalWork],Tasks[[#This Row],[_Row]]+1):INDEX(Tasks[_LeafTotalWork],Tasks[[#This Row],[_Row]]+Tasks[[#This Row],[_Descendants]])),Tasks[[#This Row],[_LeafTotalWork]]))</f>
        <v/>
      </c>
      <c r="AU152" s="111" t="str">
        <f aca="false">IF(Tasks[[#This Row],[Task Name]]="","",IF(Tasks[[#This Row],[_IsSummary]],SUM(INDEX(Tasks[_LeafTotalCost],Tasks[[#This Row],[_Row]]+1):INDEX(Tasks[_LeafTotalCost],Tasks[[#This Row],[_Row]]+Tasks[[#This Row],[_Descendants]])),Tasks[[#This Row],[_LeafTotalCost]]))</f>
        <v/>
      </c>
      <c r="AV152" s="112"/>
      <c r="AW152" s="46"/>
      <c r="AX15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2" s="96"/>
      <c r="AZ15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2" s="47"/>
      <c r="BB152" s="25" t="str">
        <f aca="false">IF(Tasks[[#This Row],[Task Name]]="","",Tasks[[#This Row],[Forecast Start]])</f>
        <v/>
      </c>
      <c r="BC152" s="25" t="str">
        <f aca="false">IF(Tasks[[#This Row],[Task Name]]="","",Tasks[[#This Row],[Forecast Finish]])</f>
        <v/>
      </c>
      <c r="BD152" s="45" t="str">
        <f aca="false">IF(Tasks[[#This Row],[Task Name]]="","",IF(Tasks[[#This Row],[_IsSummary]],NETWORKDAYS.INTL(Tasks[[#This Row],[Forecast Start]],Tasks[[#This Row],[Forecast Finish]],WorkWeek,Holidays),N(Tasks[[#This Row],[Duration]])))</f>
        <v/>
      </c>
      <c r="BE152" s="110" t="str">
        <f aca="false">IF(Tasks[[#This Row],[Task Name]]="","",Tasks[[#This Row],[Work]])</f>
        <v/>
      </c>
      <c r="BF152" s="111" t="str">
        <f aca="false">IF(Tasks[[#This Row],[Task Name]]="","",Tasks[[#This Row],[Cost]])</f>
        <v/>
      </c>
      <c r="BG152" s="88"/>
      <c r="BH152" s="88"/>
      <c r="BI152" s="46"/>
      <c r="BJ152" s="113"/>
      <c r="BK152" s="112"/>
      <c r="BL152" s="45" t="str">
        <f aca="false">IF(OR(Tasks[[#This Row],[Task Name]]="",Tasks[[#This Row],[Baseline Duration]]=""),"",Tasks[[#This Row],[BL Source Duration]]-N(Tasks[[#This Row],[Baseline Duration]]))</f>
        <v/>
      </c>
      <c r="BM152" s="110" t="str">
        <f aca="false">IF(OR(Tasks[[#This Row],[Task Name]]="",Tasks[[#This Row],[Baseline Work]]=""),"",Tasks[[#This Row],[Work]]-N(Tasks[[#This Row],[Baseline Work]]))</f>
        <v/>
      </c>
      <c r="BN152" s="111" t="str">
        <f aca="false">IF(OR(Tasks[[#This Row],[Task Name]]="",Tasks[[#This Row],[Baseline Cost]]=""),"",Tasks[[#This Row],[Cost]]-N(Tasks[[#This Row],[Baseline Cost]]))</f>
        <v/>
      </c>
      <c r="BO152" s="111" t="str">
        <f aca="false">IF(Tasks[[#This Row],[Task Name]]="","",IF(Tasks[[#This Row],[_IsSummary]],SUM(INDEX(Tasks[_LeafBudget],Tasks[[#This Row],[_Row]]+1):INDEX(Tasks[_LeafBudget],Tasks[[#This Row],[_Row]]+Tasks[[#This Row],[_Descendants]])),Tasks[[#This Row],[_LeafBudget]]))</f>
        <v/>
      </c>
      <c r="BP152" s="111" t="str">
        <f aca="false">IF(Tasks[[#This Row],[Task Name]]="","",IF(Tasks[[#This Row],[_IsSummary]],SUM(INDEX(Tasks[_LeafPV],Tasks[[#This Row],[_Row]]+1):INDEX(Tasks[_LeafPV],Tasks[[#This Row],[_Row]]+Tasks[[#This Row],[_Descendants]])),Tasks[[#This Row],[_LeafPV]]))</f>
        <v/>
      </c>
      <c r="BQ152" s="111" t="str">
        <f aca="false">IF(Tasks[[#This Row],[Task Name]]="","",IF(Tasks[[#This Row],[_IsSummary]],SUM(INDEX(Tasks[_LeafEV],Tasks[[#This Row],[_Row]]+1):INDEX(Tasks[_LeafEV],Tasks[[#This Row],[_Row]]+Tasks[[#This Row],[_Descendants]])),Tasks[[#This Row],[_LeafEV]]))</f>
        <v/>
      </c>
      <c r="BR152" s="111" t="str">
        <f aca="false">IF(Tasks[[#This Row],[Task Name]]="","",IF(Tasks[[#This Row],[_IsSummary]],SUM(INDEX(Tasks[_LeafAC],Tasks[[#This Row],[_Row]]+1):INDEX(Tasks[_LeafAC],Tasks[[#This Row],[_Row]]+Tasks[[#This Row],[_Descendants]])),Tasks[[#This Row],[_LeafAC]]))</f>
        <v/>
      </c>
      <c r="BS152" s="32" t="str">
        <f aca="false">IF(Tasks[[#This Row],[Task Name]]="","",MAX(1,N(Tasks[[#This Row],[Level]])))</f>
        <v/>
      </c>
      <c r="BT152" s="32" t="n">
        <f aca="false">ROW()-ROW(Tasks[[#Headers],[ID]])</f>
        <v>147</v>
      </c>
      <c r="BU152" s="32" t="n">
        <f aca="false">IF(OR(Tasks[[#This Row],[Task Name]]="",Tasks[[#This Row],[_Level]]&lt;=1),0,IFERROR(LOOKUP(2,1/(Tasks[[#Headers],[_Level]]:Tasks[[#This Row],[_Level]]=Tasks[[#This Row],[_Level]]-1),ROW(Tasks[[#Headers],[_Level]]:Tasks[[#This Row],[_Level]])),0))</f>
        <v>0</v>
      </c>
      <c r="BV152" s="32" t="n">
        <f aca="false">IFERROR(N(INDEX(Tasks[_Level],Tasks[[#This Row],[_Row]]+1)),0)</f>
        <v>0</v>
      </c>
      <c r="BW152" s="114" t="b">
        <f aca="false">AND(Tasks[[#This Row],[Task Name]]&lt;&gt;"",Tasks[[#This Row],[_NextLevel]]&gt;Tasks[[#This Row],[_Level]])</f>
        <v>0</v>
      </c>
      <c r="BX152" s="32" t="n">
        <f aca="false">IF(Tasks[[#This Row],[_IsSummary]],COUNTIF(Tasks[WBS],Tasks[[#This Row],[WBS]]&amp;".*"),0)</f>
        <v>0</v>
      </c>
      <c r="BY152" s="32" t="n">
        <f aca="false">IF(AND(Tasks[[#This Row],[Task Name]]&lt;&gt;"",NOT(Tasks[[#This Row],[_IsSummary]])),1,0)</f>
        <v>0</v>
      </c>
      <c r="BZ152" s="32" t="n">
        <f aca="false">IF(N(Tasks[[#This Row],[Pred1 UID]])=0,0,IFERROR(MATCH(Tasks[[#This Row],[Pred1 UID]],Tasks[UID],0),-1))</f>
        <v>0</v>
      </c>
      <c r="CA152" s="32" t="n">
        <f aca="false">IF(N(Tasks[[#This Row],[Pred2 UID]])=0,0,IFERROR(MATCH(Tasks[[#This Row],[Pred2 UID]],Tasks[UID],0),-1))</f>
        <v>0</v>
      </c>
      <c r="CB152" s="32" t="n">
        <f aca="false">IF(N(Tasks[[#This Row],[Pred3 UID]])=0,0,IFERROR(MATCH(Tasks[[#This Row],[Pred3 UID]],Tasks[UID],0),-1))</f>
        <v>0</v>
      </c>
      <c r="CC152" s="32" t="n">
        <f aca="false">IF(N(Tasks[[#This Row],[Pred4 UID]])=0,0,IFERROR(MATCH(Tasks[[#This Row],[Pred4 UID]],Tasks[UID],0),-1))</f>
        <v>0</v>
      </c>
      <c r="CD15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2" s="115" t="n">
        <f aca="false">IF(OR(Tasks[[#This Row],[_ConstraintCode]]=2,Tasks[[#This Row],[_ConstraintCode]]=3,Tasks[[#This Row],[_ConstraintCode]]=4,Tasks[[#This Row],[_ConstraintCode]]=6),Tasks[[#This Row],[_ConstraintStart]],0)</f>
        <v>0</v>
      </c>
      <c r="CG152" s="115" t="n">
        <f aca="false">IF(OR(Tasks[[#This Row],[_ConstraintCode]]=2,Tasks[[#This Row],[_ConstraintCode]]=3,Tasks[[#This Row],[_ConstraintCode]]=5,Tasks[[#This Row],[_ConstraintCode]]=7),Tasks[[#This Row],[_ConstraintStart]],2958465)</f>
        <v>2958465</v>
      </c>
      <c r="CH15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2" s="115" t="str">
        <f aca="false">IF(NOT(Tasks[[#This Row],[_IsLeaf]]=1),"",IF(N(Tasks[[#This Row],[Duration]])&lt;=0,Tasks[[#This Row],[_LeafCalcStart]],WORKDAY.INTL(Tasks[[#This Row],[_LeafCalcStart]],Tasks[[#This Row],[Duration]]-1,WorkWeek,Holidays)))</f>
        <v/>
      </c>
      <c r="CJ15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2" s="32" t="n">
        <f aca="false">IF(NOT(Tasks[[#This Row],[_IsLeaf]]=1),0,IF(N(Tasks[[#This Row],[Actual Finish]])&gt;0,1,MIN(1,N(Tasks[[#This Row],[% Complete]]))))</f>
        <v>0</v>
      </c>
      <c r="CM152" s="32" t="n">
        <f aca="false">IF(OR(NOT(Tasks[[#This Row],[_IsLeaf]]=1),Tasks[[#This Row],[Resource]]=""),0,N(Tasks[[#This Row],[Duration]])*HoursPerDay*IF(Tasks[[#This Row],[Units]]="",DefaultUnits,Tasks[[#This Row],[Units]]))</f>
        <v>0</v>
      </c>
      <c r="CN152" s="32" t="n">
        <f aca="false">IF(Tasks[[#This Row],[_LeafWork]]=0,0,Tasks[[#This Row],[_LeafWork]]*IFERROR(INDEX(res_Rate,MATCH(Tasks[[#This Row],[Resource]],res_Name,0)),0))</f>
        <v>0</v>
      </c>
      <c r="CO152" s="32" t="n">
        <f aca="false">Tasks[[#This Row],[_LeafWork]]+IF(Tasks[[#This Row],[_IsLeaf]]=1,SUMIFS(asg_Work,asg_TaskUID,Tasks[[#This Row],[UID]],asg_Valid,1),0)</f>
        <v>0</v>
      </c>
      <c r="CP152" s="32" t="n">
        <f aca="false">Tasks[[#This Row],[_LeafCost]]+IF(Tasks[[#This Row],[_IsLeaf]]=1,SUMIFS(asg_Cost,asg_TaskUID,Tasks[[#This Row],[UID]],asg_Valid,1),0)</f>
        <v>0</v>
      </c>
      <c r="CQ152" s="32" t="n">
        <f aca="false">IF(Tasks[[#This Row],[_LeafTotalCost]]=0,Tasks[[#This Row],[_LeafAC]],Tasks[[#This Row],[_LeafAC]]*Tasks[[#This Row],[_LeafCost]]/Tasks[[#This Row],[_LeafTotalCost]])</f>
        <v>0</v>
      </c>
      <c r="CR15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2" s="32" t="n">
        <f aca="false">IF(NOT(Tasks[[#This Row],[_IsLeaf]]=1),0,MAX(_xlfn.MAXIFS(Tasks[_Row],Tasks[Pred1 UID],Tasks[[#This Row],[UID]]),_xlfn.MAXIFS(Tasks[_Row],Tasks[Pred2 UID],Tasks[[#This Row],[UID]]),_xlfn.MAXIFS(Tasks[_Row],Tasks[Pred3 UID],Tasks[[#This Row],[UID]]),_xlfn.MAXIFS(Tasks[_Row],Tasks[Pred4 UID],Tasks[[#This Row],[UID]])))</f>
        <v>0</v>
      </c>
      <c r="DA15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2" s="115" t="str">
        <f aca="false">IF(NOT(Tasks[[#This Row],[_IsLeaf]]=1),"",IF(N(Tasks[[#This Row],[Duration]])&lt;=0,Tasks[[#This Row],[_LeafLateFinish]],WORKDAY.INTL(Tasks[[#This Row],[_LeafLateFinish]],-(Tasks[[#This Row],[Duration]]-1),WorkWeek,Holidays)))</f>
        <v/>
      </c>
      <c r="DD15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2" s="114" t="b">
        <f aca="false">AND(Tasks[[#This Row],[_IsLeaf]]=1,Tasks[[#This Row],[_LeafProgress]]&lt;1,N(Tasks[[#This Row],[_LeafTotalSlack]])&lt;=CriticalSlackDays)</f>
        <v>0</v>
      </c>
      <c r="DF152" s="32" t="n">
        <f aca="false">IF(AND(Tasks[[#This Row],[_IsLeaf]]=1,Tasks[[#This Row],[_ConstraintCode]]=1,Tasks[[#This Row],[Mode]]&lt;&gt;"Manual",N(Tasks[[#This Row],[Actual Start]])=0),MAX(0,N(Tasks[[#This Row],[Free Slack]])),0)</f>
        <v>0</v>
      </c>
      <c r="DG152" s="115" t="str">
        <f aca="false">IF(NOT(Tasks[[#This Row],[_IsLeaf]]=1),"",IF(Tasks[[#This Row],[_AlapShift]]=0,Tasks[[#This Row],[_LeafCalcStart]],WORKDAY.INTL(Tasks[[#This Row],[_LeafCalcStart]],Tasks[[#This Row],[_AlapShift]],WorkWeek,Holidays)))</f>
        <v/>
      </c>
      <c r="DH152" s="115" t="str">
        <f aca="false">IF(NOT(Tasks[[#This Row],[_IsLeaf]]=1),"",IF(Tasks[[#This Row],[_AlapShift]]=0,Tasks[[#This Row],[_LeafCalcFinish]],WORKDAY.INTL(Tasks[[#This Row],[_LeafCalcFinish]],Tasks[[#This Row],[_AlapShift]],WorkWeek,Holidays)))</f>
        <v/>
      </c>
      <c r="DI152" s="115" t="str">
        <f aca="false">IF(NOT(Tasks[[#This Row],[_IsLeaf]]=1),"",IF(Tasks[[#This Row],[_AlapShift]]=0,Tasks[[#This Row],[_LeafFcstStart]],WORKDAY.INTL(Tasks[[#This Row],[_LeafFcstStart]],Tasks[[#This Row],[_AlapShift]],WorkWeek,Holidays)))</f>
        <v/>
      </c>
      <c r="DJ152" s="115" t="str">
        <f aca="false">IF(NOT(Tasks[[#This Row],[_IsLeaf]]=1),"",IF(Tasks[[#This Row],[_AlapShift]]=0,Tasks[[#This Row],[_LeafFcstFinish]],WORKDAY.INTL(Tasks[[#This Row],[_LeafFcstFinish]],Tasks[[#This Row],[_AlapShift]],WorkWeek,Holidays)))</f>
        <v/>
      </c>
      <c r="DK152" s="115" t="str">
        <f aca="false">IF(Tasks[[#This Row],[Task Name]]="","",IF(Tasks[[#This Row],[_IsSummary]],MIN(INDEX(Tasks[_ShownCalcStart],Tasks[[#This Row],[_Row]]+1):INDEX(Tasks[_ShownCalcStart],Tasks[[#This Row],[_Row]]+Tasks[[#This Row],[_Descendants]])),Tasks[[#This Row],[_ShownCalcStart]]))</f>
        <v/>
      </c>
      <c r="DL152" s="115" t="str">
        <f aca="false">IF(Tasks[[#This Row],[Task Name]]="","",IF(Tasks[[#This Row],[_IsSummary]],MAX(INDEX(Tasks[_ShownCalcFinish],Tasks[[#This Row],[_Row]]+1):INDEX(Tasks[_ShownCalcFinish],Tasks[[#This Row],[_Row]]+Tasks[[#This Row],[_Descendants]])),Tasks[[#This Row],[_ShownCalcFinish]]))</f>
        <v/>
      </c>
      <c r="DM15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2" s="32" t="n">
        <f aca="false">IF(AND(Tasks[[#This Row],[_IsLeaf]]=1,Tasks[[#This Row],[_LeafTotalWork]]&gt;0),NETWORKDAYS.INTL(ProjectStart,Tasks[[#This Row],[_ShownFcstStart]],WorkWeek,Holidays),0)</f>
        <v>0</v>
      </c>
      <c r="DZ152" s="32" t="n">
        <f aca="false">IF(AND(Tasks[[#This Row],[_IsLeaf]]=1,Tasks[[#This Row],[_LeafTotalWork]]&gt;0),MAX(Tasks[[#This Row],[_StartWorkday]],NETWORKDAYS.INTL(ProjectStart,Tasks[[#This Row],[_ShownFcstFinish]],WorkWeek,Holidays)),0)</f>
        <v>0</v>
      </c>
      <c r="EA152" s="32" t="n">
        <f aca="false">IF(AND(Tasks[[#This Row],[_IsLeaf]]=1,Tasks[[#This Row],[_LeafTotalWork]]&gt;0),Tasks[[#This Row],[_LeafWork]]/(Tasks[[#This Row],[_FinishWorkday]]-Tasks[[#This Row],[_StartWorkday]]+1),0)</f>
        <v>0</v>
      </c>
      <c r="EB152" s="32" t="n">
        <f aca="false">Tasks[[#This Row],[_WorkPerWorkday]]*(Tasks[[#This Row],[_StartWorkday]]-1)</f>
        <v>-0</v>
      </c>
      <c r="EC152" s="32" t="n">
        <f aca="false">IF(Tasks[[#This Row],[_IsLeaf]]=1,MAX(N(Tasks[[#This Row],[Duration]]),0.1),0)</f>
        <v>0</v>
      </c>
      <c r="ED152" s="32" t="n">
        <f aca="false">Tasks[[#This Row],[_WeightDur]]*Tasks[[#This Row],[_LeafProgress]]</f>
        <v>0</v>
      </c>
      <c r="EE15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2" s="32" t="str">
        <f aca="false">IF(AND(Tasks[[#This Row],[_IsLeaf]]=1,N(Tasks[[#This Row],[Duration]])=0,Tasks[[#This Row],[_LeafProgress]]&lt;1),Tasks[[#This Row],[_ShownFcstFinish]]+Tasks[[#This Row],[_Row]]/100000,"")</f>
        <v/>
      </c>
      <c r="EG15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2" s="32" t="n">
        <f aca="false">IF(NOT(Tasks[[#This Row],[_IsLeaf]]=1),0,IF(Tasks[[#This Row],[Baseline Cost]]="",Tasks[[#This Row],[_LeafTotalCost]],N(Tasks[[#This Row],[Baseline Cost]])))</f>
        <v>0</v>
      </c>
      <c r="EI152" s="32" t="n">
        <f aca="false">Tasks[[#This Row],[_LeafBudget]]*Tasks[[#This Row],[_PlannedPct]]</f>
        <v>0</v>
      </c>
      <c r="EJ152" s="32" t="n">
        <f aca="false">Tasks[[#This Row],[_LeafBudget]]*Tasks[[#This Row],[_LeafProgress]]</f>
        <v>0</v>
      </c>
      <c r="EK152" s="32" t="n">
        <f aca="false">IF(NOT(Tasks[[#This Row],[_IsLeaf]]=1),0,IF(Tasks[[#This Row],[Actual Cost]]="",Tasks[[#This Row],[_LeafTotalCost]]*Tasks[[#This Row],[_LeafProgress]],N(Tasks[[#This Row],[Actual Cost]])))</f>
        <v>0</v>
      </c>
      <c r="EL152" s="32" t="str">
        <f aca="false">IF(Tasks[[#This Row],[Task Name]]="","",LEFT(Tasks[[#This Row],[WBS]],FIND(".",Tasks[[#This Row],[WBS]]&amp;".")-1))</f>
        <v/>
      </c>
      <c r="EM152" s="32" t="str">
        <f aca="false">IF(AND(Tasks[[#This Row],[Task Name]]&lt;&gt;"",Tasks[[#This Row],[_Level]]=1),Tasks[[#This Row],[_Row]],"")</f>
        <v/>
      </c>
      <c r="EN152" s="32" t="str">
        <f aca="false">IF(AND(Tasks[[#This Row],[_IsLeaf]]=1,N(Tasks[[#This Row],[Duration]])=0),Tasks[[#This Row],[Planned Finish]]+Tasks[[#This Row],[_Row]]/100000,"")</f>
        <v/>
      </c>
      <c r="EO152" s="32" t="str">
        <f aca="false">IF(AND(Tasks[[#This Row],[_IsLeaf]]=1,Tasks[[#This Row],[_LeafProgress]]&lt;1,OR(N(Tasks[[#This Row],[Finish Var]])&gt;0,Tasks[[#This Row],[Status]]="Late Start")),MAX(0,Tasks[[#This Row],[Finish Var]])+1-Tasks[[#This Row],[_Row]]/1000000,"")</f>
        <v/>
      </c>
      <c r="EP152" s="32" t="str">
        <f aca="false">IF(AND(Tasks[[#This Row],[_IsLeaf]]=1,N(Tasks[[#This Row],[Actual Start]])=0,Tasks[[#This Row],[_ShownFcstStart]]&gt;=StatusDate,Tasks[[#This Row],[_ShownFcstStart]]&lt;=LookaheadEnd),Tasks[[#This Row],[_ShownFcstStart]]+Tasks[[#This Row],[_Row]]/100000,"")</f>
        <v/>
      </c>
      <c r="EQ152" s="32" t="str">
        <f aca="false">IF(AND(Tasks[[#This Row],[_IsLeaf]]=1,Tasks[[#This Row],[_LeafProgress]]&lt;1,Tasks[[#This Row],[_ShownFcstFinish]]&gt;=StatusDate,Tasks[[#This Row],[_ShownFcstFinish]]&lt;=LookaheadEnd),Tasks[[#This Row],[_ShownFcstFinish]]+Tasks[[#This Row],[_Row]]/100000,"")</f>
        <v/>
      </c>
      <c r="ER152" s="32" t="str">
        <f aca="false">IF(Tasks[[#This Row],[_LeafCritical]],Tasks[[#This Row],[_ShownFcstStart]]+Tasks[[#This Row],[_Row]]/100000,"")</f>
        <v/>
      </c>
      <c r="ES152" s="32" t="n">
        <f aca="false">Tasks[[#This Row],[_LeafWork]]*Tasks[[#This Row],[_LeafProgress]]</f>
        <v>0</v>
      </c>
      <c r="ET152" s="115" t="str">
        <f aca="false">IF(AND(Tasks[[#This Row],[_IsLeaf]]=1,Tasks[[#This Row],[_LeafProgress]]&gt;=1),IF(N(Tasks[[#This Row],[Actual Finish]])&gt;0,Tasks[[#This Row],[Actual Finish]],Tasks[[#This Row],[_ShownFcstFinish]]),"")</f>
        <v/>
      </c>
      <c r="EU152" s="32" t="n">
        <f aca="false">IF(Tasks[[#This Row],[_IsLeaf]]=1,N(Tasks[[#This Row],[Story Points]]),0)</f>
        <v>0</v>
      </c>
      <c r="EV152" s="32" t="str">
        <f aca="false">IF(AND(Tasks[[#This Row],[_IsLeaf]]=1,CurrentSprint&lt;&gt;"",Tasks[[#This Row],[Sprint]]=CurrentSprint),Tasks[[#This Row],[_Row]],"")</f>
        <v/>
      </c>
    </row>
    <row r="153" customFormat="false" ht="15" hidden="false" customHeight="false" outlineLevel="0" collapsed="false">
      <c r="A153" s="45" t="str">
        <f aca="false">IF(Tasks[[#This Row],[Task Name]]="","",COUNTA(Tasks[[#Headers],[Task Name]]:Tasks[[#This Row],[Task Name]])-1)</f>
        <v/>
      </c>
      <c r="B153" s="46" t="n">
        <v>148</v>
      </c>
      <c r="C15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3" s="46"/>
      <c r="E153" s="45" t="str">
        <f aca="false">IF(Tasks[[#This Row],[Task Name]]="","",IF(Tasks[[#This Row],[_Level]]&lt;=OutlineShowLevel,"Yes","No"))</f>
        <v/>
      </c>
      <c r="F153" s="47"/>
      <c r="G153" s="46"/>
      <c r="H153" s="46"/>
      <c r="I153" s="46"/>
      <c r="J153" s="46"/>
      <c r="K153" s="46"/>
      <c r="L153" s="46"/>
      <c r="M153" s="46"/>
      <c r="N153" s="46"/>
      <c r="O153" s="46"/>
      <c r="P153" s="46"/>
      <c r="Q153" s="46"/>
      <c r="R153" s="46"/>
      <c r="S153" s="46"/>
      <c r="T153" s="46"/>
      <c r="U153" s="47"/>
      <c r="V153" s="88"/>
      <c r="W153" s="88"/>
      <c r="X153" s="25" t="str">
        <f aca="false">IF(Tasks[[#This Row],[Task Name]]="","",IF(N(Tasks[[#This Row],[Baseline Start]])&gt;0,Tasks[[#This Row],[Baseline Start]],Tasks[[#This Row],[_CalcStart]]))</f>
        <v/>
      </c>
      <c r="Y153" s="25" t="str">
        <f aca="false">IF(Tasks[[#This Row],[Task Name]]="","",IF(N(Tasks[[#This Row],[Baseline Finish]])&gt;0,Tasks[[#This Row],[Baseline Finish]],Tasks[[#This Row],[_CalcFinish]]))</f>
        <v/>
      </c>
      <c r="Z153" s="88"/>
      <c r="AA153" s="88"/>
      <c r="AB153" s="25" t="str">
        <f aca="false">IF(Tasks[[#This Row],[Task Name]]="","",IF(Tasks[[#This Row],[_IsSummary]],MIN(INDEX(Tasks[_ShownFcstStart],Tasks[[#This Row],[_Row]]+1):INDEX(Tasks[_ShownFcstStart],Tasks[[#This Row],[_Row]]+Tasks[[#This Row],[_Descendants]])),Tasks[[#This Row],[_ShownFcstStart]]))</f>
        <v/>
      </c>
      <c r="AC153" s="25" t="str">
        <f aca="false">IF(Tasks[[#This Row],[Task Name]]="","",IF(Tasks[[#This Row],[_IsSummary]],MAX(INDEX(Tasks[_ShownFcstFinish],Tasks[[#This Row],[_Row]]+1):INDEX(Tasks[_ShownFcstFinish],Tasks[[#This Row],[_Row]]+Tasks[[#This Row],[_Descendants]])),Tasks[[#This Row],[_ShownFcstFinish]]))</f>
        <v/>
      </c>
      <c r="AD15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3" s="25" t="str">
        <f aca="false">IF(Tasks[[#This Row],[Task Name]]="","",IF(Tasks[[#This Row],[_IsSummary]],MIN(INDEX(Tasks[_LeafLateStart],Tasks[[#This Row],[_Row]]+1):INDEX(Tasks[_LeafLateStart],Tasks[[#This Row],[_Row]]+Tasks[[#This Row],[_Descendants]])),Tasks[[#This Row],[_LeafLateStart]]))</f>
        <v/>
      </c>
      <c r="AG153" s="25" t="str">
        <f aca="false">IF(Tasks[[#This Row],[Task Name]]="","",IF(Tasks[[#This Row],[_IsSummary]],MAX(INDEX(Tasks[_LeafLateFinish],Tasks[[#This Row],[_Row]]+1):INDEX(Tasks[_LeafLateFinish],Tasks[[#This Row],[_Row]]+Tasks[[#This Row],[_Descendants]])),Tasks[[#This Row],[_LeafLateFinish]]))</f>
        <v/>
      </c>
      <c r="AH153" s="56" t="str">
        <f aca="false">IF(Tasks[[#This Row],[Task Name]]="","",IF(Tasks[[#This Row],[_IsSummary]],MIN(INDEX(Tasks[_LeafTotalSlack],Tasks[[#This Row],[_Row]]+1):INDEX(Tasks[_LeafTotalSlack],Tasks[[#This Row],[_Row]]+Tasks[[#This Row],[_Descendants]])),Tasks[[#This Row],[_LeafTotalSlack]]))</f>
        <v/>
      </c>
      <c r="AI15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3" s="45" t="str">
        <f aca="false">IF(Tasks[[#This Row],[Task Name]]="","",IF(IF(Tasks[[#This Row],[_IsSummary]],COUNTIF(INDEX(Tasks[_LeafCritical],Tasks[[#This Row],[_Row]]+1):INDEX(Tasks[_LeafCritical],Tasks[[#This Row],[_Row]]+Tasks[[#This Row],[_Descendants]]),TRUE())&gt;0,Tasks[[#This Row],[_LeafCritical]]),"Yes",""))</f>
        <v/>
      </c>
      <c r="AK15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3" s="102"/>
      <c r="AN15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3" s="45" t="str">
        <f aca="false">IF(Tasks[[#This Row],[Task Name]]="","",IF(Tasks[[#This Row],[Progress]]&gt;=1,"Complete",IF(OR(N(Tasks[[#This Row],[Actual Start]])&gt;0,Tasks[[#This Row],[Progress]]&gt;0),IF(Tasks[[#This Row],[Finish Var]]&gt;0,"Behind","In Progress"),IF(Tasks[[#This Row],[Planned Start]]&lt;StatusDate,"Late Start","Not Started"))))</f>
        <v/>
      </c>
      <c r="AP153" s="47"/>
      <c r="AQ153" s="102"/>
      <c r="AR15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3" s="110" t="str">
        <f aca="false">IF(Tasks[[#This Row],[Task Name]]="","",IF(Tasks[[#This Row],[_IsSummary]],SUM(INDEX(Tasks[_LeafTotalWork],Tasks[[#This Row],[_Row]]+1):INDEX(Tasks[_LeafTotalWork],Tasks[[#This Row],[_Row]]+Tasks[[#This Row],[_Descendants]])),Tasks[[#This Row],[_LeafTotalWork]]))</f>
        <v/>
      </c>
      <c r="AU153" s="111" t="str">
        <f aca="false">IF(Tasks[[#This Row],[Task Name]]="","",IF(Tasks[[#This Row],[_IsSummary]],SUM(INDEX(Tasks[_LeafTotalCost],Tasks[[#This Row],[_Row]]+1):INDEX(Tasks[_LeafTotalCost],Tasks[[#This Row],[_Row]]+Tasks[[#This Row],[_Descendants]])),Tasks[[#This Row],[_LeafTotalCost]]))</f>
        <v/>
      </c>
      <c r="AV153" s="112"/>
      <c r="AW153" s="46"/>
      <c r="AX15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3" s="96"/>
      <c r="AZ15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3" s="47"/>
      <c r="BB153" s="25" t="str">
        <f aca="false">IF(Tasks[[#This Row],[Task Name]]="","",Tasks[[#This Row],[Forecast Start]])</f>
        <v/>
      </c>
      <c r="BC153" s="25" t="str">
        <f aca="false">IF(Tasks[[#This Row],[Task Name]]="","",Tasks[[#This Row],[Forecast Finish]])</f>
        <v/>
      </c>
      <c r="BD153" s="45" t="str">
        <f aca="false">IF(Tasks[[#This Row],[Task Name]]="","",IF(Tasks[[#This Row],[_IsSummary]],NETWORKDAYS.INTL(Tasks[[#This Row],[Forecast Start]],Tasks[[#This Row],[Forecast Finish]],WorkWeek,Holidays),N(Tasks[[#This Row],[Duration]])))</f>
        <v/>
      </c>
      <c r="BE153" s="110" t="str">
        <f aca="false">IF(Tasks[[#This Row],[Task Name]]="","",Tasks[[#This Row],[Work]])</f>
        <v/>
      </c>
      <c r="BF153" s="111" t="str">
        <f aca="false">IF(Tasks[[#This Row],[Task Name]]="","",Tasks[[#This Row],[Cost]])</f>
        <v/>
      </c>
      <c r="BG153" s="88"/>
      <c r="BH153" s="88"/>
      <c r="BI153" s="46"/>
      <c r="BJ153" s="113"/>
      <c r="BK153" s="112"/>
      <c r="BL153" s="45" t="str">
        <f aca="false">IF(OR(Tasks[[#This Row],[Task Name]]="",Tasks[[#This Row],[Baseline Duration]]=""),"",Tasks[[#This Row],[BL Source Duration]]-N(Tasks[[#This Row],[Baseline Duration]]))</f>
        <v/>
      </c>
      <c r="BM153" s="110" t="str">
        <f aca="false">IF(OR(Tasks[[#This Row],[Task Name]]="",Tasks[[#This Row],[Baseline Work]]=""),"",Tasks[[#This Row],[Work]]-N(Tasks[[#This Row],[Baseline Work]]))</f>
        <v/>
      </c>
      <c r="BN153" s="111" t="str">
        <f aca="false">IF(OR(Tasks[[#This Row],[Task Name]]="",Tasks[[#This Row],[Baseline Cost]]=""),"",Tasks[[#This Row],[Cost]]-N(Tasks[[#This Row],[Baseline Cost]]))</f>
        <v/>
      </c>
      <c r="BO153" s="111" t="str">
        <f aca="false">IF(Tasks[[#This Row],[Task Name]]="","",IF(Tasks[[#This Row],[_IsSummary]],SUM(INDEX(Tasks[_LeafBudget],Tasks[[#This Row],[_Row]]+1):INDEX(Tasks[_LeafBudget],Tasks[[#This Row],[_Row]]+Tasks[[#This Row],[_Descendants]])),Tasks[[#This Row],[_LeafBudget]]))</f>
        <v/>
      </c>
      <c r="BP153" s="111" t="str">
        <f aca="false">IF(Tasks[[#This Row],[Task Name]]="","",IF(Tasks[[#This Row],[_IsSummary]],SUM(INDEX(Tasks[_LeafPV],Tasks[[#This Row],[_Row]]+1):INDEX(Tasks[_LeafPV],Tasks[[#This Row],[_Row]]+Tasks[[#This Row],[_Descendants]])),Tasks[[#This Row],[_LeafPV]]))</f>
        <v/>
      </c>
      <c r="BQ153" s="111" t="str">
        <f aca="false">IF(Tasks[[#This Row],[Task Name]]="","",IF(Tasks[[#This Row],[_IsSummary]],SUM(INDEX(Tasks[_LeafEV],Tasks[[#This Row],[_Row]]+1):INDEX(Tasks[_LeafEV],Tasks[[#This Row],[_Row]]+Tasks[[#This Row],[_Descendants]])),Tasks[[#This Row],[_LeafEV]]))</f>
        <v/>
      </c>
      <c r="BR153" s="111" t="str">
        <f aca="false">IF(Tasks[[#This Row],[Task Name]]="","",IF(Tasks[[#This Row],[_IsSummary]],SUM(INDEX(Tasks[_LeafAC],Tasks[[#This Row],[_Row]]+1):INDEX(Tasks[_LeafAC],Tasks[[#This Row],[_Row]]+Tasks[[#This Row],[_Descendants]])),Tasks[[#This Row],[_LeafAC]]))</f>
        <v/>
      </c>
      <c r="BS153" s="32" t="str">
        <f aca="false">IF(Tasks[[#This Row],[Task Name]]="","",MAX(1,N(Tasks[[#This Row],[Level]])))</f>
        <v/>
      </c>
      <c r="BT153" s="32" t="n">
        <f aca="false">ROW()-ROW(Tasks[[#Headers],[ID]])</f>
        <v>148</v>
      </c>
      <c r="BU153" s="32" t="n">
        <f aca="false">IF(OR(Tasks[[#This Row],[Task Name]]="",Tasks[[#This Row],[_Level]]&lt;=1),0,IFERROR(LOOKUP(2,1/(Tasks[[#Headers],[_Level]]:Tasks[[#This Row],[_Level]]=Tasks[[#This Row],[_Level]]-1),ROW(Tasks[[#Headers],[_Level]]:Tasks[[#This Row],[_Level]])),0))</f>
        <v>0</v>
      </c>
      <c r="BV153" s="32" t="n">
        <f aca="false">IFERROR(N(INDEX(Tasks[_Level],Tasks[[#This Row],[_Row]]+1)),0)</f>
        <v>0</v>
      </c>
      <c r="BW153" s="114" t="b">
        <f aca="false">AND(Tasks[[#This Row],[Task Name]]&lt;&gt;"",Tasks[[#This Row],[_NextLevel]]&gt;Tasks[[#This Row],[_Level]])</f>
        <v>0</v>
      </c>
      <c r="BX153" s="32" t="n">
        <f aca="false">IF(Tasks[[#This Row],[_IsSummary]],COUNTIF(Tasks[WBS],Tasks[[#This Row],[WBS]]&amp;".*"),0)</f>
        <v>0</v>
      </c>
      <c r="BY153" s="32" t="n">
        <f aca="false">IF(AND(Tasks[[#This Row],[Task Name]]&lt;&gt;"",NOT(Tasks[[#This Row],[_IsSummary]])),1,0)</f>
        <v>0</v>
      </c>
      <c r="BZ153" s="32" t="n">
        <f aca="false">IF(N(Tasks[[#This Row],[Pred1 UID]])=0,0,IFERROR(MATCH(Tasks[[#This Row],[Pred1 UID]],Tasks[UID],0),-1))</f>
        <v>0</v>
      </c>
      <c r="CA153" s="32" t="n">
        <f aca="false">IF(N(Tasks[[#This Row],[Pred2 UID]])=0,0,IFERROR(MATCH(Tasks[[#This Row],[Pred2 UID]],Tasks[UID],0),-1))</f>
        <v>0</v>
      </c>
      <c r="CB153" s="32" t="n">
        <f aca="false">IF(N(Tasks[[#This Row],[Pred3 UID]])=0,0,IFERROR(MATCH(Tasks[[#This Row],[Pred3 UID]],Tasks[UID],0),-1))</f>
        <v>0</v>
      </c>
      <c r="CC153" s="32" t="n">
        <f aca="false">IF(N(Tasks[[#This Row],[Pred4 UID]])=0,0,IFERROR(MATCH(Tasks[[#This Row],[Pred4 UID]],Tasks[UID],0),-1))</f>
        <v>0</v>
      </c>
      <c r="CD15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3" s="115" t="n">
        <f aca="false">IF(OR(Tasks[[#This Row],[_ConstraintCode]]=2,Tasks[[#This Row],[_ConstraintCode]]=3,Tasks[[#This Row],[_ConstraintCode]]=4,Tasks[[#This Row],[_ConstraintCode]]=6),Tasks[[#This Row],[_ConstraintStart]],0)</f>
        <v>0</v>
      </c>
      <c r="CG153" s="115" t="n">
        <f aca="false">IF(OR(Tasks[[#This Row],[_ConstraintCode]]=2,Tasks[[#This Row],[_ConstraintCode]]=3,Tasks[[#This Row],[_ConstraintCode]]=5,Tasks[[#This Row],[_ConstraintCode]]=7),Tasks[[#This Row],[_ConstraintStart]],2958465)</f>
        <v>2958465</v>
      </c>
      <c r="CH15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3" s="115" t="str">
        <f aca="false">IF(NOT(Tasks[[#This Row],[_IsLeaf]]=1),"",IF(N(Tasks[[#This Row],[Duration]])&lt;=0,Tasks[[#This Row],[_LeafCalcStart]],WORKDAY.INTL(Tasks[[#This Row],[_LeafCalcStart]],Tasks[[#This Row],[Duration]]-1,WorkWeek,Holidays)))</f>
        <v/>
      </c>
      <c r="CJ15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3" s="32" t="n">
        <f aca="false">IF(NOT(Tasks[[#This Row],[_IsLeaf]]=1),0,IF(N(Tasks[[#This Row],[Actual Finish]])&gt;0,1,MIN(1,N(Tasks[[#This Row],[% Complete]]))))</f>
        <v>0</v>
      </c>
      <c r="CM153" s="32" t="n">
        <f aca="false">IF(OR(NOT(Tasks[[#This Row],[_IsLeaf]]=1),Tasks[[#This Row],[Resource]]=""),0,N(Tasks[[#This Row],[Duration]])*HoursPerDay*IF(Tasks[[#This Row],[Units]]="",DefaultUnits,Tasks[[#This Row],[Units]]))</f>
        <v>0</v>
      </c>
      <c r="CN153" s="32" t="n">
        <f aca="false">IF(Tasks[[#This Row],[_LeafWork]]=0,0,Tasks[[#This Row],[_LeafWork]]*IFERROR(INDEX(res_Rate,MATCH(Tasks[[#This Row],[Resource]],res_Name,0)),0))</f>
        <v>0</v>
      </c>
      <c r="CO153" s="32" t="n">
        <f aca="false">Tasks[[#This Row],[_LeafWork]]+IF(Tasks[[#This Row],[_IsLeaf]]=1,SUMIFS(asg_Work,asg_TaskUID,Tasks[[#This Row],[UID]],asg_Valid,1),0)</f>
        <v>0</v>
      </c>
      <c r="CP153" s="32" t="n">
        <f aca="false">Tasks[[#This Row],[_LeafCost]]+IF(Tasks[[#This Row],[_IsLeaf]]=1,SUMIFS(asg_Cost,asg_TaskUID,Tasks[[#This Row],[UID]],asg_Valid,1),0)</f>
        <v>0</v>
      </c>
      <c r="CQ153" s="32" t="n">
        <f aca="false">IF(Tasks[[#This Row],[_LeafTotalCost]]=0,Tasks[[#This Row],[_LeafAC]],Tasks[[#This Row],[_LeafAC]]*Tasks[[#This Row],[_LeafCost]]/Tasks[[#This Row],[_LeafTotalCost]])</f>
        <v>0</v>
      </c>
      <c r="CR15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3" s="32" t="n">
        <f aca="false">IF(NOT(Tasks[[#This Row],[_IsLeaf]]=1),0,MAX(_xlfn.MAXIFS(Tasks[_Row],Tasks[Pred1 UID],Tasks[[#This Row],[UID]]),_xlfn.MAXIFS(Tasks[_Row],Tasks[Pred2 UID],Tasks[[#This Row],[UID]]),_xlfn.MAXIFS(Tasks[_Row],Tasks[Pred3 UID],Tasks[[#This Row],[UID]]),_xlfn.MAXIFS(Tasks[_Row],Tasks[Pred4 UID],Tasks[[#This Row],[UID]])))</f>
        <v>0</v>
      </c>
      <c r="DA15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3" s="115" t="str">
        <f aca="false">IF(NOT(Tasks[[#This Row],[_IsLeaf]]=1),"",IF(N(Tasks[[#This Row],[Duration]])&lt;=0,Tasks[[#This Row],[_LeafLateFinish]],WORKDAY.INTL(Tasks[[#This Row],[_LeafLateFinish]],-(Tasks[[#This Row],[Duration]]-1),WorkWeek,Holidays)))</f>
        <v/>
      </c>
      <c r="DD15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3" s="114" t="b">
        <f aca="false">AND(Tasks[[#This Row],[_IsLeaf]]=1,Tasks[[#This Row],[_LeafProgress]]&lt;1,N(Tasks[[#This Row],[_LeafTotalSlack]])&lt;=CriticalSlackDays)</f>
        <v>0</v>
      </c>
      <c r="DF153" s="32" t="n">
        <f aca="false">IF(AND(Tasks[[#This Row],[_IsLeaf]]=1,Tasks[[#This Row],[_ConstraintCode]]=1,Tasks[[#This Row],[Mode]]&lt;&gt;"Manual",N(Tasks[[#This Row],[Actual Start]])=0),MAX(0,N(Tasks[[#This Row],[Free Slack]])),0)</f>
        <v>0</v>
      </c>
      <c r="DG153" s="115" t="str">
        <f aca="false">IF(NOT(Tasks[[#This Row],[_IsLeaf]]=1),"",IF(Tasks[[#This Row],[_AlapShift]]=0,Tasks[[#This Row],[_LeafCalcStart]],WORKDAY.INTL(Tasks[[#This Row],[_LeafCalcStart]],Tasks[[#This Row],[_AlapShift]],WorkWeek,Holidays)))</f>
        <v/>
      </c>
      <c r="DH153" s="115" t="str">
        <f aca="false">IF(NOT(Tasks[[#This Row],[_IsLeaf]]=1),"",IF(Tasks[[#This Row],[_AlapShift]]=0,Tasks[[#This Row],[_LeafCalcFinish]],WORKDAY.INTL(Tasks[[#This Row],[_LeafCalcFinish]],Tasks[[#This Row],[_AlapShift]],WorkWeek,Holidays)))</f>
        <v/>
      </c>
      <c r="DI153" s="115" t="str">
        <f aca="false">IF(NOT(Tasks[[#This Row],[_IsLeaf]]=1),"",IF(Tasks[[#This Row],[_AlapShift]]=0,Tasks[[#This Row],[_LeafFcstStart]],WORKDAY.INTL(Tasks[[#This Row],[_LeafFcstStart]],Tasks[[#This Row],[_AlapShift]],WorkWeek,Holidays)))</f>
        <v/>
      </c>
      <c r="DJ153" s="115" t="str">
        <f aca="false">IF(NOT(Tasks[[#This Row],[_IsLeaf]]=1),"",IF(Tasks[[#This Row],[_AlapShift]]=0,Tasks[[#This Row],[_LeafFcstFinish]],WORKDAY.INTL(Tasks[[#This Row],[_LeafFcstFinish]],Tasks[[#This Row],[_AlapShift]],WorkWeek,Holidays)))</f>
        <v/>
      </c>
      <c r="DK153" s="115" t="str">
        <f aca="false">IF(Tasks[[#This Row],[Task Name]]="","",IF(Tasks[[#This Row],[_IsSummary]],MIN(INDEX(Tasks[_ShownCalcStart],Tasks[[#This Row],[_Row]]+1):INDEX(Tasks[_ShownCalcStart],Tasks[[#This Row],[_Row]]+Tasks[[#This Row],[_Descendants]])),Tasks[[#This Row],[_ShownCalcStart]]))</f>
        <v/>
      </c>
      <c r="DL153" s="115" t="str">
        <f aca="false">IF(Tasks[[#This Row],[Task Name]]="","",IF(Tasks[[#This Row],[_IsSummary]],MAX(INDEX(Tasks[_ShownCalcFinish],Tasks[[#This Row],[_Row]]+1):INDEX(Tasks[_ShownCalcFinish],Tasks[[#This Row],[_Row]]+Tasks[[#This Row],[_Descendants]])),Tasks[[#This Row],[_ShownCalcFinish]]))</f>
        <v/>
      </c>
      <c r="DM15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3" s="32" t="n">
        <f aca="false">IF(AND(Tasks[[#This Row],[_IsLeaf]]=1,Tasks[[#This Row],[_LeafTotalWork]]&gt;0),NETWORKDAYS.INTL(ProjectStart,Tasks[[#This Row],[_ShownFcstStart]],WorkWeek,Holidays),0)</f>
        <v>0</v>
      </c>
      <c r="DZ153" s="32" t="n">
        <f aca="false">IF(AND(Tasks[[#This Row],[_IsLeaf]]=1,Tasks[[#This Row],[_LeafTotalWork]]&gt;0),MAX(Tasks[[#This Row],[_StartWorkday]],NETWORKDAYS.INTL(ProjectStart,Tasks[[#This Row],[_ShownFcstFinish]],WorkWeek,Holidays)),0)</f>
        <v>0</v>
      </c>
      <c r="EA153" s="32" t="n">
        <f aca="false">IF(AND(Tasks[[#This Row],[_IsLeaf]]=1,Tasks[[#This Row],[_LeafTotalWork]]&gt;0),Tasks[[#This Row],[_LeafWork]]/(Tasks[[#This Row],[_FinishWorkday]]-Tasks[[#This Row],[_StartWorkday]]+1),0)</f>
        <v>0</v>
      </c>
      <c r="EB153" s="32" t="n">
        <f aca="false">Tasks[[#This Row],[_WorkPerWorkday]]*(Tasks[[#This Row],[_StartWorkday]]-1)</f>
        <v>-0</v>
      </c>
      <c r="EC153" s="32" t="n">
        <f aca="false">IF(Tasks[[#This Row],[_IsLeaf]]=1,MAX(N(Tasks[[#This Row],[Duration]]),0.1),0)</f>
        <v>0</v>
      </c>
      <c r="ED153" s="32" t="n">
        <f aca="false">Tasks[[#This Row],[_WeightDur]]*Tasks[[#This Row],[_LeafProgress]]</f>
        <v>0</v>
      </c>
      <c r="EE15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3" s="32" t="str">
        <f aca="false">IF(AND(Tasks[[#This Row],[_IsLeaf]]=1,N(Tasks[[#This Row],[Duration]])=0,Tasks[[#This Row],[_LeafProgress]]&lt;1),Tasks[[#This Row],[_ShownFcstFinish]]+Tasks[[#This Row],[_Row]]/100000,"")</f>
        <v/>
      </c>
      <c r="EG15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3" s="32" t="n">
        <f aca="false">IF(NOT(Tasks[[#This Row],[_IsLeaf]]=1),0,IF(Tasks[[#This Row],[Baseline Cost]]="",Tasks[[#This Row],[_LeafTotalCost]],N(Tasks[[#This Row],[Baseline Cost]])))</f>
        <v>0</v>
      </c>
      <c r="EI153" s="32" t="n">
        <f aca="false">Tasks[[#This Row],[_LeafBudget]]*Tasks[[#This Row],[_PlannedPct]]</f>
        <v>0</v>
      </c>
      <c r="EJ153" s="32" t="n">
        <f aca="false">Tasks[[#This Row],[_LeafBudget]]*Tasks[[#This Row],[_LeafProgress]]</f>
        <v>0</v>
      </c>
      <c r="EK153" s="32" t="n">
        <f aca="false">IF(NOT(Tasks[[#This Row],[_IsLeaf]]=1),0,IF(Tasks[[#This Row],[Actual Cost]]="",Tasks[[#This Row],[_LeafTotalCost]]*Tasks[[#This Row],[_LeafProgress]],N(Tasks[[#This Row],[Actual Cost]])))</f>
        <v>0</v>
      </c>
      <c r="EL153" s="32" t="str">
        <f aca="false">IF(Tasks[[#This Row],[Task Name]]="","",LEFT(Tasks[[#This Row],[WBS]],FIND(".",Tasks[[#This Row],[WBS]]&amp;".")-1))</f>
        <v/>
      </c>
      <c r="EM153" s="32" t="str">
        <f aca="false">IF(AND(Tasks[[#This Row],[Task Name]]&lt;&gt;"",Tasks[[#This Row],[_Level]]=1),Tasks[[#This Row],[_Row]],"")</f>
        <v/>
      </c>
      <c r="EN153" s="32" t="str">
        <f aca="false">IF(AND(Tasks[[#This Row],[_IsLeaf]]=1,N(Tasks[[#This Row],[Duration]])=0),Tasks[[#This Row],[Planned Finish]]+Tasks[[#This Row],[_Row]]/100000,"")</f>
        <v/>
      </c>
      <c r="EO153" s="32" t="str">
        <f aca="false">IF(AND(Tasks[[#This Row],[_IsLeaf]]=1,Tasks[[#This Row],[_LeafProgress]]&lt;1,OR(N(Tasks[[#This Row],[Finish Var]])&gt;0,Tasks[[#This Row],[Status]]="Late Start")),MAX(0,Tasks[[#This Row],[Finish Var]])+1-Tasks[[#This Row],[_Row]]/1000000,"")</f>
        <v/>
      </c>
      <c r="EP153" s="32" t="str">
        <f aca="false">IF(AND(Tasks[[#This Row],[_IsLeaf]]=1,N(Tasks[[#This Row],[Actual Start]])=0,Tasks[[#This Row],[_ShownFcstStart]]&gt;=StatusDate,Tasks[[#This Row],[_ShownFcstStart]]&lt;=LookaheadEnd),Tasks[[#This Row],[_ShownFcstStart]]+Tasks[[#This Row],[_Row]]/100000,"")</f>
        <v/>
      </c>
      <c r="EQ153" s="32" t="str">
        <f aca="false">IF(AND(Tasks[[#This Row],[_IsLeaf]]=1,Tasks[[#This Row],[_LeafProgress]]&lt;1,Tasks[[#This Row],[_ShownFcstFinish]]&gt;=StatusDate,Tasks[[#This Row],[_ShownFcstFinish]]&lt;=LookaheadEnd),Tasks[[#This Row],[_ShownFcstFinish]]+Tasks[[#This Row],[_Row]]/100000,"")</f>
        <v/>
      </c>
      <c r="ER153" s="32" t="str">
        <f aca="false">IF(Tasks[[#This Row],[_LeafCritical]],Tasks[[#This Row],[_ShownFcstStart]]+Tasks[[#This Row],[_Row]]/100000,"")</f>
        <v/>
      </c>
      <c r="ES153" s="32" t="n">
        <f aca="false">Tasks[[#This Row],[_LeafWork]]*Tasks[[#This Row],[_LeafProgress]]</f>
        <v>0</v>
      </c>
      <c r="ET153" s="115" t="str">
        <f aca="false">IF(AND(Tasks[[#This Row],[_IsLeaf]]=1,Tasks[[#This Row],[_LeafProgress]]&gt;=1),IF(N(Tasks[[#This Row],[Actual Finish]])&gt;0,Tasks[[#This Row],[Actual Finish]],Tasks[[#This Row],[_ShownFcstFinish]]),"")</f>
        <v/>
      </c>
      <c r="EU153" s="32" t="n">
        <f aca="false">IF(Tasks[[#This Row],[_IsLeaf]]=1,N(Tasks[[#This Row],[Story Points]]),0)</f>
        <v>0</v>
      </c>
      <c r="EV153" s="32" t="str">
        <f aca="false">IF(AND(Tasks[[#This Row],[_IsLeaf]]=1,CurrentSprint&lt;&gt;"",Tasks[[#This Row],[Sprint]]=CurrentSprint),Tasks[[#This Row],[_Row]],"")</f>
        <v/>
      </c>
    </row>
    <row r="154" customFormat="false" ht="15" hidden="false" customHeight="false" outlineLevel="0" collapsed="false">
      <c r="A154" s="45" t="str">
        <f aca="false">IF(Tasks[[#This Row],[Task Name]]="","",COUNTA(Tasks[[#Headers],[Task Name]]:Tasks[[#This Row],[Task Name]])-1)</f>
        <v/>
      </c>
      <c r="B154" s="46" t="n">
        <v>149</v>
      </c>
      <c r="C15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4" s="46"/>
      <c r="E154" s="45" t="str">
        <f aca="false">IF(Tasks[[#This Row],[Task Name]]="","",IF(Tasks[[#This Row],[_Level]]&lt;=OutlineShowLevel,"Yes","No"))</f>
        <v/>
      </c>
      <c r="F154" s="47"/>
      <c r="G154" s="46"/>
      <c r="H154" s="46"/>
      <c r="I154" s="46"/>
      <c r="J154" s="46"/>
      <c r="K154" s="46"/>
      <c r="L154" s="46"/>
      <c r="M154" s="46"/>
      <c r="N154" s="46"/>
      <c r="O154" s="46"/>
      <c r="P154" s="46"/>
      <c r="Q154" s="46"/>
      <c r="R154" s="46"/>
      <c r="S154" s="46"/>
      <c r="T154" s="46"/>
      <c r="U154" s="47"/>
      <c r="V154" s="88"/>
      <c r="W154" s="88"/>
      <c r="X154" s="25" t="str">
        <f aca="false">IF(Tasks[[#This Row],[Task Name]]="","",IF(N(Tasks[[#This Row],[Baseline Start]])&gt;0,Tasks[[#This Row],[Baseline Start]],Tasks[[#This Row],[_CalcStart]]))</f>
        <v/>
      </c>
      <c r="Y154" s="25" t="str">
        <f aca="false">IF(Tasks[[#This Row],[Task Name]]="","",IF(N(Tasks[[#This Row],[Baseline Finish]])&gt;0,Tasks[[#This Row],[Baseline Finish]],Tasks[[#This Row],[_CalcFinish]]))</f>
        <v/>
      </c>
      <c r="Z154" s="88"/>
      <c r="AA154" s="88"/>
      <c r="AB154" s="25" t="str">
        <f aca="false">IF(Tasks[[#This Row],[Task Name]]="","",IF(Tasks[[#This Row],[_IsSummary]],MIN(INDEX(Tasks[_ShownFcstStart],Tasks[[#This Row],[_Row]]+1):INDEX(Tasks[_ShownFcstStart],Tasks[[#This Row],[_Row]]+Tasks[[#This Row],[_Descendants]])),Tasks[[#This Row],[_ShownFcstStart]]))</f>
        <v/>
      </c>
      <c r="AC154" s="25" t="str">
        <f aca="false">IF(Tasks[[#This Row],[Task Name]]="","",IF(Tasks[[#This Row],[_IsSummary]],MAX(INDEX(Tasks[_ShownFcstFinish],Tasks[[#This Row],[_Row]]+1):INDEX(Tasks[_ShownFcstFinish],Tasks[[#This Row],[_Row]]+Tasks[[#This Row],[_Descendants]])),Tasks[[#This Row],[_ShownFcstFinish]]))</f>
        <v/>
      </c>
      <c r="AD15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4" s="25" t="str">
        <f aca="false">IF(Tasks[[#This Row],[Task Name]]="","",IF(Tasks[[#This Row],[_IsSummary]],MIN(INDEX(Tasks[_LeafLateStart],Tasks[[#This Row],[_Row]]+1):INDEX(Tasks[_LeafLateStart],Tasks[[#This Row],[_Row]]+Tasks[[#This Row],[_Descendants]])),Tasks[[#This Row],[_LeafLateStart]]))</f>
        <v/>
      </c>
      <c r="AG154" s="25" t="str">
        <f aca="false">IF(Tasks[[#This Row],[Task Name]]="","",IF(Tasks[[#This Row],[_IsSummary]],MAX(INDEX(Tasks[_LeafLateFinish],Tasks[[#This Row],[_Row]]+1):INDEX(Tasks[_LeafLateFinish],Tasks[[#This Row],[_Row]]+Tasks[[#This Row],[_Descendants]])),Tasks[[#This Row],[_LeafLateFinish]]))</f>
        <v/>
      </c>
      <c r="AH154" s="56" t="str">
        <f aca="false">IF(Tasks[[#This Row],[Task Name]]="","",IF(Tasks[[#This Row],[_IsSummary]],MIN(INDEX(Tasks[_LeafTotalSlack],Tasks[[#This Row],[_Row]]+1):INDEX(Tasks[_LeafTotalSlack],Tasks[[#This Row],[_Row]]+Tasks[[#This Row],[_Descendants]])),Tasks[[#This Row],[_LeafTotalSlack]]))</f>
        <v/>
      </c>
      <c r="AI15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4" s="45" t="str">
        <f aca="false">IF(Tasks[[#This Row],[Task Name]]="","",IF(IF(Tasks[[#This Row],[_IsSummary]],COUNTIF(INDEX(Tasks[_LeafCritical],Tasks[[#This Row],[_Row]]+1):INDEX(Tasks[_LeafCritical],Tasks[[#This Row],[_Row]]+Tasks[[#This Row],[_Descendants]]),TRUE())&gt;0,Tasks[[#This Row],[_LeafCritical]]),"Yes",""))</f>
        <v/>
      </c>
      <c r="AK15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4" s="102"/>
      <c r="AN15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4" s="45" t="str">
        <f aca="false">IF(Tasks[[#This Row],[Task Name]]="","",IF(Tasks[[#This Row],[Progress]]&gt;=1,"Complete",IF(OR(N(Tasks[[#This Row],[Actual Start]])&gt;0,Tasks[[#This Row],[Progress]]&gt;0),IF(Tasks[[#This Row],[Finish Var]]&gt;0,"Behind","In Progress"),IF(Tasks[[#This Row],[Planned Start]]&lt;StatusDate,"Late Start","Not Started"))))</f>
        <v/>
      </c>
      <c r="AP154" s="47"/>
      <c r="AQ154" s="102"/>
      <c r="AR15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4" s="110" t="str">
        <f aca="false">IF(Tasks[[#This Row],[Task Name]]="","",IF(Tasks[[#This Row],[_IsSummary]],SUM(INDEX(Tasks[_LeafTotalWork],Tasks[[#This Row],[_Row]]+1):INDEX(Tasks[_LeafTotalWork],Tasks[[#This Row],[_Row]]+Tasks[[#This Row],[_Descendants]])),Tasks[[#This Row],[_LeafTotalWork]]))</f>
        <v/>
      </c>
      <c r="AU154" s="111" t="str">
        <f aca="false">IF(Tasks[[#This Row],[Task Name]]="","",IF(Tasks[[#This Row],[_IsSummary]],SUM(INDEX(Tasks[_LeafTotalCost],Tasks[[#This Row],[_Row]]+1):INDEX(Tasks[_LeafTotalCost],Tasks[[#This Row],[_Row]]+Tasks[[#This Row],[_Descendants]])),Tasks[[#This Row],[_LeafTotalCost]]))</f>
        <v/>
      </c>
      <c r="AV154" s="112"/>
      <c r="AW154" s="46"/>
      <c r="AX15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4" s="96"/>
      <c r="AZ15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4" s="47"/>
      <c r="BB154" s="25" t="str">
        <f aca="false">IF(Tasks[[#This Row],[Task Name]]="","",Tasks[[#This Row],[Forecast Start]])</f>
        <v/>
      </c>
      <c r="BC154" s="25" t="str">
        <f aca="false">IF(Tasks[[#This Row],[Task Name]]="","",Tasks[[#This Row],[Forecast Finish]])</f>
        <v/>
      </c>
      <c r="BD154" s="45" t="str">
        <f aca="false">IF(Tasks[[#This Row],[Task Name]]="","",IF(Tasks[[#This Row],[_IsSummary]],NETWORKDAYS.INTL(Tasks[[#This Row],[Forecast Start]],Tasks[[#This Row],[Forecast Finish]],WorkWeek,Holidays),N(Tasks[[#This Row],[Duration]])))</f>
        <v/>
      </c>
      <c r="BE154" s="110" t="str">
        <f aca="false">IF(Tasks[[#This Row],[Task Name]]="","",Tasks[[#This Row],[Work]])</f>
        <v/>
      </c>
      <c r="BF154" s="111" t="str">
        <f aca="false">IF(Tasks[[#This Row],[Task Name]]="","",Tasks[[#This Row],[Cost]])</f>
        <v/>
      </c>
      <c r="BG154" s="88"/>
      <c r="BH154" s="88"/>
      <c r="BI154" s="46"/>
      <c r="BJ154" s="113"/>
      <c r="BK154" s="112"/>
      <c r="BL154" s="45" t="str">
        <f aca="false">IF(OR(Tasks[[#This Row],[Task Name]]="",Tasks[[#This Row],[Baseline Duration]]=""),"",Tasks[[#This Row],[BL Source Duration]]-N(Tasks[[#This Row],[Baseline Duration]]))</f>
        <v/>
      </c>
      <c r="BM154" s="110" t="str">
        <f aca="false">IF(OR(Tasks[[#This Row],[Task Name]]="",Tasks[[#This Row],[Baseline Work]]=""),"",Tasks[[#This Row],[Work]]-N(Tasks[[#This Row],[Baseline Work]]))</f>
        <v/>
      </c>
      <c r="BN154" s="111" t="str">
        <f aca="false">IF(OR(Tasks[[#This Row],[Task Name]]="",Tasks[[#This Row],[Baseline Cost]]=""),"",Tasks[[#This Row],[Cost]]-N(Tasks[[#This Row],[Baseline Cost]]))</f>
        <v/>
      </c>
      <c r="BO154" s="111" t="str">
        <f aca="false">IF(Tasks[[#This Row],[Task Name]]="","",IF(Tasks[[#This Row],[_IsSummary]],SUM(INDEX(Tasks[_LeafBudget],Tasks[[#This Row],[_Row]]+1):INDEX(Tasks[_LeafBudget],Tasks[[#This Row],[_Row]]+Tasks[[#This Row],[_Descendants]])),Tasks[[#This Row],[_LeafBudget]]))</f>
        <v/>
      </c>
      <c r="BP154" s="111" t="str">
        <f aca="false">IF(Tasks[[#This Row],[Task Name]]="","",IF(Tasks[[#This Row],[_IsSummary]],SUM(INDEX(Tasks[_LeafPV],Tasks[[#This Row],[_Row]]+1):INDEX(Tasks[_LeafPV],Tasks[[#This Row],[_Row]]+Tasks[[#This Row],[_Descendants]])),Tasks[[#This Row],[_LeafPV]]))</f>
        <v/>
      </c>
      <c r="BQ154" s="111" t="str">
        <f aca="false">IF(Tasks[[#This Row],[Task Name]]="","",IF(Tasks[[#This Row],[_IsSummary]],SUM(INDEX(Tasks[_LeafEV],Tasks[[#This Row],[_Row]]+1):INDEX(Tasks[_LeafEV],Tasks[[#This Row],[_Row]]+Tasks[[#This Row],[_Descendants]])),Tasks[[#This Row],[_LeafEV]]))</f>
        <v/>
      </c>
      <c r="BR154" s="111" t="str">
        <f aca="false">IF(Tasks[[#This Row],[Task Name]]="","",IF(Tasks[[#This Row],[_IsSummary]],SUM(INDEX(Tasks[_LeafAC],Tasks[[#This Row],[_Row]]+1):INDEX(Tasks[_LeafAC],Tasks[[#This Row],[_Row]]+Tasks[[#This Row],[_Descendants]])),Tasks[[#This Row],[_LeafAC]]))</f>
        <v/>
      </c>
      <c r="BS154" s="32" t="str">
        <f aca="false">IF(Tasks[[#This Row],[Task Name]]="","",MAX(1,N(Tasks[[#This Row],[Level]])))</f>
        <v/>
      </c>
      <c r="BT154" s="32" t="n">
        <f aca="false">ROW()-ROW(Tasks[[#Headers],[ID]])</f>
        <v>149</v>
      </c>
      <c r="BU154" s="32" t="n">
        <f aca="false">IF(OR(Tasks[[#This Row],[Task Name]]="",Tasks[[#This Row],[_Level]]&lt;=1),0,IFERROR(LOOKUP(2,1/(Tasks[[#Headers],[_Level]]:Tasks[[#This Row],[_Level]]=Tasks[[#This Row],[_Level]]-1),ROW(Tasks[[#Headers],[_Level]]:Tasks[[#This Row],[_Level]])),0))</f>
        <v>0</v>
      </c>
      <c r="BV154" s="32" t="n">
        <f aca="false">IFERROR(N(INDEX(Tasks[_Level],Tasks[[#This Row],[_Row]]+1)),0)</f>
        <v>0</v>
      </c>
      <c r="BW154" s="114" t="b">
        <f aca="false">AND(Tasks[[#This Row],[Task Name]]&lt;&gt;"",Tasks[[#This Row],[_NextLevel]]&gt;Tasks[[#This Row],[_Level]])</f>
        <v>0</v>
      </c>
      <c r="BX154" s="32" t="n">
        <f aca="false">IF(Tasks[[#This Row],[_IsSummary]],COUNTIF(Tasks[WBS],Tasks[[#This Row],[WBS]]&amp;".*"),0)</f>
        <v>0</v>
      </c>
      <c r="BY154" s="32" t="n">
        <f aca="false">IF(AND(Tasks[[#This Row],[Task Name]]&lt;&gt;"",NOT(Tasks[[#This Row],[_IsSummary]])),1,0)</f>
        <v>0</v>
      </c>
      <c r="BZ154" s="32" t="n">
        <f aca="false">IF(N(Tasks[[#This Row],[Pred1 UID]])=0,0,IFERROR(MATCH(Tasks[[#This Row],[Pred1 UID]],Tasks[UID],0),-1))</f>
        <v>0</v>
      </c>
      <c r="CA154" s="32" t="n">
        <f aca="false">IF(N(Tasks[[#This Row],[Pred2 UID]])=0,0,IFERROR(MATCH(Tasks[[#This Row],[Pred2 UID]],Tasks[UID],0),-1))</f>
        <v>0</v>
      </c>
      <c r="CB154" s="32" t="n">
        <f aca="false">IF(N(Tasks[[#This Row],[Pred3 UID]])=0,0,IFERROR(MATCH(Tasks[[#This Row],[Pred3 UID]],Tasks[UID],0),-1))</f>
        <v>0</v>
      </c>
      <c r="CC154" s="32" t="n">
        <f aca="false">IF(N(Tasks[[#This Row],[Pred4 UID]])=0,0,IFERROR(MATCH(Tasks[[#This Row],[Pred4 UID]],Tasks[UID],0),-1))</f>
        <v>0</v>
      </c>
      <c r="CD15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4" s="115" t="n">
        <f aca="false">IF(OR(Tasks[[#This Row],[_ConstraintCode]]=2,Tasks[[#This Row],[_ConstraintCode]]=3,Tasks[[#This Row],[_ConstraintCode]]=4,Tasks[[#This Row],[_ConstraintCode]]=6),Tasks[[#This Row],[_ConstraintStart]],0)</f>
        <v>0</v>
      </c>
      <c r="CG154" s="115" t="n">
        <f aca="false">IF(OR(Tasks[[#This Row],[_ConstraintCode]]=2,Tasks[[#This Row],[_ConstraintCode]]=3,Tasks[[#This Row],[_ConstraintCode]]=5,Tasks[[#This Row],[_ConstraintCode]]=7),Tasks[[#This Row],[_ConstraintStart]],2958465)</f>
        <v>2958465</v>
      </c>
      <c r="CH15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4" s="115" t="str">
        <f aca="false">IF(NOT(Tasks[[#This Row],[_IsLeaf]]=1),"",IF(N(Tasks[[#This Row],[Duration]])&lt;=0,Tasks[[#This Row],[_LeafCalcStart]],WORKDAY.INTL(Tasks[[#This Row],[_LeafCalcStart]],Tasks[[#This Row],[Duration]]-1,WorkWeek,Holidays)))</f>
        <v/>
      </c>
      <c r="CJ15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4" s="32" t="n">
        <f aca="false">IF(NOT(Tasks[[#This Row],[_IsLeaf]]=1),0,IF(N(Tasks[[#This Row],[Actual Finish]])&gt;0,1,MIN(1,N(Tasks[[#This Row],[% Complete]]))))</f>
        <v>0</v>
      </c>
      <c r="CM154" s="32" t="n">
        <f aca="false">IF(OR(NOT(Tasks[[#This Row],[_IsLeaf]]=1),Tasks[[#This Row],[Resource]]=""),0,N(Tasks[[#This Row],[Duration]])*HoursPerDay*IF(Tasks[[#This Row],[Units]]="",DefaultUnits,Tasks[[#This Row],[Units]]))</f>
        <v>0</v>
      </c>
      <c r="CN154" s="32" t="n">
        <f aca="false">IF(Tasks[[#This Row],[_LeafWork]]=0,0,Tasks[[#This Row],[_LeafWork]]*IFERROR(INDEX(res_Rate,MATCH(Tasks[[#This Row],[Resource]],res_Name,0)),0))</f>
        <v>0</v>
      </c>
      <c r="CO154" s="32" t="n">
        <f aca="false">Tasks[[#This Row],[_LeafWork]]+IF(Tasks[[#This Row],[_IsLeaf]]=1,SUMIFS(asg_Work,asg_TaskUID,Tasks[[#This Row],[UID]],asg_Valid,1),0)</f>
        <v>0</v>
      </c>
      <c r="CP154" s="32" t="n">
        <f aca="false">Tasks[[#This Row],[_LeafCost]]+IF(Tasks[[#This Row],[_IsLeaf]]=1,SUMIFS(asg_Cost,asg_TaskUID,Tasks[[#This Row],[UID]],asg_Valid,1),0)</f>
        <v>0</v>
      </c>
      <c r="CQ154" s="32" t="n">
        <f aca="false">IF(Tasks[[#This Row],[_LeafTotalCost]]=0,Tasks[[#This Row],[_LeafAC]],Tasks[[#This Row],[_LeafAC]]*Tasks[[#This Row],[_LeafCost]]/Tasks[[#This Row],[_LeafTotalCost]])</f>
        <v>0</v>
      </c>
      <c r="CR15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4" s="32" t="n">
        <f aca="false">IF(NOT(Tasks[[#This Row],[_IsLeaf]]=1),0,MAX(_xlfn.MAXIFS(Tasks[_Row],Tasks[Pred1 UID],Tasks[[#This Row],[UID]]),_xlfn.MAXIFS(Tasks[_Row],Tasks[Pred2 UID],Tasks[[#This Row],[UID]]),_xlfn.MAXIFS(Tasks[_Row],Tasks[Pred3 UID],Tasks[[#This Row],[UID]]),_xlfn.MAXIFS(Tasks[_Row],Tasks[Pred4 UID],Tasks[[#This Row],[UID]])))</f>
        <v>0</v>
      </c>
      <c r="DA15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4" s="115" t="str">
        <f aca="false">IF(NOT(Tasks[[#This Row],[_IsLeaf]]=1),"",IF(N(Tasks[[#This Row],[Duration]])&lt;=0,Tasks[[#This Row],[_LeafLateFinish]],WORKDAY.INTL(Tasks[[#This Row],[_LeafLateFinish]],-(Tasks[[#This Row],[Duration]]-1),WorkWeek,Holidays)))</f>
        <v/>
      </c>
      <c r="DD15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4" s="114" t="b">
        <f aca="false">AND(Tasks[[#This Row],[_IsLeaf]]=1,Tasks[[#This Row],[_LeafProgress]]&lt;1,N(Tasks[[#This Row],[_LeafTotalSlack]])&lt;=CriticalSlackDays)</f>
        <v>0</v>
      </c>
      <c r="DF154" s="32" t="n">
        <f aca="false">IF(AND(Tasks[[#This Row],[_IsLeaf]]=1,Tasks[[#This Row],[_ConstraintCode]]=1,Tasks[[#This Row],[Mode]]&lt;&gt;"Manual",N(Tasks[[#This Row],[Actual Start]])=0),MAX(0,N(Tasks[[#This Row],[Free Slack]])),0)</f>
        <v>0</v>
      </c>
      <c r="DG154" s="115" t="str">
        <f aca="false">IF(NOT(Tasks[[#This Row],[_IsLeaf]]=1),"",IF(Tasks[[#This Row],[_AlapShift]]=0,Tasks[[#This Row],[_LeafCalcStart]],WORKDAY.INTL(Tasks[[#This Row],[_LeafCalcStart]],Tasks[[#This Row],[_AlapShift]],WorkWeek,Holidays)))</f>
        <v/>
      </c>
      <c r="DH154" s="115" t="str">
        <f aca="false">IF(NOT(Tasks[[#This Row],[_IsLeaf]]=1),"",IF(Tasks[[#This Row],[_AlapShift]]=0,Tasks[[#This Row],[_LeafCalcFinish]],WORKDAY.INTL(Tasks[[#This Row],[_LeafCalcFinish]],Tasks[[#This Row],[_AlapShift]],WorkWeek,Holidays)))</f>
        <v/>
      </c>
      <c r="DI154" s="115" t="str">
        <f aca="false">IF(NOT(Tasks[[#This Row],[_IsLeaf]]=1),"",IF(Tasks[[#This Row],[_AlapShift]]=0,Tasks[[#This Row],[_LeafFcstStart]],WORKDAY.INTL(Tasks[[#This Row],[_LeafFcstStart]],Tasks[[#This Row],[_AlapShift]],WorkWeek,Holidays)))</f>
        <v/>
      </c>
      <c r="DJ154" s="115" t="str">
        <f aca="false">IF(NOT(Tasks[[#This Row],[_IsLeaf]]=1),"",IF(Tasks[[#This Row],[_AlapShift]]=0,Tasks[[#This Row],[_LeafFcstFinish]],WORKDAY.INTL(Tasks[[#This Row],[_LeafFcstFinish]],Tasks[[#This Row],[_AlapShift]],WorkWeek,Holidays)))</f>
        <v/>
      </c>
      <c r="DK154" s="115" t="str">
        <f aca="false">IF(Tasks[[#This Row],[Task Name]]="","",IF(Tasks[[#This Row],[_IsSummary]],MIN(INDEX(Tasks[_ShownCalcStart],Tasks[[#This Row],[_Row]]+1):INDEX(Tasks[_ShownCalcStart],Tasks[[#This Row],[_Row]]+Tasks[[#This Row],[_Descendants]])),Tasks[[#This Row],[_ShownCalcStart]]))</f>
        <v/>
      </c>
      <c r="DL154" s="115" t="str">
        <f aca="false">IF(Tasks[[#This Row],[Task Name]]="","",IF(Tasks[[#This Row],[_IsSummary]],MAX(INDEX(Tasks[_ShownCalcFinish],Tasks[[#This Row],[_Row]]+1):INDEX(Tasks[_ShownCalcFinish],Tasks[[#This Row],[_Row]]+Tasks[[#This Row],[_Descendants]])),Tasks[[#This Row],[_ShownCalcFinish]]))</f>
        <v/>
      </c>
      <c r="DM15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4" s="32" t="n">
        <f aca="false">IF(AND(Tasks[[#This Row],[_IsLeaf]]=1,Tasks[[#This Row],[_LeafTotalWork]]&gt;0),NETWORKDAYS.INTL(ProjectStart,Tasks[[#This Row],[_ShownFcstStart]],WorkWeek,Holidays),0)</f>
        <v>0</v>
      </c>
      <c r="DZ154" s="32" t="n">
        <f aca="false">IF(AND(Tasks[[#This Row],[_IsLeaf]]=1,Tasks[[#This Row],[_LeafTotalWork]]&gt;0),MAX(Tasks[[#This Row],[_StartWorkday]],NETWORKDAYS.INTL(ProjectStart,Tasks[[#This Row],[_ShownFcstFinish]],WorkWeek,Holidays)),0)</f>
        <v>0</v>
      </c>
      <c r="EA154" s="32" t="n">
        <f aca="false">IF(AND(Tasks[[#This Row],[_IsLeaf]]=1,Tasks[[#This Row],[_LeafTotalWork]]&gt;0),Tasks[[#This Row],[_LeafWork]]/(Tasks[[#This Row],[_FinishWorkday]]-Tasks[[#This Row],[_StartWorkday]]+1),0)</f>
        <v>0</v>
      </c>
      <c r="EB154" s="32" t="n">
        <f aca="false">Tasks[[#This Row],[_WorkPerWorkday]]*(Tasks[[#This Row],[_StartWorkday]]-1)</f>
        <v>-0</v>
      </c>
      <c r="EC154" s="32" t="n">
        <f aca="false">IF(Tasks[[#This Row],[_IsLeaf]]=1,MAX(N(Tasks[[#This Row],[Duration]]),0.1),0)</f>
        <v>0</v>
      </c>
      <c r="ED154" s="32" t="n">
        <f aca="false">Tasks[[#This Row],[_WeightDur]]*Tasks[[#This Row],[_LeafProgress]]</f>
        <v>0</v>
      </c>
      <c r="EE15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4" s="32" t="str">
        <f aca="false">IF(AND(Tasks[[#This Row],[_IsLeaf]]=1,N(Tasks[[#This Row],[Duration]])=0,Tasks[[#This Row],[_LeafProgress]]&lt;1),Tasks[[#This Row],[_ShownFcstFinish]]+Tasks[[#This Row],[_Row]]/100000,"")</f>
        <v/>
      </c>
      <c r="EG15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4" s="32" t="n">
        <f aca="false">IF(NOT(Tasks[[#This Row],[_IsLeaf]]=1),0,IF(Tasks[[#This Row],[Baseline Cost]]="",Tasks[[#This Row],[_LeafTotalCost]],N(Tasks[[#This Row],[Baseline Cost]])))</f>
        <v>0</v>
      </c>
      <c r="EI154" s="32" t="n">
        <f aca="false">Tasks[[#This Row],[_LeafBudget]]*Tasks[[#This Row],[_PlannedPct]]</f>
        <v>0</v>
      </c>
      <c r="EJ154" s="32" t="n">
        <f aca="false">Tasks[[#This Row],[_LeafBudget]]*Tasks[[#This Row],[_LeafProgress]]</f>
        <v>0</v>
      </c>
      <c r="EK154" s="32" t="n">
        <f aca="false">IF(NOT(Tasks[[#This Row],[_IsLeaf]]=1),0,IF(Tasks[[#This Row],[Actual Cost]]="",Tasks[[#This Row],[_LeafTotalCost]]*Tasks[[#This Row],[_LeafProgress]],N(Tasks[[#This Row],[Actual Cost]])))</f>
        <v>0</v>
      </c>
      <c r="EL154" s="32" t="str">
        <f aca="false">IF(Tasks[[#This Row],[Task Name]]="","",LEFT(Tasks[[#This Row],[WBS]],FIND(".",Tasks[[#This Row],[WBS]]&amp;".")-1))</f>
        <v/>
      </c>
      <c r="EM154" s="32" t="str">
        <f aca="false">IF(AND(Tasks[[#This Row],[Task Name]]&lt;&gt;"",Tasks[[#This Row],[_Level]]=1),Tasks[[#This Row],[_Row]],"")</f>
        <v/>
      </c>
      <c r="EN154" s="32" t="str">
        <f aca="false">IF(AND(Tasks[[#This Row],[_IsLeaf]]=1,N(Tasks[[#This Row],[Duration]])=0),Tasks[[#This Row],[Planned Finish]]+Tasks[[#This Row],[_Row]]/100000,"")</f>
        <v/>
      </c>
      <c r="EO154" s="32" t="str">
        <f aca="false">IF(AND(Tasks[[#This Row],[_IsLeaf]]=1,Tasks[[#This Row],[_LeafProgress]]&lt;1,OR(N(Tasks[[#This Row],[Finish Var]])&gt;0,Tasks[[#This Row],[Status]]="Late Start")),MAX(0,Tasks[[#This Row],[Finish Var]])+1-Tasks[[#This Row],[_Row]]/1000000,"")</f>
        <v/>
      </c>
      <c r="EP154" s="32" t="str">
        <f aca="false">IF(AND(Tasks[[#This Row],[_IsLeaf]]=1,N(Tasks[[#This Row],[Actual Start]])=0,Tasks[[#This Row],[_ShownFcstStart]]&gt;=StatusDate,Tasks[[#This Row],[_ShownFcstStart]]&lt;=LookaheadEnd),Tasks[[#This Row],[_ShownFcstStart]]+Tasks[[#This Row],[_Row]]/100000,"")</f>
        <v/>
      </c>
      <c r="EQ154" s="32" t="str">
        <f aca="false">IF(AND(Tasks[[#This Row],[_IsLeaf]]=1,Tasks[[#This Row],[_LeafProgress]]&lt;1,Tasks[[#This Row],[_ShownFcstFinish]]&gt;=StatusDate,Tasks[[#This Row],[_ShownFcstFinish]]&lt;=LookaheadEnd),Tasks[[#This Row],[_ShownFcstFinish]]+Tasks[[#This Row],[_Row]]/100000,"")</f>
        <v/>
      </c>
      <c r="ER154" s="32" t="str">
        <f aca="false">IF(Tasks[[#This Row],[_LeafCritical]],Tasks[[#This Row],[_ShownFcstStart]]+Tasks[[#This Row],[_Row]]/100000,"")</f>
        <v/>
      </c>
      <c r="ES154" s="32" t="n">
        <f aca="false">Tasks[[#This Row],[_LeafWork]]*Tasks[[#This Row],[_LeafProgress]]</f>
        <v>0</v>
      </c>
      <c r="ET154" s="115" t="str">
        <f aca="false">IF(AND(Tasks[[#This Row],[_IsLeaf]]=1,Tasks[[#This Row],[_LeafProgress]]&gt;=1),IF(N(Tasks[[#This Row],[Actual Finish]])&gt;0,Tasks[[#This Row],[Actual Finish]],Tasks[[#This Row],[_ShownFcstFinish]]),"")</f>
        <v/>
      </c>
      <c r="EU154" s="32" t="n">
        <f aca="false">IF(Tasks[[#This Row],[_IsLeaf]]=1,N(Tasks[[#This Row],[Story Points]]),0)</f>
        <v>0</v>
      </c>
      <c r="EV154" s="32" t="str">
        <f aca="false">IF(AND(Tasks[[#This Row],[_IsLeaf]]=1,CurrentSprint&lt;&gt;"",Tasks[[#This Row],[Sprint]]=CurrentSprint),Tasks[[#This Row],[_Row]],"")</f>
        <v/>
      </c>
    </row>
    <row r="155" customFormat="false" ht="15" hidden="false" customHeight="false" outlineLevel="0" collapsed="false">
      <c r="A155" s="45" t="str">
        <f aca="false">IF(Tasks[[#This Row],[Task Name]]="","",COUNTA(Tasks[[#Headers],[Task Name]]:Tasks[[#This Row],[Task Name]])-1)</f>
        <v/>
      </c>
      <c r="B155" s="46" t="n">
        <v>150</v>
      </c>
      <c r="C15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5" s="46"/>
      <c r="E155" s="45" t="str">
        <f aca="false">IF(Tasks[[#This Row],[Task Name]]="","",IF(Tasks[[#This Row],[_Level]]&lt;=OutlineShowLevel,"Yes","No"))</f>
        <v/>
      </c>
      <c r="F155" s="47"/>
      <c r="G155" s="46"/>
      <c r="H155" s="46"/>
      <c r="I155" s="46"/>
      <c r="J155" s="46"/>
      <c r="K155" s="46"/>
      <c r="L155" s="46"/>
      <c r="M155" s="46"/>
      <c r="N155" s="46"/>
      <c r="O155" s="46"/>
      <c r="P155" s="46"/>
      <c r="Q155" s="46"/>
      <c r="R155" s="46"/>
      <c r="S155" s="46"/>
      <c r="T155" s="46"/>
      <c r="U155" s="47"/>
      <c r="V155" s="88"/>
      <c r="W155" s="88"/>
      <c r="X155" s="25" t="str">
        <f aca="false">IF(Tasks[[#This Row],[Task Name]]="","",IF(N(Tasks[[#This Row],[Baseline Start]])&gt;0,Tasks[[#This Row],[Baseline Start]],Tasks[[#This Row],[_CalcStart]]))</f>
        <v/>
      </c>
      <c r="Y155" s="25" t="str">
        <f aca="false">IF(Tasks[[#This Row],[Task Name]]="","",IF(N(Tasks[[#This Row],[Baseline Finish]])&gt;0,Tasks[[#This Row],[Baseline Finish]],Tasks[[#This Row],[_CalcFinish]]))</f>
        <v/>
      </c>
      <c r="Z155" s="88"/>
      <c r="AA155" s="88"/>
      <c r="AB155" s="25" t="str">
        <f aca="false">IF(Tasks[[#This Row],[Task Name]]="","",IF(Tasks[[#This Row],[_IsSummary]],MIN(INDEX(Tasks[_ShownFcstStart],Tasks[[#This Row],[_Row]]+1):INDEX(Tasks[_ShownFcstStart],Tasks[[#This Row],[_Row]]+Tasks[[#This Row],[_Descendants]])),Tasks[[#This Row],[_ShownFcstStart]]))</f>
        <v/>
      </c>
      <c r="AC155" s="25" t="str">
        <f aca="false">IF(Tasks[[#This Row],[Task Name]]="","",IF(Tasks[[#This Row],[_IsSummary]],MAX(INDEX(Tasks[_ShownFcstFinish],Tasks[[#This Row],[_Row]]+1):INDEX(Tasks[_ShownFcstFinish],Tasks[[#This Row],[_Row]]+Tasks[[#This Row],[_Descendants]])),Tasks[[#This Row],[_ShownFcstFinish]]))</f>
        <v/>
      </c>
      <c r="AD15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5" s="25" t="str">
        <f aca="false">IF(Tasks[[#This Row],[Task Name]]="","",IF(Tasks[[#This Row],[_IsSummary]],MIN(INDEX(Tasks[_LeafLateStart],Tasks[[#This Row],[_Row]]+1):INDEX(Tasks[_LeafLateStart],Tasks[[#This Row],[_Row]]+Tasks[[#This Row],[_Descendants]])),Tasks[[#This Row],[_LeafLateStart]]))</f>
        <v/>
      </c>
      <c r="AG155" s="25" t="str">
        <f aca="false">IF(Tasks[[#This Row],[Task Name]]="","",IF(Tasks[[#This Row],[_IsSummary]],MAX(INDEX(Tasks[_LeafLateFinish],Tasks[[#This Row],[_Row]]+1):INDEX(Tasks[_LeafLateFinish],Tasks[[#This Row],[_Row]]+Tasks[[#This Row],[_Descendants]])),Tasks[[#This Row],[_LeafLateFinish]]))</f>
        <v/>
      </c>
      <c r="AH155" s="56" t="str">
        <f aca="false">IF(Tasks[[#This Row],[Task Name]]="","",IF(Tasks[[#This Row],[_IsSummary]],MIN(INDEX(Tasks[_LeafTotalSlack],Tasks[[#This Row],[_Row]]+1):INDEX(Tasks[_LeafTotalSlack],Tasks[[#This Row],[_Row]]+Tasks[[#This Row],[_Descendants]])),Tasks[[#This Row],[_LeafTotalSlack]]))</f>
        <v/>
      </c>
      <c r="AI15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5" s="45" t="str">
        <f aca="false">IF(Tasks[[#This Row],[Task Name]]="","",IF(IF(Tasks[[#This Row],[_IsSummary]],COUNTIF(INDEX(Tasks[_LeafCritical],Tasks[[#This Row],[_Row]]+1):INDEX(Tasks[_LeafCritical],Tasks[[#This Row],[_Row]]+Tasks[[#This Row],[_Descendants]]),TRUE())&gt;0,Tasks[[#This Row],[_LeafCritical]]),"Yes",""))</f>
        <v/>
      </c>
      <c r="AK15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5" s="102"/>
      <c r="AN15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5" s="45" t="str">
        <f aca="false">IF(Tasks[[#This Row],[Task Name]]="","",IF(Tasks[[#This Row],[Progress]]&gt;=1,"Complete",IF(OR(N(Tasks[[#This Row],[Actual Start]])&gt;0,Tasks[[#This Row],[Progress]]&gt;0),IF(Tasks[[#This Row],[Finish Var]]&gt;0,"Behind","In Progress"),IF(Tasks[[#This Row],[Planned Start]]&lt;StatusDate,"Late Start","Not Started"))))</f>
        <v/>
      </c>
      <c r="AP155" s="47"/>
      <c r="AQ155" s="102"/>
      <c r="AR15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5" s="110" t="str">
        <f aca="false">IF(Tasks[[#This Row],[Task Name]]="","",IF(Tasks[[#This Row],[_IsSummary]],SUM(INDEX(Tasks[_LeafTotalWork],Tasks[[#This Row],[_Row]]+1):INDEX(Tasks[_LeafTotalWork],Tasks[[#This Row],[_Row]]+Tasks[[#This Row],[_Descendants]])),Tasks[[#This Row],[_LeafTotalWork]]))</f>
        <v/>
      </c>
      <c r="AU155" s="111" t="str">
        <f aca="false">IF(Tasks[[#This Row],[Task Name]]="","",IF(Tasks[[#This Row],[_IsSummary]],SUM(INDEX(Tasks[_LeafTotalCost],Tasks[[#This Row],[_Row]]+1):INDEX(Tasks[_LeafTotalCost],Tasks[[#This Row],[_Row]]+Tasks[[#This Row],[_Descendants]])),Tasks[[#This Row],[_LeafTotalCost]]))</f>
        <v/>
      </c>
      <c r="AV155" s="112"/>
      <c r="AW155" s="46"/>
      <c r="AX15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5" s="96"/>
      <c r="AZ15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5" s="47"/>
      <c r="BB155" s="25" t="str">
        <f aca="false">IF(Tasks[[#This Row],[Task Name]]="","",Tasks[[#This Row],[Forecast Start]])</f>
        <v/>
      </c>
      <c r="BC155" s="25" t="str">
        <f aca="false">IF(Tasks[[#This Row],[Task Name]]="","",Tasks[[#This Row],[Forecast Finish]])</f>
        <v/>
      </c>
      <c r="BD155" s="45" t="str">
        <f aca="false">IF(Tasks[[#This Row],[Task Name]]="","",IF(Tasks[[#This Row],[_IsSummary]],NETWORKDAYS.INTL(Tasks[[#This Row],[Forecast Start]],Tasks[[#This Row],[Forecast Finish]],WorkWeek,Holidays),N(Tasks[[#This Row],[Duration]])))</f>
        <v/>
      </c>
      <c r="BE155" s="110" t="str">
        <f aca="false">IF(Tasks[[#This Row],[Task Name]]="","",Tasks[[#This Row],[Work]])</f>
        <v/>
      </c>
      <c r="BF155" s="111" t="str">
        <f aca="false">IF(Tasks[[#This Row],[Task Name]]="","",Tasks[[#This Row],[Cost]])</f>
        <v/>
      </c>
      <c r="BG155" s="88"/>
      <c r="BH155" s="88"/>
      <c r="BI155" s="46"/>
      <c r="BJ155" s="113"/>
      <c r="BK155" s="112"/>
      <c r="BL155" s="45" t="str">
        <f aca="false">IF(OR(Tasks[[#This Row],[Task Name]]="",Tasks[[#This Row],[Baseline Duration]]=""),"",Tasks[[#This Row],[BL Source Duration]]-N(Tasks[[#This Row],[Baseline Duration]]))</f>
        <v/>
      </c>
      <c r="BM155" s="110" t="str">
        <f aca="false">IF(OR(Tasks[[#This Row],[Task Name]]="",Tasks[[#This Row],[Baseline Work]]=""),"",Tasks[[#This Row],[Work]]-N(Tasks[[#This Row],[Baseline Work]]))</f>
        <v/>
      </c>
      <c r="BN155" s="111" t="str">
        <f aca="false">IF(OR(Tasks[[#This Row],[Task Name]]="",Tasks[[#This Row],[Baseline Cost]]=""),"",Tasks[[#This Row],[Cost]]-N(Tasks[[#This Row],[Baseline Cost]]))</f>
        <v/>
      </c>
      <c r="BO155" s="111" t="str">
        <f aca="false">IF(Tasks[[#This Row],[Task Name]]="","",IF(Tasks[[#This Row],[_IsSummary]],SUM(INDEX(Tasks[_LeafBudget],Tasks[[#This Row],[_Row]]+1):INDEX(Tasks[_LeafBudget],Tasks[[#This Row],[_Row]]+Tasks[[#This Row],[_Descendants]])),Tasks[[#This Row],[_LeafBudget]]))</f>
        <v/>
      </c>
      <c r="BP155" s="111" t="str">
        <f aca="false">IF(Tasks[[#This Row],[Task Name]]="","",IF(Tasks[[#This Row],[_IsSummary]],SUM(INDEX(Tasks[_LeafPV],Tasks[[#This Row],[_Row]]+1):INDEX(Tasks[_LeafPV],Tasks[[#This Row],[_Row]]+Tasks[[#This Row],[_Descendants]])),Tasks[[#This Row],[_LeafPV]]))</f>
        <v/>
      </c>
      <c r="BQ155" s="111" t="str">
        <f aca="false">IF(Tasks[[#This Row],[Task Name]]="","",IF(Tasks[[#This Row],[_IsSummary]],SUM(INDEX(Tasks[_LeafEV],Tasks[[#This Row],[_Row]]+1):INDEX(Tasks[_LeafEV],Tasks[[#This Row],[_Row]]+Tasks[[#This Row],[_Descendants]])),Tasks[[#This Row],[_LeafEV]]))</f>
        <v/>
      </c>
      <c r="BR155" s="111" t="str">
        <f aca="false">IF(Tasks[[#This Row],[Task Name]]="","",IF(Tasks[[#This Row],[_IsSummary]],SUM(INDEX(Tasks[_LeafAC],Tasks[[#This Row],[_Row]]+1):INDEX(Tasks[_LeafAC],Tasks[[#This Row],[_Row]]+Tasks[[#This Row],[_Descendants]])),Tasks[[#This Row],[_LeafAC]]))</f>
        <v/>
      </c>
      <c r="BS155" s="32" t="str">
        <f aca="false">IF(Tasks[[#This Row],[Task Name]]="","",MAX(1,N(Tasks[[#This Row],[Level]])))</f>
        <v/>
      </c>
      <c r="BT155" s="32" t="n">
        <f aca="false">ROW()-ROW(Tasks[[#Headers],[ID]])</f>
        <v>150</v>
      </c>
      <c r="BU155" s="32" t="n">
        <f aca="false">IF(OR(Tasks[[#This Row],[Task Name]]="",Tasks[[#This Row],[_Level]]&lt;=1),0,IFERROR(LOOKUP(2,1/(Tasks[[#Headers],[_Level]]:Tasks[[#This Row],[_Level]]=Tasks[[#This Row],[_Level]]-1),ROW(Tasks[[#Headers],[_Level]]:Tasks[[#This Row],[_Level]])),0))</f>
        <v>0</v>
      </c>
      <c r="BV155" s="32" t="n">
        <f aca="false">IFERROR(N(INDEX(Tasks[_Level],Tasks[[#This Row],[_Row]]+1)),0)</f>
        <v>0</v>
      </c>
      <c r="BW155" s="114" t="b">
        <f aca="false">AND(Tasks[[#This Row],[Task Name]]&lt;&gt;"",Tasks[[#This Row],[_NextLevel]]&gt;Tasks[[#This Row],[_Level]])</f>
        <v>0</v>
      </c>
      <c r="BX155" s="32" t="n">
        <f aca="false">IF(Tasks[[#This Row],[_IsSummary]],COUNTIF(Tasks[WBS],Tasks[[#This Row],[WBS]]&amp;".*"),0)</f>
        <v>0</v>
      </c>
      <c r="BY155" s="32" t="n">
        <f aca="false">IF(AND(Tasks[[#This Row],[Task Name]]&lt;&gt;"",NOT(Tasks[[#This Row],[_IsSummary]])),1,0)</f>
        <v>0</v>
      </c>
      <c r="BZ155" s="32" t="n">
        <f aca="false">IF(N(Tasks[[#This Row],[Pred1 UID]])=0,0,IFERROR(MATCH(Tasks[[#This Row],[Pred1 UID]],Tasks[UID],0),-1))</f>
        <v>0</v>
      </c>
      <c r="CA155" s="32" t="n">
        <f aca="false">IF(N(Tasks[[#This Row],[Pred2 UID]])=0,0,IFERROR(MATCH(Tasks[[#This Row],[Pred2 UID]],Tasks[UID],0),-1))</f>
        <v>0</v>
      </c>
      <c r="CB155" s="32" t="n">
        <f aca="false">IF(N(Tasks[[#This Row],[Pred3 UID]])=0,0,IFERROR(MATCH(Tasks[[#This Row],[Pred3 UID]],Tasks[UID],0),-1))</f>
        <v>0</v>
      </c>
      <c r="CC155" s="32" t="n">
        <f aca="false">IF(N(Tasks[[#This Row],[Pred4 UID]])=0,0,IFERROR(MATCH(Tasks[[#This Row],[Pred4 UID]],Tasks[UID],0),-1))</f>
        <v>0</v>
      </c>
      <c r="CD15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5" s="115" t="n">
        <f aca="false">IF(OR(Tasks[[#This Row],[_ConstraintCode]]=2,Tasks[[#This Row],[_ConstraintCode]]=3,Tasks[[#This Row],[_ConstraintCode]]=4,Tasks[[#This Row],[_ConstraintCode]]=6),Tasks[[#This Row],[_ConstraintStart]],0)</f>
        <v>0</v>
      </c>
      <c r="CG155" s="115" t="n">
        <f aca="false">IF(OR(Tasks[[#This Row],[_ConstraintCode]]=2,Tasks[[#This Row],[_ConstraintCode]]=3,Tasks[[#This Row],[_ConstraintCode]]=5,Tasks[[#This Row],[_ConstraintCode]]=7),Tasks[[#This Row],[_ConstraintStart]],2958465)</f>
        <v>2958465</v>
      </c>
      <c r="CH15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5" s="115" t="str">
        <f aca="false">IF(NOT(Tasks[[#This Row],[_IsLeaf]]=1),"",IF(N(Tasks[[#This Row],[Duration]])&lt;=0,Tasks[[#This Row],[_LeafCalcStart]],WORKDAY.INTL(Tasks[[#This Row],[_LeafCalcStart]],Tasks[[#This Row],[Duration]]-1,WorkWeek,Holidays)))</f>
        <v/>
      </c>
      <c r="CJ15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5" s="32" t="n">
        <f aca="false">IF(NOT(Tasks[[#This Row],[_IsLeaf]]=1),0,IF(N(Tasks[[#This Row],[Actual Finish]])&gt;0,1,MIN(1,N(Tasks[[#This Row],[% Complete]]))))</f>
        <v>0</v>
      </c>
      <c r="CM155" s="32" t="n">
        <f aca="false">IF(OR(NOT(Tasks[[#This Row],[_IsLeaf]]=1),Tasks[[#This Row],[Resource]]=""),0,N(Tasks[[#This Row],[Duration]])*HoursPerDay*IF(Tasks[[#This Row],[Units]]="",DefaultUnits,Tasks[[#This Row],[Units]]))</f>
        <v>0</v>
      </c>
      <c r="CN155" s="32" t="n">
        <f aca="false">IF(Tasks[[#This Row],[_LeafWork]]=0,0,Tasks[[#This Row],[_LeafWork]]*IFERROR(INDEX(res_Rate,MATCH(Tasks[[#This Row],[Resource]],res_Name,0)),0))</f>
        <v>0</v>
      </c>
      <c r="CO155" s="32" t="n">
        <f aca="false">Tasks[[#This Row],[_LeafWork]]+IF(Tasks[[#This Row],[_IsLeaf]]=1,SUMIFS(asg_Work,asg_TaskUID,Tasks[[#This Row],[UID]],asg_Valid,1),0)</f>
        <v>0</v>
      </c>
      <c r="CP155" s="32" t="n">
        <f aca="false">Tasks[[#This Row],[_LeafCost]]+IF(Tasks[[#This Row],[_IsLeaf]]=1,SUMIFS(asg_Cost,asg_TaskUID,Tasks[[#This Row],[UID]],asg_Valid,1),0)</f>
        <v>0</v>
      </c>
      <c r="CQ155" s="32" t="n">
        <f aca="false">IF(Tasks[[#This Row],[_LeafTotalCost]]=0,Tasks[[#This Row],[_LeafAC]],Tasks[[#This Row],[_LeafAC]]*Tasks[[#This Row],[_LeafCost]]/Tasks[[#This Row],[_LeafTotalCost]])</f>
        <v>0</v>
      </c>
      <c r="CR15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5" s="32" t="n">
        <f aca="false">IF(NOT(Tasks[[#This Row],[_IsLeaf]]=1),0,MAX(_xlfn.MAXIFS(Tasks[_Row],Tasks[Pred1 UID],Tasks[[#This Row],[UID]]),_xlfn.MAXIFS(Tasks[_Row],Tasks[Pred2 UID],Tasks[[#This Row],[UID]]),_xlfn.MAXIFS(Tasks[_Row],Tasks[Pred3 UID],Tasks[[#This Row],[UID]]),_xlfn.MAXIFS(Tasks[_Row],Tasks[Pred4 UID],Tasks[[#This Row],[UID]])))</f>
        <v>0</v>
      </c>
      <c r="DA15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5" s="115" t="str">
        <f aca="false">IF(NOT(Tasks[[#This Row],[_IsLeaf]]=1),"",IF(N(Tasks[[#This Row],[Duration]])&lt;=0,Tasks[[#This Row],[_LeafLateFinish]],WORKDAY.INTL(Tasks[[#This Row],[_LeafLateFinish]],-(Tasks[[#This Row],[Duration]]-1),WorkWeek,Holidays)))</f>
        <v/>
      </c>
      <c r="DD15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5" s="114" t="b">
        <f aca="false">AND(Tasks[[#This Row],[_IsLeaf]]=1,Tasks[[#This Row],[_LeafProgress]]&lt;1,N(Tasks[[#This Row],[_LeafTotalSlack]])&lt;=CriticalSlackDays)</f>
        <v>0</v>
      </c>
      <c r="DF155" s="32" t="n">
        <f aca="false">IF(AND(Tasks[[#This Row],[_IsLeaf]]=1,Tasks[[#This Row],[_ConstraintCode]]=1,Tasks[[#This Row],[Mode]]&lt;&gt;"Manual",N(Tasks[[#This Row],[Actual Start]])=0),MAX(0,N(Tasks[[#This Row],[Free Slack]])),0)</f>
        <v>0</v>
      </c>
      <c r="DG155" s="115" t="str">
        <f aca="false">IF(NOT(Tasks[[#This Row],[_IsLeaf]]=1),"",IF(Tasks[[#This Row],[_AlapShift]]=0,Tasks[[#This Row],[_LeafCalcStart]],WORKDAY.INTL(Tasks[[#This Row],[_LeafCalcStart]],Tasks[[#This Row],[_AlapShift]],WorkWeek,Holidays)))</f>
        <v/>
      </c>
      <c r="DH155" s="115" t="str">
        <f aca="false">IF(NOT(Tasks[[#This Row],[_IsLeaf]]=1),"",IF(Tasks[[#This Row],[_AlapShift]]=0,Tasks[[#This Row],[_LeafCalcFinish]],WORKDAY.INTL(Tasks[[#This Row],[_LeafCalcFinish]],Tasks[[#This Row],[_AlapShift]],WorkWeek,Holidays)))</f>
        <v/>
      </c>
      <c r="DI155" s="115" t="str">
        <f aca="false">IF(NOT(Tasks[[#This Row],[_IsLeaf]]=1),"",IF(Tasks[[#This Row],[_AlapShift]]=0,Tasks[[#This Row],[_LeafFcstStart]],WORKDAY.INTL(Tasks[[#This Row],[_LeafFcstStart]],Tasks[[#This Row],[_AlapShift]],WorkWeek,Holidays)))</f>
        <v/>
      </c>
      <c r="DJ155" s="115" t="str">
        <f aca="false">IF(NOT(Tasks[[#This Row],[_IsLeaf]]=1),"",IF(Tasks[[#This Row],[_AlapShift]]=0,Tasks[[#This Row],[_LeafFcstFinish]],WORKDAY.INTL(Tasks[[#This Row],[_LeafFcstFinish]],Tasks[[#This Row],[_AlapShift]],WorkWeek,Holidays)))</f>
        <v/>
      </c>
      <c r="DK155" s="115" t="str">
        <f aca="false">IF(Tasks[[#This Row],[Task Name]]="","",IF(Tasks[[#This Row],[_IsSummary]],MIN(INDEX(Tasks[_ShownCalcStart],Tasks[[#This Row],[_Row]]+1):INDEX(Tasks[_ShownCalcStart],Tasks[[#This Row],[_Row]]+Tasks[[#This Row],[_Descendants]])),Tasks[[#This Row],[_ShownCalcStart]]))</f>
        <v/>
      </c>
      <c r="DL155" s="115" t="str">
        <f aca="false">IF(Tasks[[#This Row],[Task Name]]="","",IF(Tasks[[#This Row],[_IsSummary]],MAX(INDEX(Tasks[_ShownCalcFinish],Tasks[[#This Row],[_Row]]+1):INDEX(Tasks[_ShownCalcFinish],Tasks[[#This Row],[_Row]]+Tasks[[#This Row],[_Descendants]])),Tasks[[#This Row],[_ShownCalcFinish]]))</f>
        <v/>
      </c>
      <c r="DM15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5" s="32" t="n">
        <f aca="false">IF(AND(Tasks[[#This Row],[_IsLeaf]]=1,Tasks[[#This Row],[_LeafTotalWork]]&gt;0),NETWORKDAYS.INTL(ProjectStart,Tasks[[#This Row],[_ShownFcstStart]],WorkWeek,Holidays),0)</f>
        <v>0</v>
      </c>
      <c r="DZ155" s="32" t="n">
        <f aca="false">IF(AND(Tasks[[#This Row],[_IsLeaf]]=1,Tasks[[#This Row],[_LeafTotalWork]]&gt;0),MAX(Tasks[[#This Row],[_StartWorkday]],NETWORKDAYS.INTL(ProjectStart,Tasks[[#This Row],[_ShownFcstFinish]],WorkWeek,Holidays)),0)</f>
        <v>0</v>
      </c>
      <c r="EA155" s="32" t="n">
        <f aca="false">IF(AND(Tasks[[#This Row],[_IsLeaf]]=1,Tasks[[#This Row],[_LeafTotalWork]]&gt;0),Tasks[[#This Row],[_LeafWork]]/(Tasks[[#This Row],[_FinishWorkday]]-Tasks[[#This Row],[_StartWorkday]]+1),0)</f>
        <v>0</v>
      </c>
      <c r="EB155" s="32" t="n">
        <f aca="false">Tasks[[#This Row],[_WorkPerWorkday]]*(Tasks[[#This Row],[_StartWorkday]]-1)</f>
        <v>-0</v>
      </c>
      <c r="EC155" s="32" t="n">
        <f aca="false">IF(Tasks[[#This Row],[_IsLeaf]]=1,MAX(N(Tasks[[#This Row],[Duration]]),0.1),0)</f>
        <v>0</v>
      </c>
      <c r="ED155" s="32" t="n">
        <f aca="false">Tasks[[#This Row],[_WeightDur]]*Tasks[[#This Row],[_LeafProgress]]</f>
        <v>0</v>
      </c>
      <c r="EE15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5" s="32" t="str">
        <f aca="false">IF(AND(Tasks[[#This Row],[_IsLeaf]]=1,N(Tasks[[#This Row],[Duration]])=0,Tasks[[#This Row],[_LeafProgress]]&lt;1),Tasks[[#This Row],[_ShownFcstFinish]]+Tasks[[#This Row],[_Row]]/100000,"")</f>
        <v/>
      </c>
      <c r="EG15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5" s="32" t="n">
        <f aca="false">IF(NOT(Tasks[[#This Row],[_IsLeaf]]=1),0,IF(Tasks[[#This Row],[Baseline Cost]]="",Tasks[[#This Row],[_LeafTotalCost]],N(Tasks[[#This Row],[Baseline Cost]])))</f>
        <v>0</v>
      </c>
      <c r="EI155" s="32" t="n">
        <f aca="false">Tasks[[#This Row],[_LeafBudget]]*Tasks[[#This Row],[_PlannedPct]]</f>
        <v>0</v>
      </c>
      <c r="EJ155" s="32" t="n">
        <f aca="false">Tasks[[#This Row],[_LeafBudget]]*Tasks[[#This Row],[_LeafProgress]]</f>
        <v>0</v>
      </c>
      <c r="EK155" s="32" t="n">
        <f aca="false">IF(NOT(Tasks[[#This Row],[_IsLeaf]]=1),0,IF(Tasks[[#This Row],[Actual Cost]]="",Tasks[[#This Row],[_LeafTotalCost]]*Tasks[[#This Row],[_LeafProgress]],N(Tasks[[#This Row],[Actual Cost]])))</f>
        <v>0</v>
      </c>
      <c r="EL155" s="32" t="str">
        <f aca="false">IF(Tasks[[#This Row],[Task Name]]="","",LEFT(Tasks[[#This Row],[WBS]],FIND(".",Tasks[[#This Row],[WBS]]&amp;".")-1))</f>
        <v/>
      </c>
      <c r="EM155" s="32" t="str">
        <f aca="false">IF(AND(Tasks[[#This Row],[Task Name]]&lt;&gt;"",Tasks[[#This Row],[_Level]]=1),Tasks[[#This Row],[_Row]],"")</f>
        <v/>
      </c>
      <c r="EN155" s="32" t="str">
        <f aca="false">IF(AND(Tasks[[#This Row],[_IsLeaf]]=1,N(Tasks[[#This Row],[Duration]])=0),Tasks[[#This Row],[Planned Finish]]+Tasks[[#This Row],[_Row]]/100000,"")</f>
        <v/>
      </c>
      <c r="EO155" s="32" t="str">
        <f aca="false">IF(AND(Tasks[[#This Row],[_IsLeaf]]=1,Tasks[[#This Row],[_LeafProgress]]&lt;1,OR(N(Tasks[[#This Row],[Finish Var]])&gt;0,Tasks[[#This Row],[Status]]="Late Start")),MAX(0,Tasks[[#This Row],[Finish Var]])+1-Tasks[[#This Row],[_Row]]/1000000,"")</f>
        <v/>
      </c>
      <c r="EP155" s="32" t="str">
        <f aca="false">IF(AND(Tasks[[#This Row],[_IsLeaf]]=1,N(Tasks[[#This Row],[Actual Start]])=0,Tasks[[#This Row],[_ShownFcstStart]]&gt;=StatusDate,Tasks[[#This Row],[_ShownFcstStart]]&lt;=LookaheadEnd),Tasks[[#This Row],[_ShownFcstStart]]+Tasks[[#This Row],[_Row]]/100000,"")</f>
        <v/>
      </c>
      <c r="EQ155" s="32" t="str">
        <f aca="false">IF(AND(Tasks[[#This Row],[_IsLeaf]]=1,Tasks[[#This Row],[_LeafProgress]]&lt;1,Tasks[[#This Row],[_ShownFcstFinish]]&gt;=StatusDate,Tasks[[#This Row],[_ShownFcstFinish]]&lt;=LookaheadEnd),Tasks[[#This Row],[_ShownFcstFinish]]+Tasks[[#This Row],[_Row]]/100000,"")</f>
        <v/>
      </c>
      <c r="ER155" s="32" t="str">
        <f aca="false">IF(Tasks[[#This Row],[_LeafCritical]],Tasks[[#This Row],[_ShownFcstStart]]+Tasks[[#This Row],[_Row]]/100000,"")</f>
        <v/>
      </c>
      <c r="ES155" s="32" t="n">
        <f aca="false">Tasks[[#This Row],[_LeafWork]]*Tasks[[#This Row],[_LeafProgress]]</f>
        <v>0</v>
      </c>
      <c r="ET155" s="115" t="str">
        <f aca="false">IF(AND(Tasks[[#This Row],[_IsLeaf]]=1,Tasks[[#This Row],[_LeafProgress]]&gt;=1),IF(N(Tasks[[#This Row],[Actual Finish]])&gt;0,Tasks[[#This Row],[Actual Finish]],Tasks[[#This Row],[_ShownFcstFinish]]),"")</f>
        <v/>
      </c>
      <c r="EU155" s="32" t="n">
        <f aca="false">IF(Tasks[[#This Row],[_IsLeaf]]=1,N(Tasks[[#This Row],[Story Points]]),0)</f>
        <v>0</v>
      </c>
      <c r="EV155" s="32" t="str">
        <f aca="false">IF(AND(Tasks[[#This Row],[_IsLeaf]]=1,CurrentSprint&lt;&gt;"",Tasks[[#This Row],[Sprint]]=CurrentSprint),Tasks[[#This Row],[_Row]],"")</f>
        <v/>
      </c>
    </row>
    <row r="156" customFormat="false" ht="15" hidden="false" customHeight="false" outlineLevel="0" collapsed="false">
      <c r="A156" s="45" t="str">
        <f aca="false">IF(Tasks[[#This Row],[Task Name]]="","",COUNTA(Tasks[[#Headers],[Task Name]]:Tasks[[#This Row],[Task Name]])-1)</f>
        <v/>
      </c>
      <c r="B156" s="46" t="n">
        <v>151</v>
      </c>
      <c r="C15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6" s="46"/>
      <c r="E156" s="45" t="str">
        <f aca="false">IF(Tasks[[#This Row],[Task Name]]="","",IF(Tasks[[#This Row],[_Level]]&lt;=OutlineShowLevel,"Yes","No"))</f>
        <v/>
      </c>
      <c r="F156" s="47"/>
      <c r="G156" s="46"/>
      <c r="H156" s="46"/>
      <c r="I156" s="46"/>
      <c r="J156" s="46"/>
      <c r="K156" s="46"/>
      <c r="L156" s="46"/>
      <c r="M156" s="46"/>
      <c r="N156" s="46"/>
      <c r="O156" s="46"/>
      <c r="P156" s="46"/>
      <c r="Q156" s="46"/>
      <c r="R156" s="46"/>
      <c r="S156" s="46"/>
      <c r="T156" s="46"/>
      <c r="U156" s="47"/>
      <c r="V156" s="88"/>
      <c r="W156" s="88"/>
      <c r="X156" s="25" t="str">
        <f aca="false">IF(Tasks[[#This Row],[Task Name]]="","",IF(N(Tasks[[#This Row],[Baseline Start]])&gt;0,Tasks[[#This Row],[Baseline Start]],Tasks[[#This Row],[_CalcStart]]))</f>
        <v/>
      </c>
      <c r="Y156" s="25" t="str">
        <f aca="false">IF(Tasks[[#This Row],[Task Name]]="","",IF(N(Tasks[[#This Row],[Baseline Finish]])&gt;0,Tasks[[#This Row],[Baseline Finish]],Tasks[[#This Row],[_CalcFinish]]))</f>
        <v/>
      </c>
      <c r="Z156" s="88"/>
      <c r="AA156" s="88"/>
      <c r="AB156" s="25" t="str">
        <f aca="false">IF(Tasks[[#This Row],[Task Name]]="","",IF(Tasks[[#This Row],[_IsSummary]],MIN(INDEX(Tasks[_ShownFcstStart],Tasks[[#This Row],[_Row]]+1):INDEX(Tasks[_ShownFcstStart],Tasks[[#This Row],[_Row]]+Tasks[[#This Row],[_Descendants]])),Tasks[[#This Row],[_ShownFcstStart]]))</f>
        <v/>
      </c>
      <c r="AC156" s="25" t="str">
        <f aca="false">IF(Tasks[[#This Row],[Task Name]]="","",IF(Tasks[[#This Row],[_IsSummary]],MAX(INDEX(Tasks[_ShownFcstFinish],Tasks[[#This Row],[_Row]]+1):INDEX(Tasks[_ShownFcstFinish],Tasks[[#This Row],[_Row]]+Tasks[[#This Row],[_Descendants]])),Tasks[[#This Row],[_ShownFcstFinish]]))</f>
        <v/>
      </c>
      <c r="AD15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6" s="25" t="str">
        <f aca="false">IF(Tasks[[#This Row],[Task Name]]="","",IF(Tasks[[#This Row],[_IsSummary]],MIN(INDEX(Tasks[_LeafLateStart],Tasks[[#This Row],[_Row]]+1):INDEX(Tasks[_LeafLateStart],Tasks[[#This Row],[_Row]]+Tasks[[#This Row],[_Descendants]])),Tasks[[#This Row],[_LeafLateStart]]))</f>
        <v/>
      </c>
      <c r="AG156" s="25" t="str">
        <f aca="false">IF(Tasks[[#This Row],[Task Name]]="","",IF(Tasks[[#This Row],[_IsSummary]],MAX(INDEX(Tasks[_LeafLateFinish],Tasks[[#This Row],[_Row]]+1):INDEX(Tasks[_LeafLateFinish],Tasks[[#This Row],[_Row]]+Tasks[[#This Row],[_Descendants]])),Tasks[[#This Row],[_LeafLateFinish]]))</f>
        <v/>
      </c>
      <c r="AH156" s="56" t="str">
        <f aca="false">IF(Tasks[[#This Row],[Task Name]]="","",IF(Tasks[[#This Row],[_IsSummary]],MIN(INDEX(Tasks[_LeafTotalSlack],Tasks[[#This Row],[_Row]]+1):INDEX(Tasks[_LeafTotalSlack],Tasks[[#This Row],[_Row]]+Tasks[[#This Row],[_Descendants]])),Tasks[[#This Row],[_LeafTotalSlack]]))</f>
        <v/>
      </c>
      <c r="AI15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6" s="45" t="str">
        <f aca="false">IF(Tasks[[#This Row],[Task Name]]="","",IF(IF(Tasks[[#This Row],[_IsSummary]],COUNTIF(INDEX(Tasks[_LeafCritical],Tasks[[#This Row],[_Row]]+1):INDEX(Tasks[_LeafCritical],Tasks[[#This Row],[_Row]]+Tasks[[#This Row],[_Descendants]]),TRUE())&gt;0,Tasks[[#This Row],[_LeafCritical]]),"Yes",""))</f>
        <v/>
      </c>
      <c r="AK15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6" s="102"/>
      <c r="AN15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6" s="45" t="str">
        <f aca="false">IF(Tasks[[#This Row],[Task Name]]="","",IF(Tasks[[#This Row],[Progress]]&gt;=1,"Complete",IF(OR(N(Tasks[[#This Row],[Actual Start]])&gt;0,Tasks[[#This Row],[Progress]]&gt;0),IF(Tasks[[#This Row],[Finish Var]]&gt;0,"Behind","In Progress"),IF(Tasks[[#This Row],[Planned Start]]&lt;StatusDate,"Late Start","Not Started"))))</f>
        <v/>
      </c>
      <c r="AP156" s="47"/>
      <c r="AQ156" s="102"/>
      <c r="AR15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6" s="110" t="str">
        <f aca="false">IF(Tasks[[#This Row],[Task Name]]="","",IF(Tasks[[#This Row],[_IsSummary]],SUM(INDEX(Tasks[_LeafTotalWork],Tasks[[#This Row],[_Row]]+1):INDEX(Tasks[_LeafTotalWork],Tasks[[#This Row],[_Row]]+Tasks[[#This Row],[_Descendants]])),Tasks[[#This Row],[_LeafTotalWork]]))</f>
        <v/>
      </c>
      <c r="AU156" s="111" t="str">
        <f aca="false">IF(Tasks[[#This Row],[Task Name]]="","",IF(Tasks[[#This Row],[_IsSummary]],SUM(INDEX(Tasks[_LeafTotalCost],Tasks[[#This Row],[_Row]]+1):INDEX(Tasks[_LeafTotalCost],Tasks[[#This Row],[_Row]]+Tasks[[#This Row],[_Descendants]])),Tasks[[#This Row],[_LeafTotalCost]]))</f>
        <v/>
      </c>
      <c r="AV156" s="112"/>
      <c r="AW156" s="46"/>
      <c r="AX15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6" s="96"/>
      <c r="AZ15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6" s="47"/>
      <c r="BB156" s="25" t="str">
        <f aca="false">IF(Tasks[[#This Row],[Task Name]]="","",Tasks[[#This Row],[Forecast Start]])</f>
        <v/>
      </c>
      <c r="BC156" s="25" t="str">
        <f aca="false">IF(Tasks[[#This Row],[Task Name]]="","",Tasks[[#This Row],[Forecast Finish]])</f>
        <v/>
      </c>
      <c r="BD156" s="45" t="str">
        <f aca="false">IF(Tasks[[#This Row],[Task Name]]="","",IF(Tasks[[#This Row],[_IsSummary]],NETWORKDAYS.INTL(Tasks[[#This Row],[Forecast Start]],Tasks[[#This Row],[Forecast Finish]],WorkWeek,Holidays),N(Tasks[[#This Row],[Duration]])))</f>
        <v/>
      </c>
      <c r="BE156" s="110" t="str">
        <f aca="false">IF(Tasks[[#This Row],[Task Name]]="","",Tasks[[#This Row],[Work]])</f>
        <v/>
      </c>
      <c r="BF156" s="111" t="str">
        <f aca="false">IF(Tasks[[#This Row],[Task Name]]="","",Tasks[[#This Row],[Cost]])</f>
        <v/>
      </c>
      <c r="BG156" s="88"/>
      <c r="BH156" s="88"/>
      <c r="BI156" s="46"/>
      <c r="BJ156" s="113"/>
      <c r="BK156" s="112"/>
      <c r="BL156" s="45" t="str">
        <f aca="false">IF(OR(Tasks[[#This Row],[Task Name]]="",Tasks[[#This Row],[Baseline Duration]]=""),"",Tasks[[#This Row],[BL Source Duration]]-N(Tasks[[#This Row],[Baseline Duration]]))</f>
        <v/>
      </c>
      <c r="BM156" s="110" t="str">
        <f aca="false">IF(OR(Tasks[[#This Row],[Task Name]]="",Tasks[[#This Row],[Baseline Work]]=""),"",Tasks[[#This Row],[Work]]-N(Tasks[[#This Row],[Baseline Work]]))</f>
        <v/>
      </c>
      <c r="BN156" s="111" t="str">
        <f aca="false">IF(OR(Tasks[[#This Row],[Task Name]]="",Tasks[[#This Row],[Baseline Cost]]=""),"",Tasks[[#This Row],[Cost]]-N(Tasks[[#This Row],[Baseline Cost]]))</f>
        <v/>
      </c>
      <c r="BO156" s="111" t="str">
        <f aca="false">IF(Tasks[[#This Row],[Task Name]]="","",IF(Tasks[[#This Row],[_IsSummary]],SUM(INDEX(Tasks[_LeafBudget],Tasks[[#This Row],[_Row]]+1):INDEX(Tasks[_LeafBudget],Tasks[[#This Row],[_Row]]+Tasks[[#This Row],[_Descendants]])),Tasks[[#This Row],[_LeafBudget]]))</f>
        <v/>
      </c>
      <c r="BP156" s="111" t="str">
        <f aca="false">IF(Tasks[[#This Row],[Task Name]]="","",IF(Tasks[[#This Row],[_IsSummary]],SUM(INDEX(Tasks[_LeafPV],Tasks[[#This Row],[_Row]]+1):INDEX(Tasks[_LeafPV],Tasks[[#This Row],[_Row]]+Tasks[[#This Row],[_Descendants]])),Tasks[[#This Row],[_LeafPV]]))</f>
        <v/>
      </c>
      <c r="BQ156" s="111" t="str">
        <f aca="false">IF(Tasks[[#This Row],[Task Name]]="","",IF(Tasks[[#This Row],[_IsSummary]],SUM(INDEX(Tasks[_LeafEV],Tasks[[#This Row],[_Row]]+1):INDEX(Tasks[_LeafEV],Tasks[[#This Row],[_Row]]+Tasks[[#This Row],[_Descendants]])),Tasks[[#This Row],[_LeafEV]]))</f>
        <v/>
      </c>
      <c r="BR156" s="111" t="str">
        <f aca="false">IF(Tasks[[#This Row],[Task Name]]="","",IF(Tasks[[#This Row],[_IsSummary]],SUM(INDEX(Tasks[_LeafAC],Tasks[[#This Row],[_Row]]+1):INDEX(Tasks[_LeafAC],Tasks[[#This Row],[_Row]]+Tasks[[#This Row],[_Descendants]])),Tasks[[#This Row],[_LeafAC]]))</f>
        <v/>
      </c>
      <c r="BS156" s="32" t="str">
        <f aca="false">IF(Tasks[[#This Row],[Task Name]]="","",MAX(1,N(Tasks[[#This Row],[Level]])))</f>
        <v/>
      </c>
      <c r="BT156" s="32" t="n">
        <f aca="false">ROW()-ROW(Tasks[[#Headers],[ID]])</f>
        <v>151</v>
      </c>
      <c r="BU156" s="32" t="n">
        <f aca="false">IF(OR(Tasks[[#This Row],[Task Name]]="",Tasks[[#This Row],[_Level]]&lt;=1),0,IFERROR(LOOKUP(2,1/(Tasks[[#Headers],[_Level]]:Tasks[[#This Row],[_Level]]=Tasks[[#This Row],[_Level]]-1),ROW(Tasks[[#Headers],[_Level]]:Tasks[[#This Row],[_Level]])),0))</f>
        <v>0</v>
      </c>
      <c r="BV156" s="32" t="n">
        <f aca="false">IFERROR(N(INDEX(Tasks[_Level],Tasks[[#This Row],[_Row]]+1)),0)</f>
        <v>0</v>
      </c>
      <c r="BW156" s="114" t="b">
        <f aca="false">AND(Tasks[[#This Row],[Task Name]]&lt;&gt;"",Tasks[[#This Row],[_NextLevel]]&gt;Tasks[[#This Row],[_Level]])</f>
        <v>0</v>
      </c>
      <c r="BX156" s="32" t="n">
        <f aca="false">IF(Tasks[[#This Row],[_IsSummary]],COUNTIF(Tasks[WBS],Tasks[[#This Row],[WBS]]&amp;".*"),0)</f>
        <v>0</v>
      </c>
      <c r="BY156" s="32" t="n">
        <f aca="false">IF(AND(Tasks[[#This Row],[Task Name]]&lt;&gt;"",NOT(Tasks[[#This Row],[_IsSummary]])),1,0)</f>
        <v>0</v>
      </c>
      <c r="BZ156" s="32" t="n">
        <f aca="false">IF(N(Tasks[[#This Row],[Pred1 UID]])=0,0,IFERROR(MATCH(Tasks[[#This Row],[Pred1 UID]],Tasks[UID],0),-1))</f>
        <v>0</v>
      </c>
      <c r="CA156" s="32" t="n">
        <f aca="false">IF(N(Tasks[[#This Row],[Pred2 UID]])=0,0,IFERROR(MATCH(Tasks[[#This Row],[Pred2 UID]],Tasks[UID],0),-1))</f>
        <v>0</v>
      </c>
      <c r="CB156" s="32" t="n">
        <f aca="false">IF(N(Tasks[[#This Row],[Pred3 UID]])=0,0,IFERROR(MATCH(Tasks[[#This Row],[Pred3 UID]],Tasks[UID],0),-1))</f>
        <v>0</v>
      </c>
      <c r="CC156" s="32" t="n">
        <f aca="false">IF(N(Tasks[[#This Row],[Pred4 UID]])=0,0,IFERROR(MATCH(Tasks[[#This Row],[Pred4 UID]],Tasks[UID],0),-1))</f>
        <v>0</v>
      </c>
      <c r="CD15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6" s="115" t="n">
        <f aca="false">IF(OR(Tasks[[#This Row],[_ConstraintCode]]=2,Tasks[[#This Row],[_ConstraintCode]]=3,Tasks[[#This Row],[_ConstraintCode]]=4,Tasks[[#This Row],[_ConstraintCode]]=6),Tasks[[#This Row],[_ConstraintStart]],0)</f>
        <v>0</v>
      </c>
      <c r="CG156" s="115" t="n">
        <f aca="false">IF(OR(Tasks[[#This Row],[_ConstraintCode]]=2,Tasks[[#This Row],[_ConstraintCode]]=3,Tasks[[#This Row],[_ConstraintCode]]=5,Tasks[[#This Row],[_ConstraintCode]]=7),Tasks[[#This Row],[_ConstraintStart]],2958465)</f>
        <v>2958465</v>
      </c>
      <c r="CH15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6" s="115" t="str">
        <f aca="false">IF(NOT(Tasks[[#This Row],[_IsLeaf]]=1),"",IF(N(Tasks[[#This Row],[Duration]])&lt;=0,Tasks[[#This Row],[_LeafCalcStart]],WORKDAY.INTL(Tasks[[#This Row],[_LeafCalcStart]],Tasks[[#This Row],[Duration]]-1,WorkWeek,Holidays)))</f>
        <v/>
      </c>
      <c r="CJ15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6" s="32" t="n">
        <f aca="false">IF(NOT(Tasks[[#This Row],[_IsLeaf]]=1),0,IF(N(Tasks[[#This Row],[Actual Finish]])&gt;0,1,MIN(1,N(Tasks[[#This Row],[% Complete]]))))</f>
        <v>0</v>
      </c>
      <c r="CM156" s="32" t="n">
        <f aca="false">IF(OR(NOT(Tasks[[#This Row],[_IsLeaf]]=1),Tasks[[#This Row],[Resource]]=""),0,N(Tasks[[#This Row],[Duration]])*HoursPerDay*IF(Tasks[[#This Row],[Units]]="",DefaultUnits,Tasks[[#This Row],[Units]]))</f>
        <v>0</v>
      </c>
      <c r="CN156" s="32" t="n">
        <f aca="false">IF(Tasks[[#This Row],[_LeafWork]]=0,0,Tasks[[#This Row],[_LeafWork]]*IFERROR(INDEX(res_Rate,MATCH(Tasks[[#This Row],[Resource]],res_Name,0)),0))</f>
        <v>0</v>
      </c>
      <c r="CO156" s="32" t="n">
        <f aca="false">Tasks[[#This Row],[_LeafWork]]+IF(Tasks[[#This Row],[_IsLeaf]]=1,SUMIFS(asg_Work,asg_TaskUID,Tasks[[#This Row],[UID]],asg_Valid,1),0)</f>
        <v>0</v>
      </c>
      <c r="CP156" s="32" t="n">
        <f aca="false">Tasks[[#This Row],[_LeafCost]]+IF(Tasks[[#This Row],[_IsLeaf]]=1,SUMIFS(asg_Cost,asg_TaskUID,Tasks[[#This Row],[UID]],asg_Valid,1),0)</f>
        <v>0</v>
      </c>
      <c r="CQ156" s="32" t="n">
        <f aca="false">IF(Tasks[[#This Row],[_LeafTotalCost]]=0,Tasks[[#This Row],[_LeafAC]],Tasks[[#This Row],[_LeafAC]]*Tasks[[#This Row],[_LeafCost]]/Tasks[[#This Row],[_LeafTotalCost]])</f>
        <v>0</v>
      </c>
      <c r="CR15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6" s="32" t="n">
        <f aca="false">IF(NOT(Tasks[[#This Row],[_IsLeaf]]=1),0,MAX(_xlfn.MAXIFS(Tasks[_Row],Tasks[Pred1 UID],Tasks[[#This Row],[UID]]),_xlfn.MAXIFS(Tasks[_Row],Tasks[Pred2 UID],Tasks[[#This Row],[UID]]),_xlfn.MAXIFS(Tasks[_Row],Tasks[Pred3 UID],Tasks[[#This Row],[UID]]),_xlfn.MAXIFS(Tasks[_Row],Tasks[Pred4 UID],Tasks[[#This Row],[UID]])))</f>
        <v>0</v>
      </c>
      <c r="DA15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6" s="115" t="str">
        <f aca="false">IF(NOT(Tasks[[#This Row],[_IsLeaf]]=1),"",IF(N(Tasks[[#This Row],[Duration]])&lt;=0,Tasks[[#This Row],[_LeafLateFinish]],WORKDAY.INTL(Tasks[[#This Row],[_LeafLateFinish]],-(Tasks[[#This Row],[Duration]]-1),WorkWeek,Holidays)))</f>
        <v/>
      </c>
      <c r="DD15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6" s="114" t="b">
        <f aca="false">AND(Tasks[[#This Row],[_IsLeaf]]=1,Tasks[[#This Row],[_LeafProgress]]&lt;1,N(Tasks[[#This Row],[_LeafTotalSlack]])&lt;=CriticalSlackDays)</f>
        <v>0</v>
      </c>
      <c r="DF156" s="32" t="n">
        <f aca="false">IF(AND(Tasks[[#This Row],[_IsLeaf]]=1,Tasks[[#This Row],[_ConstraintCode]]=1,Tasks[[#This Row],[Mode]]&lt;&gt;"Manual",N(Tasks[[#This Row],[Actual Start]])=0),MAX(0,N(Tasks[[#This Row],[Free Slack]])),0)</f>
        <v>0</v>
      </c>
      <c r="DG156" s="115" t="str">
        <f aca="false">IF(NOT(Tasks[[#This Row],[_IsLeaf]]=1),"",IF(Tasks[[#This Row],[_AlapShift]]=0,Tasks[[#This Row],[_LeafCalcStart]],WORKDAY.INTL(Tasks[[#This Row],[_LeafCalcStart]],Tasks[[#This Row],[_AlapShift]],WorkWeek,Holidays)))</f>
        <v/>
      </c>
      <c r="DH156" s="115" t="str">
        <f aca="false">IF(NOT(Tasks[[#This Row],[_IsLeaf]]=1),"",IF(Tasks[[#This Row],[_AlapShift]]=0,Tasks[[#This Row],[_LeafCalcFinish]],WORKDAY.INTL(Tasks[[#This Row],[_LeafCalcFinish]],Tasks[[#This Row],[_AlapShift]],WorkWeek,Holidays)))</f>
        <v/>
      </c>
      <c r="DI156" s="115" t="str">
        <f aca="false">IF(NOT(Tasks[[#This Row],[_IsLeaf]]=1),"",IF(Tasks[[#This Row],[_AlapShift]]=0,Tasks[[#This Row],[_LeafFcstStart]],WORKDAY.INTL(Tasks[[#This Row],[_LeafFcstStart]],Tasks[[#This Row],[_AlapShift]],WorkWeek,Holidays)))</f>
        <v/>
      </c>
      <c r="DJ156" s="115" t="str">
        <f aca="false">IF(NOT(Tasks[[#This Row],[_IsLeaf]]=1),"",IF(Tasks[[#This Row],[_AlapShift]]=0,Tasks[[#This Row],[_LeafFcstFinish]],WORKDAY.INTL(Tasks[[#This Row],[_LeafFcstFinish]],Tasks[[#This Row],[_AlapShift]],WorkWeek,Holidays)))</f>
        <v/>
      </c>
      <c r="DK156" s="115" t="str">
        <f aca="false">IF(Tasks[[#This Row],[Task Name]]="","",IF(Tasks[[#This Row],[_IsSummary]],MIN(INDEX(Tasks[_ShownCalcStart],Tasks[[#This Row],[_Row]]+1):INDEX(Tasks[_ShownCalcStart],Tasks[[#This Row],[_Row]]+Tasks[[#This Row],[_Descendants]])),Tasks[[#This Row],[_ShownCalcStart]]))</f>
        <v/>
      </c>
      <c r="DL156" s="115" t="str">
        <f aca="false">IF(Tasks[[#This Row],[Task Name]]="","",IF(Tasks[[#This Row],[_IsSummary]],MAX(INDEX(Tasks[_ShownCalcFinish],Tasks[[#This Row],[_Row]]+1):INDEX(Tasks[_ShownCalcFinish],Tasks[[#This Row],[_Row]]+Tasks[[#This Row],[_Descendants]])),Tasks[[#This Row],[_ShownCalcFinish]]))</f>
        <v/>
      </c>
      <c r="DM15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6" s="32" t="n">
        <f aca="false">IF(AND(Tasks[[#This Row],[_IsLeaf]]=1,Tasks[[#This Row],[_LeafTotalWork]]&gt;0),NETWORKDAYS.INTL(ProjectStart,Tasks[[#This Row],[_ShownFcstStart]],WorkWeek,Holidays),0)</f>
        <v>0</v>
      </c>
      <c r="DZ156" s="32" t="n">
        <f aca="false">IF(AND(Tasks[[#This Row],[_IsLeaf]]=1,Tasks[[#This Row],[_LeafTotalWork]]&gt;0),MAX(Tasks[[#This Row],[_StartWorkday]],NETWORKDAYS.INTL(ProjectStart,Tasks[[#This Row],[_ShownFcstFinish]],WorkWeek,Holidays)),0)</f>
        <v>0</v>
      </c>
      <c r="EA156" s="32" t="n">
        <f aca="false">IF(AND(Tasks[[#This Row],[_IsLeaf]]=1,Tasks[[#This Row],[_LeafTotalWork]]&gt;0),Tasks[[#This Row],[_LeafWork]]/(Tasks[[#This Row],[_FinishWorkday]]-Tasks[[#This Row],[_StartWorkday]]+1),0)</f>
        <v>0</v>
      </c>
      <c r="EB156" s="32" t="n">
        <f aca="false">Tasks[[#This Row],[_WorkPerWorkday]]*(Tasks[[#This Row],[_StartWorkday]]-1)</f>
        <v>-0</v>
      </c>
      <c r="EC156" s="32" t="n">
        <f aca="false">IF(Tasks[[#This Row],[_IsLeaf]]=1,MAX(N(Tasks[[#This Row],[Duration]]),0.1),0)</f>
        <v>0</v>
      </c>
      <c r="ED156" s="32" t="n">
        <f aca="false">Tasks[[#This Row],[_WeightDur]]*Tasks[[#This Row],[_LeafProgress]]</f>
        <v>0</v>
      </c>
      <c r="EE15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6" s="32" t="str">
        <f aca="false">IF(AND(Tasks[[#This Row],[_IsLeaf]]=1,N(Tasks[[#This Row],[Duration]])=0,Tasks[[#This Row],[_LeafProgress]]&lt;1),Tasks[[#This Row],[_ShownFcstFinish]]+Tasks[[#This Row],[_Row]]/100000,"")</f>
        <v/>
      </c>
      <c r="EG15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6" s="32" t="n">
        <f aca="false">IF(NOT(Tasks[[#This Row],[_IsLeaf]]=1),0,IF(Tasks[[#This Row],[Baseline Cost]]="",Tasks[[#This Row],[_LeafTotalCost]],N(Tasks[[#This Row],[Baseline Cost]])))</f>
        <v>0</v>
      </c>
      <c r="EI156" s="32" t="n">
        <f aca="false">Tasks[[#This Row],[_LeafBudget]]*Tasks[[#This Row],[_PlannedPct]]</f>
        <v>0</v>
      </c>
      <c r="EJ156" s="32" t="n">
        <f aca="false">Tasks[[#This Row],[_LeafBudget]]*Tasks[[#This Row],[_LeafProgress]]</f>
        <v>0</v>
      </c>
      <c r="EK156" s="32" t="n">
        <f aca="false">IF(NOT(Tasks[[#This Row],[_IsLeaf]]=1),0,IF(Tasks[[#This Row],[Actual Cost]]="",Tasks[[#This Row],[_LeafTotalCost]]*Tasks[[#This Row],[_LeafProgress]],N(Tasks[[#This Row],[Actual Cost]])))</f>
        <v>0</v>
      </c>
      <c r="EL156" s="32" t="str">
        <f aca="false">IF(Tasks[[#This Row],[Task Name]]="","",LEFT(Tasks[[#This Row],[WBS]],FIND(".",Tasks[[#This Row],[WBS]]&amp;".")-1))</f>
        <v/>
      </c>
      <c r="EM156" s="32" t="str">
        <f aca="false">IF(AND(Tasks[[#This Row],[Task Name]]&lt;&gt;"",Tasks[[#This Row],[_Level]]=1),Tasks[[#This Row],[_Row]],"")</f>
        <v/>
      </c>
      <c r="EN156" s="32" t="str">
        <f aca="false">IF(AND(Tasks[[#This Row],[_IsLeaf]]=1,N(Tasks[[#This Row],[Duration]])=0),Tasks[[#This Row],[Planned Finish]]+Tasks[[#This Row],[_Row]]/100000,"")</f>
        <v/>
      </c>
      <c r="EO156" s="32" t="str">
        <f aca="false">IF(AND(Tasks[[#This Row],[_IsLeaf]]=1,Tasks[[#This Row],[_LeafProgress]]&lt;1,OR(N(Tasks[[#This Row],[Finish Var]])&gt;0,Tasks[[#This Row],[Status]]="Late Start")),MAX(0,Tasks[[#This Row],[Finish Var]])+1-Tasks[[#This Row],[_Row]]/1000000,"")</f>
        <v/>
      </c>
      <c r="EP156" s="32" t="str">
        <f aca="false">IF(AND(Tasks[[#This Row],[_IsLeaf]]=1,N(Tasks[[#This Row],[Actual Start]])=0,Tasks[[#This Row],[_ShownFcstStart]]&gt;=StatusDate,Tasks[[#This Row],[_ShownFcstStart]]&lt;=LookaheadEnd),Tasks[[#This Row],[_ShownFcstStart]]+Tasks[[#This Row],[_Row]]/100000,"")</f>
        <v/>
      </c>
      <c r="EQ156" s="32" t="str">
        <f aca="false">IF(AND(Tasks[[#This Row],[_IsLeaf]]=1,Tasks[[#This Row],[_LeafProgress]]&lt;1,Tasks[[#This Row],[_ShownFcstFinish]]&gt;=StatusDate,Tasks[[#This Row],[_ShownFcstFinish]]&lt;=LookaheadEnd),Tasks[[#This Row],[_ShownFcstFinish]]+Tasks[[#This Row],[_Row]]/100000,"")</f>
        <v/>
      </c>
      <c r="ER156" s="32" t="str">
        <f aca="false">IF(Tasks[[#This Row],[_LeafCritical]],Tasks[[#This Row],[_ShownFcstStart]]+Tasks[[#This Row],[_Row]]/100000,"")</f>
        <v/>
      </c>
      <c r="ES156" s="32" t="n">
        <f aca="false">Tasks[[#This Row],[_LeafWork]]*Tasks[[#This Row],[_LeafProgress]]</f>
        <v>0</v>
      </c>
      <c r="ET156" s="115" t="str">
        <f aca="false">IF(AND(Tasks[[#This Row],[_IsLeaf]]=1,Tasks[[#This Row],[_LeafProgress]]&gt;=1),IF(N(Tasks[[#This Row],[Actual Finish]])&gt;0,Tasks[[#This Row],[Actual Finish]],Tasks[[#This Row],[_ShownFcstFinish]]),"")</f>
        <v/>
      </c>
      <c r="EU156" s="32" t="n">
        <f aca="false">IF(Tasks[[#This Row],[_IsLeaf]]=1,N(Tasks[[#This Row],[Story Points]]),0)</f>
        <v>0</v>
      </c>
      <c r="EV156" s="32" t="str">
        <f aca="false">IF(AND(Tasks[[#This Row],[_IsLeaf]]=1,CurrentSprint&lt;&gt;"",Tasks[[#This Row],[Sprint]]=CurrentSprint),Tasks[[#This Row],[_Row]],"")</f>
        <v/>
      </c>
    </row>
    <row r="157" customFormat="false" ht="15" hidden="false" customHeight="false" outlineLevel="0" collapsed="false">
      <c r="A157" s="45" t="str">
        <f aca="false">IF(Tasks[[#This Row],[Task Name]]="","",COUNTA(Tasks[[#Headers],[Task Name]]:Tasks[[#This Row],[Task Name]])-1)</f>
        <v/>
      </c>
      <c r="B157" s="46" t="n">
        <v>152</v>
      </c>
      <c r="C15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7" s="46"/>
      <c r="E157" s="45" t="str">
        <f aca="false">IF(Tasks[[#This Row],[Task Name]]="","",IF(Tasks[[#This Row],[_Level]]&lt;=OutlineShowLevel,"Yes","No"))</f>
        <v/>
      </c>
      <c r="F157" s="47"/>
      <c r="G157" s="46"/>
      <c r="H157" s="46"/>
      <c r="I157" s="46"/>
      <c r="J157" s="46"/>
      <c r="K157" s="46"/>
      <c r="L157" s="46"/>
      <c r="M157" s="46"/>
      <c r="N157" s="46"/>
      <c r="O157" s="46"/>
      <c r="P157" s="46"/>
      <c r="Q157" s="46"/>
      <c r="R157" s="46"/>
      <c r="S157" s="46"/>
      <c r="T157" s="46"/>
      <c r="U157" s="47"/>
      <c r="V157" s="88"/>
      <c r="W157" s="88"/>
      <c r="X157" s="25" t="str">
        <f aca="false">IF(Tasks[[#This Row],[Task Name]]="","",IF(N(Tasks[[#This Row],[Baseline Start]])&gt;0,Tasks[[#This Row],[Baseline Start]],Tasks[[#This Row],[_CalcStart]]))</f>
        <v/>
      </c>
      <c r="Y157" s="25" t="str">
        <f aca="false">IF(Tasks[[#This Row],[Task Name]]="","",IF(N(Tasks[[#This Row],[Baseline Finish]])&gt;0,Tasks[[#This Row],[Baseline Finish]],Tasks[[#This Row],[_CalcFinish]]))</f>
        <v/>
      </c>
      <c r="Z157" s="88"/>
      <c r="AA157" s="88"/>
      <c r="AB157" s="25" t="str">
        <f aca="false">IF(Tasks[[#This Row],[Task Name]]="","",IF(Tasks[[#This Row],[_IsSummary]],MIN(INDEX(Tasks[_ShownFcstStart],Tasks[[#This Row],[_Row]]+1):INDEX(Tasks[_ShownFcstStart],Tasks[[#This Row],[_Row]]+Tasks[[#This Row],[_Descendants]])),Tasks[[#This Row],[_ShownFcstStart]]))</f>
        <v/>
      </c>
      <c r="AC157" s="25" t="str">
        <f aca="false">IF(Tasks[[#This Row],[Task Name]]="","",IF(Tasks[[#This Row],[_IsSummary]],MAX(INDEX(Tasks[_ShownFcstFinish],Tasks[[#This Row],[_Row]]+1):INDEX(Tasks[_ShownFcstFinish],Tasks[[#This Row],[_Row]]+Tasks[[#This Row],[_Descendants]])),Tasks[[#This Row],[_ShownFcstFinish]]))</f>
        <v/>
      </c>
      <c r="AD15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7" s="25" t="str">
        <f aca="false">IF(Tasks[[#This Row],[Task Name]]="","",IF(Tasks[[#This Row],[_IsSummary]],MIN(INDEX(Tasks[_LeafLateStart],Tasks[[#This Row],[_Row]]+1):INDEX(Tasks[_LeafLateStart],Tasks[[#This Row],[_Row]]+Tasks[[#This Row],[_Descendants]])),Tasks[[#This Row],[_LeafLateStart]]))</f>
        <v/>
      </c>
      <c r="AG157" s="25" t="str">
        <f aca="false">IF(Tasks[[#This Row],[Task Name]]="","",IF(Tasks[[#This Row],[_IsSummary]],MAX(INDEX(Tasks[_LeafLateFinish],Tasks[[#This Row],[_Row]]+1):INDEX(Tasks[_LeafLateFinish],Tasks[[#This Row],[_Row]]+Tasks[[#This Row],[_Descendants]])),Tasks[[#This Row],[_LeafLateFinish]]))</f>
        <v/>
      </c>
      <c r="AH157" s="56" t="str">
        <f aca="false">IF(Tasks[[#This Row],[Task Name]]="","",IF(Tasks[[#This Row],[_IsSummary]],MIN(INDEX(Tasks[_LeafTotalSlack],Tasks[[#This Row],[_Row]]+1):INDEX(Tasks[_LeafTotalSlack],Tasks[[#This Row],[_Row]]+Tasks[[#This Row],[_Descendants]])),Tasks[[#This Row],[_LeafTotalSlack]]))</f>
        <v/>
      </c>
      <c r="AI15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7" s="45" t="str">
        <f aca="false">IF(Tasks[[#This Row],[Task Name]]="","",IF(IF(Tasks[[#This Row],[_IsSummary]],COUNTIF(INDEX(Tasks[_LeafCritical],Tasks[[#This Row],[_Row]]+1):INDEX(Tasks[_LeafCritical],Tasks[[#This Row],[_Row]]+Tasks[[#This Row],[_Descendants]]),TRUE())&gt;0,Tasks[[#This Row],[_LeafCritical]]),"Yes",""))</f>
        <v/>
      </c>
      <c r="AK15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7" s="102"/>
      <c r="AN15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7" s="45" t="str">
        <f aca="false">IF(Tasks[[#This Row],[Task Name]]="","",IF(Tasks[[#This Row],[Progress]]&gt;=1,"Complete",IF(OR(N(Tasks[[#This Row],[Actual Start]])&gt;0,Tasks[[#This Row],[Progress]]&gt;0),IF(Tasks[[#This Row],[Finish Var]]&gt;0,"Behind","In Progress"),IF(Tasks[[#This Row],[Planned Start]]&lt;StatusDate,"Late Start","Not Started"))))</f>
        <v/>
      </c>
      <c r="AP157" s="47"/>
      <c r="AQ157" s="102"/>
      <c r="AR15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7" s="110" t="str">
        <f aca="false">IF(Tasks[[#This Row],[Task Name]]="","",IF(Tasks[[#This Row],[_IsSummary]],SUM(INDEX(Tasks[_LeafTotalWork],Tasks[[#This Row],[_Row]]+1):INDEX(Tasks[_LeafTotalWork],Tasks[[#This Row],[_Row]]+Tasks[[#This Row],[_Descendants]])),Tasks[[#This Row],[_LeafTotalWork]]))</f>
        <v/>
      </c>
      <c r="AU157" s="111" t="str">
        <f aca="false">IF(Tasks[[#This Row],[Task Name]]="","",IF(Tasks[[#This Row],[_IsSummary]],SUM(INDEX(Tasks[_LeafTotalCost],Tasks[[#This Row],[_Row]]+1):INDEX(Tasks[_LeafTotalCost],Tasks[[#This Row],[_Row]]+Tasks[[#This Row],[_Descendants]])),Tasks[[#This Row],[_LeafTotalCost]]))</f>
        <v/>
      </c>
      <c r="AV157" s="112"/>
      <c r="AW157" s="46"/>
      <c r="AX15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7" s="96"/>
      <c r="AZ15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7" s="47"/>
      <c r="BB157" s="25" t="str">
        <f aca="false">IF(Tasks[[#This Row],[Task Name]]="","",Tasks[[#This Row],[Forecast Start]])</f>
        <v/>
      </c>
      <c r="BC157" s="25" t="str">
        <f aca="false">IF(Tasks[[#This Row],[Task Name]]="","",Tasks[[#This Row],[Forecast Finish]])</f>
        <v/>
      </c>
      <c r="BD157" s="45" t="str">
        <f aca="false">IF(Tasks[[#This Row],[Task Name]]="","",IF(Tasks[[#This Row],[_IsSummary]],NETWORKDAYS.INTL(Tasks[[#This Row],[Forecast Start]],Tasks[[#This Row],[Forecast Finish]],WorkWeek,Holidays),N(Tasks[[#This Row],[Duration]])))</f>
        <v/>
      </c>
      <c r="BE157" s="110" t="str">
        <f aca="false">IF(Tasks[[#This Row],[Task Name]]="","",Tasks[[#This Row],[Work]])</f>
        <v/>
      </c>
      <c r="BF157" s="111" t="str">
        <f aca="false">IF(Tasks[[#This Row],[Task Name]]="","",Tasks[[#This Row],[Cost]])</f>
        <v/>
      </c>
      <c r="BG157" s="88"/>
      <c r="BH157" s="88"/>
      <c r="BI157" s="46"/>
      <c r="BJ157" s="113"/>
      <c r="BK157" s="112"/>
      <c r="BL157" s="45" t="str">
        <f aca="false">IF(OR(Tasks[[#This Row],[Task Name]]="",Tasks[[#This Row],[Baseline Duration]]=""),"",Tasks[[#This Row],[BL Source Duration]]-N(Tasks[[#This Row],[Baseline Duration]]))</f>
        <v/>
      </c>
      <c r="BM157" s="110" t="str">
        <f aca="false">IF(OR(Tasks[[#This Row],[Task Name]]="",Tasks[[#This Row],[Baseline Work]]=""),"",Tasks[[#This Row],[Work]]-N(Tasks[[#This Row],[Baseline Work]]))</f>
        <v/>
      </c>
      <c r="BN157" s="111" t="str">
        <f aca="false">IF(OR(Tasks[[#This Row],[Task Name]]="",Tasks[[#This Row],[Baseline Cost]]=""),"",Tasks[[#This Row],[Cost]]-N(Tasks[[#This Row],[Baseline Cost]]))</f>
        <v/>
      </c>
      <c r="BO157" s="111" t="str">
        <f aca="false">IF(Tasks[[#This Row],[Task Name]]="","",IF(Tasks[[#This Row],[_IsSummary]],SUM(INDEX(Tasks[_LeafBudget],Tasks[[#This Row],[_Row]]+1):INDEX(Tasks[_LeafBudget],Tasks[[#This Row],[_Row]]+Tasks[[#This Row],[_Descendants]])),Tasks[[#This Row],[_LeafBudget]]))</f>
        <v/>
      </c>
      <c r="BP157" s="111" t="str">
        <f aca="false">IF(Tasks[[#This Row],[Task Name]]="","",IF(Tasks[[#This Row],[_IsSummary]],SUM(INDEX(Tasks[_LeafPV],Tasks[[#This Row],[_Row]]+1):INDEX(Tasks[_LeafPV],Tasks[[#This Row],[_Row]]+Tasks[[#This Row],[_Descendants]])),Tasks[[#This Row],[_LeafPV]]))</f>
        <v/>
      </c>
      <c r="BQ157" s="111" t="str">
        <f aca="false">IF(Tasks[[#This Row],[Task Name]]="","",IF(Tasks[[#This Row],[_IsSummary]],SUM(INDEX(Tasks[_LeafEV],Tasks[[#This Row],[_Row]]+1):INDEX(Tasks[_LeafEV],Tasks[[#This Row],[_Row]]+Tasks[[#This Row],[_Descendants]])),Tasks[[#This Row],[_LeafEV]]))</f>
        <v/>
      </c>
      <c r="BR157" s="111" t="str">
        <f aca="false">IF(Tasks[[#This Row],[Task Name]]="","",IF(Tasks[[#This Row],[_IsSummary]],SUM(INDEX(Tasks[_LeafAC],Tasks[[#This Row],[_Row]]+1):INDEX(Tasks[_LeafAC],Tasks[[#This Row],[_Row]]+Tasks[[#This Row],[_Descendants]])),Tasks[[#This Row],[_LeafAC]]))</f>
        <v/>
      </c>
      <c r="BS157" s="32" t="str">
        <f aca="false">IF(Tasks[[#This Row],[Task Name]]="","",MAX(1,N(Tasks[[#This Row],[Level]])))</f>
        <v/>
      </c>
      <c r="BT157" s="32" t="n">
        <f aca="false">ROW()-ROW(Tasks[[#Headers],[ID]])</f>
        <v>152</v>
      </c>
      <c r="BU157" s="32" t="n">
        <f aca="false">IF(OR(Tasks[[#This Row],[Task Name]]="",Tasks[[#This Row],[_Level]]&lt;=1),0,IFERROR(LOOKUP(2,1/(Tasks[[#Headers],[_Level]]:Tasks[[#This Row],[_Level]]=Tasks[[#This Row],[_Level]]-1),ROW(Tasks[[#Headers],[_Level]]:Tasks[[#This Row],[_Level]])),0))</f>
        <v>0</v>
      </c>
      <c r="BV157" s="32" t="n">
        <f aca="false">IFERROR(N(INDEX(Tasks[_Level],Tasks[[#This Row],[_Row]]+1)),0)</f>
        <v>0</v>
      </c>
      <c r="BW157" s="114" t="b">
        <f aca="false">AND(Tasks[[#This Row],[Task Name]]&lt;&gt;"",Tasks[[#This Row],[_NextLevel]]&gt;Tasks[[#This Row],[_Level]])</f>
        <v>0</v>
      </c>
      <c r="BX157" s="32" t="n">
        <f aca="false">IF(Tasks[[#This Row],[_IsSummary]],COUNTIF(Tasks[WBS],Tasks[[#This Row],[WBS]]&amp;".*"),0)</f>
        <v>0</v>
      </c>
      <c r="BY157" s="32" t="n">
        <f aca="false">IF(AND(Tasks[[#This Row],[Task Name]]&lt;&gt;"",NOT(Tasks[[#This Row],[_IsSummary]])),1,0)</f>
        <v>0</v>
      </c>
      <c r="BZ157" s="32" t="n">
        <f aca="false">IF(N(Tasks[[#This Row],[Pred1 UID]])=0,0,IFERROR(MATCH(Tasks[[#This Row],[Pred1 UID]],Tasks[UID],0),-1))</f>
        <v>0</v>
      </c>
      <c r="CA157" s="32" t="n">
        <f aca="false">IF(N(Tasks[[#This Row],[Pred2 UID]])=0,0,IFERROR(MATCH(Tasks[[#This Row],[Pred2 UID]],Tasks[UID],0),-1))</f>
        <v>0</v>
      </c>
      <c r="CB157" s="32" t="n">
        <f aca="false">IF(N(Tasks[[#This Row],[Pred3 UID]])=0,0,IFERROR(MATCH(Tasks[[#This Row],[Pred3 UID]],Tasks[UID],0),-1))</f>
        <v>0</v>
      </c>
      <c r="CC157" s="32" t="n">
        <f aca="false">IF(N(Tasks[[#This Row],[Pred4 UID]])=0,0,IFERROR(MATCH(Tasks[[#This Row],[Pred4 UID]],Tasks[UID],0),-1))</f>
        <v>0</v>
      </c>
      <c r="CD15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7" s="115" t="n">
        <f aca="false">IF(OR(Tasks[[#This Row],[_ConstraintCode]]=2,Tasks[[#This Row],[_ConstraintCode]]=3,Tasks[[#This Row],[_ConstraintCode]]=4,Tasks[[#This Row],[_ConstraintCode]]=6),Tasks[[#This Row],[_ConstraintStart]],0)</f>
        <v>0</v>
      </c>
      <c r="CG157" s="115" t="n">
        <f aca="false">IF(OR(Tasks[[#This Row],[_ConstraintCode]]=2,Tasks[[#This Row],[_ConstraintCode]]=3,Tasks[[#This Row],[_ConstraintCode]]=5,Tasks[[#This Row],[_ConstraintCode]]=7),Tasks[[#This Row],[_ConstraintStart]],2958465)</f>
        <v>2958465</v>
      </c>
      <c r="CH15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7" s="115" t="str">
        <f aca="false">IF(NOT(Tasks[[#This Row],[_IsLeaf]]=1),"",IF(N(Tasks[[#This Row],[Duration]])&lt;=0,Tasks[[#This Row],[_LeafCalcStart]],WORKDAY.INTL(Tasks[[#This Row],[_LeafCalcStart]],Tasks[[#This Row],[Duration]]-1,WorkWeek,Holidays)))</f>
        <v/>
      </c>
      <c r="CJ15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7" s="32" t="n">
        <f aca="false">IF(NOT(Tasks[[#This Row],[_IsLeaf]]=1),0,IF(N(Tasks[[#This Row],[Actual Finish]])&gt;0,1,MIN(1,N(Tasks[[#This Row],[% Complete]]))))</f>
        <v>0</v>
      </c>
      <c r="CM157" s="32" t="n">
        <f aca="false">IF(OR(NOT(Tasks[[#This Row],[_IsLeaf]]=1),Tasks[[#This Row],[Resource]]=""),0,N(Tasks[[#This Row],[Duration]])*HoursPerDay*IF(Tasks[[#This Row],[Units]]="",DefaultUnits,Tasks[[#This Row],[Units]]))</f>
        <v>0</v>
      </c>
      <c r="CN157" s="32" t="n">
        <f aca="false">IF(Tasks[[#This Row],[_LeafWork]]=0,0,Tasks[[#This Row],[_LeafWork]]*IFERROR(INDEX(res_Rate,MATCH(Tasks[[#This Row],[Resource]],res_Name,0)),0))</f>
        <v>0</v>
      </c>
      <c r="CO157" s="32" t="n">
        <f aca="false">Tasks[[#This Row],[_LeafWork]]+IF(Tasks[[#This Row],[_IsLeaf]]=1,SUMIFS(asg_Work,asg_TaskUID,Tasks[[#This Row],[UID]],asg_Valid,1),0)</f>
        <v>0</v>
      </c>
      <c r="CP157" s="32" t="n">
        <f aca="false">Tasks[[#This Row],[_LeafCost]]+IF(Tasks[[#This Row],[_IsLeaf]]=1,SUMIFS(asg_Cost,asg_TaskUID,Tasks[[#This Row],[UID]],asg_Valid,1),0)</f>
        <v>0</v>
      </c>
      <c r="CQ157" s="32" t="n">
        <f aca="false">IF(Tasks[[#This Row],[_LeafTotalCost]]=0,Tasks[[#This Row],[_LeafAC]],Tasks[[#This Row],[_LeafAC]]*Tasks[[#This Row],[_LeafCost]]/Tasks[[#This Row],[_LeafTotalCost]])</f>
        <v>0</v>
      </c>
      <c r="CR15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7" s="32" t="n">
        <f aca="false">IF(NOT(Tasks[[#This Row],[_IsLeaf]]=1),0,MAX(_xlfn.MAXIFS(Tasks[_Row],Tasks[Pred1 UID],Tasks[[#This Row],[UID]]),_xlfn.MAXIFS(Tasks[_Row],Tasks[Pred2 UID],Tasks[[#This Row],[UID]]),_xlfn.MAXIFS(Tasks[_Row],Tasks[Pred3 UID],Tasks[[#This Row],[UID]]),_xlfn.MAXIFS(Tasks[_Row],Tasks[Pred4 UID],Tasks[[#This Row],[UID]])))</f>
        <v>0</v>
      </c>
      <c r="DA15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7" s="115" t="str">
        <f aca="false">IF(NOT(Tasks[[#This Row],[_IsLeaf]]=1),"",IF(N(Tasks[[#This Row],[Duration]])&lt;=0,Tasks[[#This Row],[_LeafLateFinish]],WORKDAY.INTL(Tasks[[#This Row],[_LeafLateFinish]],-(Tasks[[#This Row],[Duration]]-1),WorkWeek,Holidays)))</f>
        <v/>
      </c>
      <c r="DD15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7" s="114" t="b">
        <f aca="false">AND(Tasks[[#This Row],[_IsLeaf]]=1,Tasks[[#This Row],[_LeafProgress]]&lt;1,N(Tasks[[#This Row],[_LeafTotalSlack]])&lt;=CriticalSlackDays)</f>
        <v>0</v>
      </c>
      <c r="DF157" s="32" t="n">
        <f aca="false">IF(AND(Tasks[[#This Row],[_IsLeaf]]=1,Tasks[[#This Row],[_ConstraintCode]]=1,Tasks[[#This Row],[Mode]]&lt;&gt;"Manual",N(Tasks[[#This Row],[Actual Start]])=0),MAX(0,N(Tasks[[#This Row],[Free Slack]])),0)</f>
        <v>0</v>
      </c>
      <c r="DG157" s="115" t="str">
        <f aca="false">IF(NOT(Tasks[[#This Row],[_IsLeaf]]=1),"",IF(Tasks[[#This Row],[_AlapShift]]=0,Tasks[[#This Row],[_LeafCalcStart]],WORKDAY.INTL(Tasks[[#This Row],[_LeafCalcStart]],Tasks[[#This Row],[_AlapShift]],WorkWeek,Holidays)))</f>
        <v/>
      </c>
      <c r="DH157" s="115" t="str">
        <f aca="false">IF(NOT(Tasks[[#This Row],[_IsLeaf]]=1),"",IF(Tasks[[#This Row],[_AlapShift]]=0,Tasks[[#This Row],[_LeafCalcFinish]],WORKDAY.INTL(Tasks[[#This Row],[_LeafCalcFinish]],Tasks[[#This Row],[_AlapShift]],WorkWeek,Holidays)))</f>
        <v/>
      </c>
      <c r="DI157" s="115" t="str">
        <f aca="false">IF(NOT(Tasks[[#This Row],[_IsLeaf]]=1),"",IF(Tasks[[#This Row],[_AlapShift]]=0,Tasks[[#This Row],[_LeafFcstStart]],WORKDAY.INTL(Tasks[[#This Row],[_LeafFcstStart]],Tasks[[#This Row],[_AlapShift]],WorkWeek,Holidays)))</f>
        <v/>
      </c>
      <c r="DJ157" s="115" t="str">
        <f aca="false">IF(NOT(Tasks[[#This Row],[_IsLeaf]]=1),"",IF(Tasks[[#This Row],[_AlapShift]]=0,Tasks[[#This Row],[_LeafFcstFinish]],WORKDAY.INTL(Tasks[[#This Row],[_LeafFcstFinish]],Tasks[[#This Row],[_AlapShift]],WorkWeek,Holidays)))</f>
        <v/>
      </c>
      <c r="DK157" s="115" t="str">
        <f aca="false">IF(Tasks[[#This Row],[Task Name]]="","",IF(Tasks[[#This Row],[_IsSummary]],MIN(INDEX(Tasks[_ShownCalcStart],Tasks[[#This Row],[_Row]]+1):INDEX(Tasks[_ShownCalcStart],Tasks[[#This Row],[_Row]]+Tasks[[#This Row],[_Descendants]])),Tasks[[#This Row],[_ShownCalcStart]]))</f>
        <v/>
      </c>
      <c r="DL157" s="115" t="str">
        <f aca="false">IF(Tasks[[#This Row],[Task Name]]="","",IF(Tasks[[#This Row],[_IsSummary]],MAX(INDEX(Tasks[_ShownCalcFinish],Tasks[[#This Row],[_Row]]+1):INDEX(Tasks[_ShownCalcFinish],Tasks[[#This Row],[_Row]]+Tasks[[#This Row],[_Descendants]])),Tasks[[#This Row],[_ShownCalcFinish]]))</f>
        <v/>
      </c>
      <c r="DM15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7" s="32" t="n">
        <f aca="false">IF(AND(Tasks[[#This Row],[_IsLeaf]]=1,Tasks[[#This Row],[_LeafTotalWork]]&gt;0),NETWORKDAYS.INTL(ProjectStart,Tasks[[#This Row],[_ShownFcstStart]],WorkWeek,Holidays),0)</f>
        <v>0</v>
      </c>
      <c r="DZ157" s="32" t="n">
        <f aca="false">IF(AND(Tasks[[#This Row],[_IsLeaf]]=1,Tasks[[#This Row],[_LeafTotalWork]]&gt;0),MAX(Tasks[[#This Row],[_StartWorkday]],NETWORKDAYS.INTL(ProjectStart,Tasks[[#This Row],[_ShownFcstFinish]],WorkWeek,Holidays)),0)</f>
        <v>0</v>
      </c>
      <c r="EA157" s="32" t="n">
        <f aca="false">IF(AND(Tasks[[#This Row],[_IsLeaf]]=1,Tasks[[#This Row],[_LeafTotalWork]]&gt;0),Tasks[[#This Row],[_LeafWork]]/(Tasks[[#This Row],[_FinishWorkday]]-Tasks[[#This Row],[_StartWorkday]]+1),0)</f>
        <v>0</v>
      </c>
      <c r="EB157" s="32" t="n">
        <f aca="false">Tasks[[#This Row],[_WorkPerWorkday]]*(Tasks[[#This Row],[_StartWorkday]]-1)</f>
        <v>-0</v>
      </c>
      <c r="EC157" s="32" t="n">
        <f aca="false">IF(Tasks[[#This Row],[_IsLeaf]]=1,MAX(N(Tasks[[#This Row],[Duration]]),0.1),0)</f>
        <v>0</v>
      </c>
      <c r="ED157" s="32" t="n">
        <f aca="false">Tasks[[#This Row],[_WeightDur]]*Tasks[[#This Row],[_LeafProgress]]</f>
        <v>0</v>
      </c>
      <c r="EE15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7" s="32" t="str">
        <f aca="false">IF(AND(Tasks[[#This Row],[_IsLeaf]]=1,N(Tasks[[#This Row],[Duration]])=0,Tasks[[#This Row],[_LeafProgress]]&lt;1),Tasks[[#This Row],[_ShownFcstFinish]]+Tasks[[#This Row],[_Row]]/100000,"")</f>
        <v/>
      </c>
      <c r="EG15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7" s="32" t="n">
        <f aca="false">IF(NOT(Tasks[[#This Row],[_IsLeaf]]=1),0,IF(Tasks[[#This Row],[Baseline Cost]]="",Tasks[[#This Row],[_LeafTotalCost]],N(Tasks[[#This Row],[Baseline Cost]])))</f>
        <v>0</v>
      </c>
      <c r="EI157" s="32" t="n">
        <f aca="false">Tasks[[#This Row],[_LeafBudget]]*Tasks[[#This Row],[_PlannedPct]]</f>
        <v>0</v>
      </c>
      <c r="EJ157" s="32" t="n">
        <f aca="false">Tasks[[#This Row],[_LeafBudget]]*Tasks[[#This Row],[_LeafProgress]]</f>
        <v>0</v>
      </c>
      <c r="EK157" s="32" t="n">
        <f aca="false">IF(NOT(Tasks[[#This Row],[_IsLeaf]]=1),0,IF(Tasks[[#This Row],[Actual Cost]]="",Tasks[[#This Row],[_LeafTotalCost]]*Tasks[[#This Row],[_LeafProgress]],N(Tasks[[#This Row],[Actual Cost]])))</f>
        <v>0</v>
      </c>
      <c r="EL157" s="32" t="str">
        <f aca="false">IF(Tasks[[#This Row],[Task Name]]="","",LEFT(Tasks[[#This Row],[WBS]],FIND(".",Tasks[[#This Row],[WBS]]&amp;".")-1))</f>
        <v/>
      </c>
      <c r="EM157" s="32" t="str">
        <f aca="false">IF(AND(Tasks[[#This Row],[Task Name]]&lt;&gt;"",Tasks[[#This Row],[_Level]]=1),Tasks[[#This Row],[_Row]],"")</f>
        <v/>
      </c>
      <c r="EN157" s="32" t="str">
        <f aca="false">IF(AND(Tasks[[#This Row],[_IsLeaf]]=1,N(Tasks[[#This Row],[Duration]])=0),Tasks[[#This Row],[Planned Finish]]+Tasks[[#This Row],[_Row]]/100000,"")</f>
        <v/>
      </c>
      <c r="EO157" s="32" t="str">
        <f aca="false">IF(AND(Tasks[[#This Row],[_IsLeaf]]=1,Tasks[[#This Row],[_LeafProgress]]&lt;1,OR(N(Tasks[[#This Row],[Finish Var]])&gt;0,Tasks[[#This Row],[Status]]="Late Start")),MAX(0,Tasks[[#This Row],[Finish Var]])+1-Tasks[[#This Row],[_Row]]/1000000,"")</f>
        <v/>
      </c>
      <c r="EP157" s="32" t="str">
        <f aca="false">IF(AND(Tasks[[#This Row],[_IsLeaf]]=1,N(Tasks[[#This Row],[Actual Start]])=0,Tasks[[#This Row],[_ShownFcstStart]]&gt;=StatusDate,Tasks[[#This Row],[_ShownFcstStart]]&lt;=LookaheadEnd),Tasks[[#This Row],[_ShownFcstStart]]+Tasks[[#This Row],[_Row]]/100000,"")</f>
        <v/>
      </c>
      <c r="EQ157" s="32" t="str">
        <f aca="false">IF(AND(Tasks[[#This Row],[_IsLeaf]]=1,Tasks[[#This Row],[_LeafProgress]]&lt;1,Tasks[[#This Row],[_ShownFcstFinish]]&gt;=StatusDate,Tasks[[#This Row],[_ShownFcstFinish]]&lt;=LookaheadEnd),Tasks[[#This Row],[_ShownFcstFinish]]+Tasks[[#This Row],[_Row]]/100000,"")</f>
        <v/>
      </c>
      <c r="ER157" s="32" t="str">
        <f aca="false">IF(Tasks[[#This Row],[_LeafCritical]],Tasks[[#This Row],[_ShownFcstStart]]+Tasks[[#This Row],[_Row]]/100000,"")</f>
        <v/>
      </c>
      <c r="ES157" s="32" t="n">
        <f aca="false">Tasks[[#This Row],[_LeafWork]]*Tasks[[#This Row],[_LeafProgress]]</f>
        <v>0</v>
      </c>
      <c r="ET157" s="115" t="str">
        <f aca="false">IF(AND(Tasks[[#This Row],[_IsLeaf]]=1,Tasks[[#This Row],[_LeafProgress]]&gt;=1),IF(N(Tasks[[#This Row],[Actual Finish]])&gt;0,Tasks[[#This Row],[Actual Finish]],Tasks[[#This Row],[_ShownFcstFinish]]),"")</f>
        <v/>
      </c>
      <c r="EU157" s="32" t="n">
        <f aca="false">IF(Tasks[[#This Row],[_IsLeaf]]=1,N(Tasks[[#This Row],[Story Points]]),0)</f>
        <v>0</v>
      </c>
      <c r="EV157" s="32" t="str">
        <f aca="false">IF(AND(Tasks[[#This Row],[_IsLeaf]]=1,CurrentSprint&lt;&gt;"",Tasks[[#This Row],[Sprint]]=CurrentSprint),Tasks[[#This Row],[_Row]],"")</f>
        <v/>
      </c>
    </row>
    <row r="158" customFormat="false" ht="15" hidden="false" customHeight="false" outlineLevel="0" collapsed="false">
      <c r="A158" s="45" t="str">
        <f aca="false">IF(Tasks[[#This Row],[Task Name]]="","",COUNTA(Tasks[[#Headers],[Task Name]]:Tasks[[#This Row],[Task Name]])-1)</f>
        <v/>
      </c>
      <c r="B158" s="46" t="n">
        <v>153</v>
      </c>
      <c r="C15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8" s="46"/>
      <c r="E158" s="45" t="str">
        <f aca="false">IF(Tasks[[#This Row],[Task Name]]="","",IF(Tasks[[#This Row],[_Level]]&lt;=OutlineShowLevel,"Yes","No"))</f>
        <v/>
      </c>
      <c r="F158" s="47"/>
      <c r="G158" s="46"/>
      <c r="H158" s="46"/>
      <c r="I158" s="46"/>
      <c r="J158" s="46"/>
      <c r="K158" s="46"/>
      <c r="L158" s="46"/>
      <c r="M158" s="46"/>
      <c r="N158" s="46"/>
      <c r="O158" s="46"/>
      <c r="P158" s="46"/>
      <c r="Q158" s="46"/>
      <c r="R158" s="46"/>
      <c r="S158" s="46"/>
      <c r="T158" s="46"/>
      <c r="U158" s="47"/>
      <c r="V158" s="88"/>
      <c r="W158" s="88"/>
      <c r="X158" s="25" t="str">
        <f aca="false">IF(Tasks[[#This Row],[Task Name]]="","",IF(N(Tasks[[#This Row],[Baseline Start]])&gt;0,Tasks[[#This Row],[Baseline Start]],Tasks[[#This Row],[_CalcStart]]))</f>
        <v/>
      </c>
      <c r="Y158" s="25" t="str">
        <f aca="false">IF(Tasks[[#This Row],[Task Name]]="","",IF(N(Tasks[[#This Row],[Baseline Finish]])&gt;0,Tasks[[#This Row],[Baseline Finish]],Tasks[[#This Row],[_CalcFinish]]))</f>
        <v/>
      </c>
      <c r="Z158" s="88"/>
      <c r="AA158" s="88"/>
      <c r="AB158" s="25" t="str">
        <f aca="false">IF(Tasks[[#This Row],[Task Name]]="","",IF(Tasks[[#This Row],[_IsSummary]],MIN(INDEX(Tasks[_ShownFcstStart],Tasks[[#This Row],[_Row]]+1):INDEX(Tasks[_ShownFcstStart],Tasks[[#This Row],[_Row]]+Tasks[[#This Row],[_Descendants]])),Tasks[[#This Row],[_ShownFcstStart]]))</f>
        <v/>
      </c>
      <c r="AC158" s="25" t="str">
        <f aca="false">IF(Tasks[[#This Row],[Task Name]]="","",IF(Tasks[[#This Row],[_IsSummary]],MAX(INDEX(Tasks[_ShownFcstFinish],Tasks[[#This Row],[_Row]]+1):INDEX(Tasks[_ShownFcstFinish],Tasks[[#This Row],[_Row]]+Tasks[[#This Row],[_Descendants]])),Tasks[[#This Row],[_ShownFcstFinish]]))</f>
        <v/>
      </c>
      <c r="AD15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8" s="25" t="str">
        <f aca="false">IF(Tasks[[#This Row],[Task Name]]="","",IF(Tasks[[#This Row],[_IsSummary]],MIN(INDEX(Tasks[_LeafLateStart],Tasks[[#This Row],[_Row]]+1):INDEX(Tasks[_LeafLateStart],Tasks[[#This Row],[_Row]]+Tasks[[#This Row],[_Descendants]])),Tasks[[#This Row],[_LeafLateStart]]))</f>
        <v/>
      </c>
      <c r="AG158" s="25" t="str">
        <f aca="false">IF(Tasks[[#This Row],[Task Name]]="","",IF(Tasks[[#This Row],[_IsSummary]],MAX(INDEX(Tasks[_LeafLateFinish],Tasks[[#This Row],[_Row]]+1):INDEX(Tasks[_LeafLateFinish],Tasks[[#This Row],[_Row]]+Tasks[[#This Row],[_Descendants]])),Tasks[[#This Row],[_LeafLateFinish]]))</f>
        <v/>
      </c>
      <c r="AH158" s="56" t="str">
        <f aca="false">IF(Tasks[[#This Row],[Task Name]]="","",IF(Tasks[[#This Row],[_IsSummary]],MIN(INDEX(Tasks[_LeafTotalSlack],Tasks[[#This Row],[_Row]]+1):INDEX(Tasks[_LeafTotalSlack],Tasks[[#This Row],[_Row]]+Tasks[[#This Row],[_Descendants]])),Tasks[[#This Row],[_LeafTotalSlack]]))</f>
        <v/>
      </c>
      <c r="AI15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8" s="45" t="str">
        <f aca="false">IF(Tasks[[#This Row],[Task Name]]="","",IF(IF(Tasks[[#This Row],[_IsSummary]],COUNTIF(INDEX(Tasks[_LeafCritical],Tasks[[#This Row],[_Row]]+1):INDEX(Tasks[_LeafCritical],Tasks[[#This Row],[_Row]]+Tasks[[#This Row],[_Descendants]]),TRUE())&gt;0,Tasks[[#This Row],[_LeafCritical]]),"Yes",""))</f>
        <v/>
      </c>
      <c r="AK15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8" s="102"/>
      <c r="AN15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8" s="45" t="str">
        <f aca="false">IF(Tasks[[#This Row],[Task Name]]="","",IF(Tasks[[#This Row],[Progress]]&gt;=1,"Complete",IF(OR(N(Tasks[[#This Row],[Actual Start]])&gt;0,Tasks[[#This Row],[Progress]]&gt;0),IF(Tasks[[#This Row],[Finish Var]]&gt;0,"Behind","In Progress"),IF(Tasks[[#This Row],[Planned Start]]&lt;StatusDate,"Late Start","Not Started"))))</f>
        <v/>
      </c>
      <c r="AP158" s="47"/>
      <c r="AQ158" s="102"/>
      <c r="AR15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8" s="110" t="str">
        <f aca="false">IF(Tasks[[#This Row],[Task Name]]="","",IF(Tasks[[#This Row],[_IsSummary]],SUM(INDEX(Tasks[_LeafTotalWork],Tasks[[#This Row],[_Row]]+1):INDEX(Tasks[_LeafTotalWork],Tasks[[#This Row],[_Row]]+Tasks[[#This Row],[_Descendants]])),Tasks[[#This Row],[_LeafTotalWork]]))</f>
        <v/>
      </c>
      <c r="AU158" s="111" t="str">
        <f aca="false">IF(Tasks[[#This Row],[Task Name]]="","",IF(Tasks[[#This Row],[_IsSummary]],SUM(INDEX(Tasks[_LeafTotalCost],Tasks[[#This Row],[_Row]]+1):INDEX(Tasks[_LeafTotalCost],Tasks[[#This Row],[_Row]]+Tasks[[#This Row],[_Descendants]])),Tasks[[#This Row],[_LeafTotalCost]]))</f>
        <v/>
      </c>
      <c r="AV158" s="112"/>
      <c r="AW158" s="46"/>
      <c r="AX15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8" s="96"/>
      <c r="AZ15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8" s="47"/>
      <c r="BB158" s="25" t="str">
        <f aca="false">IF(Tasks[[#This Row],[Task Name]]="","",Tasks[[#This Row],[Forecast Start]])</f>
        <v/>
      </c>
      <c r="BC158" s="25" t="str">
        <f aca="false">IF(Tasks[[#This Row],[Task Name]]="","",Tasks[[#This Row],[Forecast Finish]])</f>
        <v/>
      </c>
      <c r="BD158" s="45" t="str">
        <f aca="false">IF(Tasks[[#This Row],[Task Name]]="","",IF(Tasks[[#This Row],[_IsSummary]],NETWORKDAYS.INTL(Tasks[[#This Row],[Forecast Start]],Tasks[[#This Row],[Forecast Finish]],WorkWeek,Holidays),N(Tasks[[#This Row],[Duration]])))</f>
        <v/>
      </c>
      <c r="BE158" s="110" t="str">
        <f aca="false">IF(Tasks[[#This Row],[Task Name]]="","",Tasks[[#This Row],[Work]])</f>
        <v/>
      </c>
      <c r="BF158" s="111" t="str">
        <f aca="false">IF(Tasks[[#This Row],[Task Name]]="","",Tasks[[#This Row],[Cost]])</f>
        <v/>
      </c>
      <c r="BG158" s="88"/>
      <c r="BH158" s="88"/>
      <c r="BI158" s="46"/>
      <c r="BJ158" s="113"/>
      <c r="BK158" s="112"/>
      <c r="BL158" s="45" t="str">
        <f aca="false">IF(OR(Tasks[[#This Row],[Task Name]]="",Tasks[[#This Row],[Baseline Duration]]=""),"",Tasks[[#This Row],[BL Source Duration]]-N(Tasks[[#This Row],[Baseline Duration]]))</f>
        <v/>
      </c>
      <c r="BM158" s="110" t="str">
        <f aca="false">IF(OR(Tasks[[#This Row],[Task Name]]="",Tasks[[#This Row],[Baseline Work]]=""),"",Tasks[[#This Row],[Work]]-N(Tasks[[#This Row],[Baseline Work]]))</f>
        <v/>
      </c>
      <c r="BN158" s="111" t="str">
        <f aca="false">IF(OR(Tasks[[#This Row],[Task Name]]="",Tasks[[#This Row],[Baseline Cost]]=""),"",Tasks[[#This Row],[Cost]]-N(Tasks[[#This Row],[Baseline Cost]]))</f>
        <v/>
      </c>
      <c r="BO158" s="111" t="str">
        <f aca="false">IF(Tasks[[#This Row],[Task Name]]="","",IF(Tasks[[#This Row],[_IsSummary]],SUM(INDEX(Tasks[_LeafBudget],Tasks[[#This Row],[_Row]]+1):INDEX(Tasks[_LeafBudget],Tasks[[#This Row],[_Row]]+Tasks[[#This Row],[_Descendants]])),Tasks[[#This Row],[_LeafBudget]]))</f>
        <v/>
      </c>
      <c r="BP158" s="111" t="str">
        <f aca="false">IF(Tasks[[#This Row],[Task Name]]="","",IF(Tasks[[#This Row],[_IsSummary]],SUM(INDEX(Tasks[_LeafPV],Tasks[[#This Row],[_Row]]+1):INDEX(Tasks[_LeafPV],Tasks[[#This Row],[_Row]]+Tasks[[#This Row],[_Descendants]])),Tasks[[#This Row],[_LeafPV]]))</f>
        <v/>
      </c>
      <c r="BQ158" s="111" t="str">
        <f aca="false">IF(Tasks[[#This Row],[Task Name]]="","",IF(Tasks[[#This Row],[_IsSummary]],SUM(INDEX(Tasks[_LeafEV],Tasks[[#This Row],[_Row]]+1):INDEX(Tasks[_LeafEV],Tasks[[#This Row],[_Row]]+Tasks[[#This Row],[_Descendants]])),Tasks[[#This Row],[_LeafEV]]))</f>
        <v/>
      </c>
      <c r="BR158" s="111" t="str">
        <f aca="false">IF(Tasks[[#This Row],[Task Name]]="","",IF(Tasks[[#This Row],[_IsSummary]],SUM(INDEX(Tasks[_LeafAC],Tasks[[#This Row],[_Row]]+1):INDEX(Tasks[_LeafAC],Tasks[[#This Row],[_Row]]+Tasks[[#This Row],[_Descendants]])),Tasks[[#This Row],[_LeafAC]]))</f>
        <v/>
      </c>
      <c r="BS158" s="32" t="str">
        <f aca="false">IF(Tasks[[#This Row],[Task Name]]="","",MAX(1,N(Tasks[[#This Row],[Level]])))</f>
        <v/>
      </c>
      <c r="BT158" s="32" t="n">
        <f aca="false">ROW()-ROW(Tasks[[#Headers],[ID]])</f>
        <v>153</v>
      </c>
      <c r="BU158" s="32" t="n">
        <f aca="false">IF(OR(Tasks[[#This Row],[Task Name]]="",Tasks[[#This Row],[_Level]]&lt;=1),0,IFERROR(LOOKUP(2,1/(Tasks[[#Headers],[_Level]]:Tasks[[#This Row],[_Level]]=Tasks[[#This Row],[_Level]]-1),ROW(Tasks[[#Headers],[_Level]]:Tasks[[#This Row],[_Level]])),0))</f>
        <v>0</v>
      </c>
      <c r="BV158" s="32" t="n">
        <f aca="false">IFERROR(N(INDEX(Tasks[_Level],Tasks[[#This Row],[_Row]]+1)),0)</f>
        <v>0</v>
      </c>
      <c r="BW158" s="114" t="b">
        <f aca="false">AND(Tasks[[#This Row],[Task Name]]&lt;&gt;"",Tasks[[#This Row],[_NextLevel]]&gt;Tasks[[#This Row],[_Level]])</f>
        <v>0</v>
      </c>
      <c r="BX158" s="32" t="n">
        <f aca="false">IF(Tasks[[#This Row],[_IsSummary]],COUNTIF(Tasks[WBS],Tasks[[#This Row],[WBS]]&amp;".*"),0)</f>
        <v>0</v>
      </c>
      <c r="BY158" s="32" t="n">
        <f aca="false">IF(AND(Tasks[[#This Row],[Task Name]]&lt;&gt;"",NOT(Tasks[[#This Row],[_IsSummary]])),1,0)</f>
        <v>0</v>
      </c>
      <c r="BZ158" s="32" t="n">
        <f aca="false">IF(N(Tasks[[#This Row],[Pred1 UID]])=0,0,IFERROR(MATCH(Tasks[[#This Row],[Pred1 UID]],Tasks[UID],0),-1))</f>
        <v>0</v>
      </c>
      <c r="CA158" s="32" t="n">
        <f aca="false">IF(N(Tasks[[#This Row],[Pred2 UID]])=0,0,IFERROR(MATCH(Tasks[[#This Row],[Pred2 UID]],Tasks[UID],0),-1))</f>
        <v>0</v>
      </c>
      <c r="CB158" s="32" t="n">
        <f aca="false">IF(N(Tasks[[#This Row],[Pred3 UID]])=0,0,IFERROR(MATCH(Tasks[[#This Row],[Pred3 UID]],Tasks[UID],0),-1))</f>
        <v>0</v>
      </c>
      <c r="CC158" s="32" t="n">
        <f aca="false">IF(N(Tasks[[#This Row],[Pred4 UID]])=0,0,IFERROR(MATCH(Tasks[[#This Row],[Pred4 UID]],Tasks[UID],0),-1))</f>
        <v>0</v>
      </c>
      <c r="CD15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8" s="115" t="n">
        <f aca="false">IF(OR(Tasks[[#This Row],[_ConstraintCode]]=2,Tasks[[#This Row],[_ConstraintCode]]=3,Tasks[[#This Row],[_ConstraintCode]]=4,Tasks[[#This Row],[_ConstraintCode]]=6),Tasks[[#This Row],[_ConstraintStart]],0)</f>
        <v>0</v>
      </c>
      <c r="CG158" s="115" t="n">
        <f aca="false">IF(OR(Tasks[[#This Row],[_ConstraintCode]]=2,Tasks[[#This Row],[_ConstraintCode]]=3,Tasks[[#This Row],[_ConstraintCode]]=5,Tasks[[#This Row],[_ConstraintCode]]=7),Tasks[[#This Row],[_ConstraintStart]],2958465)</f>
        <v>2958465</v>
      </c>
      <c r="CH15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8" s="115" t="str">
        <f aca="false">IF(NOT(Tasks[[#This Row],[_IsLeaf]]=1),"",IF(N(Tasks[[#This Row],[Duration]])&lt;=0,Tasks[[#This Row],[_LeafCalcStart]],WORKDAY.INTL(Tasks[[#This Row],[_LeafCalcStart]],Tasks[[#This Row],[Duration]]-1,WorkWeek,Holidays)))</f>
        <v/>
      </c>
      <c r="CJ15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8" s="32" t="n">
        <f aca="false">IF(NOT(Tasks[[#This Row],[_IsLeaf]]=1),0,IF(N(Tasks[[#This Row],[Actual Finish]])&gt;0,1,MIN(1,N(Tasks[[#This Row],[% Complete]]))))</f>
        <v>0</v>
      </c>
      <c r="CM158" s="32" t="n">
        <f aca="false">IF(OR(NOT(Tasks[[#This Row],[_IsLeaf]]=1),Tasks[[#This Row],[Resource]]=""),0,N(Tasks[[#This Row],[Duration]])*HoursPerDay*IF(Tasks[[#This Row],[Units]]="",DefaultUnits,Tasks[[#This Row],[Units]]))</f>
        <v>0</v>
      </c>
      <c r="CN158" s="32" t="n">
        <f aca="false">IF(Tasks[[#This Row],[_LeafWork]]=0,0,Tasks[[#This Row],[_LeafWork]]*IFERROR(INDEX(res_Rate,MATCH(Tasks[[#This Row],[Resource]],res_Name,0)),0))</f>
        <v>0</v>
      </c>
      <c r="CO158" s="32" t="n">
        <f aca="false">Tasks[[#This Row],[_LeafWork]]+IF(Tasks[[#This Row],[_IsLeaf]]=1,SUMIFS(asg_Work,asg_TaskUID,Tasks[[#This Row],[UID]],asg_Valid,1),0)</f>
        <v>0</v>
      </c>
      <c r="CP158" s="32" t="n">
        <f aca="false">Tasks[[#This Row],[_LeafCost]]+IF(Tasks[[#This Row],[_IsLeaf]]=1,SUMIFS(asg_Cost,asg_TaskUID,Tasks[[#This Row],[UID]],asg_Valid,1),0)</f>
        <v>0</v>
      </c>
      <c r="CQ158" s="32" t="n">
        <f aca="false">IF(Tasks[[#This Row],[_LeafTotalCost]]=0,Tasks[[#This Row],[_LeafAC]],Tasks[[#This Row],[_LeafAC]]*Tasks[[#This Row],[_LeafCost]]/Tasks[[#This Row],[_LeafTotalCost]])</f>
        <v>0</v>
      </c>
      <c r="CR15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8" s="32" t="n">
        <f aca="false">IF(NOT(Tasks[[#This Row],[_IsLeaf]]=1),0,MAX(_xlfn.MAXIFS(Tasks[_Row],Tasks[Pred1 UID],Tasks[[#This Row],[UID]]),_xlfn.MAXIFS(Tasks[_Row],Tasks[Pred2 UID],Tasks[[#This Row],[UID]]),_xlfn.MAXIFS(Tasks[_Row],Tasks[Pred3 UID],Tasks[[#This Row],[UID]]),_xlfn.MAXIFS(Tasks[_Row],Tasks[Pred4 UID],Tasks[[#This Row],[UID]])))</f>
        <v>0</v>
      </c>
      <c r="DA15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8" s="115" t="str">
        <f aca="false">IF(NOT(Tasks[[#This Row],[_IsLeaf]]=1),"",IF(N(Tasks[[#This Row],[Duration]])&lt;=0,Tasks[[#This Row],[_LeafLateFinish]],WORKDAY.INTL(Tasks[[#This Row],[_LeafLateFinish]],-(Tasks[[#This Row],[Duration]]-1),WorkWeek,Holidays)))</f>
        <v/>
      </c>
      <c r="DD15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8" s="114" t="b">
        <f aca="false">AND(Tasks[[#This Row],[_IsLeaf]]=1,Tasks[[#This Row],[_LeafProgress]]&lt;1,N(Tasks[[#This Row],[_LeafTotalSlack]])&lt;=CriticalSlackDays)</f>
        <v>0</v>
      </c>
      <c r="DF158" s="32" t="n">
        <f aca="false">IF(AND(Tasks[[#This Row],[_IsLeaf]]=1,Tasks[[#This Row],[_ConstraintCode]]=1,Tasks[[#This Row],[Mode]]&lt;&gt;"Manual",N(Tasks[[#This Row],[Actual Start]])=0),MAX(0,N(Tasks[[#This Row],[Free Slack]])),0)</f>
        <v>0</v>
      </c>
      <c r="DG158" s="115" t="str">
        <f aca="false">IF(NOT(Tasks[[#This Row],[_IsLeaf]]=1),"",IF(Tasks[[#This Row],[_AlapShift]]=0,Tasks[[#This Row],[_LeafCalcStart]],WORKDAY.INTL(Tasks[[#This Row],[_LeafCalcStart]],Tasks[[#This Row],[_AlapShift]],WorkWeek,Holidays)))</f>
        <v/>
      </c>
      <c r="DH158" s="115" t="str">
        <f aca="false">IF(NOT(Tasks[[#This Row],[_IsLeaf]]=1),"",IF(Tasks[[#This Row],[_AlapShift]]=0,Tasks[[#This Row],[_LeafCalcFinish]],WORKDAY.INTL(Tasks[[#This Row],[_LeafCalcFinish]],Tasks[[#This Row],[_AlapShift]],WorkWeek,Holidays)))</f>
        <v/>
      </c>
      <c r="DI158" s="115" t="str">
        <f aca="false">IF(NOT(Tasks[[#This Row],[_IsLeaf]]=1),"",IF(Tasks[[#This Row],[_AlapShift]]=0,Tasks[[#This Row],[_LeafFcstStart]],WORKDAY.INTL(Tasks[[#This Row],[_LeafFcstStart]],Tasks[[#This Row],[_AlapShift]],WorkWeek,Holidays)))</f>
        <v/>
      </c>
      <c r="DJ158" s="115" t="str">
        <f aca="false">IF(NOT(Tasks[[#This Row],[_IsLeaf]]=1),"",IF(Tasks[[#This Row],[_AlapShift]]=0,Tasks[[#This Row],[_LeafFcstFinish]],WORKDAY.INTL(Tasks[[#This Row],[_LeafFcstFinish]],Tasks[[#This Row],[_AlapShift]],WorkWeek,Holidays)))</f>
        <v/>
      </c>
      <c r="DK158" s="115" t="str">
        <f aca="false">IF(Tasks[[#This Row],[Task Name]]="","",IF(Tasks[[#This Row],[_IsSummary]],MIN(INDEX(Tasks[_ShownCalcStart],Tasks[[#This Row],[_Row]]+1):INDEX(Tasks[_ShownCalcStart],Tasks[[#This Row],[_Row]]+Tasks[[#This Row],[_Descendants]])),Tasks[[#This Row],[_ShownCalcStart]]))</f>
        <v/>
      </c>
      <c r="DL158" s="115" t="str">
        <f aca="false">IF(Tasks[[#This Row],[Task Name]]="","",IF(Tasks[[#This Row],[_IsSummary]],MAX(INDEX(Tasks[_ShownCalcFinish],Tasks[[#This Row],[_Row]]+1):INDEX(Tasks[_ShownCalcFinish],Tasks[[#This Row],[_Row]]+Tasks[[#This Row],[_Descendants]])),Tasks[[#This Row],[_ShownCalcFinish]]))</f>
        <v/>
      </c>
      <c r="DM15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8" s="32" t="n">
        <f aca="false">IF(AND(Tasks[[#This Row],[_IsLeaf]]=1,Tasks[[#This Row],[_LeafTotalWork]]&gt;0),NETWORKDAYS.INTL(ProjectStart,Tasks[[#This Row],[_ShownFcstStart]],WorkWeek,Holidays),0)</f>
        <v>0</v>
      </c>
      <c r="DZ158" s="32" t="n">
        <f aca="false">IF(AND(Tasks[[#This Row],[_IsLeaf]]=1,Tasks[[#This Row],[_LeafTotalWork]]&gt;0),MAX(Tasks[[#This Row],[_StartWorkday]],NETWORKDAYS.INTL(ProjectStart,Tasks[[#This Row],[_ShownFcstFinish]],WorkWeek,Holidays)),0)</f>
        <v>0</v>
      </c>
      <c r="EA158" s="32" t="n">
        <f aca="false">IF(AND(Tasks[[#This Row],[_IsLeaf]]=1,Tasks[[#This Row],[_LeafTotalWork]]&gt;0),Tasks[[#This Row],[_LeafWork]]/(Tasks[[#This Row],[_FinishWorkday]]-Tasks[[#This Row],[_StartWorkday]]+1),0)</f>
        <v>0</v>
      </c>
      <c r="EB158" s="32" t="n">
        <f aca="false">Tasks[[#This Row],[_WorkPerWorkday]]*(Tasks[[#This Row],[_StartWorkday]]-1)</f>
        <v>-0</v>
      </c>
      <c r="EC158" s="32" t="n">
        <f aca="false">IF(Tasks[[#This Row],[_IsLeaf]]=1,MAX(N(Tasks[[#This Row],[Duration]]),0.1),0)</f>
        <v>0</v>
      </c>
      <c r="ED158" s="32" t="n">
        <f aca="false">Tasks[[#This Row],[_WeightDur]]*Tasks[[#This Row],[_LeafProgress]]</f>
        <v>0</v>
      </c>
      <c r="EE15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8" s="32" t="str">
        <f aca="false">IF(AND(Tasks[[#This Row],[_IsLeaf]]=1,N(Tasks[[#This Row],[Duration]])=0,Tasks[[#This Row],[_LeafProgress]]&lt;1),Tasks[[#This Row],[_ShownFcstFinish]]+Tasks[[#This Row],[_Row]]/100000,"")</f>
        <v/>
      </c>
      <c r="EG15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8" s="32" t="n">
        <f aca="false">IF(NOT(Tasks[[#This Row],[_IsLeaf]]=1),0,IF(Tasks[[#This Row],[Baseline Cost]]="",Tasks[[#This Row],[_LeafTotalCost]],N(Tasks[[#This Row],[Baseline Cost]])))</f>
        <v>0</v>
      </c>
      <c r="EI158" s="32" t="n">
        <f aca="false">Tasks[[#This Row],[_LeafBudget]]*Tasks[[#This Row],[_PlannedPct]]</f>
        <v>0</v>
      </c>
      <c r="EJ158" s="32" t="n">
        <f aca="false">Tasks[[#This Row],[_LeafBudget]]*Tasks[[#This Row],[_LeafProgress]]</f>
        <v>0</v>
      </c>
      <c r="EK158" s="32" t="n">
        <f aca="false">IF(NOT(Tasks[[#This Row],[_IsLeaf]]=1),0,IF(Tasks[[#This Row],[Actual Cost]]="",Tasks[[#This Row],[_LeafTotalCost]]*Tasks[[#This Row],[_LeafProgress]],N(Tasks[[#This Row],[Actual Cost]])))</f>
        <v>0</v>
      </c>
      <c r="EL158" s="32" t="str">
        <f aca="false">IF(Tasks[[#This Row],[Task Name]]="","",LEFT(Tasks[[#This Row],[WBS]],FIND(".",Tasks[[#This Row],[WBS]]&amp;".")-1))</f>
        <v/>
      </c>
      <c r="EM158" s="32" t="str">
        <f aca="false">IF(AND(Tasks[[#This Row],[Task Name]]&lt;&gt;"",Tasks[[#This Row],[_Level]]=1),Tasks[[#This Row],[_Row]],"")</f>
        <v/>
      </c>
      <c r="EN158" s="32" t="str">
        <f aca="false">IF(AND(Tasks[[#This Row],[_IsLeaf]]=1,N(Tasks[[#This Row],[Duration]])=0),Tasks[[#This Row],[Planned Finish]]+Tasks[[#This Row],[_Row]]/100000,"")</f>
        <v/>
      </c>
      <c r="EO158" s="32" t="str">
        <f aca="false">IF(AND(Tasks[[#This Row],[_IsLeaf]]=1,Tasks[[#This Row],[_LeafProgress]]&lt;1,OR(N(Tasks[[#This Row],[Finish Var]])&gt;0,Tasks[[#This Row],[Status]]="Late Start")),MAX(0,Tasks[[#This Row],[Finish Var]])+1-Tasks[[#This Row],[_Row]]/1000000,"")</f>
        <v/>
      </c>
      <c r="EP158" s="32" t="str">
        <f aca="false">IF(AND(Tasks[[#This Row],[_IsLeaf]]=1,N(Tasks[[#This Row],[Actual Start]])=0,Tasks[[#This Row],[_ShownFcstStart]]&gt;=StatusDate,Tasks[[#This Row],[_ShownFcstStart]]&lt;=LookaheadEnd),Tasks[[#This Row],[_ShownFcstStart]]+Tasks[[#This Row],[_Row]]/100000,"")</f>
        <v/>
      </c>
      <c r="EQ158" s="32" t="str">
        <f aca="false">IF(AND(Tasks[[#This Row],[_IsLeaf]]=1,Tasks[[#This Row],[_LeafProgress]]&lt;1,Tasks[[#This Row],[_ShownFcstFinish]]&gt;=StatusDate,Tasks[[#This Row],[_ShownFcstFinish]]&lt;=LookaheadEnd),Tasks[[#This Row],[_ShownFcstFinish]]+Tasks[[#This Row],[_Row]]/100000,"")</f>
        <v/>
      </c>
      <c r="ER158" s="32" t="str">
        <f aca="false">IF(Tasks[[#This Row],[_LeafCritical]],Tasks[[#This Row],[_ShownFcstStart]]+Tasks[[#This Row],[_Row]]/100000,"")</f>
        <v/>
      </c>
      <c r="ES158" s="32" t="n">
        <f aca="false">Tasks[[#This Row],[_LeafWork]]*Tasks[[#This Row],[_LeafProgress]]</f>
        <v>0</v>
      </c>
      <c r="ET158" s="115" t="str">
        <f aca="false">IF(AND(Tasks[[#This Row],[_IsLeaf]]=1,Tasks[[#This Row],[_LeafProgress]]&gt;=1),IF(N(Tasks[[#This Row],[Actual Finish]])&gt;0,Tasks[[#This Row],[Actual Finish]],Tasks[[#This Row],[_ShownFcstFinish]]),"")</f>
        <v/>
      </c>
      <c r="EU158" s="32" t="n">
        <f aca="false">IF(Tasks[[#This Row],[_IsLeaf]]=1,N(Tasks[[#This Row],[Story Points]]),0)</f>
        <v>0</v>
      </c>
      <c r="EV158" s="32" t="str">
        <f aca="false">IF(AND(Tasks[[#This Row],[_IsLeaf]]=1,CurrentSprint&lt;&gt;"",Tasks[[#This Row],[Sprint]]=CurrentSprint),Tasks[[#This Row],[_Row]],"")</f>
        <v/>
      </c>
    </row>
    <row r="159" customFormat="false" ht="15" hidden="false" customHeight="false" outlineLevel="0" collapsed="false">
      <c r="A159" s="45" t="str">
        <f aca="false">IF(Tasks[[#This Row],[Task Name]]="","",COUNTA(Tasks[[#Headers],[Task Name]]:Tasks[[#This Row],[Task Name]])-1)</f>
        <v/>
      </c>
      <c r="B159" s="46" t="n">
        <v>154</v>
      </c>
      <c r="C15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59" s="46"/>
      <c r="E159" s="45" t="str">
        <f aca="false">IF(Tasks[[#This Row],[Task Name]]="","",IF(Tasks[[#This Row],[_Level]]&lt;=OutlineShowLevel,"Yes","No"))</f>
        <v/>
      </c>
      <c r="F159" s="47"/>
      <c r="G159" s="46"/>
      <c r="H159" s="46"/>
      <c r="I159" s="46"/>
      <c r="J159" s="46"/>
      <c r="K159" s="46"/>
      <c r="L159" s="46"/>
      <c r="M159" s="46"/>
      <c r="N159" s="46"/>
      <c r="O159" s="46"/>
      <c r="P159" s="46"/>
      <c r="Q159" s="46"/>
      <c r="R159" s="46"/>
      <c r="S159" s="46"/>
      <c r="T159" s="46"/>
      <c r="U159" s="47"/>
      <c r="V159" s="88"/>
      <c r="W159" s="88"/>
      <c r="X159" s="25" t="str">
        <f aca="false">IF(Tasks[[#This Row],[Task Name]]="","",IF(N(Tasks[[#This Row],[Baseline Start]])&gt;0,Tasks[[#This Row],[Baseline Start]],Tasks[[#This Row],[_CalcStart]]))</f>
        <v/>
      </c>
      <c r="Y159" s="25" t="str">
        <f aca="false">IF(Tasks[[#This Row],[Task Name]]="","",IF(N(Tasks[[#This Row],[Baseline Finish]])&gt;0,Tasks[[#This Row],[Baseline Finish]],Tasks[[#This Row],[_CalcFinish]]))</f>
        <v/>
      </c>
      <c r="Z159" s="88"/>
      <c r="AA159" s="88"/>
      <c r="AB159" s="25" t="str">
        <f aca="false">IF(Tasks[[#This Row],[Task Name]]="","",IF(Tasks[[#This Row],[_IsSummary]],MIN(INDEX(Tasks[_ShownFcstStart],Tasks[[#This Row],[_Row]]+1):INDEX(Tasks[_ShownFcstStart],Tasks[[#This Row],[_Row]]+Tasks[[#This Row],[_Descendants]])),Tasks[[#This Row],[_ShownFcstStart]]))</f>
        <v/>
      </c>
      <c r="AC159" s="25" t="str">
        <f aca="false">IF(Tasks[[#This Row],[Task Name]]="","",IF(Tasks[[#This Row],[_IsSummary]],MAX(INDEX(Tasks[_ShownFcstFinish],Tasks[[#This Row],[_Row]]+1):INDEX(Tasks[_ShownFcstFinish],Tasks[[#This Row],[_Row]]+Tasks[[#This Row],[_Descendants]])),Tasks[[#This Row],[_ShownFcstFinish]]))</f>
        <v/>
      </c>
      <c r="AD15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5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59" s="25" t="str">
        <f aca="false">IF(Tasks[[#This Row],[Task Name]]="","",IF(Tasks[[#This Row],[_IsSummary]],MIN(INDEX(Tasks[_LeafLateStart],Tasks[[#This Row],[_Row]]+1):INDEX(Tasks[_LeafLateStart],Tasks[[#This Row],[_Row]]+Tasks[[#This Row],[_Descendants]])),Tasks[[#This Row],[_LeafLateStart]]))</f>
        <v/>
      </c>
      <c r="AG159" s="25" t="str">
        <f aca="false">IF(Tasks[[#This Row],[Task Name]]="","",IF(Tasks[[#This Row],[_IsSummary]],MAX(INDEX(Tasks[_LeafLateFinish],Tasks[[#This Row],[_Row]]+1):INDEX(Tasks[_LeafLateFinish],Tasks[[#This Row],[_Row]]+Tasks[[#This Row],[_Descendants]])),Tasks[[#This Row],[_LeafLateFinish]]))</f>
        <v/>
      </c>
      <c r="AH159" s="56" t="str">
        <f aca="false">IF(Tasks[[#This Row],[Task Name]]="","",IF(Tasks[[#This Row],[_IsSummary]],MIN(INDEX(Tasks[_LeafTotalSlack],Tasks[[#This Row],[_Row]]+1):INDEX(Tasks[_LeafTotalSlack],Tasks[[#This Row],[_Row]]+Tasks[[#This Row],[_Descendants]])),Tasks[[#This Row],[_LeafTotalSlack]]))</f>
        <v/>
      </c>
      <c r="AI15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59" s="45" t="str">
        <f aca="false">IF(Tasks[[#This Row],[Task Name]]="","",IF(IF(Tasks[[#This Row],[_IsSummary]],COUNTIF(INDEX(Tasks[_LeafCritical],Tasks[[#This Row],[_Row]]+1):INDEX(Tasks[_LeafCritical],Tasks[[#This Row],[_Row]]+Tasks[[#This Row],[_Descendants]]),TRUE())&gt;0,Tasks[[#This Row],[_LeafCritical]]),"Yes",""))</f>
        <v/>
      </c>
      <c r="AK15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5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59" s="102"/>
      <c r="AN15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59" s="45" t="str">
        <f aca="false">IF(Tasks[[#This Row],[Task Name]]="","",IF(Tasks[[#This Row],[Progress]]&gt;=1,"Complete",IF(OR(N(Tasks[[#This Row],[Actual Start]])&gt;0,Tasks[[#This Row],[Progress]]&gt;0),IF(Tasks[[#This Row],[Finish Var]]&gt;0,"Behind","In Progress"),IF(Tasks[[#This Row],[Planned Start]]&lt;StatusDate,"Late Start","Not Started"))))</f>
        <v/>
      </c>
      <c r="AP159" s="47"/>
      <c r="AQ159" s="102"/>
      <c r="AR15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5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59" s="110" t="str">
        <f aca="false">IF(Tasks[[#This Row],[Task Name]]="","",IF(Tasks[[#This Row],[_IsSummary]],SUM(INDEX(Tasks[_LeafTotalWork],Tasks[[#This Row],[_Row]]+1):INDEX(Tasks[_LeafTotalWork],Tasks[[#This Row],[_Row]]+Tasks[[#This Row],[_Descendants]])),Tasks[[#This Row],[_LeafTotalWork]]))</f>
        <v/>
      </c>
      <c r="AU159" s="111" t="str">
        <f aca="false">IF(Tasks[[#This Row],[Task Name]]="","",IF(Tasks[[#This Row],[_IsSummary]],SUM(INDEX(Tasks[_LeafTotalCost],Tasks[[#This Row],[_Row]]+1):INDEX(Tasks[_LeafTotalCost],Tasks[[#This Row],[_Row]]+Tasks[[#This Row],[_Descendants]])),Tasks[[#This Row],[_LeafTotalCost]]))</f>
        <v/>
      </c>
      <c r="AV159" s="112"/>
      <c r="AW159" s="46"/>
      <c r="AX15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59" s="96"/>
      <c r="AZ15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59" s="47"/>
      <c r="BB159" s="25" t="str">
        <f aca="false">IF(Tasks[[#This Row],[Task Name]]="","",Tasks[[#This Row],[Forecast Start]])</f>
        <v/>
      </c>
      <c r="BC159" s="25" t="str">
        <f aca="false">IF(Tasks[[#This Row],[Task Name]]="","",Tasks[[#This Row],[Forecast Finish]])</f>
        <v/>
      </c>
      <c r="BD159" s="45" t="str">
        <f aca="false">IF(Tasks[[#This Row],[Task Name]]="","",IF(Tasks[[#This Row],[_IsSummary]],NETWORKDAYS.INTL(Tasks[[#This Row],[Forecast Start]],Tasks[[#This Row],[Forecast Finish]],WorkWeek,Holidays),N(Tasks[[#This Row],[Duration]])))</f>
        <v/>
      </c>
      <c r="BE159" s="110" t="str">
        <f aca="false">IF(Tasks[[#This Row],[Task Name]]="","",Tasks[[#This Row],[Work]])</f>
        <v/>
      </c>
      <c r="BF159" s="111" t="str">
        <f aca="false">IF(Tasks[[#This Row],[Task Name]]="","",Tasks[[#This Row],[Cost]])</f>
        <v/>
      </c>
      <c r="BG159" s="88"/>
      <c r="BH159" s="88"/>
      <c r="BI159" s="46"/>
      <c r="BJ159" s="113"/>
      <c r="BK159" s="112"/>
      <c r="BL159" s="45" t="str">
        <f aca="false">IF(OR(Tasks[[#This Row],[Task Name]]="",Tasks[[#This Row],[Baseline Duration]]=""),"",Tasks[[#This Row],[BL Source Duration]]-N(Tasks[[#This Row],[Baseline Duration]]))</f>
        <v/>
      </c>
      <c r="BM159" s="110" t="str">
        <f aca="false">IF(OR(Tasks[[#This Row],[Task Name]]="",Tasks[[#This Row],[Baseline Work]]=""),"",Tasks[[#This Row],[Work]]-N(Tasks[[#This Row],[Baseline Work]]))</f>
        <v/>
      </c>
      <c r="BN159" s="111" t="str">
        <f aca="false">IF(OR(Tasks[[#This Row],[Task Name]]="",Tasks[[#This Row],[Baseline Cost]]=""),"",Tasks[[#This Row],[Cost]]-N(Tasks[[#This Row],[Baseline Cost]]))</f>
        <v/>
      </c>
      <c r="BO159" s="111" t="str">
        <f aca="false">IF(Tasks[[#This Row],[Task Name]]="","",IF(Tasks[[#This Row],[_IsSummary]],SUM(INDEX(Tasks[_LeafBudget],Tasks[[#This Row],[_Row]]+1):INDEX(Tasks[_LeafBudget],Tasks[[#This Row],[_Row]]+Tasks[[#This Row],[_Descendants]])),Tasks[[#This Row],[_LeafBudget]]))</f>
        <v/>
      </c>
      <c r="BP159" s="111" t="str">
        <f aca="false">IF(Tasks[[#This Row],[Task Name]]="","",IF(Tasks[[#This Row],[_IsSummary]],SUM(INDEX(Tasks[_LeafPV],Tasks[[#This Row],[_Row]]+1):INDEX(Tasks[_LeafPV],Tasks[[#This Row],[_Row]]+Tasks[[#This Row],[_Descendants]])),Tasks[[#This Row],[_LeafPV]]))</f>
        <v/>
      </c>
      <c r="BQ159" s="111" t="str">
        <f aca="false">IF(Tasks[[#This Row],[Task Name]]="","",IF(Tasks[[#This Row],[_IsSummary]],SUM(INDEX(Tasks[_LeafEV],Tasks[[#This Row],[_Row]]+1):INDEX(Tasks[_LeafEV],Tasks[[#This Row],[_Row]]+Tasks[[#This Row],[_Descendants]])),Tasks[[#This Row],[_LeafEV]]))</f>
        <v/>
      </c>
      <c r="BR159" s="111" t="str">
        <f aca="false">IF(Tasks[[#This Row],[Task Name]]="","",IF(Tasks[[#This Row],[_IsSummary]],SUM(INDEX(Tasks[_LeafAC],Tasks[[#This Row],[_Row]]+1):INDEX(Tasks[_LeafAC],Tasks[[#This Row],[_Row]]+Tasks[[#This Row],[_Descendants]])),Tasks[[#This Row],[_LeafAC]]))</f>
        <v/>
      </c>
      <c r="BS159" s="32" t="str">
        <f aca="false">IF(Tasks[[#This Row],[Task Name]]="","",MAX(1,N(Tasks[[#This Row],[Level]])))</f>
        <v/>
      </c>
      <c r="BT159" s="32" t="n">
        <f aca="false">ROW()-ROW(Tasks[[#Headers],[ID]])</f>
        <v>154</v>
      </c>
      <c r="BU159" s="32" t="n">
        <f aca="false">IF(OR(Tasks[[#This Row],[Task Name]]="",Tasks[[#This Row],[_Level]]&lt;=1),0,IFERROR(LOOKUP(2,1/(Tasks[[#Headers],[_Level]]:Tasks[[#This Row],[_Level]]=Tasks[[#This Row],[_Level]]-1),ROW(Tasks[[#Headers],[_Level]]:Tasks[[#This Row],[_Level]])),0))</f>
        <v>0</v>
      </c>
      <c r="BV159" s="32" t="n">
        <f aca="false">IFERROR(N(INDEX(Tasks[_Level],Tasks[[#This Row],[_Row]]+1)),0)</f>
        <v>0</v>
      </c>
      <c r="BW159" s="114" t="b">
        <f aca="false">AND(Tasks[[#This Row],[Task Name]]&lt;&gt;"",Tasks[[#This Row],[_NextLevel]]&gt;Tasks[[#This Row],[_Level]])</f>
        <v>0</v>
      </c>
      <c r="BX159" s="32" t="n">
        <f aca="false">IF(Tasks[[#This Row],[_IsSummary]],COUNTIF(Tasks[WBS],Tasks[[#This Row],[WBS]]&amp;".*"),0)</f>
        <v>0</v>
      </c>
      <c r="BY159" s="32" t="n">
        <f aca="false">IF(AND(Tasks[[#This Row],[Task Name]]&lt;&gt;"",NOT(Tasks[[#This Row],[_IsSummary]])),1,0)</f>
        <v>0</v>
      </c>
      <c r="BZ159" s="32" t="n">
        <f aca="false">IF(N(Tasks[[#This Row],[Pred1 UID]])=0,0,IFERROR(MATCH(Tasks[[#This Row],[Pred1 UID]],Tasks[UID],0),-1))</f>
        <v>0</v>
      </c>
      <c r="CA159" s="32" t="n">
        <f aca="false">IF(N(Tasks[[#This Row],[Pred2 UID]])=0,0,IFERROR(MATCH(Tasks[[#This Row],[Pred2 UID]],Tasks[UID],0),-1))</f>
        <v>0</v>
      </c>
      <c r="CB159" s="32" t="n">
        <f aca="false">IF(N(Tasks[[#This Row],[Pred3 UID]])=0,0,IFERROR(MATCH(Tasks[[#This Row],[Pred3 UID]],Tasks[UID],0),-1))</f>
        <v>0</v>
      </c>
      <c r="CC159" s="32" t="n">
        <f aca="false">IF(N(Tasks[[#This Row],[Pred4 UID]])=0,0,IFERROR(MATCH(Tasks[[#This Row],[Pred4 UID]],Tasks[UID],0),-1))</f>
        <v>0</v>
      </c>
      <c r="CD15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5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59" s="115" t="n">
        <f aca="false">IF(OR(Tasks[[#This Row],[_ConstraintCode]]=2,Tasks[[#This Row],[_ConstraintCode]]=3,Tasks[[#This Row],[_ConstraintCode]]=4,Tasks[[#This Row],[_ConstraintCode]]=6),Tasks[[#This Row],[_ConstraintStart]],0)</f>
        <v>0</v>
      </c>
      <c r="CG159" s="115" t="n">
        <f aca="false">IF(OR(Tasks[[#This Row],[_ConstraintCode]]=2,Tasks[[#This Row],[_ConstraintCode]]=3,Tasks[[#This Row],[_ConstraintCode]]=5,Tasks[[#This Row],[_ConstraintCode]]=7),Tasks[[#This Row],[_ConstraintStart]],2958465)</f>
        <v>2958465</v>
      </c>
      <c r="CH15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59" s="115" t="str">
        <f aca="false">IF(NOT(Tasks[[#This Row],[_IsLeaf]]=1),"",IF(N(Tasks[[#This Row],[Duration]])&lt;=0,Tasks[[#This Row],[_LeafCalcStart]],WORKDAY.INTL(Tasks[[#This Row],[_LeafCalcStart]],Tasks[[#This Row],[Duration]]-1,WorkWeek,Holidays)))</f>
        <v/>
      </c>
      <c r="CJ15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5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59" s="32" t="n">
        <f aca="false">IF(NOT(Tasks[[#This Row],[_IsLeaf]]=1),0,IF(N(Tasks[[#This Row],[Actual Finish]])&gt;0,1,MIN(1,N(Tasks[[#This Row],[% Complete]]))))</f>
        <v>0</v>
      </c>
      <c r="CM159" s="32" t="n">
        <f aca="false">IF(OR(NOT(Tasks[[#This Row],[_IsLeaf]]=1),Tasks[[#This Row],[Resource]]=""),0,N(Tasks[[#This Row],[Duration]])*HoursPerDay*IF(Tasks[[#This Row],[Units]]="",DefaultUnits,Tasks[[#This Row],[Units]]))</f>
        <v>0</v>
      </c>
      <c r="CN159" s="32" t="n">
        <f aca="false">IF(Tasks[[#This Row],[_LeafWork]]=0,0,Tasks[[#This Row],[_LeafWork]]*IFERROR(INDEX(res_Rate,MATCH(Tasks[[#This Row],[Resource]],res_Name,0)),0))</f>
        <v>0</v>
      </c>
      <c r="CO159" s="32" t="n">
        <f aca="false">Tasks[[#This Row],[_LeafWork]]+IF(Tasks[[#This Row],[_IsLeaf]]=1,SUMIFS(asg_Work,asg_TaskUID,Tasks[[#This Row],[UID]],asg_Valid,1),0)</f>
        <v>0</v>
      </c>
      <c r="CP159" s="32" t="n">
        <f aca="false">Tasks[[#This Row],[_LeafCost]]+IF(Tasks[[#This Row],[_IsLeaf]]=1,SUMIFS(asg_Cost,asg_TaskUID,Tasks[[#This Row],[UID]],asg_Valid,1),0)</f>
        <v>0</v>
      </c>
      <c r="CQ159" s="32" t="n">
        <f aca="false">IF(Tasks[[#This Row],[_LeafTotalCost]]=0,Tasks[[#This Row],[_LeafAC]],Tasks[[#This Row],[_LeafAC]]*Tasks[[#This Row],[_LeafCost]]/Tasks[[#This Row],[_LeafTotalCost]])</f>
        <v>0</v>
      </c>
      <c r="CR15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5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5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5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5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5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5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5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59" s="32" t="n">
        <f aca="false">IF(NOT(Tasks[[#This Row],[_IsLeaf]]=1),0,MAX(_xlfn.MAXIFS(Tasks[_Row],Tasks[Pred1 UID],Tasks[[#This Row],[UID]]),_xlfn.MAXIFS(Tasks[_Row],Tasks[Pred2 UID],Tasks[[#This Row],[UID]]),_xlfn.MAXIFS(Tasks[_Row],Tasks[Pred3 UID],Tasks[[#This Row],[UID]]),_xlfn.MAXIFS(Tasks[_Row],Tasks[Pred4 UID],Tasks[[#This Row],[UID]])))</f>
        <v>0</v>
      </c>
      <c r="DA15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5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59" s="115" t="str">
        <f aca="false">IF(NOT(Tasks[[#This Row],[_IsLeaf]]=1),"",IF(N(Tasks[[#This Row],[Duration]])&lt;=0,Tasks[[#This Row],[_LeafLateFinish]],WORKDAY.INTL(Tasks[[#This Row],[_LeafLateFinish]],-(Tasks[[#This Row],[Duration]]-1),WorkWeek,Holidays)))</f>
        <v/>
      </c>
      <c r="DD15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59" s="114" t="b">
        <f aca="false">AND(Tasks[[#This Row],[_IsLeaf]]=1,Tasks[[#This Row],[_LeafProgress]]&lt;1,N(Tasks[[#This Row],[_LeafTotalSlack]])&lt;=CriticalSlackDays)</f>
        <v>0</v>
      </c>
      <c r="DF159" s="32" t="n">
        <f aca="false">IF(AND(Tasks[[#This Row],[_IsLeaf]]=1,Tasks[[#This Row],[_ConstraintCode]]=1,Tasks[[#This Row],[Mode]]&lt;&gt;"Manual",N(Tasks[[#This Row],[Actual Start]])=0),MAX(0,N(Tasks[[#This Row],[Free Slack]])),0)</f>
        <v>0</v>
      </c>
      <c r="DG159" s="115" t="str">
        <f aca="false">IF(NOT(Tasks[[#This Row],[_IsLeaf]]=1),"",IF(Tasks[[#This Row],[_AlapShift]]=0,Tasks[[#This Row],[_LeafCalcStart]],WORKDAY.INTL(Tasks[[#This Row],[_LeafCalcStart]],Tasks[[#This Row],[_AlapShift]],WorkWeek,Holidays)))</f>
        <v/>
      </c>
      <c r="DH159" s="115" t="str">
        <f aca="false">IF(NOT(Tasks[[#This Row],[_IsLeaf]]=1),"",IF(Tasks[[#This Row],[_AlapShift]]=0,Tasks[[#This Row],[_LeafCalcFinish]],WORKDAY.INTL(Tasks[[#This Row],[_LeafCalcFinish]],Tasks[[#This Row],[_AlapShift]],WorkWeek,Holidays)))</f>
        <v/>
      </c>
      <c r="DI159" s="115" t="str">
        <f aca="false">IF(NOT(Tasks[[#This Row],[_IsLeaf]]=1),"",IF(Tasks[[#This Row],[_AlapShift]]=0,Tasks[[#This Row],[_LeafFcstStart]],WORKDAY.INTL(Tasks[[#This Row],[_LeafFcstStart]],Tasks[[#This Row],[_AlapShift]],WorkWeek,Holidays)))</f>
        <v/>
      </c>
      <c r="DJ159" s="115" t="str">
        <f aca="false">IF(NOT(Tasks[[#This Row],[_IsLeaf]]=1),"",IF(Tasks[[#This Row],[_AlapShift]]=0,Tasks[[#This Row],[_LeafFcstFinish]],WORKDAY.INTL(Tasks[[#This Row],[_LeafFcstFinish]],Tasks[[#This Row],[_AlapShift]],WorkWeek,Holidays)))</f>
        <v/>
      </c>
      <c r="DK159" s="115" t="str">
        <f aca="false">IF(Tasks[[#This Row],[Task Name]]="","",IF(Tasks[[#This Row],[_IsSummary]],MIN(INDEX(Tasks[_ShownCalcStart],Tasks[[#This Row],[_Row]]+1):INDEX(Tasks[_ShownCalcStart],Tasks[[#This Row],[_Row]]+Tasks[[#This Row],[_Descendants]])),Tasks[[#This Row],[_ShownCalcStart]]))</f>
        <v/>
      </c>
      <c r="DL159" s="115" t="str">
        <f aca="false">IF(Tasks[[#This Row],[Task Name]]="","",IF(Tasks[[#This Row],[_IsSummary]],MAX(INDEX(Tasks[_ShownCalcFinish],Tasks[[#This Row],[_Row]]+1):INDEX(Tasks[_ShownCalcFinish],Tasks[[#This Row],[_Row]]+Tasks[[#This Row],[_Descendants]])),Tasks[[#This Row],[_ShownCalcFinish]]))</f>
        <v/>
      </c>
      <c r="DM15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5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5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5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5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5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5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5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5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5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5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5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59" s="32" t="n">
        <f aca="false">IF(AND(Tasks[[#This Row],[_IsLeaf]]=1,Tasks[[#This Row],[_LeafTotalWork]]&gt;0),NETWORKDAYS.INTL(ProjectStart,Tasks[[#This Row],[_ShownFcstStart]],WorkWeek,Holidays),0)</f>
        <v>0</v>
      </c>
      <c r="DZ159" s="32" t="n">
        <f aca="false">IF(AND(Tasks[[#This Row],[_IsLeaf]]=1,Tasks[[#This Row],[_LeafTotalWork]]&gt;0),MAX(Tasks[[#This Row],[_StartWorkday]],NETWORKDAYS.INTL(ProjectStart,Tasks[[#This Row],[_ShownFcstFinish]],WorkWeek,Holidays)),0)</f>
        <v>0</v>
      </c>
      <c r="EA159" s="32" t="n">
        <f aca="false">IF(AND(Tasks[[#This Row],[_IsLeaf]]=1,Tasks[[#This Row],[_LeafTotalWork]]&gt;0),Tasks[[#This Row],[_LeafWork]]/(Tasks[[#This Row],[_FinishWorkday]]-Tasks[[#This Row],[_StartWorkday]]+1),0)</f>
        <v>0</v>
      </c>
      <c r="EB159" s="32" t="n">
        <f aca="false">Tasks[[#This Row],[_WorkPerWorkday]]*(Tasks[[#This Row],[_StartWorkday]]-1)</f>
        <v>-0</v>
      </c>
      <c r="EC159" s="32" t="n">
        <f aca="false">IF(Tasks[[#This Row],[_IsLeaf]]=1,MAX(N(Tasks[[#This Row],[Duration]]),0.1),0)</f>
        <v>0</v>
      </c>
      <c r="ED159" s="32" t="n">
        <f aca="false">Tasks[[#This Row],[_WeightDur]]*Tasks[[#This Row],[_LeafProgress]]</f>
        <v>0</v>
      </c>
      <c r="EE15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59" s="32" t="str">
        <f aca="false">IF(AND(Tasks[[#This Row],[_IsLeaf]]=1,N(Tasks[[#This Row],[Duration]])=0,Tasks[[#This Row],[_LeafProgress]]&lt;1),Tasks[[#This Row],[_ShownFcstFinish]]+Tasks[[#This Row],[_Row]]/100000,"")</f>
        <v/>
      </c>
      <c r="EG15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59" s="32" t="n">
        <f aca="false">IF(NOT(Tasks[[#This Row],[_IsLeaf]]=1),0,IF(Tasks[[#This Row],[Baseline Cost]]="",Tasks[[#This Row],[_LeafTotalCost]],N(Tasks[[#This Row],[Baseline Cost]])))</f>
        <v>0</v>
      </c>
      <c r="EI159" s="32" t="n">
        <f aca="false">Tasks[[#This Row],[_LeafBudget]]*Tasks[[#This Row],[_PlannedPct]]</f>
        <v>0</v>
      </c>
      <c r="EJ159" s="32" t="n">
        <f aca="false">Tasks[[#This Row],[_LeafBudget]]*Tasks[[#This Row],[_LeafProgress]]</f>
        <v>0</v>
      </c>
      <c r="EK159" s="32" t="n">
        <f aca="false">IF(NOT(Tasks[[#This Row],[_IsLeaf]]=1),0,IF(Tasks[[#This Row],[Actual Cost]]="",Tasks[[#This Row],[_LeafTotalCost]]*Tasks[[#This Row],[_LeafProgress]],N(Tasks[[#This Row],[Actual Cost]])))</f>
        <v>0</v>
      </c>
      <c r="EL159" s="32" t="str">
        <f aca="false">IF(Tasks[[#This Row],[Task Name]]="","",LEFT(Tasks[[#This Row],[WBS]],FIND(".",Tasks[[#This Row],[WBS]]&amp;".")-1))</f>
        <v/>
      </c>
      <c r="EM159" s="32" t="str">
        <f aca="false">IF(AND(Tasks[[#This Row],[Task Name]]&lt;&gt;"",Tasks[[#This Row],[_Level]]=1),Tasks[[#This Row],[_Row]],"")</f>
        <v/>
      </c>
      <c r="EN159" s="32" t="str">
        <f aca="false">IF(AND(Tasks[[#This Row],[_IsLeaf]]=1,N(Tasks[[#This Row],[Duration]])=0),Tasks[[#This Row],[Planned Finish]]+Tasks[[#This Row],[_Row]]/100000,"")</f>
        <v/>
      </c>
      <c r="EO159" s="32" t="str">
        <f aca="false">IF(AND(Tasks[[#This Row],[_IsLeaf]]=1,Tasks[[#This Row],[_LeafProgress]]&lt;1,OR(N(Tasks[[#This Row],[Finish Var]])&gt;0,Tasks[[#This Row],[Status]]="Late Start")),MAX(0,Tasks[[#This Row],[Finish Var]])+1-Tasks[[#This Row],[_Row]]/1000000,"")</f>
        <v/>
      </c>
      <c r="EP159" s="32" t="str">
        <f aca="false">IF(AND(Tasks[[#This Row],[_IsLeaf]]=1,N(Tasks[[#This Row],[Actual Start]])=0,Tasks[[#This Row],[_ShownFcstStart]]&gt;=StatusDate,Tasks[[#This Row],[_ShownFcstStart]]&lt;=LookaheadEnd),Tasks[[#This Row],[_ShownFcstStart]]+Tasks[[#This Row],[_Row]]/100000,"")</f>
        <v/>
      </c>
      <c r="EQ159" s="32" t="str">
        <f aca="false">IF(AND(Tasks[[#This Row],[_IsLeaf]]=1,Tasks[[#This Row],[_LeafProgress]]&lt;1,Tasks[[#This Row],[_ShownFcstFinish]]&gt;=StatusDate,Tasks[[#This Row],[_ShownFcstFinish]]&lt;=LookaheadEnd),Tasks[[#This Row],[_ShownFcstFinish]]+Tasks[[#This Row],[_Row]]/100000,"")</f>
        <v/>
      </c>
      <c r="ER159" s="32" t="str">
        <f aca="false">IF(Tasks[[#This Row],[_LeafCritical]],Tasks[[#This Row],[_ShownFcstStart]]+Tasks[[#This Row],[_Row]]/100000,"")</f>
        <v/>
      </c>
      <c r="ES159" s="32" t="n">
        <f aca="false">Tasks[[#This Row],[_LeafWork]]*Tasks[[#This Row],[_LeafProgress]]</f>
        <v>0</v>
      </c>
      <c r="ET159" s="115" t="str">
        <f aca="false">IF(AND(Tasks[[#This Row],[_IsLeaf]]=1,Tasks[[#This Row],[_LeafProgress]]&gt;=1),IF(N(Tasks[[#This Row],[Actual Finish]])&gt;0,Tasks[[#This Row],[Actual Finish]],Tasks[[#This Row],[_ShownFcstFinish]]),"")</f>
        <v/>
      </c>
      <c r="EU159" s="32" t="n">
        <f aca="false">IF(Tasks[[#This Row],[_IsLeaf]]=1,N(Tasks[[#This Row],[Story Points]]),0)</f>
        <v>0</v>
      </c>
      <c r="EV159" s="32" t="str">
        <f aca="false">IF(AND(Tasks[[#This Row],[_IsLeaf]]=1,CurrentSprint&lt;&gt;"",Tasks[[#This Row],[Sprint]]=CurrentSprint),Tasks[[#This Row],[_Row]],"")</f>
        <v/>
      </c>
    </row>
    <row r="160" customFormat="false" ht="15" hidden="false" customHeight="false" outlineLevel="0" collapsed="false">
      <c r="A160" s="45" t="str">
        <f aca="false">IF(Tasks[[#This Row],[Task Name]]="","",COUNTA(Tasks[[#Headers],[Task Name]]:Tasks[[#This Row],[Task Name]])-1)</f>
        <v/>
      </c>
      <c r="B160" s="46" t="n">
        <v>155</v>
      </c>
      <c r="C16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0" s="46"/>
      <c r="E160" s="45" t="str">
        <f aca="false">IF(Tasks[[#This Row],[Task Name]]="","",IF(Tasks[[#This Row],[_Level]]&lt;=OutlineShowLevel,"Yes","No"))</f>
        <v/>
      </c>
      <c r="F160" s="47"/>
      <c r="G160" s="46"/>
      <c r="H160" s="46"/>
      <c r="I160" s="46"/>
      <c r="J160" s="46"/>
      <c r="K160" s="46"/>
      <c r="L160" s="46"/>
      <c r="M160" s="46"/>
      <c r="N160" s="46"/>
      <c r="O160" s="46"/>
      <c r="P160" s="46"/>
      <c r="Q160" s="46"/>
      <c r="R160" s="46"/>
      <c r="S160" s="46"/>
      <c r="T160" s="46"/>
      <c r="U160" s="47"/>
      <c r="V160" s="88"/>
      <c r="W160" s="88"/>
      <c r="X160" s="25" t="str">
        <f aca="false">IF(Tasks[[#This Row],[Task Name]]="","",IF(N(Tasks[[#This Row],[Baseline Start]])&gt;0,Tasks[[#This Row],[Baseline Start]],Tasks[[#This Row],[_CalcStart]]))</f>
        <v/>
      </c>
      <c r="Y160" s="25" t="str">
        <f aca="false">IF(Tasks[[#This Row],[Task Name]]="","",IF(N(Tasks[[#This Row],[Baseline Finish]])&gt;0,Tasks[[#This Row],[Baseline Finish]],Tasks[[#This Row],[_CalcFinish]]))</f>
        <v/>
      </c>
      <c r="Z160" s="88"/>
      <c r="AA160" s="88"/>
      <c r="AB160" s="25" t="str">
        <f aca="false">IF(Tasks[[#This Row],[Task Name]]="","",IF(Tasks[[#This Row],[_IsSummary]],MIN(INDEX(Tasks[_ShownFcstStart],Tasks[[#This Row],[_Row]]+1):INDEX(Tasks[_ShownFcstStart],Tasks[[#This Row],[_Row]]+Tasks[[#This Row],[_Descendants]])),Tasks[[#This Row],[_ShownFcstStart]]))</f>
        <v/>
      </c>
      <c r="AC160" s="25" t="str">
        <f aca="false">IF(Tasks[[#This Row],[Task Name]]="","",IF(Tasks[[#This Row],[_IsSummary]],MAX(INDEX(Tasks[_ShownFcstFinish],Tasks[[#This Row],[_Row]]+1):INDEX(Tasks[_ShownFcstFinish],Tasks[[#This Row],[_Row]]+Tasks[[#This Row],[_Descendants]])),Tasks[[#This Row],[_ShownFcstFinish]]))</f>
        <v/>
      </c>
      <c r="AD16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0" s="25" t="str">
        <f aca="false">IF(Tasks[[#This Row],[Task Name]]="","",IF(Tasks[[#This Row],[_IsSummary]],MIN(INDEX(Tasks[_LeafLateStart],Tasks[[#This Row],[_Row]]+1):INDEX(Tasks[_LeafLateStart],Tasks[[#This Row],[_Row]]+Tasks[[#This Row],[_Descendants]])),Tasks[[#This Row],[_LeafLateStart]]))</f>
        <v/>
      </c>
      <c r="AG160" s="25" t="str">
        <f aca="false">IF(Tasks[[#This Row],[Task Name]]="","",IF(Tasks[[#This Row],[_IsSummary]],MAX(INDEX(Tasks[_LeafLateFinish],Tasks[[#This Row],[_Row]]+1):INDEX(Tasks[_LeafLateFinish],Tasks[[#This Row],[_Row]]+Tasks[[#This Row],[_Descendants]])),Tasks[[#This Row],[_LeafLateFinish]]))</f>
        <v/>
      </c>
      <c r="AH160" s="56" t="str">
        <f aca="false">IF(Tasks[[#This Row],[Task Name]]="","",IF(Tasks[[#This Row],[_IsSummary]],MIN(INDEX(Tasks[_LeafTotalSlack],Tasks[[#This Row],[_Row]]+1):INDEX(Tasks[_LeafTotalSlack],Tasks[[#This Row],[_Row]]+Tasks[[#This Row],[_Descendants]])),Tasks[[#This Row],[_LeafTotalSlack]]))</f>
        <v/>
      </c>
      <c r="AI16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0" s="45" t="str">
        <f aca="false">IF(Tasks[[#This Row],[Task Name]]="","",IF(IF(Tasks[[#This Row],[_IsSummary]],COUNTIF(INDEX(Tasks[_LeafCritical],Tasks[[#This Row],[_Row]]+1):INDEX(Tasks[_LeafCritical],Tasks[[#This Row],[_Row]]+Tasks[[#This Row],[_Descendants]]),TRUE())&gt;0,Tasks[[#This Row],[_LeafCritical]]),"Yes",""))</f>
        <v/>
      </c>
      <c r="AK16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0" s="102"/>
      <c r="AN16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0" s="45" t="str">
        <f aca="false">IF(Tasks[[#This Row],[Task Name]]="","",IF(Tasks[[#This Row],[Progress]]&gt;=1,"Complete",IF(OR(N(Tasks[[#This Row],[Actual Start]])&gt;0,Tasks[[#This Row],[Progress]]&gt;0),IF(Tasks[[#This Row],[Finish Var]]&gt;0,"Behind","In Progress"),IF(Tasks[[#This Row],[Planned Start]]&lt;StatusDate,"Late Start","Not Started"))))</f>
        <v/>
      </c>
      <c r="AP160" s="47"/>
      <c r="AQ160" s="102"/>
      <c r="AR16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0" s="110" t="str">
        <f aca="false">IF(Tasks[[#This Row],[Task Name]]="","",IF(Tasks[[#This Row],[_IsSummary]],SUM(INDEX(Tasks[_LeafTotalWork],Tasks[[#This Row],[_Row]]+1):INDEX(Tasks[_LeafTotalWork],Tasks[[#This Row],[_Row]]+Tasks[[#This Row],[_Descendants]])),Tasks[[#This Row],[_LeafTotalWork]]))</f>
        <v/>
      </c>
      <c r="AU160" s="111" t="str">
        <f aca="false">IF(Tasks[[#This Row],[Task Name]]="","",IF(Tasks[[#This Row],[_IsSummary]],SUM(INDEX(Tasks[_LeafTotalCost],Tasks[[#This Row],[_Row]]+1):INDEX(Tasks[_LeafTotalCost],Tasks[[#This Row],[_Row]]+Tasks[[#This Row],[_Descendants]])),Tasks[[#This Row],[_LeafTotalCost]]))</f>
        <v/>
      </c>
      <c r="AV160" s="112"/>
      <c r="AW160" s="46"/>
      <c r="AX16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0" s="96"/>
      <c r="AZ16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0" s="47"/>
      <c r="BB160" s="25" t="str">
        <f aca="false">IF(Tasks[[#This Row],[Task Name]]="","",Tasks[[#This Row],[Forecast Start]])</f>
        <v/>
      </c>
      <c r="BC160" s="25" t="str">
        <f aca="false">IF(Tasks[[#This Row],[Task Name]]="","",Tasks[[#This Row],[Forecast Finish]])</f>
        <v/>
      </c>
      <c r="BD160" s="45" t="str">
        <f aca="false">IF(Tasks[[#This Row],[Task Name]]="","",IF(Tasks[[#This Row],[_IsSummary]],NETWORKDAYS.INTL(Tasks[[#This Row],[Forecast Start]],Tasks[[#This Row],[Forecast Finish]],WorkWeek,Holidays),N(Tasks[[#This Row],[Duration]])))</f>
        <v/>
      </c>
      <c r="BE160" s="110" t="str">
        <f aca="false">IF(Tasks[[#This Row],[Task Name]]="","",Tasks[[#This Row],[Work]])</f>
        <v/>
      </c>
      <c r="BF160" s="111" t="str">
        <f aca="false">IF(Tasks[[#This Row],[Task Name]]="","",Tasks[[#This Row],[Cost]])</f>
        <v/>
      </c>
      <c r="BG160" s="88"/>
      <c r="BH160" s="88"/>
      <c r="BI160" s="46"/>
      <c r="BJ160" s="113"/>
      <c r="BK160" s="112"/>
      <c r="BL160" s="45" t="str">
        <f aca="false">IF(OR(Tasks[[#This Row],[Task Name]]="",Tasks[[#This Row],[Baseline Duration]]=""),"",Tasks[[#This Row],[BL Source Duration]]-N(Tasks[[#This Row],[Baseline Duration]]))</f>
        <v/>
      </c>
      <c r="BM160" s="110" t="str">
        <f aca="false">IF(OR(Tasks[[#This Row],[Task Name]]="",Tasks[[#This Row],[Baseline Work]]=""),"",Tasks[[#This Row],[Work]]-N(Tasks[[#This Row],[Baseline Work]]))</f>
        <v/>
      </c>
      <c r="BN160" s="111" t="str">
        <f aca="false">IF(OR(Tasks[[#This Row],[Task Name]]="",Tasks[[#This Row],[Baseline Cost]]=""),"",Tasks[[#This Row],[Cost]]-N(Tasks[[#This Row],[Baseline Cost]]))</f>
        <v/>
      </c>
      <c r="BO160" s="111" t="str">
        <f aca="false">IF(Tasks[[#This Row],[Task Name]]="","",IF(Tasks[[#This Row],[_IsSummary]],SUM(INDEX(Tasks[_LeafBudget],Tasks[[#This Row],[_Row]]+1):INDEX(Tasks[_LeafBudget],Tasks[[#This Row],[_Row]]+Tasks[[#This Row],[_Descendants]])),Tasks[[#This Row],[_LeafBudget]]))</f>
        <v/>
      </c>
      <c r="BP160" s="111" t="str">
        <f aca="false">IF(Tasks[[#This Row],[Task Name]]="","",IF(Tasks[[#This Row],[_IsSummary]],SUM(INDEX(Tasks[_LeafPV],Tasks[[#This Row],[_Row]]+1):INDEX(Tasks[_LeafPV],Tasks[[#This Row],[_Row]]+Tasks[[#This Row],[_Descendants]])),Tasks[[#This Row],[_LeafPV]]))</f>
        <v/>
      </c>
      <c r="BQ160" s="111" t="str">
        <f aca="false">IF(Tasks[[#This Row],[Task Name]]="","",IF(Tasks[[#This Row],[_IsSummary]],SUM(INDEX(Tasks[_LeafEV],Tasks[[#This Row],[_Row]]+1):INDEX(Tasks[_LeafEV],Tasks[[#This Row],[_Row]]+Tasks[[#This Row],[_Descendants]])),Tasks[[#This Row],[_LeafEV]]))</f>
        <v/>
      </c>
      <c r="BR160" s="111" t="str">
        <f aca="false">IF(Tasks[[#This Row],[Task Name]]="","",IF(Tasks[[#This Row],[_IsSummary]],SUM(INDEX(Tasks[_LeafAC],Tasks[[#This Row],[_Row]]+1):INDEX(Tasks[_LeafAC],Tasks[[#This Row],[_Row]]+Tasks[[#This Row],[_Descendants]])),Tasks[[#This Row],[_LeafAC]]))</f>
        <v/>
      </c>
      <c r="BS160" s="32" t="str">
        <f aca="false">IF(Tasks[[#This Row],[Task Name]]="","",MAX(1,N(Tasks[[#This Row],[Level]])))</f>
        <v/>
      </c>
      <c r="BT160" s="32" t="n">
        <f aca="false">ROW()-ROW(Tasks[[#Headers],[ID]])</f>
        <v>155</v>
      </c>
      <c r="BU160" s="32" t="n">
        <f aca="false">IF(OR(Tasks[[#This Row],[Task Name]]="",Tasks[[#This Row],[_Level]]&lt;=1),0,IFERROR(LOOKUP(2,1/(Tasks[[#Headers],[_Level]]:Tasks[[#This Row],[_Level]]=Tasks[[#This Row],[_Level]]-1),ROW(Tasks[[#Headers],[_Level]]:Tasks[[#This Row],[_Level]])),0))</f>
        <v>0</v>
      </c>
      <c r="BV160" s="32" t="n">
        <f aca="false">IFERROR(N(INDEX(Tasks[_Level],Tasks[[#This Row],[_Row]]+1)),0)</f>
        <v>0</v>
      </c>
      <c r="BW160" s="114" t="b">
        <f aca="false">AND(Tasks[[#This Row],[Task Name]]&lt;&gt;"",Tasks[[#This Row],[_NextLevel]]&gt;Tasks[[#This Row],[_Level]])</f>
        <v>0</v>
      </c>
      <c r="BX160" s="32" t="n">
        <f aca="false">IF(Tasks[[#This Row],[_IsSummary]],COUNTIF(Tasks[WBS],Tasks[[#This Row],[WBS]]&amp;".*"),0)</f>
        <v>0</v>
      </c>
      <c r="BY160" s="32" t="n">
        <f aca="false">IF(AND(Tasks[[#This Row],[Task Name]]&lt;&gt;"",NOT(Tasks[[#This Row],[_IsSummary]])),1,0)</f>
        <v>0</v>
      </c>
      <c r="BZ160" s="32" t="n">
        <f aca="false">IF(N(Tasks[[#This Row],[Pred1 UID]])=0,0,IFERROR(MATCH(Tasks[[#This Row],[Pred1 UID]],Tasks[UID],0),-1))</f>
        <v>0</v>
      </c>
      <c r="CA160" s="32" t="n">
        <f aca="false">IF(N(Tasks[[#This Row],[Pred2 UID]])=0,0,IFERROR(MATCH(Tasks[[#This Row],[Pred2 UID]],Tasks[UID],0),-1))</f>
        <v>0</v>
      </c>
      <c r="CB160" s="32" t="n">
        <f aca="false">IF(N(Tasks[[#This Row],[Pred3 UID]])=0,0,IFERROR(MATCH(Tasks[[#This Row],[Pred3 UID]],Tasks[UID],0),-1))</f>
        <v>0</v>
      </c>
      <c r="CC160" s="32" t="n">
        <f aca="false">IF(N(Tasks[[#This Row],[Pred4 UID]])=0,0,IFERROR(MATCH(Tasks[[#This Row],[Pred4 UID]],Tasks[UID],0),-1))</f>
        <v>0</v>
      </c>
      <c r="CD16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0" s="115" t="n">
        <f aca="false">IF(OR(Tasks[[#This Row],[_ConstraintCode]]=2,Tasks[[#This Row],[_ConstraintCode]]=3,Tasks[[#This Row],[_ConstraintCode]]=4,Tasks[[#This Row],[_ConstraintCode]]=6),Tasks[[#This Row],[_ConstraintStart]],0)</f>
        <v>0</v>
      </c>
      <c r="CG160" s="115" t="n">
        <f aca="false">IF(OR(Tasks[[#This Row],[_ConstraintCode]]=2,Tasks[[#This Row],[_ConstraintCode]]=3,Tasks[[#This Row],[_ConstraintCode]]=5,Tasks[[#This Row],[_ConstraintCode]]=7),Tasks[[#This Row],[_ConstraintStart]],2958465)</f>
        <v>2958465</v>
      </c>
      <c r="CH16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0" s="115" t="str">
        <f aca="false">IF(NOT(Tasks[[#This Row],[_IsLeaf]]=1),"",IF(N(Tasks[[#This Row],[Duration]])&lt;=0,Tasks[[#This Row],[_LeafCalcStart]],WORKDAY.INTL(Tasks[[#This Row],[_LeafCalcStart]],Tasks[[#This Row],[Duration]]-1,WorkWeek,Holidays)))</f>
        <v/>
      </c>
      <c r="CJ16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0" s="32" t="n">
        <f aca="false">IF(NOT(Tasks[[#This Row],[_IsLeaf]]=1),0,IF(N(Tasks[[#This Row],[Actual Finish]])&gt;0,1,MIN(1,N(Tasks[[#This Row],[% Complete]]))))</f>
        <v>0</v>
      </c>
      <c r="CM160" s="32" t="n">
        <f aca="false">IF(OR(NOT(Tasks[[#This Row],[_IsLeaf]]=1),Tasks[[#This Row],[Resource]]=""),0,N(Tasks[[#This Row],[Duration]])*HoursPerDay*IF(Tasks[[#This Row],[Units]]="",DefaultUnits,Tasks[[#This Row],[Units]]))</f>
        <v>0</v>
      </c>
      <c r="CN160" s="32" t="n">
        <f aca="false">IF(Tasks[[#This Row],[_LeafWork]]=0,0,Tasks[[#This Row],[_LeafWork]]*IFERROR(INDEX(res_Rate,MATCH(Tasks[[#This Row],[Resource]],res_Name,0)),0))</f>
        <v>0</v>
      </c>
      <c r="CO160" s="32" t="n">
        <f aca="false">Tasks[[#This Row],[_LeafWork]]+IF(Tasks[[#This Row],[_IsLeaf]]=1,SUMIFS(asg_Work,asg_TaskUID,Tasks[[#This Row],[UID]],asg_Valid,1),0)</f>
        <v>0</v>
      </c>
      <c r="CP160" s="32" t="n">
        <f aca="false">Tasks[[#This Row],[_LeafCost]]+IF(Tasks[[#This Row],[_IsLeaf]]=1,SUMIFS(asg_Cost,asg_TaskUID,Tasks[[#This Row],[UID]],asg_Valid,1),0)</f>
        <v>0</v>
      </c>
      <c r="CQ160" s="32" t="n">
        <f aca="false">IF(Tasks[[#This Row],[_LeafTotalCost]]=0,Tasks[[#This Row],[_LeafAC]],Tasks[[#This Row],[_LeafAC]]*Tasks[[#This Row],[_LeafCost]]/Tasks[[#This Row],[_LeafTotalCost]])</f>
        <v>0</v>
      </c>
      <c r="CR16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0" s="32" t="n">
        <f aca="false">IF(NOT(Tasks[[#This Row],[_IsLeaf]]=1),0,MAX(_xlfn.MAXIFS(Tasks[_Row],Tasks[Pred1 UID],Tasks[[#This Row],[UID]]),_xlfn.MAXIFS(Tasks[_Row],Tasks[Pred2 UID],Tasks[[#This Row],[UID]]),_xlfn.MAXIFS(Tasks[_Row],Tasks[Pred3 UID],Tasks[[#This Row],[UID]]),_xlfn.MAXIFS(Tasks[_Row],Tasks[Pred4 UID],Tasks[[#This Row],[UID]])))</f>
        <v>0</v>
      </c>
      <c r="DA16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0" s="115" t="str">
        <f aca="false">IF(NOT(Tasks[[#This Row],[_IsLeaf]]=1),"",IF(N(Tasks[[#This Row],[Duration]])&lt;=0,Tasks[[#This Row],[_LeafLateFinish]],WORKDAY.INTL(Tasks[[#This Row],[_LeafLateFinish]],-(Tasks[[#This Row],[Duration]]-1),WorkWeek,Holidays)))</f>
        <v/>
      </c>
      <c r="DD16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0" s="114" t="b">
        <f aca="false">AND(Tasks[[#This Row],[_IsLeaf]]=1,Tasks[[#This Row],[_LeafProgress]]&lt;1,N(Tasks[[#This Row],[_LeafTotalSlack]])&lt;=CriticalSlackDays)</f>
        <v>0</v>
      </c>
      <c r="DF160" s="32" t="n">
        <f aca="false">IF(AND(Tasks[[#This Row],[_IsLeaf]]=1,Tasks[[#This Row],[_ConstraintCode]]=1,Tasks[[#This Row],[Mode]]&lt;&gt;"Manual",N(Tasks[[#This Row],[Actual Start]])=0),MAX(0,N(Tasks[[#This Row],[Free Slack]])),0)</f>
        <v>0</v>
      </c>
      <c r="DG160" s="115" t="str">
        <f aca="false">IF(NOT(Tasks[[#This Row],[_IsLeaf]]=1),"",IF(Tasks[[#This Row],[_AlapShift]]=0,Tasks[[#This Row],[_LeafCalcStart]],WORKDAY.INTL(Tasks[[#This Row],[_LeafCalcStart]],Tasks[[#This Row],[_AlapShift]],WorkWeek,Holidays)))</f>
        <v/>
      </c>
      <c r="DH160" s="115" t="str">
        <f aca="false">IF(NOT(Tasks[[#This Row],[_IsLeaf]]=1),"",IF(Tasks[[#This Row],[_AlapShift]]=0,Tasks[[#This Row],[_LeafCalcFinish]],WORKDAY.INTL(Tasks[[#This Row],[_LeafCalcFinish]],Tasks[[#This Row],[_AlapShift]],WorkWeek,Holidays)))</f>
        <v/>
      </c>
      <c r="DI160" s="115" t="str">
        <f aca="false">IF(NOT(Tasks[[#This Row],[_IsLeaf]]=1),"",IF(Tasks[[#This Row],[_AlapShift]]=0,Tasks[[#This Row],[_LeafFcstStart]],WORKDAY.INTL(Tasks[[#This Row],[_LeafFcstStart]],Tasks[[#This Row],[_AlapShift]],WorkWeek,Holidays)))</f>
        <v/>
      </c>
      <c r="DJ160" s="115" t="str">
        <f aca="false">IF(NOT(Tasks[[#This Row],[_IsLeaf]]=1),"",IF(Tasks[[#This Row],[_AlapShift]]=0,Tasks[[#This Row],[_LeafFcstFinish]],WORKDAY.INTL(Tasks[[#This Row],[_LeafFcstFinish]],Tasks[[#This Row],[_AlapShift]],WorkWeek,Holidays)))</f>
        <v/>
      </c>
      <c r="DK160" s="115" t="str">
        <f aca="false">IF(Tasks[[#This Row],[Task Name]]="","",IF(Tasks[[#This Row],[_IsSummary]],MIN(INDEX(Tasks[_ShownCalcStart],Tasks[[#This Row],[_Row]]+1):INDEX(Tasks[_ShownCalcStart],Tasks[[#This Row],[_Row]]+Tasks[[#This Row],[_Descendants]])),Tasks[[#This Row],[_ShownCalcStart]]))</f>
        <v/>
      </c>
      <c r="DL160" s="115" t="str">
        <f aca="false">IF(Tasks[[#This Row],[Task Name]]="","",IF(Tasks[[#This Row],[_IsSummary]],MAX(INDEX(Tasks[_ShownCalcFinish],Tasks[[#This Row],[_Row]]+1):INDEX(Tasks[_ShownCalcFinish],Tasks[[#This Row],[_Row]]+Tasks[[#This Row],[_Descendants]])),Tasks[[#This Row],[_ShownCalcFinish]]))</f>
        <v/>
      </c>
      <c r="DM16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0" s="32" t="n">
        <f aca="false">IF(AND(Tasks[[#This Row],[_IsLeaf]]=1,Tasks[[#This Row],[_LeafTotalWork]]&gt;0),NETWORKDAYS.INTL(ProjectStart,Tasks[[#This Row],[_ShownFcstStart]],WorkWeek,Holidays),0)</f>
        <v>0</v>
      </c>
      <c r="DZ160" s="32" t="n">
        <f aca="false">IF(AND(Tasks[[#This Row],[_IsLeaf]]=1,Tasks[[#This Row],[_LeafTotalWork]]&gt;0),MAX(Tasks[[#This Row],[_StartWorkday]],NETWORKDAYS.INTL(ProjectStart,Tasks[[#This Row],[_ShownFcstFinish]],WorkWeek,Holidays)),0)</f>
        <v>0</v>
      </c>
      <c r="EA160" s="32" t="n">
        <f aca="false">IF(AND(Tasks[[#This Row],[_IsLeaf]]=1,Tasks[[#This Row],[_LeafTotalWork]]&gt;0),Tasks[[#This Row],[_LeafWork]]/(Tasks[[#This Row],[_FinishWorkday]]-Tasks[[#This Row],[_StartWorkday]]+1),0)</f>
        <v>0</v>
      </c>
      <c r="EB160" s="32" t="n">
        <f aca="false">Tasks[[#This Row],[_WorkPerWorkday]]*(Tasks[[#This Row],[_StartWorkday]]-1)</f>
        <v>-0</v>
      </c>
      <c r="EC160" s="32" t="n">
        <f aca="false">IF(Tasks[[#This Row],[_IsLeaf]]=1,MAX(N(Tasks[[#This Row],[Duration]]),0.1),0)</f>
        <v>0</v>
      </c>
      <c r="ED160" s="32" t="n">
        <f aca="false">Tasks[[#This Row],[_WeightDur]]*Tasks[[#This Row],[_LeafProgress]]</f>
        <v>0</v>
      </c>
      <c r="EE16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0" s="32" t="str">
        <f aca="false">IF(AND(Tasks[[#This Row],[_IsLeaf]]=1,N(Tasks[[#This Row],[Duration]])=0,Tasks[[#This Row],[_LeafProgress]]&lt;1),Tasks[[#This Row],[_ShownFcstFinish]]+Tasks[[#This Row],[_Row]]/100000,"")</f>
        <v/>
      </c>
      <c r="EG16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0" s="32" t="n">
        <f aca="false">IF(NOT(Tasks[[#This Row],[_IsLeaf]]=1),0,IF(Tasks[[#This Row],[Baseline Cost]]="",Tasks[[#This Row],[_LeafTotalCost]],N(Tasks[[#This Row],[Baseline Cost]])))</f>
        <v>0</v>
      </c>
      <c r="EI160" s="32" t="n">
        <f aca="false">Tasks[[#This Row],[_LeafBudget]]*Tasks[[#This Row],[_PlannedPct]]</f>
        <v>0</v>
      </c>
      <c r="EJ160" s="32" t="n">
        <f aca="false">Tasks[[#This Row],[_LeafBudget]]*Tasks[[#This Row],[_LeafProgress]]</f>
        <v>0</v>
      </c>
      <c r="EK160" s="32" t="n">
        <f aca="false">IF(NOT(Tasks[[#This Row],[_IsLeaf]]=1),0,IF(Tasks[[#This Row],[Actual Cost]]="",Tasks[[#This Row],[_LeafTotalCost]]*Tasks[[#This Row],[_LeafProgress]],N(Tasks[[#This Row],[Actual Cost]])))</f>
        <v>0</v>
      </c>
      <c r="EL160" s="32" t="str">
        <f aca="false">IF(Tasks[[#This Row],[Task Name]]="","",LEFT(Tasks[[#This Row],[WBS]],FIND(".",Tasks[[#This Row],[WBS]]&amp;".")-1))</f>
        <v/>
      </c>
      <c r="EM160" s="32" t="str">
        <f aca="false">IF(AND(Tasks[[#This Row],[Task Name]]&lt;&gt;"",Tasks[[#This Row],[_Level]]=1),Tasks[[#This Row],[_Row]],"")</f>
        <v/>
      </c>
      <c r="EN160" s="32" t="str">
        <f aca="false">IF(AND(Tasks[[#This Row],[_IsLeaf]]=1,N(Tasks[[#This Row],[Duration]])=0),Tasks[[#This Row],[Planned Finish]]+Tasks[[#This Row],[_Row]]/100000,"")</f>
        <v/>
      </c>
      <c r="EO160" s="32" t="str">
        <f aca="false">IF(AND(Tasks[[#This Row],[_IsLeaf]]=1,Tasks[[#This Row],[_LeafProgress]]&lt;1,OR(N(Tasks[[#This Row],[Finish Var]])&gt;0,Tasks[[#This Row],[Status]]="Late Start")),MAX(0,Tasks[[#This Row],[Finish Var]])+1-Tasks[[#This Row],[_Row]]/1000000,"")</f>
        <v/>
      </c>
      <c r="EP160" s="32" t="str">
        <f aca="false">IF(AND(Tasks[[#This Row],[_IsLeaf]]=1,N(Tasks[[#This Row],[Actual Start]])=0,Tasks[[#This Row],[_ShownFcstStart]]&gt;=StatusDate,Tasks[[#This Row],[_ShownFcstStart]]&lt;=LookaheadEnd),Tasks[[#This Row],[_ShownFcstStart]]+Tasks[[#This Row],[_Row]]/100000,"")</f>
        <v/>
      </c>
      <c r="EQ160" s="32" t="str">
        <f aca="false">IF(AND(Tasks[[#This Row],[_IsLeaf]]=1,Tasks[[#This Row],[_LeafProgress]]&lt;1,Tasks[[#This Row],[_ShownFcstFinish]]&gt;=StatusDate,Tasks[[#This Row],[_ShownFcstFinish]]&lt;=LookaheadEnd),Tasks[[#This Row],[_ShownFcstFinish]]+Tasks[[#This Row],[_Row]]/100000,"")</f>
        <v/>
      </c>
      <c r="ER160" s="32" t="str">
        <f aca="false">IF(Tasks[[#This Row],[_LeafCritical]],Tasks[[#This Row],[_ShownFcstStart]]+Tasks[[#This Row],[_Row]]/100000,"")</f>
        <v/>
      </c>
      <c r="ES160" s="32" t="n">
        <f aca="false">Tasks[[#This Row],[_LeafWork]]*Tasks[[#This Row],[_LeafProgress]]</f>
        <v>0</v>
      </c>
      <c r="ET160" s="115" t="str">
        <f aca="false">IF(AND(Tasks[[#This Row],[_IsLeaf]]=1,Tasks[[#This Row],[_LeafProgress]]&gt;=1),IF(N(Tasks[[#This Row],[Actual Finish]])&gt;0,Tasks[[#This Row],[Actual Finish]],Tasks[[#This Row],[_ShownFcstFinish]]),"")</f>
        <v/>
      </c>
      <c r="EU160" s="32" t="n">
        <f aca="false">IF(Tasks[[#This Row],[_IsLeaf]]=1,N(Tasks[[#This Row],[Story Points]]),0)</f>
        <v>0</v>
      </c>
      <c r="EV160" s="32" t="str">
        <f aca="false">IF(AND(Tasks[[#This Row],[_IsLeaf]]=1,CurrentSprint&lt;&gt;"",Tasks[[#This Row],[Sprint]]=CurrentSprint),Tasks[[#This Row],[_Row]],"")</f>
        <v/>
      </c>
    </row>
    <row r="161" customFormat="false" ht="15" hidden="false" customHeight="false" outlineLevel="0" collapsed="false">
      <c r="A161" s="45" t="str">
        <f aca="false">IF(Tasks[[#This Row],[Task Name]]="","",COUNTA(Tasks[[#Headers],[Task Name]]:Tasks[[#This Row],[Task Name]])-1)</f>
        <v/>
      </c>
      <c r="B161" s="46" t="n">
        <v>156</v>
      </c>
      <c r="C16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1" s="46"/>
      <c r="E161" s="45" t="str">
        <f aca="false">IF(Tasks[[#This Row],[Task Name]]="","",IF(Tasks[[#This Row],[_Level]]&lt;=OutlineShowLevel,"Yes","No"))</f>
        <v/>
      </c>
      <c r="F161" s="47"/>
      <c r="G161" s="46"/>
      <c r="H161" s="46"/>
      <c r="I161" s="46"/>
      <c r="J161" s="46"/>
      <c r="K161" s="46"/>
      <c r="L161" s="46"/>
      <c r="M161" s="46"/>
      <c r="N161" s="46"/>
      <c r="O161" s="46"/>
      <c r="P161" s="46"/>
      <c r="Q161" s="46"/>
      <c r="R161" s="46"/>
      <c r="S161" s="46"/>
      <c r="T161" s="46"/>
      <c r="U161" s="47"/>
      <c r="V161" s="88"/>
      <c r="W161" s="88"/>
      <c r="X161" s="25" t="str">
        <f aca="false">IF(Tasks[[#This Row],[Task Name]]="","",IF(N(Tasks[[#This Row],[Baseline Start]])&gt;0,Tasks[[#This Row],[Baseline Start]],Tasks[[#This Row],[_CalcStart]]))</f>
        <v/>
      </c>
      <c r="Y161" s="25" t="str">
        <f aca="false">IF(Tasks[[#This Row],[Task Name]]="","",IF(N(Tasks[[#This Row],[Baseline Finish]])&gt;0,Tasks[[#This Row],[Baseline Finish]],Tasks[[#This Row],[_CalcFinish]]))</f>
        <v/>
      </c>
      <c r="Z161" s="88"/>
      <c r="AA161" s="88"/>
      <c r="AB161" s="25" t="str">
        <f aca="false">IF(Tasks[[#This Row],[Task Name]]="","",IF(Tasks[[#This Row],[_IsSummary]],MIN(INDEX(Tasks[_ShownFcstStart],Tasks[[#This Row],[_Row]]+1):INDEX(Tasks[_ShownFcstStart],Tasks[[#This Row],[_Row]]+Tasks[[#This Row],[_Descendants]])),Tasks[[#This Row],[_ShownFcstStart]]))</f>
        <v/>
      </c>
      <c r="AC161" s="25" t="str">
        <f aca="false">IF(Tasks[[#This Row],[Task Name]]="","",IF(Tasks[[#This Row],[_IsSummary]],MAX(INDEX(Tasks[_ShownFcstFinish],Tasks[[#This Row],[_Row]]+1):INDEX(Tasks[_ShownFcstFinish],Tasks[[#This Row],[_Row]]+Tasks[[#This Row],[_Descendants]])),Tasks[[#This Row],[_ShownFcstFinish]]))</f>
        <v/>
      </c>
      <c r="AD16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1" s="25" t="str">
        <f aca="false">IF(Tasks[[#This Row],[Task Name]]="","",IF(Tasks[[#This Row],[_IsSummary]],MIN(INDEX(Tasks[_LeafLateStart],Tasks[[#This Row],[_Row]]+1):INDEX(Tasks[_LeafLateStart],Tasks[[#This Row],[_Row]]+Tasks[[#This Row],[_Descendants]])),Tasks[[#This Row],[_LeafLateStart]]))</f>
        <v/>
      </c>
      <c r="AG161" s="25" t="str">
        <f aca="false">IF(Tasks[[#This Row],[Task Name]]="","",IF(Tasks[[#This Row],[_IsSummary]],MAX(INDEX(Tasks[_LeafLateFinish],Tasks[[#This Row],[_Row]]+1):INDEX(Tasks[_LeafLateFinish],Tasks[[#This Row],[_Row]]+Tasks[[#This Row],[_Descendants]])),Tasks[[#This Row],[_LeafLateFinish]]))</f>
        <v/>
      </c>
      <c r="AH161" s="56" t="str">
        <f aca="false">IF(Tasks[[#This Row],[Task Name]]="","",IF(Tasks[[#This Row],[_IsSummary]],MIN(INDEX(Tasks[_LeafTotalSlack],Tasks[[#This Row],[_Row]]+1):INDEX(Tasks[_LeafTotalSlack],Tasks[[#This Row],[_Row]]+Tasks[[#This Row],[_Descendants]])),Tasks[[#This Row],[_LeafTotalSlack]]))</f>
        <v/>
      </c>
      <c r="AI16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1" s="45" t="str">
        <f aca="false">IF(Tasks[[#This Row],[Task Name]]="","",IF(IF(Tasks[[#This Row],[_IsSummary]],COUNTIF(INDEX(Tasks[_LeafCritical],Tasks[[#This Row],[_Row]]+1):INDEX(Tasks[_LeafCritical],Tasks[[#This Row],[_Row]]+Tasks[[#This Row],[_Descendants]]),TRUE())&gt;0,Tasks[[#This Row],[_LeafCritical]]),"Yes",""))</f>
        <v/>
      </c>
      <c r="AK16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1" s="102"/>
      <c r="AN16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1" s="45" t="str">
        <f aca="false">IF(Tasks[[#This Row],[Task Name]]="","",IF(Tasks[[#This Row],[Progress]]&gt;=1,"Complete",IF(OR(N(Tasks[[#This Row],[Actual Start]])&gt;0,Tasks[[#This Row],[Progress]]&gt;0),IF(Tasks[[#This Row],[Finish Var]]&gt;0,"Behind","In Progress"),IF(Tasks[[#This Row],[Planned Start]]&lt;StatusDate,"Late Start","Not Started"))))</f>
        <v/>
      </c>
      <c r="AP161" s="47"/>
      <c r="AQ161" s="102"/>
      <c r="AR16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1" s="110" t="str">
        <f aca="false">IF(Tasks[[#This Row],[Task Name]]="","",IF(Tasks[[#This Row],[_IsSummary]],SUM(INDEX(Tasks[_LeafTotalWork],Tasks[[#This Row],[_Row]]+1):INDEX(Tasks[_LeafTotalWork],Tasks[[#This Row],[_Row]]+Tasks[[#This Row],[_Descendants]])),Tasks[[#This Row],[_LeafTotalWork]]))</f>
        <v/>
      </c>
      <c r="AU161" s="111" t="str">
        <f aca="false">IF(Tasks[[#This Row],[Task Name]]="","",IF(Tasks[[#This Row],[_IsSummary]],SUM(INDEX(Tasks[_LeafTotalCost],Tasks[[#This Row],[_Row]]+1):INDEX(Tasks[_LeafTotalCost],Tasks[[#This Row],[_Row]]+Tasks[[#This Row],[_Descendants]])),Tasks[[#This Row],[_LeafTotalCost]]))</f>
        <v/>
      </c>
      <c r="AV161" s="112"/>
      <c r="AW161" s="46"/>
      <c r="AX16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1" s="96"/>
      <c r="AZ16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1" s="47"/>
      <c r="BB161" s="25" t="str">
        <f aca="false">IF(Tasks[[#This Row],[Task Name]]="","",Tasks[[#This Row],[Forecast Start]])</f>
        <v/>
      </c>
      <c r="BC161" s="25" t="str">
        <f aca="false">IF(Tasks[[#This Row],[Task Name]]="","",Tasks[[#This Row],[Forecast Finish]])</f>
        <v/>
      </c>
      <c r="BD161" s="45" t="str">
        <f aca="false">IF(Tasks[[#This Row],[Task Name]]="","",IF(Tasks[[#This Row],[_IsSummary]],NETWORKDAYS.INTL(Tasks[[#This Row],[Forecast Start]],Tasks[[#This Row],[Forecast Finish]],WorkWeek,Holidays),N(Tasks[[#This Row],[Duration]])))</f>
        <v/>
      </c>
      <c r="BE161" s="110" t="str">
        <f aca="false">IF(Tasks[[#This Row],[Task Name]]="","",Tasks[[#This Row],[Work]])</f>
        <v/>
      </c>
      <c r="BF161" s="111" t="str">
        <f aca="false">IF(Tasks[[#This Row],[Task Name]]="","",Tasks[[#This Row],[Cost]])</f>
        <v/>
      </c>
      <c r="BG161" s="88"/>
      <c r="BH161" s="88"/>
      <c r="BI161" s="46"/>
      <c r="BJ161" s="113"/>
      <c r="BK161" s="112"/>
      <c r="BL161" s="45" t="str">
        <f aca="false">IF(OR(Tasks[[#This Row],[Task Name]]="",Tasks[[#This Row],[Baseline Duration]]=""),"",Tasks[[#This Row],[BL Source Duration]]-N(Tasks[[#This Row],[Baseline Duration]]))</f>
        <v/>
      </c>
      <c r="BM161" s="110" t="str">
        <f aca="false">IF(OR(Tasks[[#This Row],[Task Name]]="",Tasks[[#This Row],[Baseline Work]]=""),"",Tasks[[#This Row],[Work]]-N(Tasks[[#This Row],[Baseline Work]]))</f>
        <v/>
      </c>
      <c r="BN161" s="111" t="str">
        <f aca="false">IF(OR(Tasks[[#This Row],[Task Name]]="",Tasks[[#This Row],[Baseline Cost]]=""),"",Tasks[[#This Row],[Cost]]-N(Tasks[[#This Row],[Baseline Cost]]))</f>
        <v/>
      </c>
      <c r="BO161" s="111" t="str">
        <f aca="false">IF(Tasks[[#This Row],[Task Name]]="","",IF(Tasks[[#This Row],[_IsSummary]],SUM(INDEX(Tasks[_LeafBudget],Tasks[[#This Row],[_Row]]+1):INDEX(Tasks[_LeafBudget],Tasks[[#This Row],[_Row]]+Tasks[[#This Row],[_Descendants]])),Tasks[[#This Row],[_LeafBudget]]))</f>
        <v/>
      </c>
      <c r="BP161" s="111" t="str">
        <f aca="false">IF(Tasks[[#This Row],[Task Name]]="","",IF(Tasks[[#This Row],[_IsSummary]],SUM(INDEX(Tasks[_LeafPV],Tasks[[#This Row],[_Row]]+1):INDEX(Tasks[_LeafPV],Tasks[[#This Row],[_Row]]+Tasks[[#This Row],[_Descendants]])),Tasks[[#This Row],[_LeafPV]]))</f>
        <v/>
      </c>
      <c r="BQ161" s="111" t="str">
        <f aca="false">IF(Tasks[[#This Row],[Task Name]]="","",IF(Tasks[[#This Row],[_IsSummary]],SUM(INDEX(Tasks[_LeafEV],Tasks[[#This Row],[_Row]]+1):INDEX(Tasks[_LeafEV],Tasks[[#This Row],[_Row]]+Tasks[[#This Row],[_Descendants]])),Tasks[[#This Row],[_LeafEV]]))</f>
        <v/>
      </c>
      <c r="BR161" s="111" t="str">
        <f aca="false">IF(Tasks[[#This Row],[Task Name]]="","",IF(Tasks[[#This Row],[_IsSummary]],SUM(INDEX(Tasks[_LeafAC],Tasks[[#This Row],[_Row]]+1):INDEX(Tasks[_LeafAC],Tasks[[#This Row],[_Row]]+Tasks[[#This Row],[_Descendants]])),Tasks[[#This Row],[_LeafAC]]))</f>
        <v/>
      </c>
      <c r="BS161" s="32" t="str">
        <f aca="false">IF(Tasks[[#This Row],[Task Name]]="","",MAX(1,N(Tasks[[#This Row],[Level]])))</f>
        <v/>
      </c>
      <c r="BT161" s="32" t="n">
        <f aca="false">ROW()-ROW(Tasks[[#Headers],[ID]])</f>
        <v>156</v>
      </c>
      <c r="BU161" s="32" t="n">
        <f aca="false">IF(OR(Tasks[[#This Row],[Task Name]]="",Tasks[[#This Row],[_Level]]&lt;=1),0,IFERROR(LOOKUP(2,1/(Tasks[[#Headers],[_Level]]:Tasks[[#This Row],[_Level]]=Tasks[[#This Row],[_Level]]-1),ROW(Tasks[[#Headers],[_Level]]:Tasks[[#This Row],[_Level]])),0))</f>
        <v>0</v>
      </c>
      <c r="BV161" s="32" t="n">
        <f aca="false">IFERROR(N(INDEX(Tasks[_Level],Tasks[[#This Row],[_Row]]+1)),0)</f>
        <v>0</v>
      </c>
      <c r="BW161" s="114" t="b">
        <f aca="false">AND(Tasks[[#This Row],[Task Name]]&lt;&gt;"",Tasks[[#This Row],[_NextLevel]]&gt;Tasks[[#This Row],[_Level]])</f>
        <v>0</v>
      </c>
      <c r="BX161" s="32" t="n">
        <f aca="false">IF(Tasks[[#This Row],[_IsSummary]],COUNTIF(Tasks[WBS],Tasks[[#This Row],[WBS]]&amp;".*"),0)</f>
        <v>0</v>
      </c>
      <c r="BY161" s="32" t="n">
        <f aca="false">IF(AND(Tasks[[#This Row],[Task Name]]&lt;&gt;"",NOT(Tasks[[#This Row],[_IsSummary]])),1,0)</f>
        <v>0</v>
      </c>
      <c r="BZ161" s="32" t="n">
        <f aca="false">IF(N(Tasks[[#This Row],[Pred1 UID]])=0,0,IFERROR(MATCH(Tasks[[#This Row],[Pred1 UID]],Tasks[UID],0),-1))</f>
        <v>0</v>
      </c>
      <c r="CA161" s="32" t="n">
        <f aca="false">IF(N(Tasks[[#This Row],[Pred2 UID]])=0,0,IFERROR(MATCH(Tasks[[#This Row],[Pred2 UID]],Tasks[UID],0),-1))</f>
        <v>0</v>
      </c>
      <c r="CB161" s="32" t="n">
        <f aca="false">IF(N(Tasks[[#This Row],[Pred3 UID]])=0,0,IFERROR(MATCH(Tasks[[#This Row],[Pred3 UID]],Tasks[UID],0),-1))</f>
        <v>0</v>
      </c>
      <c r="CC161" s="32" t="n">
        <f aca="false">IF(N(Tasks[[#This Row],[Pred4 UID]])=0,0,IFERROR(MATCH(Tasks[[#This Row],[Pred4 UID]],Tasks[UID],0),-1))</f>
        <v>0</v>
      </c>
      <c r="CD16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1" s="115" t="n">
        <f aca="false">IF(OR(Tasks[[#This Row],[_ConstraintCode]]=2,Tasks[[#This Row],[_ConstraintCode]]=3,Tasks[[#This Row],[_ConstraintCode]]=4,Tasks[[#This Row],[_ConstraintCode]]=6),Tasks[[#This Row],[_ConstraintStart]],0)</f>
        <v>0</v>
      </c>
      <c r="CG161" s="115" t="n">
        <f aca="false">IF(OR(Tasks[[#This Row],[_ConstraintCode]]=2,Tasks[[#This Row],[_ConstraintCode]]=3,Tasks[[#This Row],[_ConstraintCode]]=5,Tasks[[#This Row],[_ConstraintCode]]=7),Tasks[[#This Row],[_ConstraintStart]],2958465)</f>
        <v>2958465</v>
      </c>
      <c r="CH16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1" s="115" t="str">
        <f aca="false">IF(NOT(Tasks[[#This Row],[_IsLeaf]]=1),"",IF(N(Tasks[[#This Row],[Duration]])&lt;=0,Tasks[[#This Row],[_LeafCalcStart]],WORKDAY.INTL(Tasks[[#This Row],[_LeafCalcStart]],Tasks[[#This Row],[Duration]]-1,WorkWeek,Holidays)))</f>
        <v/>
      </c>
      <c r="CJ16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1" s="32" t="n">
        <f aca="false">IF(NOT(Tasks[[#This Row],[_IsLeaf]]=1),0,IF(N(Tasks[[#This Row],[Actual Finish]])&gt;0,1,MIN(1,N(Tasks[[#This Row],[% Complete]]))))</f>
        <v>0</v>
      </c>
      <c r="CM161" s="32" t="n">
        <f aca="false">IF(OR(NOT(Tasks[[#This Row],[_IsLeaf]]=1),Tasks[[#This Row],[Resource]]=""),0,N(Tasks[[#This Row],[Duration]])*HoursPerDay*IF(Tasks[[#This Row],[Units]]="",DefaultUnits,Tasks[[#This Row],[Units]]))</f>
        <v>0</v>
      </c>
      <c r="CN161" s="32" t="n">
        <f aca="false">IF(Tasks[[#This Row],[_LeafWork]]=0,0,Tasks[[#This Row],[_LeafWork]]*IFERROR(INDEX(res_Rate,MATCH(Tasks[[#This Row],[Resource]],res_Name,0)),0))</f>
        <v>0</v>
      </c>
      <c r="CO161" s="32" t="n">
        <f aca="false">Tasks[[#This Row],[_LeafWork]]+IF(Tasks[[#This Row],[_IsLeaf]]=1,SUMIFS(asg_Work,asg_TaskUID,Tasks[[#This Row],[UID]],asg_Valid,1),0)</f>
        <v>0</v>
      </c>
      <c r="CP161" s="32" t="n">
        <f aca="false">Tasks[[#This Row],[_LeafCost]]+IF(Tasks[[#This Row],[_IsLeaf]]=1,SUMIFS(asg_Cost,asg_TaskUID,Tasks[[#This Row],[UID]],asg_Valid,1),0)</f>
        <v>0</v>
      </c>
      <c r="CQ161" s="32" t="n">
        <f aca="false">IF(Tasks[[#This Row],[_LeafTotalCost]]=0,Tasks[[#This Row],[_LeafAC]],Tasks[[#This Row],[_LeafAC]]*Tasks[[#This Row],[_LeafCost]]/Tasks[[#This Row],[_LeafTotalCost]])</f>
        <v>0</v>
      </c>
      <c r="CR16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1" s="32" t="n">
        <f aca="false">IF(NOT(Tasks[[#This Row],[_IsLeaf]]=1),0,MAX(_xlfn.MAXIFS(Tasks[_Row],Tasks[Pred1 UID],Tasks[[#This Row],[UID]]),_xlfn.MAXIFS(Tasks[_Row],Tasks[Pred2 UID],Tasks[[#This Row],[UID]]),_xlfn.MAXIFS(Tasks[_Row],Tasks[Pred3 UID],Tasks[[#This Row],[UID]]),_xlfn.MAXIFS(Tasks[_Row],Tasks[Pred4 UID],Tasks[[#This Row],[UID]])))</f>
        <v>0</v>
      </c>
      <c r="DA16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1" s="115" t="str">
        <f aca="false">IF(NOT(Tasks[[#This Row],[_IsLeaf]]=1),"",IF(N(Tasks[[#This Row],[Duration]])&lt;=0,Tasks[[#This Row],[_LeafLateFinish]],WORKDAY.INTL(Tasks[[#This Row],[_LeafLateFinish]],-(Tasks[[#This Row],[Duration]]-1),WorkWeek,Holidays)))</f>
        <v/>
      </c>
      <c r="DD16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1" s="114" t="b">
        <f aca="false">AND(Tasks[[#This Row],[_IsLeaf]]=1,Tasks[[#This Row],[_LeafProgress]]&lt;1,N(Tasks[[#This Row],[_LeafTotalSlack]])&lt;=CriticalSlackDays)</f>
        <v>0</v>
      </c>
      <c r="DF161" s="32" t="n">
        <f aca="false">IF(AND(Tasks[[#This Row],[_IsLeaf]]=1,Tasks[[#This Row],[_ConstraintCode]]=1,Tasks[[#This Row],[Mode]]&lt;&gt;"Manual",N(Tasks[[#This Row],[Actual Start]])=0),MAX(0,N(Tasks[[#This Row],[Free Slack]])),0)</f>
        <v>0</v>
      </c>
      <c r="DG161" s="115" t="str">
        <f aca="false">IF(NOT(Tasks[[#This Row],[_IsLeaf]]=1),"",IF(Tasks[[#This Row],[_AlapShift]]=0,Tasks[[#This Row],[_LeafCalcStart]],WORKDAY.INTL(Tasks[[#This Row],[_LeafCalcStart]],Tasks[[#This Row],[_AlapShift]],WorkWeek,Holidays)))</f>
        <v/>
      </c>
      <c r="DH161" s="115" t="str">
        <f aca="false">IF(NOT(Tasks[[#This Row],[_IsLeaf]]=1),"",IF(Tasks[[#This Row],[_AlapShift]]=0,Tasks[[#This Row],[_LeafCalcFinish]],WORKDAY.INTL(Tasks[[#This Row],[_LeafCalcFinish]],Tasks[[#This Row],[_AlapShift]],WorkWeek,Holidays)))</f>
        <v/>
      </c>
      <c r="DI161" s="115" t="str">
        <f aca="false">IF(NOT(Tasks[[#This Row],[_IsLeaf]]=1),"",IF(Tasks[[#This Row],[_AlapShift]]=0,Tasks[[#This Row],[_LeafFcstStart]],WORKDAY.INTL(Tasks[[#This Row],[_LeafFcstStart]],Tasks[[#This Row],[_AlapShift]],WorkWeek,Holidays)))</f>
        <v/>
      </c>
      <c r="DJ161" s="115" t="str">
        <f aca="false">IF(NOT(Tasks[[#This Row],[_IsLeaf]]=1),"",IF(Tasks[[#This Row],[_AlapShift]]=0,Tasks[[#This Row],[_LeafFcstFinish]],WORKDAY.INTL(Tasks[[#This Row],[_LeafFcstFinish]],Tasks[[#This Row],[_AlapShift]],WorkWeek,Holidays)))</f>
        <v/>
      </c>
      <c r="DK161" s="115" t="str">
        <f aca="false">IF(Tasks[[#This Row],[Task Name]]="","",IF(Tasks[[#This Row],[_IsSummary]],MIN(INDEX(Tasks[_ShownCalcStart],Tasks[[#This Row],[_Row]]+1):INDEX(Tasks[_ShownCalcStart],Tasks[[#This Row],[_Row]]+Tasks[[#This Row],[_Descendants]])),Tasks[[#This Row],[_ShownCalcStart]]))</f>
        <v/>
      </c>
      <c r="DL161" s="115" t="str">
        <f aca="false">IF(Tasks[[#This Row],[Task Name]]="","",IF(Tasks[[#This Row],[_IsSummary]],MAX(INDEX(Tasks[_ShownCalcFinish],Tasks[[#This Row],[_Row]]+1):INDEX(Tasks[_ShownCalcFinish],Tasks[[#This Row],[_Row]]+Tasks[[#This Row],[_Descendants]])),Tasks[[#This Row],[_ShownCalcFinish]]))</f>
        <v/>
      </c>
      <c r="DM16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1" s="32" t="n">
        <f aca="false">IF(AND(Tasks[[#This Row],[_IsLeaf]]=1,Tasks[[#This Row],[_LeafTotalWork]]&gt;0),NETWORKDAYS.INTL(ProjectStart,Tasks[[#This Row],[_ShownFcstStart]],WorkWeek,Holidays),0)</f>
        <v>0</v>
      </c>
      <c r="DZ161" s="32" t="n">
        <f aca="false">IF(AND(Tasks[[#This Row],[_IsLeaf]]=1,Tasks[[#This Row],[_LeafTotalWork]]&gt;0),MAX(Tasks[[#This Row],[_StartWorkday]],NETWORKDAYS.INTL(ProjectStart,Tasks[[#This Row],[_ShownFcstFinish]],WorkWeek,Holidays)),0)</f>
        <v>0</v>
      </c>
      <c r="EA161" s="32" t="n">
        <f aca="false">IF(AND(Tasks[[#This Row],[_IsLeaf]]=1,Tasks[[#This Row],[_LeafTotalWork]]&gt;0),Tasks[[#This Row],[_LeafWork]]/(Tasks[[#This Row],[_FinishWorkday]]-Tasks[[#This Row],[_StartWorkday]]+1),0)</f>
        <v>0</v>
      </c>
      <c r="EB161" s="32" t="n">
        <f aca="false">Tasks[[#This Row],[_WorkPerWorkday]]*(Tasks[[#This Row],[_StartWorkday]]-1)</f>
        <v>-0</v>
      </c>
      <c r="EC161" s="32" t="n">
        <f aca="false">IF(Tasks[[#This Row],[_IsLeaf]]=1,MAX(N(Tasks[[#This Row],[Duration]]),0.1),0)</f>
        <v>0</v>
      </c>
      <c r="ED161" s="32" t="n">
        <f aca="false">Tasks[[#This Row],[_WeightDur]]*Tasks[[#This Row],[_LeafProgress]]</f>
        <v>0</v>
      </c>
      <c r="EE16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1" s="32" t="str">
        <f aca="false">IF(AND(Tasks[[#This Row],[_IsLeaf]]=1,N(Tasks[[#This Row],[Duration]])=0,Tasks[[#This Row],[_LeafProgress]]&lt;1),Tasks[[#This Row],[_ShownFcstFinish]]+Tasks[[#This Row],[_Row]]/100000,"")</f>
        <v/>
      </c>
      <c r="EG16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1" s="32" t="n">
        <f aca="false">IF(NOT(Tasks[[#This Row],[_IsLeaf]]=1),0,IF(Tasks[[#This Row],[Baseline Cost]]="",Tasks[[#This Row],[_LeafTotalCost]],N(Tasks[[#This Row],[Baseline Cost]])))</f>
        <v>0</v>
      </c>
      <c r="EI161" s="32" t="n">
        <f aca="false">Tasks[[#This Row],[_LeafBudget]]*Tasks[[#This Row],[_PlannedPct]]</f>
        <v>0</v>
      </c>
      <c r="EJ161" s="32" t="n">
        <f aca="false">Tasks[[#This Row],[_LeafBudget]]*Tasks[[#This Row],[_LeafProgress]]</f>
        <v>0</v>
      </c>
      <c r="EK161" s="32" t="n">
        <f aca="false">IF(NOT(Tasks[[#This Row],[_IsLeaf]]=1),0,IF(Tasks[[#This Row],[Actual Cost]]="",Tasks[[#This Row],[_LeafTotalCost]]*Tasks[[#This Row],[_LeafProgress]],N(Tasks[[#This Row],[Actual Cost]])))</f>
        <v>0</v>
      </c>
      <c r="EL161" s="32" t="str">
        <f aca="false">IF(Tasks[[#This Row],[Task Name]]="","",LEFT(Tasks[[#This Row],[WBS]],FIND(".",Tasks[[#This Row],[WBS]]&amp;".")-1))</f>
        <v/>
      </c>
      <c r="EM161" s="32" t="str">
        <f aca="false">IF(AND(Tasks[[#This Row],[Task Name]]&lt;&gt;"",Tasks[[#This Row],[_Level]]=1),Tasks[[#This Row],[_Row]],"")</f>
        <v/>
      </c>
      <c r="EN161" s="32" t="str">
        <f aca="false">IF(AND(Tasks[[#This Row],[_IsLeaf]]=1,N(Tasks[[#This Row],[Duration]])=0),Tasks[[#This Row],[Planned Finish]]+Tasks[[#This Row],[_Row]]/100000,"")</f>
        <v/>
      </c>
      <c r="EO161" s="32" t="str">
        <f aca="false">IF(AND(Tasks[[#This Row],[_IsLeaf]]=1,Tasks[[#This Row],[_LeafProgress]]&lt;1,OR(N(Tasks[[#This Row],[Finish Var]])&gt;0,Tasks[[#This Row],[Status]]="Late Start")),MAX(0,Tasks[[#This Row],[Finish Var]])+1-Tasks[[#This Row],[_Row]]/1000000,"")</f>
        <v/>
      </c>
      <c r="EP161" s="32" t="str">
        <f aca="false">IF(AND(Tasks[[#This Row],[_IsLeaf]]=1,N(Tasks[[#This Row],[Actual Start]])=0,Tasks[[#This Row],[_ShownFcstStart]]&gt;=StatusDate,Tasks[[#This Row],[_ShownFcstStart]]&lt;=LookaheadEnd),Tasks[[#This Row],[_ShownFcstStart]]+Tasks[[#This Row],[_Row]]/100000,"")</f>
        <v/>
      </c>
      <c r="EQ161" s="32" t="str">
        <f aca="false">IF(AND(Tasks[[#This Row],[_IsLeaf]]=1,Tasks[[#This Row],[_LeafProgress]]&lt;1,Tasks[[#This Row],[_ShownFcstFinish]]&gt;=StatusDate,Tasks[[#This Row],[_ShownFcstFinish]]&lt;=LookaheadEnd),Tasks[[#This Row],[_ShownFcstFinish]]+Tasks[[#This Row],[_Row]]/100000,"")</f>
        <v/>
      </c>
      <c r="ER161" s="32" t="str">
        <f aca="false">IF(Tasks[[#This Row],[_LeafCritical]],Tasks[[#This Row],[_ShownFcstStart]]+Tasks[[#This Row],[_Row]]/100000,"")</f>
        <v/>
      </c>
      <c r="ES161" s="32" t="n">
        <f aca="false">Tasks[[#This Row],[_LeafWork]]*Tasks[[#This Row],[_LeafProgress]]</f>
        <v>0</v>
      </c>
      <c r="ET161" s="115" t="str">
        <f aca="false">IF(AND(Tasks[[#This Row],[_IsLeaf]]=1,Tasks[[#This Row],[_LeafProgress]]&gt;=1),IF(N(Tasks[[#This Row],[Actual Finish]])&gt;0,Tasks[[#This Row],[Actual Finish]],Tasks[[#This Row],[_ShownFcstFinish]]),"")</f>
        <v/>
      </c>
      <c r="EU161" s="32" t="n">
        <f aca="false">IF(Tasks[[#This Row],[_IsLeaf]]=1,N(Tasks[[#This Row],[Story Points]]),0)</f>
        <v>0</v>
      </c>
      <c r="EV161" s="32" t="str">
        <f aca="false">IF(AND(Tasks[[#This Row],[_IsLeaf]]=1,CurrentSprint&lt;&gt;"",Tasks[[#This Row],[Sprint]]=CurrentSprint),Tasks[[#This Row],[_Row]],"")</f>
        <v/>
      </c>
    </row>
    <row r="162" customFormat="false" ht="15" hidden="false" customHeight="false" outlineLevel="0" collapsed="false">
      <c r="A162" s="45" t="str">
        <f aca="false">IF(Tasks[[#This Row],[Task Name]]="","",COUNTA(Tasks[[#Headers],[Task Name]]:Tasks[[#This Row],[Task Name]])-1)</f>
        <v/>
      </c>
      <c r="B162" s="46" t="n">
        <v>157</v>
      </c>
      <c r="C16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2" s="46"/>
      <c r="E162" s="45" t="str">
        <f aca="false">IF(Tasks[[#This Row],[Task Name]]="","",IF(Tasks[[#This Row],[_Level]]&lt;=OutlineShowLevel,"Yes","No"))</f>
        <v/>
      </c>
      <c r="F162" s="47"/>
      <c r="G162" s="46"/>
      <c r="H162" s="46"/>
      <c r="I162" s="46"/>
      <c r="J162" s="46"/>
      <c r="K162" s="46"/>
      <c r="L162" s="46"/>
      <c r="M162" s="46"/>
      <c r="N162" s="46"/>
      <c r="O162" s="46"/>
      <c r="P162" s="46"/>
      <c r="Q162" s="46"/>
      <c r="R162" s="46"/>
      <c r="S162" s="46"/>
      <c r="T162" s="46"/>
      <c r="U162" s="47"/>
      <c r="V162" s="88"/>
      <c r="W162" s="88"/>
      <c r="X162" s="25" t="str">
        <f aca="false">IF(Tasks[[#This Row],[Task Name]]="","",IF(N(Tasks[[#This Row],[Baseline Start]])&gt;0,Tasks[[#This Row],[Baseline Start]],Tasks[[#This Row],[_CalcStart]]))</f>
        <v/>
      </c>
      <c r="Y162" s="25" t="str">
        <f aca="false">IF(Tasks[[#This Row],[Task Name]]="","",IF(N(Tasks[[#This Row],[Baseline Finish]])&gt;0,Tasks[[#This Row],[Baseline Finish]],Tasks[[#This Row],[_CalcFinish]]))</f>
        <v/>
      </c>
      <c r="Z162" s="88"/>
      <c r="AA162" s="88"/>
      <c r="AB162" s="25" t="str">
        <f aca="false">IF(Tasks[[#This Row],[Task Name]]="","",IF(Tasks[[#This Row],[_IsSummary]],MIN(INDEX(Tasks[_ShownFcstStart],Tasks[[#This Row],[_Row]]+1):INDEX(Tasks[_ShownFcstStart],Tasks[[#This Row],[_Row]]+Tasks[[#This Row],[_Descendants]])),Tasks[[#This Row],[_ShownFcstStart]]))</f>
        <v/>
      </c>
      <c r="AC162" s="25" t="str">
        <f aca="false">IF(Tasks[[#This Row],[Task Name]]="","",IF(Tasks[[#This Row],[_IsSummary]],MAX(INDEX(Tasks[_ShownFcstFinish],Tasks[[#This Row],[_Row]]+1):INDEX(Tasks[_ShownFcstFinish],Tasks[[#This Row],[_Row]]+Tasks[[#This Row],[_Descendants]])),Tasks[[#This Row],[_ShownFcstFinish]]))</f>
        <v/>
      </c>
      <c r="AD16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2" s="25" t="str">
        <f aca="false">IF(Tasks[[#This Row],[Task Name]]="","",IF(Tasks[[#This Row],[_IsSummary]],MIN(INDEX(Tasks[_LeafLateStart],Tasks[[#This Row],[_Row]]+1):INDEX(Tasks[_LeafLateStart],Tasks[[#This Row],[_Row]]+Tasks[[#This Row],[_Descendants]])),Tasks[[#This Row],[_LeafLateStart]]))</f>
        <v/>
      </c>
      <c r="AG162" s="25" t="str">
        <f aca="false">IF(Tasks[[#This Row],[Task Name]]="","",IF(Tasks[[#This Row],[_IsSummary]],MAX(INDEX(Tasks[_LeafLateFinish],Tasks[[#This Row],[_Row]]+1):INDEX(Tasks[_LeafLateFinish],Tasks[[#This Row],[_Row]]+Tasks[[#This Row],[_Descendants]])),Tasks[[#This Row],[_LeafLateFinish]]))</f>
        <v/>
      </c>
      <c r="AH162" s="56" t="str">
        <f aca="false">IF(Tasks[[#This Row],[Task Name]]="","",IF(Tasks[[#This Row],[_IsSummary]],MIN(INDEX(Tasks[_LeafTotalSlack],Tasks[[#This Row],[_Row]]+1):INDEX(Tasks[_LeafTotalSlack],Tasks[[#This Row],[_Row]]+Tasks[[#This Row],[_Descendants]])),Tasks[[#This Row],[_LeafTotalSlack]]))</f>
        <v/>
      </c>
      <c r="AI16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2" s="45" t="str">
        <f aca="false">IF(Tasks[[#This Row],[Task Name]]="","",IF(IF(Tasks[[#This Row],[_IsSummary]],COUNTIF(INDEX(Tasks[_LeafCritical],Tasks[[#This Row],[_Row]]+1):INDEX(Tasks[_LeafCritical],Tasks[[#This Row],[_Row]]+Tasks[[#This Row],[_Descendants]]),TRUE())&gt;0,Tasks[[#This Row],[_LeafCritical]]),"Yes",""))</f>
        <v/>
      </c>
      <c r="AK16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2" s="102"/>
      <c r="AN16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2" s="45" t="str">
        <f aca="false">IF(Tasks[[#This Row],[Task Name]]="","",IF(Tasks[[#This Row],[Progress]]&gt;=1,"Complete",IF(OR(N(Tasks[[#This Row],[Actual Start]])&gt;0,Tasks[[#This Row],[Progress]]&gt;0),IF(Tasks[[#This Row],[Finish Var]]&gt;0,"Behind","In Progress"),IF(Tasks[[#This Row],[Planned Start]]&lt;StatusDate,"Late Start","Not Started"))))</f>
        <v/>
      </c>
      <c r="AP162" s="47"/>
      <c r="AQ162" s="102"/>
      <c r="AR16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2" s="110" t="str">
        <f aca="false">IF(Tasks[[#This Row],[Task Name]]="","",IF(Tasks[[#This Row],[_IsSummary]],SUM(INDEX(Tasks[_LeafTotalWork],Tasks[[#This Row],[_Row]]+1):INDEX(Tasks[_LeafTotalWork],Tasks[[#This Row],[_Row]]+Tasks[[#This Row],[_Descendants]])),Tasks[[#This Row],[_LeafTotalWork]]))</f>
        <v/>
      </c>
      <c r="AU162" s="111" t="str">
        <f aca="false">IF(Tasks[[#This Row],[Task Name]]="","",IF(Tasks[[#This Row],[_IsSummary]],SUM(INDEX(Tasks[_LeafTotalCost],Tasks[[#This Row],[_Row]]+1):INDEX(Tasks[_LeafTotalCost],Tasks[[#This Row],[_Row]]+Tasks[[#This Row],[_Descendants]])),Tasks[[#This Row],[_LeafTotalCost]]))</f>
        <v/>
      </c>
      <c r="AV162" s="112"/>
      <c r="AW162" s="46"/>
      <c r="AX16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2" s="96"/>
      <c r="AZ16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2" s="47"/>
      <c r="BB162" s="25" t="str">
        <f aca="false">IF(Tasks[[#This Row],[Task Name]]="","",Tasks[[#This Row],[Forecast Start]])</f>
        <v/>
      </c>
      <c r="BC162" s="25" t="str">
        <f aca="false">IF(Tasks[[#This Row],[Task Name]]="","",Tasks[[#This Row],[Forecast Finish]])</f>
        <v/>
      </c>
      <c r="BD162" s="45" t="str">
        <f aca="false">IF(Tasks[[#This Row],[Task Name]]="","",IF(Tasks[[#This Row],[_IsSummary]],NETWORKDAYS.INTL(Tasks[[#This Row],[Forecast Start]],Tasks[[#This Row],[Forecast Finish]],WorkWeek,Holidays),N(Tasks[[#This Row],[Duration]])))</f>
        <v/>
      </c>
      <c r="BE162" s="110" t="str">
        <f aca="false">IF(Tasks[[#This Row],[Task Name]]="","",Tasks[[#This Row],[Work]])</f>
        <v/>
      </c>
      <c r="BF162" s="111" t="str">
        <f aca="false">IF(Tasks[[#This Row],[Task Name]]="","",Tasks[[#This Row],[Cost]])</f>
        <v/>
      </c>
      <c r="BG162" s="88"/>
      <c r="BH162" s="88"/>
      <c r="BI162" s="46"/>
      <c r="BJ162" s="113"/>
      <c r="BK162" s="112"/>
      <c r="BL162" s="45" t="str">
        <f aca="false">IF(OR(Tasks[[#This Row],[Task Name]]="",Tasks[[#This Row],[Baseline Duration]]=""),"",Tasks[[#This Row],[BL Source Duration]]-N(Tasks[[#This Row],[Baseline Duration]]))</f>
        <v/>
      </c>
      <c r="BM162" s="110" t="str">
        <f aca="false">IF(OR(Tasks[[#This Row],[Task Name]]="",Tasks[[#This Row],[Baseline Work]]=""),"",Tasks[[#This Row],[Work]]-N(Tasks[[#This Row],[Baseline Work]]))</f>
        <v/>
      </c>
      <c r="BN162" s="111" t="str">
        <f aca="false">IF(OR(Tasks[[#This Row],[Task Name]]="",Tasks[[#This Row],[Baseline Cost]]=""),"",Tasks[[#This Row],[Cost]]-N(Tasks[[#This Row],[Baseline Cost]]))</f>
        <v/>
      </c>
      <c r="BO162" s="111" t="str">
        <f aca="false">IF(Tasks[[#This Row],[Task Name]]="","",IF(Tasks[[#This Row],[_IsSummary]],SUM(INDEX(Tasks[_LeafBudget],Tasks[[#This Row],[_Row]]+1):INDEX(Tasks[_LeafBudget],Tasks[[#This Row],[_Row]]+Tasks[[#This Row],[_Descendants]])),Tasks[[#This Row],[_LeafBudget]]))</f>
        <v/>
      </c>
      <c r="BP162" s="111" t="str">
        <f aca="false">IF(Tasks[[#This Row],[Task Name]]="","",IF(Tasks[[#This Row],[_IsSummary]],SUM(INDEX(Tasks[_LeafPV],Tasks[[#This Row],[_Row]]+1):INDEX(Tasks[_LeafPV],Tasks[[#This Row],[_Row]]+Tasks[[#This Row],[_Descendants]])),Tasks[[#This Row],[_LeafPV]]))</f>
        <v/>
      </c>
      <c r="BQ162" s="111" t="str">
        <f aca="false">IF(Tasks[[#This Row],[Task Name]]="","",IF(Tasks[[#This Row],[_IsSummary]],SUM(INDEX(Tasks[_LeafEV],Tasks[[#This Row],[_Row]]+1):INDEX(Tasks[_LeafEV],Tasks[[#This Row],[_Row]]+Tasks[[#This Row],[_Descendants]])),Tasks[[#This Row],[_LeafEV]]))</f>
        <v/>
      </c>
      <c r="BR162" s="111" t="str">
        <f aca="false">IF(Tasks[[#This Row],[Task Name]]="","",IF(Tasks[[#This Row],[_IsSummary]],SUM(INDEX(Tasks[_LeafAC],Tasks[[#This Row],[_Row]]+1):INDEX(Tasks[_LeafAC],Tasks[[#This Row],[_Row]]+Tasks[[#This Row],[_Descendants]])),Tasks[[#This Row],[_LeafAC]]))</f>
        <v/>
      </c>
      <c r="BS162" s="32" t="str">
        <f aca="false">IF(Tasks[[#This Row],[Task Name]]="","",MAX(1,N(Tasks[[#This Row],[Level]])))</f>
        <v/>
      </c>
      <c r="BT162" s="32" t="n">
        <f aca="false">ROW()-ROW(Tasks[[#Headers],[ID]])</f>
        <v>157</v>
      </c>
      <c r="BU162" s="32" t="n">
        <f aca="false">IF(OR(Tasks[[#This Row],[Task Name]]="",Tasks[[#This Row],[_Level]]&lt;=1),0,IFERROR(LOOKUP(2,1/(Tasks[[#Headers],[_Level]]:Tasks[[#This Row],[_Level]]=Tasks[[#This Row],[_Level]]-1),ROW(Tasks[[#Headers],[_Level]]:Tasks[[#This Row],[_Level]])),0))</f>
        <v>0</v>
      </c>
      <c r="BV162" s="32" t="n">
        <f aca="false">IFERROR(N(INDEX(Tasks[_Level],Tasks[[#This Row],[_Row]]+1)),0)</f>
        <v>0</v>
      </c>
      <c r="BW162" s="114" t="b">
        <f aca="false">AND(Tasks[[#This Row],[Task Name]]&lt;&gt;"",Tasks[[#This Row],[_NextLevel]]&gt;Tasks[[#This Row],[_Level]])</f>
        <v>0</v>
      </c>
      <c r="BX162" s="32" t="n">
        <f aca="false">IF(Tasks[[#This Row],[_IsSummary]],COUNTIF(Tasks[WBS],Tasks[[#This Row],[WBS]]&amp;".*"),0)</f>
        <v>0</v>
      </c>
      <c r="BY162" s="32" t="n">
        <f aca="false">IF(AND(Tasks[[#This Row],[Task Name]]&lt;&gt;"",NOT(Tasks[[#This Row],[_IsSummary]])),1,0)</f>
        <v>0</v>
      </c>
      <c r="BZ162" s="32" t="n">
        <f aca="false">IF(N(Tasks[[#This Row],[Pred1 UID]])=0,0,IFERROR(MATCH(Tasks[[#This Row],[Pred1 UID]],Tasks[UID],0),-1))</f>
        <v>0</v>
      </c>
      <c r="CA162" s="32" t="n">
        <f aca="false">IF(N(Tasks[[#This Row],[Pred2 UID]])=0,0,IFERROR(MATCH(Tasks[[#This Row],[Pred2 UID]],Tasks[UID],0),-1))</f>
        <v>0</v>
      </c>
      <c r="CB162" s="32" t="n">
        <f aca="false">IF(N(Tasks[[#This Row],[Pred3 UID]])=0,0,IFERROR(MATCH(Tasks[[#This Row],[Pred3 UID]],Tasks[UID],0),-1))</f>
        <v>0</v>
      </c>
      <c r="CC162" s="32" t="n">
        <f aca="false">IF(N(Tasks[[#This Row],[Pred4 UID]])=0,0,IFERROR(MATCH(Tasks[[#This Row],[Pred4 UID]],Tasks[UID],0),-1))</f>
        <v>0</v>
      </c>
      <c r="CD16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2" s="115" t="n">
        <f aca="false">IF(OR(Tasks[[#This Row],[_ConstraintCode]]=2,Tasks[[#This Row],[_ConstraintCode]]=3,Tasks[[#This Row],[_ConstraintCode]]=4,Tasks[[#This Row],[_ConstraintCode]]=6),Tasks[[#This Row],[_ConstraintStart]],0)</f>
        <v>0</v>
      </c>
      <c r="CG162" s="115" t="n">
        <f aca="false">IF(OR(Tasks[[#This Row],[_ConstraintCode]]=2,Tasks[[#This Row],[_ConstraintCode]]=3,Tasks[[#This Row],[_ConstraintCode]]=5,Tasks[[#This Row],[_ConstraintCode]]=7),Tasks[[#This Row],[_ConstraintStart]],2958465)</f>
        <v>2958465</v>
      </c>
      <c r="CH16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2" s="115" t="str">
        <f aca="false">IF(NOT(Tasks[[#This Row],[_IsLeaf]]=1),"",IF(N(Tasks[[#This Row],[Duration]])&lt;=0,Tasks[[#This Row],[_LeafCalcStart]],WORKDAY.INTL(Tasks[[#This Row],[_LeafCalcStart]],Tasks[[#This Row],[Duration]]-1,WorkWeek,Holidays)))</f>
        <v/>
      </c>
      <c r="CJ16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2" s="32" t="n">
        <f aca="false">IF(NOT(Tasks[[#This Row],[_IsLeaf]]=1),0,IF(N(Tasks[[#This Row],[Actual Finish]])&gt;0,1,MIN(1,N(Tasks[[#This Row],[% Complete]]))))</f>
        <v>0</v>
      </c>
      <c r="CM162" s="32" t="n">
        <f aca="false">IF(OR(NOT(Tasks[[#This Row],[_IsLeaf]]=1),Tasks[[#This Row],[Resource]]=""),0,N(Tasks[[#This Row],[Duration]])*HoursPerDay*IF(Tasks[[#This Row],[Units]]="",DefaultUnits,Tasks[[#This Row],[Units]]))</f>
        <v>0</v>
      </c>
      <c r="CN162" s="32" t="n">
        <f aca="false">IF(Tasks[[#This Row],[_LeafWork]]=0,0,Tasks[[#This Row],[_LeafWork]]*IFERROR(INDEX(res_Rate,MATCH(Tasks[[#This Row],[Resource]],res_Name,0)),0))</f>
        <v>0</v>
      </c>
      <c r="CO162" s="32" t="n">
        <f aca="false">Tasks[[#This Row],[_LeafWork]]+IF(Tasks[[#This Row],[_IsLeaf]]=1,SUMIFS(asg_Work,asg_TaskUID,Tasks[[#This Row],[UID]],asg_Valid,1),0)</f>
        <v>0</v>
      </c>
      <c r="CP162" s="32" t="n">
        <f aca="false">Tasks[[#This Row],[_LeafCost]]+IF(Tasks[[#This Row],[_IsLeaf]]=1,SUMIFS(asg_Cost,asg_TaskUID,Tasks[[#This Row],[UID]],asg_Valid,1),0)</f>
        <v>0</v>
      </c>
      <c r="CQ162" s="32" t="n">
        <f aca="false">IF(Tasks[[#This Row],[_LeafTotalCost]]=0,Tasks[[#This Row],[_LeafAC]],Tasks[[#This Row],[_LeafAC]]*Tasks[[#This Row],[_LeafCost]]/Tasks[[#This Row],[_LeafTotalCost]])</f>
        <v>0</v>
      </c>
      <c r="CR16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2" s="32" t="n">
        <f aca="false">IF(NOT(Tasks[[#This Row],[_IsLeaf]]=1),0,MAX(_xlfn.MAXIFS(Tasks[_Row],Tasks[Pred1 UID],Tasks[[#This Row],[UID]]),_xlfn.MAXIFS(Tasks[_Row],Tasks[Pred2 UID],Tasks[[#This Row],[UID]]),_xlfn.MAXIFS(Tasks[_Row],Tasks[Pred3 UID],Tasks[[#This Row],[UID]]),_xlfn.MAXIFS(Tasks[_Row],Tasks[Pred4 UID],Tasks[[#This Row],[UID]])))</f>
        <v>0</v>
      </c>
      <c r="DA16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2" s="115" t="str">
        <f aca="false">IF(NOT(Tasks[[#This Row],[_IsLeaf]]=1),"",IF(N(Tasks[[#This Row],[Duration]])&lt;=0,Tasks[[#This Row],[_LeafLateFinish]],WORKDAY.INTL(Tasks[[#This Row],[_LeafLateFinish]],-(Tasks[[#This Row],[Duration]]-1),WorkWeek,Holidays)))</f>
        <v/>
      </c>
      <c r="DD16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2" s="114" t="b">
        <f aca="false">AND(Tasks[[#This Row],[_IsLeaf]]=1,Tasks[[#This Row],[_LeafProgress]]&lt;1,N(Tasks[[#This Row],[_LeafTotalSlack]])&lt;=CriticalSlackDays)</f>
        <v>0</v>
      </c>
      <c r="DF162" s="32" t="n">
        <f aca="false">IF(AND(Tasks[[#This Row],[_IsLeaf]]=1,Tasks[[#This Row],[_ConstraintCode]]=1,Tasks[[#This Row],[Mode]]&lt;&gt;"Manual",N(Tasks[[#This Row],[Actual Start]])=0),MAX(0,N(Tasks[[#This Row],[Free Slack]])),0)</f>
        <v>0</v>
      </c>
      <c r="DG162" s="115" t="str">
        <f aca="false">IF(NOT(Tasks[[#This Row],[_IsLeaf]]=1),"",IF(Tasks[[#This Row],[_AlapShift]]=0,Tasks[[#This Row],[_LeafCalcStart]],WORKDAY.INTL(Tasks[[#This Row],[_LeafCalcStart]],Tasks[[#This Row],[_AlapShift]],WorkWeek,Holidays)))</f>
        <v/>
      </c>
      <c r="DH162" s="115" t="str">
        <f aca="false">IF(NOT(Tasks[[#This Row],[_IsLeaf]]=1),"",IF(Tasks[[#This Row],[_AlapShift]]=0,Tasks[[#This Row],[_LeafCalcFinish]],WORKDAY.INTL(Tasks[[#This Row],[_LeafCalcFinish]],Tasks[[#This Row],[_AlapShift]],WorkWeek,Holidays)))</f>
        <v/>
      </c>
      <c r="DI162" s="115" t="str">
        <f aca="false">IF(NOT(Tasks[[#This Row],[_IsLeaf]]=1),"",IF(Tasks[[#This Row],[_AlapShift]]=0,Tasks[[#This Row],[_LeafFcstStart]],WORKDAY.INTL(Tasks[[#This Row],[_LeafFcstStart]],Tasks[[#This Row],[_AlapShift]],WorkWeek,Holidays)))</f>
        <v/>
      </c>
      <c r="DJ162" s="115" t="str">
        <f aca="false">IF(NOT(Tasks[[#This Row],[_IsLeaf]]=1),"",IF(Tasks[[#This Row],[_AlapShift]]=0,Tasks[[#This Row],[_LeafFcstFinish]],WORKDAY.INTL(Tasks[[#This Row],[_LeafFcstFinish]],Tasks[[#This Row],[_AlapShift]],WorkWeek,Holidays)))</f>
        <v/>
      </c>
      <c r="DK162" s="115" t="str">
        <f aca="false">IF(Tasks[[#This Row],[Task Name]]="","",IF(Tasks[[#This Row],[_IsSummary]],MIN(INDEX(Tasks[_ShownCalcStart],Tasks[[#This Row],[_Row]]+1):INDEX(Tasks[_ShownCalcStart],Tasks[[#This Row],[_Row]]+Tasks[[#This Row],[_Descendants]])),Tasks[[#This Row],[_ShownCalcStart]]))</f>
        <v/>
      </c>
      <c r="DL162" s="115" t="str">
        <f aca="false">IF(Tasks[[#This Row],[Task Name]]="","",IF(Tasks[[#This Row],[_IsSummary]],MAX(INDEX(Tasks[_ShownCalcFinish],Tasks[[#This Row],[_Row]]+1):INDEX(Tasks[_ShownCalcFinish],Tasks[[#This Row],[_Row]]+Tasks[[#This Row],[_Descendants]])),Tasks[[#This Row],[_ShownCalcFinish]]))</f>
        <v/>
      </c>
      <c r="DM16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2" s="32" t="n">
        <f aca="false">IF(AND(Tasks[[#This Row],[_IsLeaf]]=1,Tasks[[#This Row],[_LeafTotalWork]]&gt;0),NETWORKDAYS.INTL(ProjectStart,Tasks[[#This Row],[_ShownFcstStart]],WorkWeek,Holidays),0)</f>
        <v>0</v>
      </c>
      <c r="DZ162" s="32" t="n">
        <f aca="false">IF(AND(Tasks[[#This Row],[_IsLeaf]]=1,Tasks[[#This Row],[_LeafTotalWork]]&gt;0),MAX(Tasks[[#This Row],[_StartWorkday]],NETWORKDAYS.INTL(ProjectStart,Tasks[[#This Row],[_ShownFcstFinish]],WorkWeek,Holidays)),0)</f>
        <v>0</v>
      </c>
      <c r="EA162" s="32" t="n">
        <f aca="false">IF(AND(Tasks[[#This Row],[_IsLeaf]]=1,Tasks[[#This Row],[_LeafTotalWork]]&gt;0),Tasks[[#This Row],[_LeafWork]]/(Tasks[[#This Row],[_FinishWorkday]]-Tasks[[#This Row],[_StartWorkday]]+1),0)</f>
        <v>0</v>
      </c>
      <c r="EB162" s="32" t="n">
        <f aca="false">Tasks[[#This Row],[_WorkPerWorkday]]*(Tasks[[#This Row],[_StartWorkday]]-1)</f>
        <v>-0</v>
      </c>
      <c r="EC162" s="32" t="n">
        <f aca="false">IF(Tasks[[#This Row],[_IsLeaf]]=1,MAX(N(Tasks[[#This Row],[Duration]]),0.1),0)</f>
        <v>0</v>
      </c>
      <c r="ED162" s="32" t="n">
        <f aca="false">Tasks[[#This Row],[_WeightDur]]*Tasks[[#This Row],[_LeafProgress]]</f>
        <v>0</v>
      </c>
      <c r="EE16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2" s="32" t="str">
        <f aca="false">IF(AND(Tasks[[#This Row],[_IsLeaf]]=1,N(Tasks[[#This Row],[Duration]])=0,Tasks[[#This Row],[_LeafProgress]]&lt;1),Tasks[[#This Row],[_ShownFcstFinish]]+Tasks[[#This Row],[_Row]]/100000,"")</f>
        <v/>
      </c>
      <c r="EG16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2" s="32" t="n">
        <f aca="false">IF(NOT(Tasks[[#This Row],[_IsLeaf]]=1),0,IF(Tasks[[#This Row],[Baseline Cost]]="",Tasks[[#This Row],[_LeafTotalCost]],N(Tasks[[#This Row],[Baseline Cost]])))</f>
        <v>0</v>
      </c>
      <c r="EI162" s="32" t="n">
        <f aca="false">Tasks[[#This Row],[_LeafBudget]]*Tasks[[#This Row],[_PlannedPct]]</f>
        <v>0</v>
      </c>
      <c r="EJ162" s="32" t="n">
        <f aca="false">Tasks[[#This Row],[_LeafBudget]]*Tasks[[#This Row],[_LeafProgress]]</f>
        <v>0</v>
      </c>
      <c r="EK162" s="32" t="n">
        <f aca="false">IF(NOT(Tasks[[#This Row],[_IsLeaf]]=1),0,IF(Tasks[[#This Row],[Actual Cost]]="",Tasks[[#This Row],[_LeafTotalCost]]*Tasks[[#This Row],[_LeafProgress]],N(Tasks[[#This Row],[Actual Cost]])))</f>
        <v>0</v>
      </c>
      <c r="EL162" s="32" t="str">
        <f aca="false">IF(Tasks[[#This Row],[Task Name]]="","",LEFT(Tasks[[#This Row],[WBS]],FIND(".",Tasks[[#This Row],[WBS]]&amp;".")-1))</f>
        <v/>
      </c>
      <c r="EM162" s="32" t="str">
        <f aca="false">IF(AND(Tasks[[#This Row],[Task Name]]&lt;&gt;"",Tasks[[#This Row],[_Level]]=1),Tasks[[#This Row],[_Row]],"")</f>
        <v/>
      </c>
      <c r="EN162" s="32" t="str">
        <f aca="false">IF(AND(Tasks[[#This Row],[_IsLeaf]]=1,N(Tasks[[#This Row],[Duration]])=0),Tasks[[#This Row],[Planned Finish]]+Tasks[[#This Row],[_Row]]/100000,"")</f>
        <v/>
      </c>
      <c r="EO162" s="32" t="str">
        <f aca="false">IF(AND(Tasks[[#This Row],[_IsLeaf]]=1,Tasks[[#This Row],[_LeafProgress]]&lt;1,OR(N(Tasks[[#This Row],[Finish Var]])&gt;0,Tasks[[#This Row],[Status]]="Late Start")),MAX(0,Tasks[[#This Row],[Finish Var]])+1-Tasks[[#This Row],[_Row]]/1000000,"")</f>
        <v/>
      </c>
      <c r="EP162" s="32" t="str">
        <f aca="false">IF(AND(Tasks[[#This Row],[_IsLeaf]]=1,N(Tasks[[#This Row],[Actual Start]])=0,Tasks[[#This Row],[_ShownFcstStart]]&gt;=StatusDate,Tasks[[#This Row],[_ShownFcstStart]]&lt;=LookaheadEnd),Tasks[[#This Row],[_ShownFcstStart]]+Tasks[[#This Row],[_Row]]/100000,"")</f>
        <v/>
      </c>
      <c r="EQ162" s="32" t="str">
        <f aca="false">IF(AND(Tasks[[#This Row],[_IsLeaf]]=1,Tasks[[#This Row],[_LeafProgress]]&lt;1,Tasks[[#This Row],[_ShownFcstFinish]]&gt;=StatusDate,Tasks[[#This Row],[_ShownFcstFinish]]&lt;=LookaheadEnd),Tasks[[#This Row],[_ShownFcstFinish]]+Tasks[[#This Row],[_Row]]/100000,"")</f>
        <v/>
      </c>
      <c r="ER162" s="32" t="str">
        <f aca="false">IF(Tasks[[#This Row],[_LeafCritical]],Tasks[[#This Row],[_ShownFcstStart]]+Tasks[[#This Row],[_Row]]/100000,"")</f>
        <v/>
      </c>
      <c r="ES162" s="32" t="n">
        <f aca="false">Tasks[[#This Row],[_LeafWork]]*Tasks[[#This Row],[_LeafProgress]]</f>
        <v>0</v>
      </c>
      <c r="ET162" s="115" t="str">
        <f aca="false">IF(AND(Tasks[[#This Row],[_IsLeaf]]=1,Tasks[[#This Row],[_LeafProgress]]&gt;=1),IF(N(Tasks[[#This Row],[Actual Finish]])&gt;0,Tasks[[#This Row],[Actual Finish]],Tasks[[#This Row],[_ShownFcstFinish]]),"")</f>
        <v/>
      </c>
      <c r="EU162" s="32" t="n">
        <f aca="false">IF(Tasks[[#This Row],[_IsLeaf]]=1,N(Tasks[[#This Row],[Story Points]]),0)</f>
        <v>0</v>
      </c>
      <c r="EV162" s="32" t="str">
        <f aca="false">IF(AND(Tasks[[#This Row],[_IsLeaf]]=1,CurrentSprint&lt;&gt;"",Tasks[[#This Row],[Sprint]]=CurrentSprint),Tasks[[#This Row],[_Row]],"")</f>
        <v/>
      </c>
    </row>
    <row r="163" customFormat="false" ht="15" hidden="false" customHeight="false" outlineLevel="0" collapsed="false">
      <c r="A163" s="45" t="str">
        <f aca="false">IF(Tasks[[#This Row],[Task Name]]="","",COUNTA(Tasks[[#Headers],[Task Name]]:Tasks[[#This Row],[Task Name]])-1)</f>
        <v/>
      </c>
      <c r="B163" s="46" t="n">
        <v>158</v>
      </c>
      <c r="C16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3" s="46"/>
      <c r="E163" s="45" t="str">
        <f aca="false">IF(Tasks[[#This Row],[Task Name]]="","",IF(Tasks[[#This Row],[_Level]]&lt;=OutlineShowLevel,"Yes","No"))</f>
        <v/>
      </c>
      <c r="F163" s="47"/>
      <c r="G163" s="46"/>
      <c r="H163" s="46"/>
      <c r="I163" s="46"/>
      <c r="J163" s="46"/>
      <c r="K163" s="46"/>
      <c r="L163" s="46"/>
      <c r="M163" s="46"/>
      <c r="N163" s="46"/>
      <c r="O163" s="46"/>
      <c r="P163" s="46"/>
      <c r="Q163" s="46"/>
      <c r="R163" s="46"/>
      <c r="S163" s="46"/>
      <c r="T163" s="46"/>
      <c r="U163" s="47"/>
      <c r="V163" s="88"/>
      <c r="W163" s="88"/>
      <c r="X163" s="25" t="str">
        <f aca="false">IF(Tasks[[#This Row],[Task Name]]="","",IF(N(Tasks[[#This Row],[Baseline Start]])&gt;0,Tasks[[#This Row],[Baseline Start]],Tasks[[#This Row],[_CalcStart]]))</f>
        <v/>
      </c>
      <c r="Y163" s="25" t="str">
        <f aca="false">IF(Tasks[[#This Row],[Task Name]]="","",IF(N(Tasks[[#This Row],[Baseline Finish]])&gt;0,Tasks[[#This Row],[Baseline Finish]],Tasks[[#This Row],[_CalcFinish]]))</f>
        <v/>
      </c>
      <c r="Z163" s="88"/>
      <c r="AA163" s="88"/>
      <c r="AB163" s="25" t="str">
        <f aca="false">IF(Tasks[[#This Row],[Task Name]]="","",IF(Tasks[[#This Row],[_IsSummary]],MIN(INDEX(Tasks[_ShownFcstStart],Tasks[[#This Row],[_Row]]+1):INDEX(Tasks[_ShownFcstStart],Tasks[[#This Row],[_Row]]+Tasks[[#This Row],[_Descendants]])),Tasks[[#This Row],[_ShownFcstStart]]))</f>
        <v/>
      </c>
      <c r="AC163" s="25" t="str">
        <f aca="false">IF(Tasks[[#This Row],[Task Name]]="","",IF(Tasks[[#This Row],[_IsSummary]],MAX(INDEX(Tasks[_ShownFcstFinish],Tasks[[#This Row],[_Row]]+1):INDEX(Tasks[_ShownFcstFinish],Tasks[[#This Row],[_Row]]+Tasks[[#This Row],[_Descendants]])),Tasks[[#This Row],[_ShownFcstFinish]]))</f>
        <v/>
      </c>
      <c r="AD16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3" s="25" t="str">
        <f aca="false">IF(Tasks[[#This Row],[Task Name]]="","",IF(Tasks[[#This Row],[_IsSummary]],MIN(INDEX(Tasks[_LeafLateStart],Tasks[[#This Row],[_Row]]+1):INDEX(Tasks[_LeafLateStart],Tasks[[#This Row],[_Row]]+Tasks[[#This Row],[_Descendants]])),Tasks[[#This Row],[_LeafLateStart]]))</f>
        <v/>
      </c>
      <c r="AG163" s="25" t="str">
        <f aca="false">IF(Tasks[[#This Row],[Task Name]]="","",IF(Tasks[[#This Row],[_IsSummary]],MAX(INDEX(Tasks[_LeafLateFinish],Tasks[[#This Row],[_Row]]+1):INDEX(Tasks[_LeafLateFinish],Tasks[[#This Row],[_Row]]+Tasks[[#This Row],[_Descendants]])),Tasks[[#This Row],[_LeafLateFinish]]))</f>
        <v/>
      </c>
      <c r="AH163" s="56" t="str">
        <f aca="false">IF(Tasks[[#This Row],[Task Name]]="","",IF(Tasks[[#This Row],[_IsSummary]],MIN(INDEX(Tasks[_LeafTotalSlack],Tasks[[#This Row],[_Row]]+1):INDEX(Tasks[_LeafTotalSlack],Tasks[[#This Row],[_Row]]+Tasks[[#This Row],[_Descendants]])),Tasks[[#This Row],[_LeafTotalSlack]]))</f>
        <v/>
      </c>
      <c r="AI16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3" s="45" t="str">
        <f aca="false">IF(Tasks[[#This Row],[Task Name]]="","",IF(IF(Tasks[[#This Row],[_IsSummary]],COUNTIF(INDEX(Tasks[_LeafCritical],Tasks[[#This Row],[_Row]]+1):INDEX(Tasks[_LeafCritical],Tasks[[#This Row],[_Row]]+Tasks[[#This Row],[_Descendants]]),TRUE())&gt;0,Tasks[[#This Row],[_LeafCritical]]),"Yes",""))</f>
        <v/>
      </c>
      <c r="AK16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3" s="102"/>
      <c r="AN16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3" s="45" t="str">
        <f aca="false">IF(Tasks[[#This Row],[Task Name]]="","",IF(Tasks[[#This Row],[Progress]]&gt;=1,"Complete",IF(OR(N(Tasks[[#This Row],[Actual Start]])&gt;0,Tasks[[#This Row],[Progress]]&gt;0),IF(Tasks[[#This Row],[Finish Var]]&gt;0,"Behind","In Progress"),IF(Tasks[[#This Row],[Planned Start]]&lt;StatusDate,"Late Start","Not Started"))))</f>
        <v/>
      </c>
      <c r="AP163" s="47"/>
      <c r="AQ163" s="102"/>
      <c r="AR16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3" s="110" t="str">
        <f aca="false">IF(Tasks[[#This Row],[Task Name]]="","",IF(Tasks[[#This Row],[_IsSummary]],SUM(INDEX(Tasks[_LeafTotalWork],Tasks[[#This Row],[_Row]]+1):INDEX(Tasks[_LeafTotalWork],Tasks[[#This Row],[_Row]]+Tasks[[#This Row],[_Descendants]])),Tasks[[#This Row],[_LeafTotalWork]]))</f>
        <v/>
      </c>
      <c r="AU163" s="111" t="str">
        <f aca="false">IF(Tasks[[#This Row],[Task Name]]="","",IF(Tasks[[#This Row],[_IsSummary]],SUM(INDEX(Tasks[_LeafTotalCost],Tasks[[#This Row],[_Row]]+1):INDEX(Tasks[_LeafTotalCost],Tasks[[#This Row],[_Row]]+Tasks[[#This Row],[_Descendants]])),Tasks[[#This Row],[_LeafTotalCost]]))</f>
        <v/>
      </c>
      <c r="AV163" s="112"/>
      <c r="AW163" s="46"/>
      <c r="AX16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3" s="96"/>
      <c r="AZ16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3" s="47"/>
      <c r="BB163" s="25" t="str">
        <f aca="false">IF(Tasks[[#This Row],[Task Name]]="","",Tasks[[#This Row],[Forecast Start]])</f>
        <v/>
      </c>
      <c r="BC163" s="25" t="str">
        <f aca="false">IF(Tasks[[#This Row],[Task Name]]="","",Tasks[[#This Row],[Forecast Finish]])</f>
        <v/>
      </c>
      <c r="BD163" s="45" t="str">
        <f aca="false">IF(Tasks[[#This Row],[Task Name]]="","",IF(Tasks[[#This Row],[_IsSummary]],NETWORKDAYS.INTL(Tasks[[#This Row],[Forecast Start]],Tasks[[#This Row],[Forecast Finish]],WorkWeek,Holidays),N(Tasks[[#This Row],[Duration]])))</f>
        <v/>
      </c>
      <c r="BE163" s="110" t="str">
        <f aca="false">IF(Tasks[[#This Row],[Task Name]]="","",Tasks[[#This Row],[Work]])</f>
        <v/>
      </c>
      <c r="BF163" s="111" t="str">
        <f aca="false">IF(Tasks[[#This Row],[Task Name]]="","",Tasks[[#This Row],[Cost]])</f>
        <v/>
      </c>
      <c r="BG163" s="88"/>
      <c r="BH163" s="88"/>
      <c r="BI163" s="46"/>
      <c r="BJ163" s="113"/>
      <c r="BK163" s="112"/>
      <c r="BL163" s="45" t="str">
        <f aca="false">IF(OR(Tasks[[#This Row],[Task Name]]="",Tasks[[#This Row],[Baseline Duration]]=""),"",Tasks[[#This Row],[BL Source Duration]]-N(Tasks[[#This Row],[Baseline Duration]]))</f>
        <v/>
      </c>
      <c r="BM163" s="110" t="str">
        <f aca="false">IF(OR(Tasks[[#This Row],[Task Name]]="",Tasks[[#This Row],[Baseline Work]]=""),"",Tasks[[#This Row],[Work]]-N(Tasks[[#This Row],[Baseline Work]]))</f>
        <v/>
      </c>
      <c r="BN163" s="111" t="str">
        <f aca="false">IF(OR(Tasks[[#This Row],[Task Name]]="",Tasks[[#This Row],[Baseline Cost]]=""),"",Tasks[[#This Row],[Cost]]-N(Tasks[[#This Row],[Baseline Cost]]))</f>
        <v/>
      </c>
      <c r="BO163" s="111" t="str">
        <f aca="false">IF(Tasks[[#This Row],[Task Name]]="","",IF(Tasks[[#This Row],[_IsSummary]],SUM(INDEX(Tasks[_LeafBudget],Tasks[[#This Row],[_Row]]+1):INDEX(Tasks[_LeafBudget],Tasks[[#This Row],[_Row]]+Tasks[[#This Row],[_Descendants]])),Tasks[[#This Row],[_LeafBudget]]))</f>
        <v/>
      </c>
      <c r="BP163" s="111" t="str">
        <f aca="false">IF(Tasks[[#This Row],[Task Name]]="","",IF(Tasks[[#This Row],[_IsSummary]],SUM(INDEX(Tasks[_LeafPV],Tasks[[#This Row],[_Row]]+1):INDEX(Tasks[_LeafPV],Tasks[[#This Row],[_Row]]+Tasks[[#This Row],[_Descendants]])),Tasks[[#This Row],[_LeafPV]]))</f>
        <v/>
      </c>
      <c r="BQ163" s="111" t="str">
        <f aca="false">IF(Tasks[[#This Row],[Task Name]]="","",IF(Tasks[[#This Row],[_IsSummary]],SUM(INDEX(Tasks[_LeafEV],Tasks[[#This Row],[_Row]]+1):INDEX(Tasks[_LeafEV],Tasks[[#This Row],[_Row]]+Tasks[[#This Row],[_Descendants]])),Tasks[[#This Row],[_LeafEV]]))</f>
        <v/>
      </c>
      <c r="BR163" s="111" t="str">
        <f aca="false">IF(Tasks[[#This Row],[Task Name]]="","",IF(Tasks[[#This Row],[_IsSummary]],SUM(INDEX(Tasks[_LeafAC],Tasks[[#This Row],[_Row]]+1):INDEX(Tasks[_LeafAC],Tasks[[#This Row],[_Row]]+Tasks[[#This Row],[_Descendants]])),Tasks[[#This Row],[_LeafAC]]))</f>
        <v/>
      </c>
      <c r="BS163" s="32" t="str">
        <f aca="false">IF(Tasks[[#This Row],[Task Name]]="","",MAX(1,N(Tasks[[#This Row],[Level]])))</f>
        <v/>
      </c>
      <c r="BT163" s="32" t="n">
        <f aca="false">ROW()-ROW(Tasks[[#Headers],[ID]])</f>
        <v>158</v>
      </c>
      <c r="BU163" s="32" t="n">
        <f aca="false">IF(OR(Tasks[[#This Row],[Task Name]]="",Tasks[[#This Row],[_Level]]&lt;=1),0,IFERROR(LOOKUP(2,1/(Tasks[[#Headers],[_Level]]:Tasks[[#This Row],[_Level]]=Tasks[[#This Row],[_Level]]-1),ROW(Tasks[[#Headers],[_Level]]:Tasks[[#This Row],[_Level]])),0))</f>
        <v>0</v>
      </c>
      <c r="BV163" s="32" t="n">
        <f aca="false">IFERROR(N(INDEX(Tasks[_Level],Tasks[[#This Row],[_Row]]+1)),0)</f>
        <v>0</v>
      </c>
      <c r="BW163" s="114" t="b">
        <f aca="false">AND(Tasks[[#This Row],[Task Name]]&lt;&gt;"",Tasks[[#This Row],[_NextLevel]]&gt;Tasks[[#This Row],[_Level]])</f>
        <v>0</v>
      </c>
      <c r="BX163" s="32" t="n">
        <f aca="false">IF(Tasks[[#This Row],[_IsSummary]],COUNTIF(Tasks[WBS],Tasks[[#This Row],[WBS]]&amp;".*"),0)</f>
        <v>0</v>
      </c>
      <c r="BY163" s="32" t="n">
        <f aca="false">IF(AND(Tasks[[#This Row],[Task Name]]&lt;&gt;"",NOT(Tasks[[#This Row],[_IsSummary]])),1,0)</f>
        <v>0</v>
      </c>
      <c r="BZ163" s="32" t="n">
        <f aca="false">IF(N(Tasks[[#This Row],[Pred1 UID]])=0,0,IFERROR(MATCH(Tasks[[#This Row],[Pred1 UID]],Tasks[UID],0),-1))</f>
        <v>0</v>
      </c>
      <c r="CA163" s="32" t="n">
        <f aca="false">IF(N(Tasks[[#This Row],[Pred2 UID]])=0,0,IFERROR(MATCH(Tasks[[#This Row],[Pred2 UID]],Tasks[UID],0),-1))</f>
        <v>0</v>
      </c>
      <c r="CB163" s="32" t="n">
        <f aca="false">IF(N(Tasks[[#This Row],[Pred3 UID]])=0,0,IFERROR(MATCH(Tasks[[#This Row],[Pred3 UID]],Tasks[UID],0),-1))</f>
        <v>0</v>
      </c>
      <c r="CC163" s="32" t="n">
        <f aca="false">IF(N(Tasks[[#This Row],[Pred4 UID]])=0,0,IFERROR(MATCH(Tasks[[#This Row],[Pred4 UID]],Tasks[UID],0),-1))</f>
        <v>0</v>
      </c>
      <c r="CD16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3" s="115" t="n">
        <f aca="false">IF(OR(Tasks[[#This Row],[_ConstraintCode]]=2,Tasks[[#This Row],[_ConstraintCode]]=3,Tasks[[#This Row],[_ConstraintCode]]=4,Tasks[[#This Row],[_ConstraintCode]]=6),Tasks[[#This Row],[_ConstraintStart]],0)</f>
        <v>0</v>
      </c>
      <c r="CG163" s="115" t="n">
        <f aca="false">IF(OR(Tasks[[#This Row],[_ConstraintCode]]=2,Tasks[[#This Row],[_ConstraintCode]]=3,Tasks[[#This Row],[_ConstraintCode]]=5,Tasks[[#This Row],[_ConstraintCode]]=7),Tasks[[#This Row],[_ConstraintStart]],2958465)</f>
        <v>2958465</v>
      </c>
      <c r="CH16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3" s="115" t="str">
        <f aca="false">IF(NOT(Tasks[[#This Row],[_IsLeaf]]=1),"",IF(N(Tasks[[#This Row],[Duration]])&lt;=0,Tasks[[#This Row],[_LeafCalcStart]],WORKDAY.INTL(Tasks[[#This Row],[_LeafCalcStart]],Tasks[[#This Row],[Duration]]-1,WorkWeek,Holidays)))</f>
        <v/>
      </c>
      <c r="CJ16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3" s="32" t="n">
        <f aca="false">IF(NOT(Tasks[[#This Row],[_IsLeaf]]=1),0,IF(N(Tasks[[#This Row],[Actual Finish]])&gt;0,1,MIN(1,N(Tasks[[#This Row],[% Complete]]))))</f>
        <v>0</v>
      </c>
      <c r="CM163" s="32" t="n">
        <f aca="false">IF(OR(NOT(Tasks[[#This Row],[_IsLeaf]]=1),Tasks[[#This Row],[Resource]]=""),0,N(Tasks[[#This Row],[Duration]])*HoursPerDay*IF(Tasks[[#This Row],[Units]]="",DefaultUnits,Tasks[[#This Row],[Units]]))</f>
        <v>0</v>
      </c>
      <c r="CN163" s="32" t="n">
        <f aca="false">IF(Tasks[[#This Row],[_LeafWork]]=0,0,Tasks[[#This Row],[_LeafWork]]*IFERROR(INDEX(res_Rate,MATCH(Tasks[[#This Row],[Resource]],res_Name,0)),0))</f>
        <v>0</v>
      </c>
      <c r="CO163" s="32" t="n">
        <f aca="false">Tasks[[#This Row],[_LeafWork]]+IF(Tasks[[#This Row],[_IsLeaf]]=1,SUMIFS(asg_Work,asg_TaskUID,Tasks[[#This Row],[UID]],asg_Valid,1),0)</f>
        <v>0</v>
      </c>
      <c r="CP163" s="32" t="n">
        <f aca="false">Tasks[[#This Row],[_LeafCost]]+IF(Tasks[[#This Row],[_IsLeaf]]=1,SUMIFS(asg_Cost,asg_TaskUID,Tasks[[#This Row],[UID]],asg_Valid,1),0)</f>
        <v>0</v>
      </c>
      <c r="CQ163" s="32" t="n">
        <f aca="false">IF(Tasks[[#This Row],[_LeafTotalCost]]=0,Tasks[[#This Row],[_LeafAC]],Tasks[[#This Row],[_LeafAC]]*Tasks[[#This Row],[_LeafCost]]/Tasks[[#This Row],[_LeafTotalCost]])</f>
        <v>0</v>
      </c>
      <c r="CR16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3" s="32" t="n">
        <f aca="false">IF(NOT(Tasks[[#This Row],[_IsLeaf]]=1),0,MAX(_xlfn.MAXIFS(Tasks[_Row],Tasks[Pred1 UID],Tasks[[#This Row],[UID]]),_xlfn.MAXIFS(Tasks[_Row],Tasks[Pred2 UID],Tasks[[#This Row],[UID]]),_xlfn.MAXIFS(Tasks[_Row],Tasks[Pred3 UID],Tasks[[#This Row],[UID]]),_xlfn.MAXIFS(Tasks[_Row],Tasks[Pred4 UID],Tasks[[#This Row],[UID]])))</f>
        <v>0</v>
      </c>
      <c r="DA16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3" s="115" t="str">
        <f aca="false">IF(NOT(Tasks[[#This Row],[_IsLeaf]]=1),"",IF(N(Tasks[[#This Row],[Duration]])&lt;=0,Tasks[[#This Row],[_LeafLateFinish]],WORKDAY.INTL(Tasks[[#This Row],[_LeafLateFinish]],-(Tasks[[#This Row],[Duration]]-1),WorkWeek,Holidays)))</f>
        <v/>
      </c>
      <c r="DD16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3" s="114" t="b">
        <f aca="false">AND(Tasks[[#This Row],[_IsLeaf]]=1,Tasks[[#This Row],[_LeafProgress]]&lt;1,N(Tasks[[#This Row],[_LeafTotalSlack]])&lt;=CriticalSlackDays)</f>
        <v>0</v>
      </c>
      <c r="DF163" s="32" t="n">
        <f aca="false">IF(AND(Tasks[[#This Row],[_IsLeaf]]=1,Tasks[[#This Row],[_ConstraintCode]]=1,Tasks[[#This Row],[Mode]]&lt;&gt;"Manual",N(Tasks[[#This Row],[Actual Start]])=0),MAX(0,N(Tasks[[#This Row],[Free Slack]])),0)</f>
        <v>0</v>
      </c>
      <c r="DG163" s="115" t="str">
        <f aca="false">IF(NOT(Tasks[[#This Row],[_IsLeaf]]=1),"",IF(Tasks[[#This Row],[_AlapShift]]=0,Tasks[[#This Row],[_LeafCalcStart]],WORKDAY.INTL(Tasks[[#This Row],[_LeafCalcStart]],Tasks[[#This Row],[_AlapShift]],WorkWeek,Holidays)))</f>
        <v/>
      </c>
      <c r="DH163" s="115" t="str">
        <f aca="false">IF(NOT(Tasks[[#This Row],[_IsLeaf]]=1),"",IF(Tasks[[#This Row],[_AlapShift]]=0,Tasks[[#This Row],[_LeafCalcFinish]],WORKDAY.INTL(Tasks[[#This Row],[_LeafCalcFinish]],Tasks[[#This Row],[_AlapShift]],WorkWeek,Holidays)))</f>
        <v/>
      </c>
      <c r="DI163" s="115" t="str">
        <f aca="false">IF(NOT(Tasks[[#This Row],[_IsLeaf]]=1),"",IF(Tasks[[#This Row],[_AlapShift]]=0,Tasks[[#This Row],[_LeafFcstStart]],WORKDAY.INTL(Tasks[[#This Row],[_LeafFcstStart]],Tasks[[#This Row],[_AlapShift]],WorkWeek,Holidays)))</f>
        <v/>
      </c>
      <c r="DJ163" s="115" t="str">
        <f aca="false">IF(NOT(Tasks[[#This Row],[_IsLeaf]]=1),"",IF(Tasks[[#This Row],[_AlapShift]]=0,Tasks[[#This Row],[_LeafFcstFinish]],WORKDAY.INTL(Tasks[[#This Row],[_LeafFcstFinish]],Tasks[[#This Row],[_AlapShift]],WorkWeek,Holidays)))</f>
        <v/>
      </c>
      <c r="DK163" s="115" t="str">
        <f aca="false">IF(Tasks[[#This Row],[Task Name]]="","",IF(Tasks[[#This Row],[_IsSummary]],MIN(INDEX(Tasks[_ShownCalcStart],Tasks[[#This Row],[_Row]]+1):INDEX(Tasks[_ShownCalcStart],Tasks[[#This Row],[_Row]]+Tasks[[#This Row],[_Descendants]])),Tasks[[#This Row],[_ShownCalcStart]]))</f>
        <v/>
      </c>
      <c r="DL163" s="115" t="str">
        <f aca="false">IF(Tasks[[#This Row],[Task Name]]="","",IF(Tasks[[#This Row],[_IsSummary]],MAX(INDEX(Tasks[_ShownCalcFinish],Tasks[[#This Row],[_Row]]+1):INDEX(Tasks[_ShownCalcFinish],Tasks[[#This Row],[_Row]]+Tasks[[#This Row],[_Descendants]])),Tasks[[#This Row],[_ShownCalcFinish]]))</f>
        <v/>
      </c>
      <c r="DM16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3" s="32" t="n">
        <f aca="false">IF(AND(Tasks[[#This Row],[_IsLeaf]]=1,Tasks[[#This Row],[_LeafTotalWork]]&gt;0),NETWORKDAYS.INTL(ProjectStart,Tasks[[#This Row],[_ShownFcstStart]],WorkWeek,Holidays),0)</f>
        <v>0</v>
      </c>
      <c r="DZ163" s="32" t="n">
        <f aca="false">IF(AND(Tasks[[#This Row],[_IsLeaf]]=1,Tasks[[#This Row],[_LeafTotalWork]]&gt;0),MAX(Tasks[[#This Row],[_StartWorkday]],NETWORKDAYS.INTL(ProjectStart,Tasks[[#This Row],[_ShownFcstFinish]],WorkWeek,Holidays)),0)</f>
        <v>0</v>
      </c>
      <c r="EA163" s="32" t="n">
        <f aca="false">IF(AND(Tasks[[#This Row],[_IsLeaf]]=1,Tasks[[#This Row],[_LeafTotalWork]]&gt;0),Tasks[[#This Row],[_LeafWork]]/(Tasks[[#This Row],[_FinishWorkday]]-Tasks[[#This Row],[_StartWorkday]]+1),0)</f>
        <v>0</v>
      </c>
      <c r="EB163" s="32" t="n">
        <f aca="false">Tasks[[#This Row],[_WorkPerWorkday]]*(Tasks[[#This Row],[_StartWorkday]]-1)</f>
        <v>-0</v>
      </c>
      <c r="EC163" s="32" t="n">
        <f aca="false">IF(Tasks[[#This Row],[_IsLeaf]]=1,MAX(N(Tasks[[#This Row],[Duration]]),0.1),0)</f>
        <v>0</v>
      </c>
      <c r="ED163" s="32" t="n">
        <f aca="false">Tasks[[#This Row],[_WeightDur]]*Tasks[[#This Row],[_LeafProgress]]</f>
        <v>0</v>
      </c>
      <c r="EE16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3" s="32" t="str">
        <f aca="false">IF(AND(Tasks[[#This Row],[_IsLeaf]]=1,N(Tasks[[#This Row],[Duration]])=0,Tasks[[#This Row],[_LeafProgress]]&lt;1),Tasks[[#This Row],[_ShownFcstFinish]]+Tasks[[#This Row],[_Row]]/100000,"")</f>
        <v/>
      </c>
      <c r="EG16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3" s="32" t="n">
        <f aca="false">IF(NOT(Tasks[[#This Row],[_IsLeaf]]=1),0,IF(Tasks[[#This Row],[Baseline Cost]]="",Tasks[[#This Row],[_LeafTotalCost]],N(Tasks[[#This Row],[Baseline Cost]])))</f>
        <v>0</v>
      </c>
      <c r="EI163" s="32" t="n">
        <f aca="false">Tasks[[#This Row],[_LeafBudget]]*Tasks[[#This Row],[_PlannedPct]]</f>
        <v>0</v>
      </c>
      <c r="EJ163" s="32" t="n">
        <f aca="false">Tasks[[#This Row],[_LeafBudget]]*Tasks[[#This Row],[_LeafProgress]]</f>
        <v>0</v>
      </c>
      <c r="EK163" s="32" t="n">
        <f aca="false">IF(NOT(Tasks[[#This Row],[_IsLeaf]]=1),0,IF(Tasks[[#This Row],[Actual Cost]]="",Tasks[[#This Row],[_LeafTotalCost]]*Tasks[[#This Row],[_LeafProgress]],N(Tasks[[#This Row],[Actual Cost]])))</f>
        <v>0</v>
      </c>
      <c r="EL163" s="32" t="str">
        <f aca="false">IF(Tasks[[#This Row],[Task Name]]="","",LEFT(Tasks[[#This Row],[WBS]],FIND(".",Tasks[[#This Row],[WBS]]&amp;".")-1))</f>
        <v/>
      </c>
      <c r="EM163" s="32" t="str">
        <f aca="false">IF(AND(Tasks[[#This Row],[Task Name]]&lt;&gt;"",Tasks[[#This Row],[_Level]]=1),Tasks[[#This Row],[_Row]],"")</f>
        <v/>
      </c>
      <c r="EN163" s="32" t="str">
        <f aca="false">IF(AND(Tasks[[#This Row],[_IsLeaf]]=1,N(Tasks[[#This Row],[Duration]])=0),Tasks[[#This Row],[Planned Finish]]+Tasks[[#This Row],[_Row]]/100000,"")</f>
        <v/>
      </c>
      <c r="EO163" s="32" t="str">
        <f aca="false">IF(AND(Tasks[[#This Row],[_IsLeaf]]=1,Tasks[[#This Row],[_LeafProgress]]&lt;1,OR(N(Tasks[[#This Row],[Finish Var]])&gt;0,Tasks[[#This Row],[Status]]="Late Start")),MAX(0,Tasks[[#This Row],[Finish Var]])+1-Tasks[[#This Row],[_Row]]/1000000,"")</f>
        <v/>
      </c>
      <c r="EP163" s="32" t="str">
        <f aca="false">IF(AND(Tasks[[#This Row],[_IsLeaf]]=1,N(Tasks[[#This Row],[Actual Start]])=0,Tasks[[#This Row],[_ShownFcstStart]]&gt;=StatusDate,Tasks[[#This Row],[_ShownFcstStart]]&lt;=LookaheadEnd),Tasks[[#This Row],[_ShownFcstStart]]+Tasks[[#This Row],[_Row]]/100000,"")</f>
        <v/>
      </c>
      <c r="EQ163" s="32" t="str">
        <f aca="false">IF(AND(Tasks[[#This Row],[_IsLeaf]]=1,Tasks[[#This Row],[_LeafProgress]]&lt;1,Tasks[[#This Row],[_ShownFcstFinish]]&gt;=StatusDate,Tasks[[#This Row],[_ShownFcstFinish]]&lt;=LookaheadEnd),Tasks[[#This Row],[_ShownFcstFinish]]+Tasks[[#This Row],[_Row]]/100000,"")</f>
        <v/>
      </c>
      <c r="ER163" s="32" t="str">
        <f aca="false">IF(Tasks[[#This Row],[_LeafCritical]],Tasks[[#This Row],[_ShownFcstStart]]+Tasks[[#This Row],[_Row]]/100000,"")</f>
        <v/>
      </c>
      <c r="ES163" s="32" t="n">
        <f aca="false">Tasks[[#This Row],[_LeafWork]]*Tasks[[#This Row],[_LeafProgress]]</f>
        <v>0</v>
      </c>
      <c r="ET163" s="115" t="str">
        <f aca="false">IF(AND(Tasks[[#This Row],[_IsLeaf]]=1,Tasks[[#This Row],[_LeafProgress]]&gt;=1),IF(N(Tasks[[#This Row],[Actual Finish]])&gt;0,Tasks[[#This Row],[Actual Finish]],Tasks[[#This Row],[_ShownFcstFinish]]),"")</f>
        <v/>
      </c>
      <c r="EU163" s="32" t="n">
        <f aca="false">IF(Tasks[[#This Row],[_IsLeaf]]=1,N(Tasks[[#This Row],[Story Points]]),0)</f>
        <v>0</v>
      </c>
      <c r="EV163" s="32" t="str">
        <f aca="false">IF(AND(Tasks[[#This Row],[_IsLeaf]]=1,CurrentSprint&lt;&gt;"",Tasks[[#This Row],[Sprint]]=CurrentSprint),Tasks[[#This Row],[_Row]],"")</f>
        <v/>
      </c>
    </row>
    <row r="164" customFormat="false" ht="15" hidden="false" customHeight="false" outlineLevel="0" collapsed="false">
      <c r="A164" s="45" t="str">
        <f aca="false">IF(Tasks[[#This Row],[Task Name]]="","",COUNTA(Tasks[[#Headers],[Task Name]]:Tasks[[#This Row],[Task Name]])-1)</f>
        <v/>
      </c>
      <c r="B164" s="46" t="n">
        <v>159</v>
      </c>
      <c r="C16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4" s="46"/>
      <c r="E164" s="45" t="str">
        <f aca="false">IF(Tasks[[#This Row],[Task Name]]="","",IF(Tasks[[#This Row],[_Level]]&lt;=OutlineShowLevel,"Yes","No"))</f>
        <v/>
      </c>
      <c r="F164" s="47"/>
      <c r="G164" s="46"/>
      <c r="H164" s="46"/>
      <c r="I164" s="46"/>
      <c r="J164" s="46"/>
      <c r="K164" s="46"/>
      <c r="L164" s="46"/>
      <c r="M164" s="46"/>
      <c r="N164" s="46"/>
      <c r="O164" s="46"/>
      <c r="P164" s="46"/>
      <c r="Q164" s="46"/>
      <c r="R164" s="46"/>
      <c r="S164" s="46"/>
      <c r="T164" s="46"/>
      <c r="U164" s="47"/>
      <c r="V164" s="88"/>
      <c r="W164" s="88"/>
      <c r="X164" s="25" t="str">
        <f aca="false">IF(Tasks[[#This Row],[Task Name]]="","",IF(N(Tasks[[#This Row],[Baseline Start]])&gt;0,Tasks[[#This Row],[Baseline Start]],Tasks[[#This Row],[_CalcStart]]))</f>
        <v/>
      </c>
      <c r="Y164" s="25" t="str">
        <f aca="false">IF(Tasks[[#This Row],[Task Name]]="","",IF(N(Tasks[[#This Row],[Baseline Finish]])&gt;0,Tasks[[#This Row],[Baseline Finish]],Tasks[[#This Row],[_CalcFinish]]))</f>
        <v/>
      </c>
      <c r="Z164" s="88"/>
      <c r="AA164" s="88"/>
      <c r="AB164" s="25" t="str">
        <f aca="false">IF(Tasks[[#This Row],[Task Name]]="","",IF(Tasks[[#This Row],[_IsSummary]],MIN(INDEX(Tasks[_ShownFcstStart],Tasks[[#This Row],[_Row]]+1):INDEX(Tasks[_ShownFcstStart],Tasks[[#This Row],[_Row]]+Tasks[[#This Row],[_Descendants]])),Tasks[[#This Row],[_ShownFcstStart]]))</f>
        <v/>
      </c>
      <c r="AC164" s="25" t="str">
        <f aca="false">IF(Tasks[[#This Row],[Task Name]]="","",IF(Tasks[[#This Row],[_IsSummary]],MAX(INDEX(Tasks[_ShownFcstFinish],Tasks[[#This Row],[_Row]]+1):INDEX(Tasks[_ShownFcstFinish],Tasks[[#This Row],[_Row]]+Tasks[[#This Row],[_Descendants]])),Tasks[[#This Row],[_ShownFcstFinish]]))</f>
        <v/>
      </c>
      <c r="AD16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4" s="25" t="str">
        <f aca="false">IF(Tasks[[#This Row],[Task Name]]="","",IF(Tasks[[#This Row],[_IsSummary]],MIN(INDEX(Tasks[_LeafLateStart],Tasks[[#This Row],[_Row]]+1):INDEX(Tasks[_LeafLateStart],Tasks[[#This Row],[_Row]]+Tasks[[#This Row],[_Descendants]])),Tasks[[#This Row],[_LeafLateStart]]))</f>
        <v/>
      </c>
      <c r="AG164" s="25" t="str">
        <f aca="false">IF(Tasks[[#This Row],[Task Name]]="","",IF(Tasks[[#This Row],[_IsSummary]],MAX(INDEX(Tasks[_LeafLateFinish],Tasks[[#This Row],[_Row]]+1):INDEX(Tasks[_LeafLateFinish],Tasks[[#This Row],[_Row]]+Tasks[[#This Row],[_Descendants]])),Tasks[[#This Row],[_LeafLateFinish]]))</f>
        <v/>
      </c>
      <c r="AH164" s="56" t="str">
        <f aca="false">IF(Tasks[[#This Row],[Task Name]]="","",IF(Tasks[[#This Row],[_IsSummary]],MIN(INDEX(Tasks[_LeafTotalSlack],Tasks[[#This Row],[_Row]]+1):INDEX(Tasks[_LeafTotalSlack],Tasks[[#This Row],[_Row]]+Tasks[[#This Row],[_Descendants]])),Tasks[[#This Row],[_LeafTotalSlack]]))</f>
        <v/>
      </c>
      <c r="AI16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4" s="45" t="str">
        <f aca="false">IF(Tasks[[#This Row],[Task Name]]="","",IF(IF(Tasks[[#This Row],[_IsSummary]],COUNTIF(INDEX(Tasks[_LeafCritical],Tasks[[#This Row],[_Row]]+1):INDEX(Tasks[_LeafCritical],Tasks[[#This Row],[_Row]]+Tasks[[#This Row],[_Descendants]]),TRUE())&gt;0,Tasks[[#This Row],[_LeafCritical]]),"Yes",""))</f>
        <v/>
      </c>
      <c r="AK16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4" s="102"/>
      <c r="AN16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4" s="45" t="str">
        <f aca="false">IF(Tasks[[#This Row],[Task Name]]="","",IF(Tasks[[#This Row],[Progress]]&gt;=1,"Complete",IF(OR(N(Tasks[[#This Row],[Actual Start]])&gt;0,Tasks[[#This Row],[Progress]]&gt;0),IF(Tasks[[#This Row],[Finish Var]]&gt;0,"Behind","In Progress"),IF(Tasks[[#This Row],[Planned Start]]&lt;StatusDate,"Late Start","Not Started"))))</f>
        <v/>
      </c>
      <c r="AP164" s="47"/>
      <c r="AQ164" s="102"/>
      <c r="AR16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4" s="110" t="str">
        <f aca="false">IF(Tasks[[#This Row],[Task Name]]="","",IF(Tasks[[#This Row],[_IsSummary]],SUM(INDEX(Tasks[_LeafTotalWork],Tasks[[#This Row],[_Row]]+1):INDEX(Tasks[_LeafTotalWork],Tasks[[#This Row],[_Row]]+Tasks[[#This Row],[_Descendants]])),Tasks[[#This Row],[_LeafTotalWork]]))</f>
        <v/>
      </c>
      <c r="AU164" s="111" t="str">
        <f aca="false">IF(Tasks[[#This Row],[Task Name]]="","",IF(Tasks[[#This Row],[_IsSummary]],SUM(INDEX(Tasks[_LeafTotalCost],Tasks[[#This Row],[_Row]]+1):INDEX(Tasks[_LeafTotalCost],Tasks[[#This Row],[_Row]]+Tasks[[#This Row],[_Descendants]])),Tasks[[#This Row],[_LeafTotalCost]]))</f>
        <v/>
      </c>
      <c r="AV164" s="112"/>
      <c r="AW164" s="46"/>
      <c r="AX16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4" s="96"/>
      <c r="AZ16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4" s="47"/>
      <c r="BB164" s="25" t="str">
        <f aca="false">IF(Tasks[[#This Row],[Task Name]]="","",Tasks[[#This Row],[Forecast Start]])</f>
        <v/>
      </c>
      <c r="BC164" s="25" t="str">
        <f aca="false">IF(Tasks[[#This Row],[Task Name]]="","",Tasks[[#This Row],[Forecast Finish]])</f>
        <v/>
      </c>
      <c r="BD164" s="45" t="str">
        <f aca="false">IF(Tasks[[#This Row],[Task Name]]="","",IF(Tasks[[#This Row],[_IsSummary]],NETWORKDAYS.INTL(Tasks[[#This Row],[Forecast Start]],Tasks[[#This Row],[Forecast Finish]],WorkWeek,Holidays),N(Tasks[[#This Row],[Duration]])))</f>
        <v/>
      </c>
      <c r="BE164" s="110" t="str">
        <f aca="false">IF(Tasks[[#This Row],[Task Name]]="","",Tasks[[#This Row],[Work]])</f>
        <v/>
      </c>
      <c r="BF164" s="111" t="str">
        <f aca="false">IF(Tasks[[#This Row],[Task Name]]="","",Tasks[[#This Row],[Cost]])</f>
        <v/>
      </c>
      <c r="BG164" s="88"/>
      <c r="BH164" s="88"/>
      <c r="BI164" s="46"/>
      <c r="BJ164" s="113"/>
      <c r="BK164" s="112"/>
      <c r="BL164" s="45" t="str">
        <f aca="false">IF(OR(Tasks[[#This Row],[Task Name]]="",Tasks[[#This Row],[Baseline Duration]]=""),"",Tasks[[#This Row],[BL Source Duration]]-N(Tasks[[#This Row],[Baseline Duration]]))</f>
        <v/>
      </c>
      <c r="BM164" s="110" t="str">
        <f aca="false">IF(OR(Tasks[[#This Row],[Task Name]]="",Tasks[[#This Row],[Baseline Work]]=""),"",Tasks[[#This Row],[Work]]-N(Tasks[[#This Row],[Baseline Work]]))</f>
        <v/>
      </c>
      <c r="BN164" s="111" t="str">
        <f aca="false">IF(OR(Tasks[[#This Row],[Task Name]]="",Tasks[[#This Row],[Baseline Cost]]=""),"",Tasks[[#This Row],[Cost]]-N(Tasks[[#This Row],[Baseline Cost]]))</f>
        <v/>
      </c>
      <c r="BO164" s="111" t="str">
        <f aca="false">IF(Tasks[[#This Row],[Task Name]]="","",IF(Tasks[[#This Row],[_IsSummary]],SUM(INDEX(Tasks[_LeafBudget],Tasks[[#This Row],[_Row]]+1):INDEX(Tasks[_LeafBudget],Tasks[[#This Row],[_Row]]+Tasks[[#This Row],[_Descendants]])),Tasks[[#This Row],[_LeafBudget]]))</f>
        <v/>
      </c>
      <c r="BP164" s="111" t="str">
        <f aca="false">IF(Tasks[[#This Row],[Task Name]]="","",IF(Tasks[[#This Row],[_IsSummary]],SUM(INDEX(Tasks[_LeafPV],Tasks[[#This Row],[_Row]]+1):INDEX(Tasks[_LeafPV],Tasks[[#This Row],[_Row]]+Tasks[[#This Row],[_Descendants]])),Tasks[[#This Row],[_LeafPV]]))</f>
        <v/>
      </c>
      <c r="BQ164" s="111" t="str">
        <f aca="false">IF(Tasks[[#This Row],[Task Name]]="","",IF(Tasks[[#This Row],[_IsSummary]],SUM(INDEX(Tasks[_LeafEV],Tasks[[#This Row],[_Row]]+1):INDEX(Tasks[_LeafEV],Tasks[[#This Row],[_Row]]+Tasks[[#This Row],[_Descendants]])),Tasks[[#This Row],[_LeafEV]]))</f>
        <v/>
      </c>
      <c r="BR164" s="111" t="str">
        <f aca="false">IF(Tasks[[#This Row],[Task Name]]="","",IF(Tasks[[#This Row],[_IsSummary]],SUM(INDEX(Tasks[_LeafAC],Tasks[[#This Row],[_Row]]+1):INDEX(Tasks[_LeafAC],Tasks[[#This Row],[_Row]]+Tasks[[#This Row],[_Descendants]])),Tasks[[#This Row],[_LeafAC]]))</f>
        <v/>
      </c>
      <c r="BS164" s="32" t="str">
        <f aca="false">IF(Tasks[[#This Row],[Task Name]]="","",MAX(1,N(Tasks[[#This Row],[Level]])))</f>
        <v/>
      </c>
      <c r="BT164" s="32" t="n">
        <f aca="false">ROW()-ROW(Tasks[[#Headers],[ID]])</f>
        <v>159</v>
      </c>
      <c r="BU164" s="32" t="n">
        <f aca="false">IF(OR(Tasks[[#This Row],[Task Name]]="",Tasks[[#This Row],[_Level]]&lt;=1),0,IFERROR(LOOKUP(2,1/(Tasks[[#Headers],[_Level]]:Tasks[[#This Row],[_Level]]=Tasks[[#This Row],[_Level]]-1),ROW(Tasks[[#Headers],[_Level]]:Tasks[[#This Row],[_Level]])),0))</f>
        <v>0</v>
      </c>
      <c r="BV164" s="32" t="n">
        <f aca="false">IFERROR(N(INDEX(Tasks[_Level],Tasks[[#This Row],[_Row]]+1)),0)</f>
        <v>0</v>
      </c>
      <c r="BW164" s="114" t="b">
        <f aca="false">AND(Tasks[[#This Row],[Task Name]]&lt;&gt;"",Tasks[[#This Row],[_NextLevel]]&gt;Tasks[[#This Row],[_Level]])</f>
        <v>0</v>
      </c>
      <c r="BX164" s="32" t="n">
        <f aca="false">IF(Tasks[[#This Row],[_IsSummary]],COUNTIF(Tasks[WBS],Tasks[[#This Row],[WBS]]&amp;".*"),0)</f>
        <v>0</v>
      </c>
      <c r="BY164" s="32" t="n">
        <f aca="false">IF(AND(Tasks[[#This Row],[Task Name]]&lt;&gt;"",NOT(Tasks[[#This Row],[_IsSummary]])),1,0)</f>
        <v>0</v>
      </c>
      <c r="BZ164" s="32" t="n">
        <f aca="false">IF(N(Tasks[[#This Row],[Pred1 UID]])=0,0,IFERROR(MATCH(Tasks[[#This Row],[Pred1 UID]],Tasks[UID],0),-1))</f>
        <v>0</v>
      </c>
      <c r="CA164" s="32" t="n">
        <f aca="false">IF(N(Tasks[[#This Row],[Pred2 UID]])=0,0,IFERROR(MATCH(Tasks[[#This Row],[Pred2 UID]],Tasks[UID],0),-1))</f>
        <v>0</v>
      </c>
      <c r="CB164" s="32" t="n">
        <f aca="false">IF(N(Tasks[[#This Row],[Pred3 UID]])=0,0,IFERROR(MATCH(Tasks[[#This Row],[Pred3 UID]],Tasks[UID],0),-1))</f>
        <v>0</v>
      </c>
      <c r="CC164" s="32" t="n">
        <f aca="false">IF(N(Tasks[[#This Row],[Pred4 UID]])=0,0,IFERROR(MATCH(Tasks[[#This Row],[Pred4 UID]],Tasks[UID],0),-1))</f>
        <v>0</v>
      </c>
      <c r="CD16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4" s="115" t="n">
        <f aca="false">IF(OR(Tasks[[#This Row],[_ConstraintCode]]=2,Tasks[[#This Row],[_ConstraintCode]]=3,Tasks[[#This Row],[_ConstraintCode]]=4,Tasks[[#This Row],[_ConstraintCode]]=6),Tasks[[#This Row],[_ConstraintStart]],0)</f>
        <v>0</v>
      </c>
      <c r="CG164" s="115" t="n">
        <f aca="false">IF(OR(Tasks[[#This Row],[_ConstraintCode]]=2,Tasks[[#This Row],[_ConstraintCode]]=3,Tasks[[#This Row],[_ConstraintCode]]=5,Tasks[[#This Row],[_ConstraintCode]]=7),Tasks[[#This Row],[_ConstraintStart]],2958465)</f>
        <v>2958465</v>
      </c>
      <c r="CH16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4" s="115" t="str">
        <f aca="false">IF(NOT(Tasks[[#This Row],[_IsLeaf]]=1),"",IF(N(Tasks[[#This Row],[Duration]])&lt;=0,Tasks[[#This Row],[_LeafCalcStart]],WORKDAY.INTL(Tasks[[#This Row],[_LeafCalcStart]],Tasks[[#This Row],[Duration]]-1,WorkWeek,Holidays)))</f>
        <v/>
      </c>
      <c r="CJ16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4" s="32" t="n">
        <f aca="false">IF(NOT(Tasks[[#This Row],[_IsLeaf]]=1),0,IF(N(Tasks[[#This Row],[Actual Finish]])&gt;0,1,MIN(1,N(Tasks[[#This Row],[% Complete]]))))</f>
        <v>0</v>
      </c>
      <c r="CM164" s="32" t="n">
        <f aca="false">IF(OR(NOT(Tasks[[#This Row],[_IsLeaf]]=1),Tasks[[#This Row],[Resource]]=""),0,N(Tasks[[#This Row],[Duration]])*HoursPerDay*IF(Tasks[[#This Row],[Units]]="",DefaultUnits,Tasks[[#This Row],[Units]]))</f>
        <v>0</v>
      </c>
      <c r="CN164" s="32" t="n">
        <f aca="false">IF(Tasks[[#This Row],[_LeafWork]]=0,0,Tasks[[#This Row],[_LeafWork]]*IFERROR(INDEX(res_Rate,MATCH(Tasks[[#This Row],[Resource]],res_Name,0)),0))</f>
        <v>0</v>
      </c>
      <c r="CO164" s="32" t="n">
        <f aca="false">Tasks[[#This Row],[_LeafWork]]+IF(Tasks[[#This Row],[_IsLeaf]]=1,SUMIFS(asg_Work,asg_TaskUID,Tasks[[#This Row],[UID]],asg_Valid,1),0)</f>
        <v>0</v>
      </c>
      <c r="CP164" s="32" t="n">
        <f aca="false">Tasks[[#This Row],[_LeafCost]]+IF(Tasks[[#This Row],[_IsLeaf]]=1,SUMIFS(asg_Cost,asg_TaskUID,Tasks[[#This Row],[UID]],asg_Valid,1),0)</f>
        <v>0</v>
      </c>
      <c r="CQ164" s="32" t="n">
        <f aca="false">IF(Tasks[[#This Row],[_LeafTotalCost]]=0,Tasks[[#This Row],[_LeafAC]],Tasks[[#This Row],[_LeafAC]]*Tasks[[#This Row],[_LeafCost]]/Tasks[[#This Row],[_LeafTotalCost]])</f>
        <v>0</v>
      </c>
      <c r="CR16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4" s="32" t="n">
        <f aca="false">IF(NOT(Tasks[[#This Row],[_IsLeaf]]=1),0,MAX(_xlfn.MAXIFS(Tasks[_Row],Tasks[Pred1 UID],Tasks[[#This Row],[UID]]),_xlfn.MAXIFS(Tasks[_Row],Tasks[Pred2 UID],Tasks[[#This Row],[UID]]),_xlfn.MAXIFS(Tasks[_Row],Tasks[Pred3 UID],Tasks[[#This Row],[UID]]),_xlfn.MAXIFS(Tasks[_Row],Tasks[Pred4 UID],Tasks[[#This Row],[UID]])))</f>
        <v>0</v>
      </c>
      <c r="DA16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4" s="115" t="str">
        <f aca="false">IF(NOT(Tasks[[#This Row],[_IsLeaf]]=1),"",IF(N(Tasks[[#This Row],[Duration]])&lt;=0,Tasks[[#This Row],[_LeafLateFinish]],WORKDAY.INTL(Tasks[[#This Row],[_LeafLateFinish]],-(Tasks[[#This Row],[Duration]]-1),WorkWeek,Holidays)))</f>
        <v/>
      </c>
      <c r="DD16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4" s="114" t="b">
        <f aca="false">AND(Tasks[[#This Row],[_IsLeaf]]=1,Tasks[[#This Row],[_LeafProgress]]&lt;1,N(Tasks[[#This Row],[_LeafTotalSlack]])&lt;=CriticalSlackDays)</f>
        <v>0</v>
      </c>
      <c r="DF164" s="32" t="n">
        <f aca="false">IF(AND(Tasks[[#This Row],[_IsLeaf]]=1,Tasks[[#This Row],[_ConstraintCode]]=1,Tasks[[#This Row],[Mode]]&lt;&gt;"Manual",N(Tasks[[#This Row],[Actual Start]])=0),MAX(0,N(Tasks[[#This Row],[Free Slack]])),0)</f>
        <v>0</v>
      </c>
      <c r="DG164" s="115" t="str">
        <f aca="false">IF(NOT(Tasks[[#This Row],[_IsLeaf]]=1),"",IF(Tasks[[#This Row],[_AlapShift]]=0,Tasks[[#This Row],[_LeafCalcStart]],WORKDAY.INTL(Tasks[[#This Row],[_LeafCalcStart]],Tasks[[#This Row],[_AlapShift]],WorkWeek,Holidays)))</f>
        <v/>
      </c>
      <c r="DH164" s="115" t="str">
        <f aca="false">IF(NOT(Tasks[[#This Row],[_IsLeaf]]=1),"",IF(Tasks[[#This Row],[_AlapShift]]=0,Tasks[[#This Row],[_LeafCalcFinish]],WORKDAY.INTL(Tasks[[#This Row],[_LeafCalcFinish]],Tasks[[#This Row],[_AlapShift]],WorkWeek,Holidays)))</f>
        <v/>
      </c>
      <c r="DI164" s="115" t="str">
        <f aca="false">IF(NOT(Tasks[[#This Row],[_IsLeaf]]=1),"",IF(Tasks[[#This Row],[_AlapShift]]=0,Tasks[[#This Row],[_LeafFcstStart]],WORKDAY.INTL(Tasks[[#This Row],[_LeafFcstStart]],Tasks[[#This Row],[_AlapShift]],WorkWeek,Holidays)))</f>
        <v/>
      </c>
      <c r="DJ164" s="115" t="str">
        <f aca="false">IF(NOT(Tasks[[#This Row],[_IsLeaf]]=1),"",IF(Tasks[[#This Row],[_AlapShift]]=0,Tasks[[#This Row],[_LeafFcstFinish]],WORKDAY.INTL(Tasks[[#This Row],[_LeafFcstFinish]],Tasks[[#This Row],[_AlapShift]],WorkWeek,Holidays)))</f>
        <v/>
      </c>
      <c r="DK164" s="115" t="str">
        <f aca="false">IF(Tasks[[#This Row],[Task Name]]="","",IF(Tasks[[#This Row],[_IsSummary]],MIN(INDEX(Tasks[_ShownCalcStart],Tasks[[#This Row],[_Row]]+1):INDEX(Tasks[_ShownCalcStart],Tasks[[#This Row],[_Row]]+Tasks[[#This Row],[_Descendants]])),Tasks[[#This Row],[_ShownCalcStart]]))</f>
        <v/>
      </c>
      <c r="DL164" s="115" t="str">
        <f aca="false">IF(Tasks[[#This Row],[Task Name]]="","",IF(Tasks[[#This Row],[_IsSummary]],MAX(INDEX(Tasks[_ShownCalcFinish],Tasks[[#This Row],[_Row]]+1):INDEX(Tasks[_ShownCalcFinish],Tasks[[#This Row],[_Row]]+Tasks[[#This Row],[_Descendants]])),Tasks[[#This Row],[_ShownCalcFinish]]))</f>
        <v/>
      </c>
      <c r="DM16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4" s="32" t="n">
        <f aca="false">IF(AND(Tasks[[#This Row],[_IsLeaf]]=1,Tasks[[#This Row],[_LeafTotalWork]]&gt;0),NETWORKDAYS.INTL(ProjectStart,Tasks[[#This Row],[_ShownFcstStart]],WorkWeek,Holidays),0)</f>
        <v>0</v>
      </c>
      <c r="DZ164" s="32" t="n">
        <f aca="false">IF(AND(Tasks[[#This Row],[_IsLeaf]]=1,Tasks[[#This Row],[_LeafTotalWork]]&gt;0),MAX(Tasks[[#This Row],[_StartWorkday]],NETWORKDAYS.INTL(ProjectStart,Tasks[[#This Row],[_ShownFcstFinish]],WorkWeek,Holidays)),0)</f>
        <v>0</v>
      </c>
      <c r="EA164" s="32" t="n">
        <f aca="false">IF(AND(Tasks[[#This Row],[_IsLeaf]]=1,Tasks[[#This Row],[_LeafTotalWork]]&gt;0),Tasks[[#This Row],[_LeafWork]]/(Tasks[[#This Row],[_FinishWorkday]]-Tasks[[#This Row],[_StartWorkday]]+1),0)</f>
        <v>0</v>
      </c>
      <c r="EB164" s="32" t="n">
        <f aca="false">Tasks[[#This Row],[_WorkPerWorkday]]*(Tasks[[#This Row],[_StartWorkday]]-1)</f>
        <v>-0</v>
      </c>
      <c r="EC164" s="32" t="n">
        <f aca="false">IF(Tasks[[#This Row],[_IsLeaf]]=1,MAX(N(Tasks[[#This Row],[Duration]]),0.1),0)</f>
        <v>0</v>
      </c>
      <c r="ED164" s="32" t="n">
        <f aca="false">Tasks[[#This Row],[_WeightDur]]*Tasks[[#This Row],[_LeafProgress]]</f>
        <v>0</v>
      </c>
      <c r="EE16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4" s="32" t="str">
        <f aca="false">IF(AND(Tasks[[#This Row],[_IsLeaf]]=1,N(Tasks[[#This Row],[Duration]])=0,Tasks[[#This Row],[_LeafProgress]]&lt;1),Tasks[[#This Row],[_ShownFcstFinish]]+Tasks[[#This Row],[_Row]]/100000,"")</f>
        <v/>
      </c>
      <c r="EG16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4" s="32" t="n">
        <f aca="false">IF(NOT(Tasks[[#This Row],[_IsLeaf]]=1),0,IF(Tasks[[#This Row],[Baseline Cost]]="",Tasks[[#This Row],[_LeafTotalCost]],N(Tasks[[#This Row],[Baseline Cost]])))</f>
        <v>0</v>
      </c>
      <c r="EI164" s="32" t="n">
        <f aca="false">Tasks[[#This Row],[_LeafBudget]]*Tasks[[#This Row],[_PlannedPct]]</f>
        <v>0</v>
      </c>
      <c r="EJ164" s="32" t="n">
        <f aca="false">Tasks[[#This Row],[_LeafBudget]]*Tasks[[#This Row],[_LeafProgress]]</f>
        <v>0</v>
      </c>
      <c r="EK164" s="32" t="n">
        <f aca="false">IF(NOT(Tasks[[#This Row],[_IsLeaf]]=1),0,IF(Tasks[[#This Row],[Actual Cost]]="",Tasks[[#This Row],[_LeafTotalCost]]*Tasks[[#This Row],[_LeafProgress]],N(Tasks[[#This Row],[Actual Cost]])))</f>
        <v>0</v>
      </c>
      <c r="EL164" s="32" t="str">
        <f aca="false">IF(Tasks[[#This Row],[Task Name]]="","",LEFT(Tasks[[#This Row],[WBS]],FIND(".",Tasks[[#This Row],[WBS]]&amp;".")-1))</f>
        <v/>
      </c>
      <c r="EM164" s="32" t="str">
        <f aca="false">IF(AND(Tasks[[#This Row],[Task Name]]&lt;&gt;"",Tasks[[#This Row],[_Level]]=1),Tasks[[#This Row],[_Row]],"")</f>
        <v/>
      </c>
      <c r="EN164" s="32" t="str">
        <f aca="false">IF(AND(Tasks[[#This Row],[_IsLeaf]]=1,N(Tasks[[#This Row],[Duration]])=0),Tasks[[#This Row],[Planned Finish]]+Tasks[[#This Row],[_Row]]/100000,"")</f>
        <v/>
      </c>
      <c r="EO164" s="32" t="str">
        <f aca="false">IF(AND(Tasks[[#This Row],[_IsLeaf]]=1,Tasks[[#This Row],[_LeafProgress]]&lt;1,OR(N(Tasks[[#This Row],[Finish Var]])&gt;0,Tasks[[#This Row],[Status]]="Late Start")),MAX(0,Tasks[[#This Row],[Finish Var]])+1-Tasks[[#This Row],[_Row]]/1000000,"")</f>
        <v/>
      </c>
      <c r="EP164" s="32" t="str">
        <f aca="false">IF(AND(Tasks[[#This Row],[_IsLeaf]]=1,N(Tasks[[#This Row],[Actual Start]])=0,Tasks[[#This Row],[_ShownFcstStart]]&gt;=StatusDate,Tasks[[#This Row],[_ShownFcstStart]]&lt;=LookaheadEnd),Tasks[[#This Row],[_ShownFcstStart]]+Tasks[[#This Row],[_Row]]/100000,"")</f>
        <v/>
      </c>
      <c r="EQ164" s="32" t="str">
        <f aca="false">IF(AND(Tasks[[#This Row],[_IsLeaf]]=1,Tasks[[#This Row],[_LeafProgress]]&lt;1,Tasks[[#This Row],[_ShownFcstFinish]]&gt;=StatusDate,Tasks[[#This Row],[_ShownFcstFinish]]&lt;=LookaheadEnd),Tasks[[#This Row],[_ShownFcstFinish]]+Tasks[[#This Row],[_Row]]/100000,"")</f>
        <v/>
      </c>
      <c r="ER164" s="32" t="str">
        <f aca="false">IF(Tasks[[#This Row],[_LeafCritical]],Tasks[[#This Row],[_ShownFcstStart]]+Tasks[[#This Row],[_Row]]/100000,"")</f>
        <v/>
      </c>
      <c r="ES164" s="32" t="n">
        <f aca="false">Tasks[[#This Row],[_LeafWork]]*Tasks[[#This Row],[_LeafProgress]]</f>
        <v>0</v>
      </c>
      <c r="ET164" s="115" t="str">
        <f aca="false">IF(AND(Tasks[[#This Row],[_IsLeaf]]=1,Tasks[[#This Row],[_LeafProgress]]&gt;=1),IF(N(Tasks[[#This Row],[Actual Finish]])&gt;0,Tasks[[#This Row],[Actual Finish]],Tasks[[#This Row],[_ShownFcstFinish]]),"")</f>
        <v/>
      </c>
      <c r="EU164" s="32" t="n">
        <f aca="false">IF(Tasks[[#This Row],[_IsLeaf]]=1,N(Tasks[[#This Row],[Story Points]]),0)</f>
        <v>0</v>
      </c>
      <c r="EV164" s="32" t="str">
        <f aca="false">IF(AND(Tasks[[#This Row],[_IsLeaf]]=1,CurrentSprint&lt;&gt;"",Tasks[[#This Row],[Sprint]]=CurrentSprint),Tasks[[#This Row],[_Row]],"")</f>
        <v/>
      </c>
    </row>
    <row r="165" customFormat="false" ht="15" hidden="false" customHeight="false" outlineLevel="0" collapsed="false">
      <c r="A165" s="45" t="str">
        <f aca="false">IF(Tasks[[#This Row],[Task Name]]="","",COUNTA(Tasks[[#Headers],[Task Name]]:Tasks[[#This Row],[Task Name]])-1)</f>
        <v/>
      </c>
      <c r="B165" s="46" t="n">
        <v>160</v>
      </c>
      <c r="C16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5" s="46"/>
      <c r="E165" s="45" t="str">
        <f aca="false">IF(Tasks[[#This Row],[Task Name]]="","",IF(Tasks[[#This Row],[_Level]]&lt;=OutlineShowLevel,"Yes","No"))</f>
        <v/>
      </c>
      <c r="F165" s="47"/>
      <c r="G165" s="46"/>
      <c r="H165" s="46"/>
      <c r="I165" s="46"/>
      <c r="J165" s="46"/>
      <c r="K165" s="46"/>
      <c r="L165" s="46"/>
      <c r="M165" s="46"/>
      <c r="N165" s="46"/>
      <c r="O165" s="46"/>
      <c r="P165" s="46"/>
      <c r="Q165" s="46"/>
      <c r="R165" s="46"/>
      <c r="S165" s="46"/>
      <c r="T165" s="46"/>
      <c r="U165" s="47"/>
      <c r="V165" s="88"/>
      <c r="W165" s="88"/>
      <c r="X165" s="25" t="str">
        <f aca="false">IF(Tasks[[#This Row],[Task Name]]="","",IF(N(Tasks[[#This Row],[Baseline Start]])&gt;0,Tasks[[#This Row],[Baseline Start]],Tasks[[#This Row],[_CalcStart]]))</f>
        <v/>
      </c>
      <c r="Y165" s="25" t="str">
        <f aca="false">IF(Tasks[[#This Row],[Task Name]]="","",IF(N(Tasks[[#This Row],[Baseline Finish]])&gt;0,Tasks[[#This Row],[Baseline Finish]],Tasks[[#This Row],[_CalcFinish]]))</f>
        <v/>
      </c>
      <c r="Z165" s="88"/>
      <c r="AA165" s="88"/>
      <c r="AB165" s="25" t="str">
        <f aca="false">IF(Tasks[[#This Row],[Task Name]]="","",IF(Tasks[[#This Row],[_IsSummary]],MIN(INDEX(Tasks[_ShownFcstStart],Tasks[[#This Row],[_Row]]+1):INDEX(Tasks[_ShownFcstStart],Tasks[[#This Row],[_Row]]+Tasks[[#This Row],[_Descendants]])),Tasks[[#This Row],[_ShownFcstStart]]))</f>
        <v/>
      </c>
      <c r="AC165" s="25" t="str">
        <f aca="false">IF(Tasks[[#This Row],[Task Name]]="","",IF(Tasks[[#This Row],[_IsSummary]],MAX(INDEX(Tasks[_ShownFcstFinish],Tasks[[#This Row],[_Row]]+1):INDEX(Tasks[_ShownFcstFinish],Tasks[[#This Row],[_Row]]+Tasks[[#This Row],[_Descendants]])),Tasks[[#This Row],[_ShownFcstFinish]]))</f>
        <v/>
      </c>
      <c r="AD16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5" s="25" t="str">
        <f aca="false">IF(Tasks[[#This Row],[Task Name]]="","",IF(Tasks[[#This Row],[_IsSummary]],MIN(INDEX(Tasks[_LeafLateStart],Tasks[[#This Row],[_Row]]+1):INDEX(Tasks[_LeafLateStart],Tasks[[#This Row],[_Row]]+Tasks[[#This Row],[_Descendants]])),Tasks[[#This Row],[_LeafLateStart]]))</f>
        <v/>
      </c>
      <c r="AG165" s="25" t="str">
        <f aca="false">IF(Tasks[[#This Row],[Task Name]]="","",IF(Tasks[[#This Row],[_IsSummary]],MAX(INDEX(Tasks[_LeafLateFinish],Tasks[[#This Row],[_Row]]+1):INDEX(Tasks[_LeafLateFinish],Tasks[[#This Row],[_Row]]+Tasks[[#This Row],[_Descendants]])),Tasks[[#This Row],[_LeafLateFinish]]))</f>
        <v/>
      </c>
      <c r="AH165" s="56" t="str">
        <f aca="false">IF(Tasks[[#This Row],[Task Name]]="","",IF(Tasks[[#This Row],[_IsSummary]],MIN(INDEX(Tasks[_LeafTotalSlack],Tasks[[#This Row],[_Row]]+1):INDEX(Tasks[_LeafTotalSlack],Tasks[[#This Row],[_Row]]+Tasks[[#This Row],[_Descendants]])),Tasks[[#This Row],[_LeafTotalSlack]]))</f>
        <v/>
      </c>
      <c r="AI16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5" s="45" t="str">
        <f aca="false">IF(Tasks[[#This Row],[Task Name]]="","",IF(IF(Tasks[[#This Row],[_IsSummary]],COUNTIF(INDEX(Tasks[_LeafCritical],Tasks[[#This Row],[_Row]]+1):INDEX(Tasks[_LeafCritical],Tasks[[#This Row],[_Row]]+Tasks[[#This Row],[_Descendants]]),TRUE())&gt;0,Tasks[[#This Row],[_LeafCritical]]),"Yes",""))</f>
        <v/>
      </c>
      <c r="AK16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5" s="102"/>
      <c r="AN16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5" s="45" t="str">
        <f aca="false">IF(Tasks[[#This Row],[Task Name]]="","",IF(Tasks[[#This Row],[Progress]]&gt;=1,"Complete",IF(OR(N(Tasks[[#This Row],[Actual Start]])&gt;0,Tasks[[#This Row],[Progress]]&gt;0),IF(Tasks[[#This Row],[Finish Var]]&gt;0,"Behind","In Progress"),IF(Tasks[[#This Row],[Planned Start]]&lt;StatusDate,"Late Start","Not Started"))))</f>
        <v/>
      </c>
      <c r="AP165" s="47"/>
      <c r="AQ165" s="102"/>
      <c r="AR16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5" s="110" t="str">
        <f aca="false">IF(Tasks[[#This Row],[Task Name]]="","",IF(Tasks[[#This Row],[_IsSummary]],SUM(INDEX(Tasks[_LeafTotalWork],Tasks[[#This Row],[_Row]]+1):INDEX(Tasks[_LeafTotalWork],Tasks[[#This Row],[_Row]]+Tasks[[#This Row],[_Descendants]])),Tasks[[#This Row],[_LeafTotalWork]]))</f>
        <v/>
      </c>
      <c r="AU165" s="111" t="str">
        <f aca="false">IF(Tasks[[#This Row],[Task Name]]="","",IF(Tasks[[#This Row],[_IsSummary]],SUM(INDEX(Tasks[_LeafTotalCost],Tasks[[#This Row],[_Row]]+1):INDEX(Tasks[_LeafTotalCost],Tasks[[#This Row],[_Row]]+Tasks[[#This Row],[_Descendants]])),Tasks[[#This Row],[_LeafTotalCost]]))</f>
        <v/>
      </c>
      <c r="AV165" s="112"/>
      <c r="AW165" s="46"/>
      <c r="AX16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5" s="96"/>
      <c r="AZ16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5" s="47"/>
      <c r="BB165" s="25" t="str">
        <f aca="false">IF(Tasks[[#This Row],[Task Name]]="","",Tasks[[#This Row],[Forecast Start]])</f>
        <v/>
      </c>
      <c r="BC165" s="25" t="str">
        <f aca="false">IF(Tasks[[#This Row],[Task Name]]="","",Tasks[[#This Row],[Forecast Finish]])</f>
        <v/>
      </c>
      <c r="BD165" s="45" t="str">
        <f aca="false">IF(Tasks[[#This Row],[Task Name]]="","",IF(Tasks[[#This Row],[_IsSummary]],NETWORKDAYS.INTL(Tasks[[#This Row],[Forecast Start]],Tasks[[#This Row],[Forecast Finish]],WorkWeek,Holidays),N(Tasks[[#This Row],[Duration]])))</f>
        <v/>
      </c>
      <c r="BE165" s="110" t="str">
        <f aca="false">IF(Tasks[[#This Row],[Task Name]]="","",Tasks[[#This Row],[Work]])</f>
        <v/>
      </c>
      <c r="BF165" s="111" t="str">
        <f aca="false">IF(Tasks[[#This Row],[Task Name]]="","",Tasks[[#This Row],[Cost]])</f>
        <v/>
      </c>
      <c r="BG165" s="88"/>
      <c r="BH165" s="88"/>
      <c r="BI165" s="46"/>
      <c r="BJ165" s="113"/>
      <c r="BK165" s="112"/>
      <c r="BL165" s="45" t="str">
        <f aca="false">IF(OR(Tasks[[#This Row],[Task Name]]="",Tasks[[#This Row],[Baseline Duration]]=""),"",Tasks[[#This Row],[BL Source Duration]]-N(Tasks[[#This Row],[Baseline Duration]]))</f>
        <v/>
      </c>
      <c r="BM165" s="110" t="str">
        <f aca="false">IF(OR(Tasks[[#This Row],[Task Name]]="",Tasks[[#This Row],[Baseline Work]]=""),"",Tasks[[#This Row],[Work]]-N(Tasks[[#This Row],[Baseline Work]]))</f>
        <v/>
      </c>
      <c r="BN165" s="111" t="str">
        <f aca="false">IF(OR(Tasks[[#This Row],[Task Name]]="",Tasks[[#This Row],[Baseline Cost]]=""),"",Tasks[[#This Row],[Cost]]-N(Tasks[[#This Row],[Baseline Cost]]))</f>
        <v/>
      </c>
      <c r="BO165" s="111" t="str">
        <f aca="false">IF(Tasks[[#This Row],[Task Name]]="","",IF(Tasks[[#This Row],[_IsSummary]],SUM(INDEX(Tasks[_LeafBudget],Tasks[[#This Row],[_Row]]+1):INDEX(Tasks[_LeafBudget],Tasks[[#This Row],[_Row]]+Tasks[[#This Row],[_Descendants]])),Tasks[[#This Row],[_LeafBudget]]))</f>
        <v/>
      </c>
      <c r="BP165" s="111" t="str">
        <f aca="false">IF(Tasks[[#This Row],[Task Name]]="","",IF(Tasks[[#This Row],[_IsSummary]],SUM(INDEX(Tasks[_LeafPV],Tasks[[#This Row],[_Row]]+1):INDEX(Tasks[_LeafPV],Tasks[[#This Row],[_Row]]+Tasks[[#This Row],[_Descendants]])),Tasks[[#This Row],[_LeafPV]]))</f>
        <v/>
      </c>
      <c r="BQ165" s="111" t="str">
        <f aca="false">IF(Tasks[[#This Row],[Task Name]]="","",IF(Tasks[[#This Row],[_IsSummary]],SUM(INDEX(Tasks[_LeafEV],Tasks[[#This Row],[_Row]]+1):INDEX(Tasks[_LeafEV],Tasks[[#This Row],[_Row]]+Tasks[[#This Row],[_Descendants]])),Tasks[[#This Row],[_LeafEV]]))</f>
        <v/>
      </c>
      <c r="BR165" s="111" t="str">
        <f aca="false">IF(Tasks[[#This Row],[Task Name]]="","",IF(Tasks[[#This Row],[_IsSummary]],SUM(INDEX(Tasks[_LeafAC],Tasks[[#This Row],[_Row]]+1):INDEX(Tasks[_LeafAC],Tasks[[#This Row],[_Row]]+Tasks[[#This Row],[_Descendants]])),Tasks[[#This Row],[_LeafAC]]))</f>
        <v/>
      </c>
      <c r="BS165" s="32" t="str">
        <f aca="false">IF(Tasks[[#This Row],[Task Name]]="","",MAX(1,N(Tasks[[#This Row],[Level]])))</f>
        <v/>
      </c>
      <c r="BT165" s="32" t="n">
        <f aca="false">ROW()-ROW(Tasks[[#Headers],[ID]])</f>
        <v>160</v>
      </c>
      <c r="BU165" s="32" t="n">
        <f aca="false">IF(OR(Tasks[[#This Row],[Task Name]]="",Tasks[[#This Row],[_Level]]&lt;=1),0,IFERROR(LOOKUP(2,1/(Tasks[[#Headers],[_Level]]:Tasks[[#This Row],[_Level]]=Tasks[[#This Row],[_Level]]-1),ROW(Tasks[[#Headers],[_Level]]:Tasks[[#This Row],[_Level]])),0))</f>
        <v>0</v>
      </c>
      <c r="BV165" s="32" t="n">
        <f aca="false">IFERROR(N(INDEX(Tasks[_Level],Tasks[[#This Row],[_Row]]+1)),0)</f>
        <v>0</v>
      </c>
      <c r="BW165" s="114" t="b">
        <f aca="false">AND(Tasks[[#This Row],[Task Name]]&lt;&gt;"",Tasks[[#This Row],[_NextLevel]]&gt;Tasks[[#This Row],[_Level]])</f>
        <v>0</v>
      </c>
      <c r="BX165" s="32" t="n">
        <f aca="false">IF(Tasks[[#This Row],[_IsSummary]],COUNTIF(Tasks[WBS],Tasks[[#This Row],[WBS]]&amp;".*"),0)</f>
        <v>0</v>
      </c>
      <c r="BY165" s="32" t="n">
        <f aca="false">IF(AND(Tasks[[#This Row],[Task Name]]&lt;&gt;"",NOT(Tasks[[#This Row],[_IsSummary]])),1,0)</f>
        <v>0</v>
      </c>
      <c r="BZ165" s="32" t="n">
        <f aca="false">IF(N(Tasks[[#This Row],[Pred1 UID]])=0,0,IFERROR(MATCH(Tasks[[#This Row],[Pred1 UID]],Tasks[UID],0),-1))</f>
        <v>0</v>
      </c>
      <c r="CA165" s="32" t="n">
        <f aca="false">IF(N(Tasks[[#This Row],[Pred2 UID]])=0,0,IFERROR(MATCH(Tasks[[#This Row],[Pred2 UID]],Tasks[UID],0),-1))</f>
        <v>0</v>
      </c>
      <c r="CB165" s="32" t="n">
        <f aca="false">IF(N(Tasks[[#This Row],[Pred3 UID]])=0,0,IFERROR(MATCH(Tasks[[#This Row],[Pred3 UID]],Tasks[UID],0),-1))</f>
        <v>0</v>
      </c>
      <c r="CC165" s="32" t="n">
        <f aca="false">IF(N(Tasks[[#This Row],[Pred4 UID]])=0,0,IFERROR(MATCH(Tasks[[#This Row],[Pred4 UID]],Tasks[UID],0),-1))</f>
        <v>0</v>
      </c>
      <c r="CD16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5" s="115" t="n">
        <f aca="false">IF(OR(Tasks[[#This Row],[_ConstraintCode]]=2,Tasks[[#This Row],[_ConstraintCode]]=3,Tasks[[#This Row],[_ConstraintCode]]=4,Tasks[[#This Row],[_ConstraintCode]]=6),Tasks[[#This Row],[_ConstraintStart]],0)</f>
        <v>0</v>
      </c>
      <c r="CG165" s="115" t="n">
        <f aca="false">IF(OR(Tasks[[#This Row],[_ConstraintCode]]=2,Tasks[[#This Row],[_ConstraintCode]]=3,Tasks[[#This Row],[_ConstraintCode]]=5,Tasks[[#This Row],[_ConstraintCode]]=7),Tasks[[#This Row],[_ConstraintStart]],2958465)</f>
        <v>2958465</v>
      </c>
      <c r="CH16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5" s="115" t="str">
        <f aca="false">IF(NOT(Tasks[[#This Row],[_IsLeaf]]=1),"",IF(N(Tasks[[#This Row],[Duration]])&lt;=0,Tasks[[#This Row],[_LeafCalcStart]],WORKDAY.INTL(Tasks[[#This Row],[_LeafCalcStart]],Tasks[[#This Row],[Duration]]-1,WorkWeek,Holidays)))</f>
        <v/>
      </c>
      <c r="CJ16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5" s="32" t="n">
        <f aca="false">IF(NOT(Tasks[[#This Row],[_IsLeaf]]=1),0,IF(N(Tasks[[#This Row],[Actual Finish]])&gt;0,1,MIN(1,N(Tasks[[#This Row],[% Complete]]))))</f>
        <v>0</v>
      </c>
      <c r="CM165" s="32" t="n">
        <f aca="false">IF(OR(NOT(Tasks[[#This Row],[_IsLeaf]]=1),Tasks[[#This Row],[Resource]]=""),0,N(Tasks[[#This Row],[Duration]])*HoursPerDay*IF(Tasks[[#This Row],[Units]]="",DefaultUnits,Tasks[[#This Row],[Units]]))</f>
        <v>0</v>
      </c>
      <c r="CN165" s="32" t="n">
        <f aca="false">IF(Tasks[[#This Row],[_LeafWork]]=0,0,Tasks[[#This Row],[_LeafWork]]*IFERROR(INDEX(res_Rate,MATCH(Tasks[[#This Row],[Resource]],res_Name,0)),0))</f>
        <v>0</v>
      </c>
      <c r="CO165" s="32" t="n">
        <f aca="false">Tasks[[#This Row],[_LeafWork]]+IF(Tasks[[#This Row],[_IsLeaf]]=1,SUMIFS(asg_Work,asg_TaskUID,Tasks[[#This Row],[UID]],asg_Valid,1),0)</f>
        <v>0</v>
      </c>
      <c r="CP165" s="32" t="n">
        <f aca="false">Tasks[[#This Row],[_LeafCost]]+IF(Tasks[[#This Row],[_IsLeaf]]=1,SUMIFS(asg_Cost,asg_TaskUID,Tasks[[#This Row],[UID]],asg_Valid,1),0)</f>
        <v>0</v>
      </c>
      <c r="CQ165" s="32" t="n">
        <f aca="false">IF(Tasks[[#This Row],[_LeafTotalCost]]=0,Tasks[[#This Row],[_LeafAC]],Tasks[[#This Row],[_LeafAC]]*Tasks[[#This Row],[_LeafCost]]/Tasks[[#This Row],[_LeafTotalCost]])</f>
        <v>0</v>
      </c>
      <c r="CR16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5" s="32" t="n">
        <f aca="false">IF(NOT(Tasks[[#This Row],[_IsLeaf]]=1),0,MAX(_xlfn.MAXIFS(Tasks[_Row],Tasks[Pred1 UID],Tasks[[#This Row],[UID]]),_xlfn.MAXIFS(Tasks[_Row],Tasks[Pred2 UID],Tasks[[#This Row],[UID]]),_xlfn.MAXIFS(Tasks[_Row],Tasks[Pred3 UID],Tasks[[#This Row],[UID]]),_xlfn.MAXIFS(Tasks[_Row],Tasks[Pred4 UID],Tasks[[#This Row],[UID]])))</f>
        <v>0</v>
      </c>
      <c r="DA16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5" s="115" t="str">
        <f aca="false">IF(NOT(Tasks[[#This Row],[_IsLeaf]]=1),"",IF(N(Tasks[[#This Row],[Duration]])&lt;=0,Tasks[[#This Row],[_LeafLateFinish]],WORKDAY.INTL(Tasks[[#This Row],[_LeafLateFinish]],-(Tasks[[#This Row],[Duration]]-1),WorkWeek,Holidays)))</f>
        <v/>
      </c>
      <c r="DD16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5" s="114" t="b">
        <f aca="false">AND(Tasks[[#This Row],[_IsLeaf]]=1,Tasks[[#This Row],[_LeafProgress]]&lt;1,N(Tasks[[#This Row],[_LeafTotalSlack]])&lt;=CriticalSlackDays)</f>
        <v>0</v>
      </c>
      <c r="DF165" s="32" t="n">
        <f aca="false">IF(AND(Tasks[[#This Row],[_IsLeaf]]=1,Tasks[[#This Row],[_ConstraintCode]]=1,Tasks[[#This Row],[Mode]]&lt;&gt;"Manual",N(Tasks[[#This Row],[Actual Start]])=0),MAX(0,N(Tasks[[#This Row],[Free Slack]])),0)</f>
        <v>0</v>
      </c>
      <c r="DG165" s="115" t="str">
        <f aca="false">IF(NOT(Tasks[[#This Row],[_IsLeaf]]=1),"",IF(Tasks[[#This Row],[_AlapShift]]=0,Tasks[[#This Row],[_LeafCalcStart]],WORKDAY.INTL(Tasks[[#This Row],[_LeafCalcStart]],Tasks[[#This Row],[_AlapShift]],WorkWeek,Holidays)))</f>
        <v/>
      </c>
      <c r="DH165" s="115" t="str">
        <f aca="false">IF(NOT(Tasks[[#This Row],[_IsLeaf]]=1),"",IF(Tasks[[#This Row],[_AlapShift]]=0,Tasks[[#This Row],[_LeafCalcFinish]],WORKDAY.INTL(Tasks[[#This Row],[_LeafCalcFinish]],Tasks[[#This Row],[_AlapShift]],WorkWeek,Holidays)))</f>
        <v/>
      </c>
      <c r="DI165" s="115" t="str">
        <f aca="false">IF(NOT(Tasks[[#This Row],[_IsLeaf]]=1),"",IF(Tasks[[#This Row],[_AlapShift]]=0,Tasks[[#This Row],[_LeafFcstStart]],WORKDAY.INTL(Tasks[[#This Row],[_LeafFcstStart]],Tasks[[#This Row],[_AlapShift]],WorkWeek,Holidays)))</f>
        <v/>
      </c>
      <c r="DJ165" s="115" t="str">
        <f aca="false">IF(NOT(Tasks[[#This Row],[_IsLeaf]]=1),"",IF(Tasks[[#This Row],[_AlapShift]]=0,Tasks[[#This Row],[_LeafFcstFinish]],WORKDAY.INTL(Tasks[[#This Row],[_LeafFcstFinish]],Tasks[[#This Row],[_AlapShift]],WorkWeek,Holidays)))</f>
        <v/>
      </c>
      <c r="DK165" s="115" t="str">
        <f aca="false">IF(Tasks[[#This Row],[Task Name]]="","",IF(Tasks[[#This Row],[_IsSummary]],MIN(INDEX(Tasks[_ShownCalcStart],Tasks[[#This Row],[_Row]]+1):INDEX(Tasks[_ShownCalcStart],Tasks[[#This Row],[_Row]]+Tasks[[#This Row],[_Descendants]])),Tasks[[#This Row],[_ShownCalcStart]]))</f>
        <v/>
      </c>
      <c r="DL165" s="115" t="str">
        <f aca="false">IF(Tasks[[#This Row],[Task Name]]="","",IF(Tasks[[#This Row],[_IsSummary]],MAX(INDEX(Tasks[_ShownCalcFinish],Tasks[[#This Row],[_Row]]+1):INDEX(Tasks[_ShownCalcFinish],Tasks[[#This Row],[_Row]]+Tasks[[#This Row],[_Descendants]])),Tasks[[#This Row],[_ShownCalcFinish]]))</f>
        <v/>
      </c>
      <c r="DM16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5" s="32" t="n">
        <f aca="false">IF(AND(Tasks[[#This Row],[_IsLeaf]]=1,Tasks[[#This Row],[_LeafTotalWork]]&gt;0),NETWORKDAYS.INTL(ProjectStart,Tasks[[#This Row],[_ShownFcstStart]],WorkWeek,Holidays),0)</f>
        <v>0</v>
      </c>
      <c r="DZ165" s="32" t="n">
        <f aca="false">IF(AND(Tasks[[#This Row],[_IsLeaf]]=1,Tasks[[#This Row],[_LeafTotalWork]]&gt;0),MAX(Tasks[[#This Row],[_StartWorkday]],NETWORKDAYS.INTL(ProjectStart,Tasks[[#This Row],[_ShownFcstFinish]],WorkWeek,Holidays)),0)</f>
        <v>0</v>
      </c>
      <c r="EA165" s="32" t="n">
        <f aca="false">IF(AND(Tasks[[#This Row],[_IsLeaf]]=1,Tasks[[#This Row],[_LeafTotalWork]]&gt;0),Tasks[[#This Row],[_LeafWork]]/(Tasks[[#This Row],[_FinishWorkday]]-Tasks[[#This Row],[_StartWorkday]]+1),0)</f>
        <v>0</v>
      </c>
      <c r="EB165" s="32" t="n">
        <f aca="false">Tasks[[#This Row],[_WorkPerWorkday]]*(Tasks[[#This Row],[_StartWorkday]]-1)</f>
        <v>-0</v>
      </c>
      <c r="EC165" s="32" t="n">
        <f aca="false">IF(Tasks[[#This Row],[_IsLeaf]]=1,MAX(N(Tasks[[#This Row],[Duration]]),0.1),0)</f>
        <v>0</v>
      </c>
      <c r="ED165" s="32" t="n">
        <f aca="false">Tasks[[#This Row],[_WeightDur]]*Tasks[[#This Row],[_LeafProgress]]</f>
        <v>0</v>
      </c>
      <c r="EE16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5" s="32" t="str">
        <f aca="false">IF(AND(Tasks[[#This Row],[_IsLeaf]]=1,N(Tasks[[#This Row],[Duration]])=0,Tasks[[#This Row],[_LeafProgress]]&lt;1),Tasks[[#This Row],[_ShownFcstFinish]]+Tasks[[#This Row],[_Row]]/100000,"")</f>
        <v/>
      </c>
      <c r="EG16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5" s="32" t="n">
        <f aca="false">IF(NOT(Tasks[[#This Row],[_IsLeaf]]=1),0,IF(Tasks[[#This Row],[Baseline Cost]]="",Tasks[[#This Row],[_LeafTotalCost]],N(Tasks[[#This Row],[Baseline Cost]])))</f>
        <v>0</v>
      </c>
      <c r="EI165" s="32" t="n">
        <f aca="false">Tasks[[#This Row],[_LeafBudget]]*Tasks[[#This Row],[_PlannedPct]]</f>
        <v>0</v>
      </c>
      <c r="EJ165" s="32" t="n">
        <f aca="false">Tasks[[#This Row],[_LeafBudget]]*Tasks[[#This Row],[_LeafProgress]]</f>
        <v>0</v>
      </c>
      <c r="EK165" s="32" t="n">
        <f aca="false">IF(NOT(Tasks[[#This Row],[_IsLeaf]]=1),0,IF(Tasks[[#This Row],[Actual Cost]]="",Tasks[[#This Row],[_LeafTotalCost]]*Tasks[[#This Row],[_LeafProgress]],N(Tasks[[#This Row],[Actual Cost]])))</f>
        <v>0</v>
      </c>
      <c r="EL165" s="32" t="str">
        <f aca="false">IF(Tasks[[#This Row],[Task Name]]="","",LEFT(Tasks[[#This Row],[WBS]],FIND(".",Tasks[[#This Row],[WBS]]&amp;".")-1))</f>
        <v/>
      </c>
      <c r="EM165" s="32" t="str">
        <f aca="false">IF(AND(Tasks[[#This Row],[Task Name]]&lt;&gt;"",Tasks[[#This Row],[_Level]]=1),Tasks[[#This Row],[_Row]],"")</f>
        <v/>
      </c>
      <c r="EN165" s="32" t="str">
        <f aca="false">IF(AND(Tasks[[#This Row],[_IsLeaf]]=1,N(Tasks[[#This Row],[Duration]])=0),Tasks[[#This Row],[Planned Finish]]+Tasks[[#This Row],[_Row]]/100000,"")</f>
        <v/>
      </c>
      <c r="EO165" s="32" t="str">
        <f aca="false">IF(AND(Tasks[[#This Row],[_IsLeaf]]=1,Tasks[[#This Row],[_LeafProgress]]&lt;1,OR(N(Tasks[[#This Row],[Finish Var]])&gt;0,Tasks[[#This Row],[Status]]="Late Start")),MAX(0,Tasks[[#This Row],[Finish Var]])+1-Tasks[[#This Row],[_Row]]/1000000,"")</f>
        <v/>
      </c>
      <c r="EP165" s="32" t="str">
        <f aca="false">IF(AND(Tasks[[#This Row],[_IsLeaf]]=1,N(Tasks[[#This Row],[Actual Start]])=0,Tasks[[#This Row],[_ShownFcstStart]]&gt;=StatusDate,Tasks[[#This Row],[_ShownFcstStart]]&lt;=LookaheadEnd),Tasks[[#This Row],[_ShownFcstStart]]+Tasks[[#This Row],[_Row]]/100000,"")</f>
        <v/>
      </c>
      <c r="EQ165" s="32" t="str">
        <f aca="false">IF(AND(Tasks[[#This Row],[_IsLeaf]]=1,Tasks[[#This Row],[_LeafProgress]]&lt;1,Tasks[[#This Row],[_ShownFcstFinish]]&gt;=StatusDate,Tasks[[#This Row],[_ShownFcstFinish]]&lt;=LookaheadEnd),Tasks[[#This Row],[_ShownFcstFinish]]+Tasks[[#This Row],[_Row]]/100000,"")</f>
        <v/>
      </c>
      <c r="ER165" s="32" t="str">
        <f aca="false">IF(Tasks[[#This Row],[_LeafCritical]],Tasks[[#This Row],[_ShownFcstStart]]+Tasks[[#This Row],[_Row]]/100000,"")</f>
        <v/>
      </c>
      <c r="ES165" s="32" t="n">
        <f aca="false">Tasks[[#This Row],[_LeafWork]]*Tasks[[#This Row],[_LeafProgress]]</f>
        <v>0</v>
      </c>
      <c r="ET165" s="115" t="str">
        <f aca="false">IF(AND(Tasks[[#This Row],[_IsLeaf]]=1,Tasks[[#This Row],[_LeafProgress]]&gt;=1),IF(N(Tasks[[#This Row],[Actual Finish]])&gt;0,Tasks[[#This Row],[Actual Finish]],Tasks[[#This Row],[_ShownFcstFinish]]),"")</f>
        <v/>
      </c>
      <c r="EU165" s="32" t="n">
        <f aca="false">IF(Tasks[[#This Row],[_IsLeaf]]=1,N(Tasks[[#This Row],[Story Points]]),0)</f>
        <v>0</v>
      </c>
      <c r="EV165" s="32" t="str">
        <f aca="false">IF(AND(Tasks[[#This Row],[_IsLeaf]]=1,CurrentSprint&lt;&gt;"",Tasks[[#This Row],[Sprint]]=CurrentSprint),Tasks[[#This Row],[_Row]],"")</f>
        <v/>
      </c>
    </row>
    <row r="166" customFormat="false" ht="15" hidden="false" customHeight="false" outlineLevel="0" collapsed="false">
      <c r="A166" s="45" t="str">
        <f aca="false">IF(Tasks[[#This Row],[Task Name]]="","",COUNTA(Tasks[[#Headers],[Task Name]]:Tasks[[#This Row],[Task Name]])-1)</f>
        <v/>
      </c>
      <c r="B166" s="46" t="n">
        <v>161</v>
      </c>
      <c r="C16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6" s="46"/>
      <c r="E166" s="45" t="str">
        <f aca="false">IF(Tasks[[#This Row],[Task Name]]="","",IF(Tasks[[#This Row],[_Level]]&lt;=OutlineShowLevel,"Yes","No"))</f>
        <v/>
      </c>
      <c r="F166" s="47"/>
      <c r="G166" s="46"/>
      <c r="H166" s="46"/>
      <c r="I166" s="46"/>
      <c r="J166" s="46"/>
      <c r="K166" s="46"/>
      <c r="L166" s="46"/>
      <c r="M166" s="46"/>
      <c r="N166" s="46"/>
      <c r="O166" s="46"/>
      <c r="P166" s="46"/>
      <c r="Q166" s="46"/>
      <c r="R166" s="46"/>
      <c r="S166" s="46"/>
      <c r="T166" s="46"/>
      <c r="U166" s="47"/>
      <c r="V166" s="88"/>
      <c r="W166" s="88"/>
      <c r="X166" s="25" t="str">
        <f aca="false">IF(Tasks[[#This Row],[Task Name]]="","",IF(N(Tasks[[#This Row],[Baseline Start]])&gt;0,Tasks[[#This Row],[Baseline Start]],Tasks[[#This Row],[_CalcStart]]))</f>
        <v/>
      </c>
      <c r="Y166" s="25" t="str">
        <f aca="false">IF(Tasks[[#This Row],[Task Name]]="","",IF(N(Tasks[[#This Row],[Baseline Finish]])&gt;0,Tasks[[#This Row],[Baseline Finish]],Tasks[[#This Row],[_CalcFinish]]))</f>
        <v/>
      </c>
      <c r="Z166" s="88"/>
      <c r="AA166" s="88"/>
      <c r="AB166" s="25" t="str">
        <f aca="false">IF(Tasks[[#This Row],[Task Name]]="","",IF(Tasks[[#This Row],[_IsSummary]],MIN(INDEX(Tasks[_ShownFcstStart],Tasks[[#This Row],[_Row]]+1):INDEX(Tasks[_ShownFcstStart],Tasks[[#This Row],[_Row]]+Tasks[[#This Row],[_Descendants]])),Tasks[[#This Row],[_ShownFcstStart]]))</f>
        <v/>
      </c>
      <c r="AC166" s="25" t="str">
        <f aca="false">IF(Tasks[[#This Row],[Task Name]]="","",IF(Tasks[[#This Row],[_IsSummary]],MAX(INDEX(Tasks[_ShownFcstFinish],Tasks[[#This Row],[_Row]]+1):INDEX(Tasks[_ShownFcstFinish],Tasks[[#This Row],[_Row]]+Tasks[[#This Row],[_Descendants]])),Tasks[[#This Row],[_ShownFcstFinish]]))</f>
        <v/>
      </c>
      <c r="AD16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6" s="25" t="str">
        <f aca="false">IF(Tasks[[#This Row],[Task Name]]="","",IF(Tasks[[#This Row],[_IsSummary]],MIN(INDEX(Tasks[_LeafLateStart],Tasks[[#This Row],[_Row]]+1):INDEX(Tasks[_LeafLateStart],Tasks[[#This Row],[_Row]]+Tasks[[#This Row],[_Descendants]])),Tasks[[#This Row],[_LeafLateStart]]))</f>
        <v/>
      </c>
      <c r="AG166" s="25" t="str">
        <f aca="false">IF(Tasks[[#This Row],[Task Name]]="","",IF(Tasks[[#This Row],[_IsSummary]],MAX(INDEX(Tasks[_LeafLateFinish],Tasks[[#This Row],[_Row]]+1):INDEX(Tasks[_LeafLateFinish],Tasks[[#This Row],[_Row]]+Tasks[[#This Row],[_Descendants]])),Tasks[[#This Row],[_LeafLateFinish]]))</f>
        <v/>
      </c>
      <c r="AH166" s="56" t="str">
        <f aca="false">IF(Tasks[[#This Row],[Task Name]]="","",IF(Tasks[[#This Row],[_IsSummary]],MIN(INDEX(Tasks[_LeafTotalSlack],Tasks[[#This Row],[_Row]]+1):INDEX(Tasks[_LeafTotalSlack],Tasks[[#This Row],[_Row]]+Tasks[[#This Row],[_Descendants]])),Tasks[[#This Row],[_LeafTotalSlack]]))</f>
        <v/>
      </c>
      <c r="AI16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6" s="45" t="str">
        <f aca="false">IF(Tasks[[#This Row],[Task Name]]="","",IF(IF(Tasks[[#This Row],[_IsSummary]],COUNTIF(INDEX(Tasks[_LeafCritical],Tasks[[#This Row],[_Row]]+1):INDEX(Tasks[_LeafCritical],Tasks[[#This Row],[_Row]]+Tasks[[#This Row],[_Descendants]]),TRUE())&gt;0,Tasks[[#This Row],[_LeafCritical]]),"Yes",""))</f>
        <v/>
      </c>
      <c r="AK16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6" s="102"/>
      <c r="AN16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6" s="45" t="str">
        <f aca="false">IF(Tasks[[#This Row],[Task Name]]="","",IF(Tasks[[#This Row],[Progress]]&gt;=1,"Complete",IF(OR(N(Tasks[[#This Row],[Actual Start]])&gt;0,Tasks[[#This Row],[Progress]]&gt;0),IF(Tasks[[#This Row],[Finish Var]]&gt;0,"Behind","In Progress"),IF(Tasks[[#This Row],[Planned Start]]&lt;StatusDate,"Late Start","Not Started"))))</f>
        <v/>
      </c>
      <c r="AP166" s="47"/>
      <c r="AQ166" s="102"/>
      <c r="AR16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6" s="110" t="str">
        <f aca="false">IF(Tasks[[#This Row],[Task Name]]="","",IF(Tasks[[#This Row],[_IsSummary]],SUM(INDEX(Tasks[_LeafTotalWork],Tasks[[#This Row],[_Row]]+1):INDEX(Tasks[_LeafTotalWork],Tasks[[#This Row],[_Row]]+Tasks[[#This Row],[_Descendants]])),Tasks[[#This Row],[_LeafTotalWork]]))</f>
        <v/>
      </c>
      <c r="AU166" s="111" t="str">
        <f aca="false">IF(Tasks[[#This Row],[Task Name]]="","",IF(Tasks[[#This Row],[_IsSummary]],SUM(INDEX(Tasks[_LeafTotalCost],Tasks[[#This Row],[_Row]]+1):INDEX(Tasks[_LeafTotalCost],Tasks[[#This Row],[_Row]]+Tasks[[#This Row],[_Descendants]])),Tasks[[#This Row],[_LeafTotalCost]]))</f>
        <v/>
      </c>
      <c r="AV166" s="112"/>
      <c r="AW166" s="46"/>
      <c r="AX16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6" s="96"/>
      <c r="AZ16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6" s="47"/>
      <c r="BB166" s="25" t="str">
        <f aca="false">IF(Tasks[[#This Row],[Task Name]]="","",Tasks[[#This Row],[Forecast Start]])</f>
        <v/>
      </c>
      <c r="BC166" s="25" t="str">
        <f aca="false">IF(Tasks[[#This Row],[Task Name]]="","",Tasks[[#This Row],[Forecast Finish]])</f>
        <v/>
      </c>
      <c r="BD166" s="45" t="str">
        <f aca="false">IF(Tasks[[#This Row],[Task Name]]="","",IF(Tasks[[#This Row],[_IsSummary]],NETWORKDAYS.INTL(Tasks[[#This Row],[Forecast Start]],Tasks[[#This Row],[Forecast Finish]],WorkWeek,Holidays),N(Tasks[[#This Row],[Duration]])))</f>
        <v/>
      </c>
      <c r="BE166" s="110" t="str">
        <f aca="false">IF(Tasks[[#This Row],[Task Name]]="","",Tasks[[#This Row],[Work]])</f>
        <v/>
      </c>
      <c r="BF166" s="111" t="str">
        <f aca="false">IF(Tasks[[#This Row],[Task Name]]="","",Tasks[[#This Row],[Cost]])</f>
        <v/>
      </c>
      <c r="BG166" s="88"/>
      <c r="BH166" s="88"/>
      <c r="BI166" s="46"/>
      <c r="BJ166" s="113"/>
      <c r="BK166" s="112"/>
      <c r="BL166" s="45" t="str">
        <f aca="false">IF(OR(Tasks[[#This Row],[Task Name]]="",Tasks[[#This Row],[Baseline Duration]]=""),"",Tasks[[#This Row],[BL Source Duration]]-N(Tasks[[#This Row],[Baseline Duration]]))</f>
        <v/>
      </c>
      <c r="BM166" s="110" t="str">
        <f aca="false">IF(OR(Tasks[[#This Row],[Task Name]]="",Tasks[[#This Row],[Baseline Work]]=""),"",Tasks[[#This Row],[Work]]-N(Tasks[[#This Row],[Baseline Work]]))</f>
        <v/>
      </c>
      <c r="BN166" s="111" t="str">
        <f aca="false">IF(OR(Tasks[[#This Row],[Task Name]]="",Tasks[[#This Row],[Baseline Cost]]=""),"",Tasks[[#This Row],[Cost]]-N(Tasks[[#This Row],[Baseline Cost]]))</f>
        <v/>
      </c>
      <c r="BO166" s="111" t="str">
        <f aca="false">IF(Tasks[[#This Row],[Task Name]]="","",IF(Tasks[[#This Row],[_IsSummary]],SUM(INDEX(Tasks[_LeafBudget],Tasks[[#This Row],[_Row]]+1):INDEX(Tasks[_LeafBudget],Tasks[[#This Row],[_Row]]+Tasks[[#This Row],[_Descendants]])),Tasks[[#This Row],[_LeafBudget]]))</f>
        <v/>
      </c>
      <c r="BP166" s="111" t="str">
        <f aca="false">IF(Tasks[[#This Row],[Task Name]]="","",IF(Tasks[[#This Row],[_IsSummary]],SUM(INDEX(Tasks[_LeafPV],Tasks[[#This Row],[_Row]]+1):INDEX(Tasks[_LeafPV],Tasks[[#This Row],[_Row]]+Tasks[[#This Row],[_Descendants]])),Tasks[[#This Row],[_LeafPV]]))</f>
        <v/>
      </c>
      <c r="BQ166" s="111" t="str">
        <f aca="false">IF(Tasks[[#This Row],[Task Name]]="","",IF(Tasks[[#This Row],[_IsSummary]],SUM(INDEX(Tasks[_LeafEV],Tasks[[#This Row],[_Row]]+1):INDEX(Tasks[_LeafEV],Tasks[[#This Row],[_Row]]+Tasks[[#This Row],[_Descendants]])),Tasks[[#This Row],[_LeafEV]]))</f>
        <v/>
      </c>
      <c r="BR166" s="111" t="str">
        <f aca="false">IF(Tasks[[#This Row],[Task Name]]="","",IF(Tasks[[#This Row],[_IsSummary]],SUM(INDEX(Tasks[_LeafAC],Tasks[[#This Row],[_Row]]+1):INDEX(Tasks[_LeafAC],Tasks[[#This Row],[_Row]]+Tasks[[#This Row],[_Descendants]])),Tasks[[#This Row],[_LeafAC]]))</f>
        <v/>
      </c>
      <c r="BS166" s="32" t="str">
        <f aca="false">IF(Tasks[[#This Row],[Task Name]]="","",MAX(1,N(Tasks[[#This Row],[Level]])))</f>
        <v/>
      </c>
      <c r="BT166" s="32" t="n">
        <f aca="false">ROW()-ROW(Tasks[[#Headers],[ID]])</f>
        <v>161</v>
      </c>
      <c r="BU166" s="32" t="n">
        <f aca="false">IF(OR(Tasks[[#This Row],[Task Name]]="",Tasks[[#This Row],[_Level]]&lt;=1),0,IFERROR(LOOKUP(2,1/(Tasks[[#Headers],[_Level]]:Tasks[[#This Row],[_Level]]=Tasks[[#This Row],[_Level]]-1),ROW(Tasks[[#Headers],[_Level]]:Tasks[[#This Row],[_Level]])),0))</f>
        <v>0</v>
      </c>
      <c r="BV166" s="32" t="n">
        <f aca="false">IFERROR(N(INDEX(Tasks[_Level],Tasks[[#This Row],[_Row]]+1)),0)</f>
        <v>0</v>
      </c>
      <c r="BW166" s="114" t="b">
        <f aca="false">AND(Tasks[[#This Row],[Task Name]]&lt;&gt;"",Tasks[[#This Row],[_NextLevel]]&gt;Tasks[[#This Row],[_Level]])</f>
        <v>0</v>
      </c>
      <c r="BX166" s="32" t="n">
        <f aca="false">IF(Tasks[[#This Row],[_IsSummary]],COUNTIF(Tasks[WBS],Tasks[[#This Row],[WBS]]&amp;".*"),0)</f>
        <v>0</v>
      </c>
      <c r="BY166" s="32" t="n">
        <f aca="false">IF(AND(Tasks[[#This Row],[Task Name]]&lt;&gt;"",NOT(Tasks[[#This Row],[_IsSummary]])),1,0)</f>
        <v>0</v>
      </c>
      <c r="BZ166" s="32" t="n">
        <f aca="false">IF(N(Tasks[[#This Row],[Pred1 UID]])=0,0,IFERROR(MATCH(Tasks[[#This Row],[Pred1 UID]],Tasks[UID],0),-1))</f>
        <v>0</v>
      </c>
      <c r="CA166" s="32" t="n">
        <f aca="false">IF(N(Tasks[[#This Row],[Pred2 UID]])=0,0,IFERROR(MATCH(Tasks[[#This Row],[Pred2 UID]],Tasks[UID],0),-1))</f>
        <v>0</v>
      </c>
      <c r="CB166" s="32" t="n">
        <f aca="false">IF(N(Tasks[[#This Row],[Pred3 UID]])=0,0,IFERROR(MATCH(Tasks[[#This Row],[Pred3 UID]],Tasks[UID],0),-1))</f>
        <v>0</v>
      </c>
      <c r="CC166" s="32" t="n">
        <f aca="false">IF(N(Tasks[[#This Row],[Pred4 UID]])=0,0,IFERROR(MATCH(Tasks[[#This Row],[Pred4 UID]],Tasks[UID],0),-1))</f>
        <v>0</v>
      </c>
      <c r="CD16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6" s="115" t="n">
        <f aca="false">IF(OR(Tasks[[#This Row],[_ConstraintCode]]=2,Tasks[[#This Row],[_ConstraintCode]]=3,Tasks[[#This Row],[_ConstraintCode]]=4,Tasks[[#This Row],[_ConstraintCode]]=6),Tasks[[#This Row],[_ConstraintStart]],0)</f>
        <v>0</v>
      </c>
      <c r="CG166" s="115" t="n">
        <f aca="false">IF(OR(Tasks[[#This Row],[_ConstraintCode]]=2,Tasks[[#This Row],[_ConstraintCode]]=3,Tasks[[#This Row],[_ConstraintCode]]=5,Tasks[[#This Row],[_ConstraintCode]]=7),Tasks[[#This Row],[_ConstraintStart]],2958465)</f>
        <v>2958465</v>
      </c>
      <c r="CH16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6" s="115" t="str">
        <f aca="false">IF(NOT(Tasks[[#This Row],[_IsLeaf]]=1),"",IF(N(Tasks[[#This Row],[Duration]])&lt;=0,Tasks[[#This Row],[_LeafCalcStart]],WORKDAY.INTL(Tasks[[#This Row],[_LeafCalcStart]],Tasks[[#This Row],[Duration]]-1,WorkWeek,Holidays)))</f>
        <v/>
      </c>
      <c r="CJ16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6" s="32" t="n">
        <f aca="false">IF(NOT(Tasks[[#This Row],[_IsLeaf]]=1),0,IF(N(Tasks[[#This Row],[Actual Finish]])&gt;0,1,MIN(1,N(Tasks[[#This Row],[% Complete]]))))</f>
        <v>0</v>
      </c>
      <c r="CM166" s="32" t="n">
        <f aca="false">IF(OR(NOT(Tasks[[#This Row],[_IsLeaf]]=1),Tasks[[#This Row],[Resource]]=""),0,N(Tasks[[#This Row],[Duration]])*HoursPerDay*IF(Tasks[[#This Row],[Units]]="",DefaultUnits,Tasks[[#This Row],[Units]]))</f>
        <v>0</v>
      </c>
      <c r="CN166" s="32" t="n">
        <f aca="false">IF(Tasks[[#This Row],[_LeafWork]]=0,0,Tasks[[#This Row],[_LeafWork]]*IFERROR(INDEX(res_Rate,MATCH(Tasks[[#This Row],[Resource]],res_Name,0)),0))</f>
        <v>0</v>
      </c>
      <c r="CO166" s="32" t="n">
        <f aca="false">Tasks[[#This Row],[_LeafWork]]+IF(Tasks[[#This Row],[_IsLeaf]]=1,SUMIFS(asg_Work,asg_TaskUID,Tasks[[#This Row],[UID]],asg_Valid,1),0)</f>
        <v>0</v>
      </c>
      <c r="CP166" s="32" t="n">
        <f aca="false">Tasks[[#This Row],[_LeafCost]]+IF(Tasks[[#This Row],[_IsLeaf]]=1,SUMIFS(asg_Cost,asg_TaskUID,Tasks[[#This Row],[UID]],asg_Valid,1),0)</f>
        <v>0</v>
      </c>
      <c r="CQ166" s="32" t="n">
        <f aca="false">IF(Tasks[[#This Row],[_LeafTotalCost]]=0,Tasks[[#This Row],[_LeafAC]],Tasks[[#This Row],[_LeafAC]]*Tasks[[#This Row],[_LeafCost]]/Tasks[[#This Row],[_LeafTotalCost]])</f>
        <v>0</v>
      </c>
      <c r="CR16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6" s="32" t="n">
        <f aca="false">IF(NOT(Tasks[[#This Row],[_IsLeaf]]=1),0,MAX(_xlfn.MAXIFS(Tasks[_Row],Tasks[Pred1 UID],Tasks[[#This Row],[UID]]),_xlfn.MAXIFS(Tasks[_Row],Tasks[Pred2 UID],Tasks[[#This Row],[UID]]),_xlfn.MAXIFS(Tasks[_Row],Tasks[Pred3 UID],Tasks[[#This Row],[UID]]),_xlfn.MAXIFS(Tasks[_Row],Tasks[Pred4 UID],Tasks[[#This Row],[UID]])))</f>
        <v>0</v>
      </c>
      <c r="DA16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6" s="115" t="str">
        <f aca="false">IF(NOT(Tasks[[#This Row],[_IsLeaf]]=1),"",IF(N(Tasks[[#This Row],[Duration]])&lt;=0,Tasks[[#This Row],[_LeafLateFinish]],WORKDAY.INTL(Tasks[[#This Row],[_LeafLateFinish]],-(Tasks[[#This Row],[Duration]]-1),WorkWeek,Holidays)))</f>
        <v/>
      </c>
      <c r="DD16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6" s="114" t="b">
        <f aca="false">AND(Tasks[[#This Row],[_IsLeaf]]=1,Tasks[[#This Row],[_LeafProgress]]&lt;1,N(Tasks[[#This Row],[_LeafTotalSlack]])&lt;=CriticalSlackDays)</f>
        <v>0</v>
      </c>
      <c r="DF166" s="32" t="n">
        <f aca="false">IF(AND(Tasks[[#This Row],[_IsLeaf]]=1,Tasks[[#This Row],[_ConstraintCode]]=1,Tasks[[#This Row],[Mode]]&lt;&gt;"Manual",N(Tasks[[#This Row],[Actual Start]])=0),MAX(0,N(Tasks[[#This Row],[Free Slack]])),0)</f>
        <v>0</v>
      </c>
      <c r="DG166" s="115" t="str">
        <f aca="false">IF(NOT(Tasks[[#This Row],[_IsLeaf]]=1),"",IF(Tasks[[#This Row],[_AlapShift]]=0,Tasks[[#This Row],[_LeafCalcStart]],WORKDAY.INTL(Tasks[[#This Row],[_LeafCalcStart]],Tasks[[#This Row],[_AlapShift]],WorkWeek,Holidays)))</f>
        <v/>
      </c>
      <c r="DH166" s="115" t="str">
        <f aca="false">IF(NOT(Tasks[[#This Row],[_IsLeaf]]=1),"",IF(Tasks[[#This Row],[_AlapShift]]=0,Tasks[[#This Row],[_LeafCalcFinish]],WORKDAY.INTL(Tasks[[#This Row],[_LeafCalcFinish]],Tasks[[#This Row],[_AlapShift]],WorkWeek,Holidays)))</f>
        <v/>
      </c>
      <c r="DI166" s="115" t="str">
        <f aca="false">IF(NOT(Tasks[[#This Row],[_IsLeaf]]=1),"",IF(Tasks[[#This Row],[_AlapShift]]=0,Tasks[[#This Row],[_LeafFcstStart]],WORKDAY.INTL(Tasks[[#This Row],[_LeafFcstStart]],Tasks[[#This Row],[_AlapShift]],WorkWeek,Holidays)))</f>
        <v/>
      </c>
      <c r="DJ166" s="115" t="str">
        <f aca="false">IF(NOT(Tasks[[#This Row],[_IsLeaf]]=1),"",IF(Tasks[[#This Row],[_AlapShift]]=0,Tasks[[#This Row],[_LeafFcstFinish]],WORKDAY.INTL(Tasks[[#This Row],[_LeafFcstFinish]],Tasks[[#This Row],[_AlapShift]],WorkWeek,Holidays)))</f>
        <v/>
      </c>
      <c r="DK166" s="115" t="str">
        <f aca="false">IF(Tasks[[#This Row],[Task Name]]="","",IF(Tasks[[#This Row],[_IsSummary]],MIN(INDEX(Tasks[_ShownCalcStart],Tasks[[#This Row],[_Row]]+1):INDEX(Tasks[_ShownCalcStart],Tasks[[#This Row],[_Row]]+Tasks[[#This Row],[_Descendants]])),Tasks[[#This Row],[_ShownCalcStart]]))</f>
        <v/>
      </c>
      <c r="DL166" s="115" t="str">
        <f aca="false">IF(Tasks[[#This Row],[Task Name]]="","",IF(Tasks[[#This Row],[_IsSummary]],MAX(INDEX(Tasks[_ShownCalcFinish],Tasks[[#This Row],[_Row]]+1):INDEX(Tasks[_ShownCalcFinish],Tasks[[#This Row],[_Row]]+Tasks[[#This Row],[_Descendants]])),Tasks[[#This Row],[_ShownCalcFinish]]))</f>
        <v/>
      </c>
      <c r="DM16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6" s="32" t="n">
        <f aca="false">IF(AND(Tasks[[#This Row],[_IsLeaf]]=1,Tasks[[#This Row],[_LeafTotalWork]]&gt;0),NETWORKDAYS.INTL(ProjectStart,Tasks[[#This Row],[_ShownFcstStart]],WorkWeek,Holidays),0)</f>
        <v>0</v>
      </c>
      <c r="DZ166" s="32" t="n">
        <f aca="false">IF(AND(Tasks[[#This Row],[_IsLeaf]]=1,Tasks[[#This Row],[_LeafTotalWork]]&gt;0),MAX(Tasks[[#This Row],[_StartWorkday]],NETWORKDAYS.INTL(ProjectStart,Tasks[[#This Row],[_ShownFcstFinish]],WorkWeek,Holidays)),0)</f>
        <v>0</v>
      </c>
      <c r="EA166" s="32" t="n">
        <f aca="false">IF(AND(Tasks[[#This Row],[_IsLeaf]]=1,Tasks[[#This Row],[_LeafTotalWork]]&gt;0),Tasks[[#This Row],[_LeafWork]]/(Tasks[[#This Row],[_FinishWorkday]]-Tasks[[#This Row],[_StartWorkday]]+1),0)</f>
        <v>0</v>
      </c>
      <c r="EB166" s="32" t="n">
        <f aca="false">Tasks[[#This Row],[_WorkPerWorkday]]*(Tasks[[#This Row],[_StartWorkday]]-1)</f>
        <v>-0</v>
      </c>
      <c r="EC166" s="32" t="n">
        <f aca="false">IF(Tasks[[#This Row],[_IsLeaf]]=1,MAX(N(Tasks[[#This Row],[Duration]]),0.1),0)</f>
        <v>0</v>
      </c>
      <c r="ED166" s="32" t="n">
        <f aca="false">Tasks[[#This Row],[_WeightDur]]*Tasks[[#This Row],[_LeafProgress]]</f>
        <v>0</v>
      </c>
      <c r="EE16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6" s="32" t="str">
        <f aca="false">IF(AND(Tasks[[#This Row],[_IsLeaf]]=1,N(Tasks[[#This Row],[Duration]])=0,Tasks[[#This Row],[_LeafProgress]]&lt;1),Tasks[[#This Row],[_ShownFcstFinish]]+Tasks[[#This Row],[_Row]]/100000,"")</f>
        <v/>
      </c>
      <c r="EG16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6" s="32" t="n">
        <f aca="false">IF(NOT(Tasks[[#This Row],[_IsLeaf]]=1),0,IF(Tasks[[#This Row],[Baseline Cost]]="",Tasks[[#This Row],[_LeafTotalCost]],N(Tasks[[#This Row],[Baseline Cost]])))</f>
        <v>0</v>
      </c>
      <c r="EI166" s="32" t="n">
        <f aca="false">Tasks[[#This Row],[_LeafBudget]]*Tasks[[#This Row],[_PlannedPct]]</f>
        <v>0</v>
      </c>
      <c r="EJ166" s="32" t="n">
        <f aca="false">Tasks[[#This Row],[_LeafBudget]]*Tasks[[#This Row],[_LeafProgress]]</f>
        <v>0</v>
      </c>
      <c r="EK166" s="32" t="n">
        <f aca="false">IF(NOT(Tasks[[#This Row],[_IsLeaf]]=1),0,IF(Tasks[[#This Row],[Actual Cost]]="",Tasks[[#This Row],[_LeafTotalCost]]*Tasks[[#This Row],[_LeafProgress]],N(Tasks[[#This Row],[Actual Cost]])))</f>
        <v>0</v>
      </c>
      <c r="EL166" s="32" t="str">
        <f aca="false">IF(Tasks[[#This Row],[Task Name]]="","",LEFT(Tasks[[#This Row],[WBS]],FIND(".",Tasks[[#This Row],[WBS]]&amp;".")-1))</f>
        <v/>
      </c>
      <c r="EM166" s="32" t="str">
        <f aca="false">IF(AND(Tasks[[#This Row],[Task Name]]&lt;&gt;"",Tasks[[#This Row],[_Level]]=1),Tasks[[#This Row],[_Row]],"")</f>
        <v/>
      </c>
      <c r="EN166" s="32" t="str">
        <f aca="false">IF(AND(Tasks[[#This Row],[_IsLeaf]]=1,N(Tasks[[#This Row],[Duration]])=0),Tasks[[#This Row],[Planned Finish]]+Tasks[[#This Row],[_Row]]/100000,"")</f>
        <v/>
      </c>
      <c r="EO166" s="32" t="str">
        <f aca="false">IF(AND(Tasks[[#This Row],[_IsLeaf]]=1,Tasks[[#This Row],[_LeafProgress]]&lt;1,OR(N(Tasks[[#This Row],[Finish Var]])&gt;0,Tasks[[#This Row],[Status]]="Late Start")),MAX(0,Tasks[[#This Row],[Finish Var]])+1-Tasks[[#This Row],[_Row]]/1000000,"")</f>
        <v/>
      </c>
      <c r="EP166" s="32" t="str">
        <f aca="false">IF(AND(Tasks[[#This Row],[_IsLeaf]]=1,N(Tasks[[#This Row],[Actual Start]])=0,Tasks[[#This Row],[_ShownFcstStart]]&gt;=StatusDate,Tasks[[#This Row],[_ShownFcstStart]]&lt;=LookaheadEnd),Tasks[[#This Row],[_ShownFcstStart]]+Tasks[[#This Row],[_Row]]/100000,"")</f>
        <v/>
      </c>
      <c r="EQ166" s="32" t="str">
        <f aca="false">IF(AND(Tasks[[#This Row],[_IsLeaf]]=1,Tasks[[#This Row],[_LeafProgress]]&lt;1,Tasks[[#This Row],[_ShownFcstFinish]]&gt;=StatusDate,Tasks[[#This Row],[_ShownFcstFinish]]&lt;=LookaheadEnd),Tasks[[#This Row],[_ShownFcstFinish]]+Tasks[[#This Row],[_Row]]/100000,"")</f>
        <v/>
      </c>
      <c r="ER166" s="32" t="str">
        <f aca="false">IF(Tasks[[#This Row],[_LeafCritical]],Tasks[[#This Row],[_ShownFcstStart]]+Tasks[[#This Row],[_Row]]/100000,"")</f>
        <v/>
      </c>
      <c r="ES166" s="32" t="n">
        <f aca="false">Tasks[[#This Row],[_LeafWork]]*Tasks[[#This Row],[_LeafProgress]]</f>
        <v>0</v>
      </c>
      <c r="ET166" s="115" t="str">
        <f aca="false">IF(AND(Tasks[[#This Row],[_IsLeaf]]=1,Tasks[[#This Row],[_LeafProgress]]&gt;=1),IF(N(Tasks[[#This Row],[Actual Finish]])&gt;0,Tasks[[#This Row],[Actual Finish]],Tasks[[#This Row],[_ShownFcstFinish]]),"")</f>
        <v/>
      </c>
      <c r="EU166" s="32" t="n">
        <f aca="false">IF(Tasks[[#This Row],[_IsLeaf]]=1,N(Tasks[[#This Row],[Story Points]]),0)</f>
        <v>0</v>
      </c>
      <c r="EV166" s="32" t="str">
        <f aca="false">IF(AND(Tasks[[#This Row],[_IsLeaf]]=1,CurrentSprint&lt;&gt;"",Tasks[[#This Row],[Sprint]]=CurrentSprint),Tasks[[#This Row],[_Row]],"")</f>
        <v/>
      </c>
    </row>
    <row r="167" customFormat="false" ht="15" hidden="false" customHeight="false" outlineLevel="0" collapsed="false">
      <c r="A167" s="45" t="str">
        <f aca="false">IF(Tasks[[#This Row],[Task Name]]="","",COUNTA(Tasks[[#Headers],[Task Name]]:Tasks[[#This Row],[Task Name]])-1)</f>
        <v/>
      </c>
      <c r="B167" s="46" t="n">
        <v>162</v>
      </c>
      <c r="C16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7" s="46"/>
      <c r="E167" s="45" t="str">
        <f aca="false">IF(Tasks[[#This Row],[Task Name]]="","",IF(Tasks[[#This Row],[_Level]]&lt;=OutlineShowLevel,"Yes","No"))</f>
        <v/>
      </c>
      <c r="F167" s="47"/>
      <c r="G167" s="46"/>
      <c r="H167" s="46"/>
      <c r="I167" s="46"/>
      <c r="J167" s="46"/>
      <c r="K167" s="46"/>
      <c r="L167" s="46"/>
      <c r="M167" s="46"/>
      <c r="N167" s="46"/>
      <c r="O167" s="46"/>
      <c r="P167" s="46"/>
      <c r="Q167" s="46"/>
      <c r="R167" s="46"/>
      <c r="S167" s="46"/>
      <c r="T167" s="46"/>
      <c r="U167" s="47"/>
      <c r="V167" s="88"/>
      <c r="W167" s="88"/>
      <c r="X167" s="25" t="str">
        <f aca="false">IF(Tasks[[#This Row],[Task Name]]="","",IF(N(Tasks[[#This Row],[Baseline Start]])&gt;0,Tasks[[#This Row],[Baseline Start]],Tasks[[#This Row],[_CalcStart]]))</f>
        <v/>
      </c>
      <c r="Y167" s="25" t="str">
        <f aca="false">IF(Tasks[[#This Row],[Task Name]]="","",IF(N(Tasks[[#This Row],[Baseline Finish]])&gt;0,Tasks[[#This Row],[Baseline Finish]],Tasks[[#This Row],[_CalcFinish]]))</f>
        <v/>
      </c>
      <c r="Z167" s="88"/>
      <c r="AA167" s="88"/>
      <c r="AB167" s="25" t="str">
        <f aca="false">IF(Tasks[[#This Row],[Task Name]]="","",IF(Tasks[[#This Row],[_IsSummary]],MIN(INDEX(Tasks[_ShownFcstStart],Tasks[[#This Row],[_Row]]+1):INDEX(Tasks[_ShownFcstStart],Tasks[[#This Row],[_Row]]+Tasks[[#This Row],[_Descendants]])),Tasks[[#This Row],[_ShownFcstStart]]))</f>
        <v/>
      </c>
      <c r="AC167" s="25" t="str">
        <f aca="false">IF(Tasks[[#This Row],[Task Name]]="","",IF(Tasks[[#This Row],[_IsSummary]],MAX(INDEX(Tasks[_ShownFcstFinish],Tasks[[#This Row],[_Row]]+1):INDEX(Tasks[_ShownFcstFinish],Tasks[[#This Row],[_Row]]+Tasks[[#This Row],[_Descendants]])),Tasks[[#This Row],[_ShownFcstFinish]]))</f>
        <v/>
      </c>
      <c r="AD16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7" s="25" t="str">
        <f aca="false">IF(Tasks[[#This Row],[Task Name]]="","",IF(Tasks[[#This Row],[_IsSummary]],MIN(INDEX(Tasks[_LeafLateStart],Tasks[[#This Row],[_Row]]+1):INDEX(Tasks[_LeafLateStart],Tasks[[#This Row],[_Row]]+Tasks[[#This Row],[_Descendants]])),Tasks[[#This Row],[_LeafLateStart]]))</f>
        <v/>
      </c>
      <c r="AG167" s="25" t="str">
        <f aca="false">IF(Tasks[[#This Row],[Task Name]]="","",IF(Tasks[[#This Row],[_IsSummary]],MAX(INDEX(Tasks[_LeafLateFinish],Tasks[[#This Row],[_Row]]+1):INDEX(Tasks[_LeafLateFinish],Tasks[[#This Row],[_Row]]+Tasks[[#This Row],[_Descendants]])),Tasks[[#This Row],[_LeafLateFinish]]))</f>
        <v/>
      </c>
      <c r="AH167" s="56" t="str">
        <f aca="false">IF(Tasks[[#This Row],[Task Name]]="","",IF(Tasks[[#This Row],[_IsSummary]],MIN(INDEX(Tasks[_LeafTotalSlack],Tasks[[#This Row],[_Row]]+1):INDEX(Tasks[_LeafTotalSlack],Tasks[[#This Row],[_Row]]+Tasks[[#This Row],[_Descendants]])),Tasks[[#This Row],[_LeafTotalSlack]]))</f>
        <v/>
      </c>
      <c r="AI16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7" s="45" t="str">
        <f aca="false">IF(Tasks[[#This Row],[Task Name]]="","",IF(IF(Tasks[[#This Row],[_IsSummary]],COUNTIF(INDEX(Tasks[_LeafCritical],Tasks[[#This Row],[_Row]]+1):INDEX(Tasks[_LeafCritical],Tasks[[#This Row],[_Row]]+Tasks[[#This Row],[_Descendants]]),TRUE())&gt;0,Tasks[[#This Row],[_LeafCritical]]),"Yes",""))</f>
        <v/>
      </c>
      <c r="AK16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7" s="102"/>
      <c r="AN16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7" s="45" t="str">
        <f aca="false">IF(Tasks[[#This Row],[Task Name]]="","",IF(Tasks[[#This Row],[Progress]]&gt;=1,"Complete",IF(OR(N(Tasks[[#This Row],[Actual Start]])&gt;0,Tasks[[#This Row],[Progress]]&gt;0),IF(Tasks[[#This Row],[Finish Var]]&gt;0,"Behind","In Progress"),IF(Tasks[[#This Row],[Planned Start]]&lt;StatusDate,"Late Start","Not Started"))))</f>
        <v/>
      </c>
      <c r="AP167" s="47"/>
      <c r="AQ167" s="102"/>
      <c r="AR16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7" s="110" t="str">
        <f aca="false">IF(Tasks[[#This Row],[Task Name]]="","",IF(Tasks[[#This Row],[_IsSummary]],SUM(INDEX(Tasks[_LeafTotalWork],Tasks[[#This Row],[_Row]]+1):INDEX(Tasks[_LeafTotalWork],Tasks[[#This Row],[_Row]]+Tasks[[#This Row],[_Descendants]])),Tasks[[#This Row],[_LeafTotalWork]]))</f>
        <v/>
      </c>
      <c r="AU167" s="111" t="str">
        <f aca="false">IF(Tasks[[#This Row],[Task Name]]="","",IF(Tasks[[#This Row],[_IsSummary]],SUM(INDEX(Tasks[_LeafTotalCost],Tasks[[#This Row],[_Row]]+1):INDEX(Tasks[_LeafTotalCost],Tasks[[#This Row],[_Row]]+Tasks[[#This Row],[_Descendants]])),Tasks[[#This Row],[_LeafTotalCost]]))</f>
        <v/>
      </c>
      <c r="AV167" s="112"/>
      <c r="AW167" s="46"/>
      <c r="AX16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7" s="96"/>
      <c r="AZ16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7" s="47"/>
      <c r="BB167" s="25" t="str">
        <f aca="false">IF(Tasks[[#This Row],[Task Name]]="","",Tasks[[#This Row],[Forecast Start]])</f>
        <v/>
      </c>
      <c r="BC167" s="25" t="str">
        <f aca="false">IF(Tasks[[#This Row],[Task Name]]="","",Tasks[[#This Row],[Forecast Finish]])</f>
        <v/>
      </c>
      <c r="BD167" s="45" t="str">
        <f aca="false">IF(Tasks[[#This Row],[Task Name]]="","",IF(Tasks[[#This Row],[_IsSummary]],NETWORKDAYS.INTL(Tasks[[#This Row],[Forecast Start]],Tasks[[#This Row],[Forecast Finish]],WorkWeek,Holidays),N(Tasks[[#This Row],[Duration]])))</f>
        <v/>
      </c>
      <c r="BE167" s="110" t="str">
        <f aca="false">IF(Tasks[[#This Row],[Task Name]]="","",Tasks[[#This Row],[Work]])</f>
        <v/>
      </c>
      <c r="BF167" s="111" t="str">
        <f aca="false">IF(Tasks[[#This Row],[Task Name]]="","",Tasks[[#This Row],[Cost]])</f>
        <v/>
      </c>
      <c r="BG167" s="88"/>
      <c r="BH167" s="88"/>
      <c r="BI167" s="46"/>
      <c r="BJ167" s="113"/>
      <c r="BK167" s="112"/>
      <c r="BL167" s="45" t="str">
        <f aca="false">IF(OR(Tasks[[#This Row],[Task Name]]="",Tasks[[#This Row],[Baseline Duration]]=""),"",Tasks[[#This Row],[BL Source Duration]]-N(Tasks[[#This Row],[Baseline Duration]]))</f>
        <v/>
      </c>
      <c r="BM167" s="110" t="str">
        <f aca="false">IF(OR(Tasks[[#This Row],[Task Name]]="",Tasks[[#This Row],[Baseline Work]]=""),"",Tasks[[#This Row],[Work]]-N(Tasks[[#This Row],[Baseline Work]]))</f>
        <v/>
      </c>
      <c r="BN167" s="111" t="str">
        <f aca="false">IF(OR(Tasks[[#This Row],[Task Name]]="",Tasks[[#This Row],[Baseline Cost]]=""),"",Tasks[[#This Row],[Cost]]-N(Tasks[[#This Row],[Baseline Cost]]))</f>
        <v/>
      </c>
      <c r="BO167" s="111" t="str">
        <f aca="false">IF(Tasks[[#This Row],[Task Name]]="","",IF(Tasks[[#This Row],[_IsSummary]],SUM(INDEX(Tasks[_LeafBudget],Tasks[[#This Row],[_Row]]+1):INDEX(Tasks[_LeafBudget],Tasks[[#This Row],[_Row]]+Tasks[[#This Row],[_Descendants]])),Tasks[[#This Row],[_LeafBudget]]))</f>
        <v/>
      </c>
      <c r="BP167" s="111" t="str">
        <f aca="false">IF(Tasks[[#This Row],[Task Name]]="","",IF(Tasks[[#This Row],[_IsSummary]],SUM(INDEX(Tasks[_LeafPV],Tasks[[#This Row],[_Row]]+1):INDEX(Tasks[_LeafPV],Tasks[[#This Row],[_Row]]+Tasks[[#This Row],[_Descendants]])),Tasks[[#This Row],[_LeafPV]]))</f>
        <v/>
      </c>
      <c r="BQ167" s="111" t="str">
        <f aca="false">IF(Tasks[[#This Row],[Task Name]]="","",IF(Tasks[[#This Row],[_IsSummary]],SUM(INDEX(Tasks[_LeafEV],Tasks[[#This Row],[_Row]]+1):INDEX(Tasks[_LeafEV],Tasks[[#This Row],[_Row]]+Tasks[[#This Row],[_Descendants]])),Tasks[[#This Row],[_LeafEV]]))</f>
        <v/>
      </c>
      <c r="BR167" s="111" t="str">
        <f aca="false">IF(Tasks[[#This Row],[Task Name]]="","",IF(Tasks[[#This Row],[_IsSummary]],SUM(INDEX(Tasks[_LeafAC],Tasks[[#This Row],[_Row]]+1):INDEX(Tasks[_LeafAC],Tasks[[#This Row],[_Row]]+Tasks[[#This Row],[_Descendants]])),Tasks[[#This Row],[_LeafAC]]))</f>
        <v/>
      </c>
      <c r="BS167" s="32" t="str">
        <f aca="false">IF(Tasks[[#This Row],[Task Name]]="","",MAX(1,N(Tasks[[#This Row],[Level]])))</f>
        <v/>
      </c>
      <c r="BT167" s="32" t="n">
        <f aca="false">ROW()-ROW(Tasks[[#Headers],[ID]])</f>
        <v>162</v>
      </c>
      <c r="BU167" s="32" t="n">
        <f aca="false">IF(OR(Tasks[[#This Row],[Task Name]]="",Tasks[[#This Row],[_Level]]&lt;=1),0,IFERROR(LOOKUP(2,1/(Tasks[[#Headers],[_Level]]:Tasks[[#This Row],[_Level]]=Tasks[[#This Row],[_Level]]-1),ROW(Tasks[[#Headers],[_Level]]:Tasks[[#This Row],[_Level]])),0))</f>
        <v>0</v>
      </c>
      <c r="BV167" s="32" t="n">
        <f aca="false">IFERROR(N(INDEX(Tasks[_Level],Tasks[[#This Row],[_Row]]+1)),0)</f>
        <v>0</v>
      </c>
      <c r="BW167" s="114" t="b">
        <f aca="false">AND(Tasks[[#This Row],[Task Name]]&lt;&gt;"",Tasks[[#This Row],[_NextLevel]]&gt;Tasks[[#This Row],[_Level]])</f>
        <v>0</v>
      </c>
      <c r="BX167" s="32" t="n">
        <f aca="false">IF(Tasks[[#This Row],[_IsSummary]],COUNTIF(Tasks[WBS],Tasks[[#This Row],[WBS]]&amp;".*"),0)</f>
        <v>0</v>
      </c>
      <c r="BY167" s="32" t="n">
        <f aca="false">IF(AND(Tasks[[#This Row],[Task Name]]&lt;&gt;"",NOT(Tasks[[#This Row],[_IsSummary]])),1,0)</f>
        <v>0</v>
      </c>
      <c r="BZ167" s="32" t="n">
        <f aca="false">IF(N(Tasks[[#This Row],[Pred1 UID]])=0,0,IFERROR(MATCH(Tasks[[#This Row],[Pred1 UID]],Tasks[UID],0),-1))</f>
        <v>0</v>
      </c>
      <c r="CA167" s="32" t="n">
        <f aca="false">IF(N(Tasks[[#This Row],[Pred2 UID]])=0,0,IFERROR(MATCH(Tasks[[#This Row],[Pred2 UID]],Tasks[UID],0),-1))</f>
        <v>0</v>
      </c>
      <c r="CB167" s="32" t="n">
        <f aca="false">IF(N(Tasks[[#This Row],[Pred3 UID]])=0,0,IFERROR(MATCH(Tasks[[#This Row],[Pred3 UID]],Tasks[UID],0),-1))</f>
        <v>0</v>
      </c>
      <c r="CC167" s="32" t="n">
        <f aca="false">IF(N(Tasks[[#This Row],[Pred4 UID]])=0,0,IFERROR(MATCH(Tasks[[#This Row],[Pred4 UID]],Tasks[UID],0),-1))</f>
        <v>0</v>
      </c>
      <c r="CD16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7" s="115" t="n">
        <f aca="false">IF(OR(Tasks[[#This Row],[_ConstraintCode]]=2,Tasks[[#This Row],[_ConstraintCode]]=3,Tasks[[#This Row],[_ConstraintCode]]=4,Tasks[[#This Row],[_ConstraintCode]]=6),Tasks[[#This Row],[_ConstraintStart]],0)</f>
        <v>0</v>
      </c>
      <c r="CG167" s="115" t="n">
        <f aca="false">IF(OR(Tasks[[#This Row],[_ConstraintCode]]=2,Tasks[[#This Row],[_ConstraintCode]]=3,Tasks[[#This Row],[_ConstraintCode]]=5,Tasks[[#This Row],[_ConstraintCode]]=7),Tasks[[#This Row],[_ConstraintStart]],2958465)</f>
        <v>2958465</v>
      </c>
      <c r="CH16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7" s="115" t="str">
        <f aca="false">IF(NOT(Tasks[[#This Row],[_IsLeaf]]=1),"",IF(N(Tasks[[#This Row],[Duration]])&lt;=0,Tasks[[#This Row],[_LeafCalcStart]],WORKDAY.INTL(Tasks[[#This Row],[_LeafCalcStart]],Tasks[[#This Row],[Duration]]-1,WorkWeek,Holidays)))</f>
        <v/>
      </c>
      <c r="CJ16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7" s="32" t="n">
        <f aca="false">IF(NOT(Tasks[[#This Row],[_IsLeaf]]=1),0,IF(N(Tasks[[#This Row],[Actual Finish]])&gt;0,1,MIN(1,N(Tasks[[#This Row],[% Complete]]))))</f>
        <v>0</v>
      </c>
      <c r="CM167" s="32" t="n">
        <f aca="false">IF(OR(NOT(Tasks[[#This Row],[_IsLeaf]]=1),Tasks[[#This Row],[Resource]]=""),0,N(Tasks[[#This Row],[Duration]])*HoursPerDay*IF(Tasks[[#This Row],[Units]]="",DefaultUnits,Tasks[[#This Row],[Units]]))</f>
        <v>0</v>
      </c>
      <c r="CN167" s="32" t="n">
        <f aca="false">IF(Tasks[[#This Row],[_LeafWork]]=0,0,Tasks[[#This Row],[_LeafWork]]*IFERROR(INDEX(res_Rate,MATCH(Tasks[[#This Row],[Resource]],res_Name,0)),0))</f>
        <v>0</v>
      </c>
      <c r="CO167" s="32" t="n">
        <f aca="false">Tasks[[#This Row],[_LeafWork]]+IF(Tasks[[#This Row],[_IsLeaf]]=1,SUMIFS(asg_Work,asg_TaskUID,Tasks[[#This Row],[UID]],asg_Valid,1),0)</f>
        <v>0</v>
      </c>
      <c r="CP167" s="32" t="n">
        <f aca="false">Tasks[[#This Row],[_LeafCost]]+IF(Tasks[[#This Row],[_IsLeaf]]=1,SUMIFS(asg_Cost,asg_TaskUID,Tasks[[#This Row],[UID]],asg_Valid,1),0)</f>
        <v>0</v>
      </c>
      <c r="CQ167" s="32" t="n">
        <f aca="false">IF(Tasks[[#This Row],[_LeafTotalCost]]=0,Tasks[[#This Row],[_LeafAC]],Tasks[[#This Row],[_LeafAC]]*Tasks[[#This Row],[_LeafCost]]/Tasks[[#This Row],[_LeafTotalCost]])</f>
        <v>0</v>
      </c>
      <c r="CR16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7" s="32" t="n">
        <f aca="false">IF(NOT(Tasks[[#This Row],[_IsLeaf]]=1),0,MAX(_xlfn.MAXIFS(Tasks[_Row],Tasks[Pred1 UID],Tasks[[#This Row],[UID]]),_xlfn.MAXIFS(Tasks[_Row],Tasks[Pred2 UID],Tasks[[#This Row],[UID]]),_xlfn.MAXIFS(Tasks[_Row],Tasks[Pred3 UID],Tasks[[#This Row],[UID]]),_xlfn.MAXIFS(Tasks[_Row],Tasks[Pred4 UID],Tasks[[#This Row],[UID]])))</f>
        <v>0</v>
      </c>
      <c r="DA16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7" s="115" t="str">
        <f aca="false">IF(NOT(Tasks[[#This Row],[_IsLeaf]]=1),"",IF(N(Tasks[[#This Row],[Duration]])&lt;=0,Tasks[[#This Row],[_LeafLateFinish]],WORKDAY.INTL(Tasks[[#This Row],[_LeafLateFinish]],-(Tasks[[#This Row],[Duration]]-1),WorkWeek,Holidays)))</f>
        <v/>
      </c>
      <c r="DD16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7" s="114" t="b">
        <f aca="false">AND(Tasks[[#This Row],[_IsLeaf]]=1,Tasks[[#This Row],[_LeafProgress]]&lt;1,N(Tasks[[#This Row],[_LeafTotalSlack]])&lt;=CriticalSlackDays)</f>
        <v>0</v>
      </c>
      <c r="DF167" s="32" t="n">
        <f aca="false">IF(AND(Tasks[[#This Row],[_IsLeaf]]=1,Tasks[[#This Row],[_ConstraintCode]]=1,Tasks[[#This Row],[Mode]]&lt;&gt;"Manual",N(Tasks[[#This Row],[Actual Start]])=0),MAX(0,N(Tasks[[#This Row],[Free Slack]])),0)</f>
        <v>0</v>
      </c>
      <c r="DG167" s="115" t="str">
        <f aca="false">IF(NOT(Tasks[[#This Row],[_IsLeaf]]=1),"",IF(Tasks[[#This Row],[_AlapShift]]=0,Tasks[[#This Row],[_LeafCalcStart]],WORKDAY.INTL(Tasks[[#This Row],[_LeafCalcStart]],Tasks[[#This Row],[_AlapShift]],WorkWeek,Holidays)))</f>
        <v/>
      </c>
      <c r="DH167" s="115" t="str">
        <f aca="false">IF(NOT(Tasks[[#This Row],[_IsLeaf]]=1),"",IF(Tasks[[#This Row],[_AlapShift]]=0,Tasks[[#This Row],[_LeafCalcFinish]],WORKDAY.INTL(Tasks[[#This Row],[_LeafCalcFinish]],Tasks[[#This Row],[_AlapShift]],WorkWeek,Holidays)))</f>
        <v/>
      </c>
      <c r="DI167" s="115" t="str">
        <f aca="false">IF(NOT(Tasks[[#This Row],[_IsLeaf]]=1),"",IF(Tasks[[#This Row],[_AlapShift]]=0,Tasks[[#This Row],[_LeafFcstStart]],WORKDAY.INTL(Tasks[[#This Row],[_LeafFcstStart]],Tasks[[#This Row],[_AlapShift]],WorkWeek,Holidays)))</f>
        <v/>
      </c>
      <c r="DJ167" s="115" t="str">
        <f aca="false">IF(NOT(Tasks[[#This Row],[_IsLeaf]]=1),"",IF(Tasks[[#This Row],[_AlapShift]]=0,Tasks[[#This Row],[_LeafFcstFinish]],WORKDAY.INTL(Tasks[[#This Row],[_LeafFcstFinish]],Tasks[[#This Row],[_AlapShift]],WorkWeek,Holidays)))</f>
        <v/>
      </c>
      <c r="DK167" s="115" t="str">
        <f aca="false">IF(Tasks[[#This Row],[Task Name]]="","",IF(Tasks[[#This Row],[_IsSummary]],MIN(INDEX(Tasks[_ShownCalcStart],Tasks[[#This Row],[_Row]]+1):INDEX(Tasks[_ShownCalcStart],Tasks[[#This Row],[_Row]]+Tasks[[#This Row],[_Descendants]])),Tasks[[#This Row],[_ShownCalcStart]]))</f>
        <v/>
      </c>
      <c r="DL167" s="115" t="str">
        <f aca="false">IF(Tasks[[#This Row],[Task Name]]="","",IF(Tasks[[#This Row],[_IsSummary]],MAX(INDEX(Tasks[_ShownCalcFinish],Tasks[[#This Row],[_Row]]+1):INDEX(Tasks[_ShownCalcFinish],Tasks[[#This Row],[_Row]]+Tasks[[#This Row],[_Descendants]])),Tasks[[#This Row],[_ShownCalcFinish]]))</f>
        <v/>
      </c>
      <c r="DM16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7" s="32" t="n">
        <f aca="false">IF(AND(Tasks[[#This Row],[_IsLeaf]]=1,Tasks[[#This Row],[_LeafTotalWork]]&gt;0),NETWORKDAYS.INTL(ProjectStart,Tasks[[#This Row],[_ShownFcstStart]],WorkWeek,Holidays),0)</f>
        <v>0</v>
      </c>
      <c r="DZ167" s="32" t="n">
        <f aca="false">IF(AND(Tasks[[#This Row],[_IsLeaf]]=1,Tasks[[#This Row],[_LeafTotalWork]]&gt;0),MAX(Tasks[[#This Row],[_StartWorkday]],NETWORKDAYS.INTL(ProjectStart,Tasks[[#This Row],[_ShownFcstFinish]],WorkWeek,Holidays)),0)</f>
        <v>0</v>
      </c>
      <c r="EA167" s="32" t="n">
        <f aca="false">IF(AND(Tasks[[#This Row],[_IsLeaf]]=1,Tasks[[#This Row],[_LeafTotalWork]]&gt;0),Tasks[[#This Row],[_LeafWork]]/(Tasks[[#This Row],[_FinishWorkday]]-Tasks[[#This Row],[_StartWorkday]]+1),0)</f>
        <v>0</v>
      </c>
      <c r="EB167" s="32" t="n">
        <f aca="false">Tasks[[#This Row],[_WorkPerWorkday]]*(Tasks[[#This Row],[_StartWorkday]]-1)</f>
        <v>-0</v>
      </c>
      <c r="EC167" s="32" t="n">
        <f aca="false">IF(Tasks[[#This Row],[_IsLeaf]]=1,MAX(N(Tasks[[#This Row],[Duration]]),0.1),0)</f>
        <v>0</v>
      </c>
      <c r="ED167" s="32" t="n">
        <f aca="false">Tasks[[#This Row],[_WeightDur]]*Tasks[[#This Row],[_LeafProgress]]</f>
        <v>0</v>
      </c>
      <c r="EE16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7" s="32" t="str">
        <f aca="false">IF(AND(Tasks[[#This Row],[_IsLeaf]]=1,N(Tasks[[#This Row],[Duration]])=0,Tasks[[#This Row],[_LeafProgress]]&lt;1),Tasks[[#This Row],[_ShownFcstFinish]]+Tasks[[#This Row],[_Row]]/100000,"")</f>
        <v/>
      </c>
      <c r="EG16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7" s="32" t="n">
        <f aca="false">IF(NOT(Tasks[[#This Row],[_IsLeaf]]=1),0,IF(Tasks[[#This Row],[Baseline Cost]]="",Tasks[[#This Row],[_LeafTotalCost]],N(Tasks[[#This Row],[Baseline Cost]])))</f>
        <v>0</v>
      </c>
      <c r="EI167" s="32" t="n">
        <f aca="false">Tasks[[#This Row],[_LeafBudget]]*Tasks[[#This Row],[_PlannedPct]]</f>
        <v>0</v>
      </c>
      <c r="EJ167" s="32" t="n">
        <f aca="false">Tasks[[#This Row],[_LeafBudget]]*Tasks[[#This Row],[_LeafProgress]]</f>
        <v>0</v>
      </c>
      <c r="EK167" s="32" t="n">
        <f aca="false">IF(NOT(Tasks[[#This Row],[_IsLeaf]]=1),0,IF(Tasks[[#This Row],[Actual Cost]]="",Tasks[[#This Row],[_LeafTotalCost]]*Tasks[[#This Row],[_LeafProgress]],N(Tasks[[#This Row],[Actual Cost]])))</f>
        <v>0</v>
      </c>
      <c r="EL167" s="32" t="str">
        <f aca="false">IF(Tasks[[#This Row],[Task Name]]="","",LEFT(Tasks[[#This Row],[WBS]],FIND(".",Tasks[[#This Row],[WBS]]&amp;".")-1))</f>
        <v/>
      </c>
      <c r="EM167" s="32" t="str">
        <f aca="false">IF(AND(Tasks[[#This Row],[Task Name]]&lt;&gt;"",Tasks[[#This Row],[_Level]]=1),Tasks[[#This Row],[_Row]],"")</f>
        <v/>
      </c>
      <c r="EN167" s="32" t="str">
        <f aca="false">IF(AND(Tasks[[#This Row],[_IsLeaf]]=1,N(Tasks[[#This Row],[Duration]])=0),Tasks[[#This Row],[Planned Finish]]+Tasks[[#This Row],[_Row]]/100000,"")</f>
        <v/>
      </c>
      <c r="EO167" s="32" t="str">
        <f aca="false">IF(AND(Tasks[[#This Row],[_IsLeaf]]=1,Tasks[[#This Row],[_LeafProgress]]&lt;1,OR(N(Tasks[[#This Row],[Finish Var]])&gt;0,Tasks[[#This Row],[Status]]="Late Start")),MAX(0,Tasks[[#This Row],[Finish Var]])+1-Tasks[[#This Row],[_Row]]/1000000,"")</f>
        <v/>
      </c>
      <c r="EP167" s="32" t="str">
        <f aca="false">IF(AND(Tasks[[#This Row],[_IsLeaf]]=1,N(Tasks[[#This Row],[Actual Start]])=0,Tasks[[#This Row],[_ShownFcstStart]]&gt;=StatusDate,Tasks[[#This Row],[_ShownFcstStart]]&lt;=LookaheadEnd),Tasks[[#This Row],[_ShownFcstStart]]+Tasks[[#This Row],[_Row]]/100000,"")</f>
        <v/>
      </c>
      <c r="EQ167" s="32" t="str">
        <f aca="false">IF(AND(Tasks[[#This Row],[_IsLeaf]]=1,Tasks[[#This Row],[_LeafProgress]]&lt;1,Tasks[[#This Row],[_ShownFcstFinish]]&gt;=StatusDate,Tasks[[#This Row],[_ShownFcstFinish]]&lt;=LookaheadEnd),Tasks[[#This Row],[_ShownFcstFinish]]+Tasks[[#This Row],[_Row]]/100000,"")</f>
        <v/>
      </c>
      <c r="ER167" s="32" t="str">
        <f aca="false">IF(Tasks[[#This Row],[_LeafCritical]],Tasks[[#This Row],[_ShownFcstStart]]+Tasks[[#This Row],[_Row]]/100000,"")</f>
        <v/>
      </c>
      <c r="ES167" s="32" t="n">
        <f aca="false">Tasks[[#This Row],[_LeafWork]]*Tasks[[#This Row],[_LeafProgress]]</f>
        <v>0</v>
      </c>
      <c r="ET167" s="115" t="str">
        <f aca="false">IF(AND(Tasks[[#This Row],[_IsLeaf]]=1,Tasks[[#This Row],[_LeafProgress]]&gt;=1),IF(N(Tasks[[#This Row],[Actual Finish]])&gt;0,Tasks[[#This Row],[Actual Finish]],Tasks[[#This Row],[_ShownFcstFinish]]),"")</f>
        <v/>
      </c>
      <c r="EU167" s="32" t="n">
        <f aca="false">IF(Tasks[[#This Row],[_IsLeaf]]=1,N(Tasks[[#This Row],[Story Points]]),0)</f>
        <v>0</v>
      </c>
      <c r="EV167" s="32" t="str">
        <f aca="false">IF(AND(Tasks[[#This Row],[_IsLeaf]]=1,CurrentSprint&lt;&gt;"",Tasks[[#This Row],[Sprint]]=CurrentSprint),Tasks[[#This Row],[_Row]],"")</f>
        <v/>
      </c>
    </row>
    <row r="168" customFormat="false" ht="15" hidden="false" customHeight="false" outlineLevel="0" collapsed="false">
      <c r="A168" s="45" t="str">
        <f aca="false">IF(Tasks[[#This Row],[Task Name]]="","",COUNTA(Tasks[[#Headers],[Task Name]]:Tasks[[#This Row],[Task Name]])-1)</f>
        <v/>
      </c>
      <c r="B168" s="46" t="n">
        <v>163</v>
      </c>
      <c r="C16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8" s="46"/>
      <c r="E168" s="45" t="str">
        <f aca="false">IF(Tasks[[#This Row],[Task Name]]="","",IF(Tasks[[#This Row],[_Level]]&lt;=OutlineShowLevel,"Yes","No"))</f>
        <v/>
      </c>
      <c r="F168" s="47"/>
      <c r="G168" s="46"/>
      <c r="H168" s="46"/>
      <c r="I168" s="46"/>
      <c r="J168" s="46"/>
      <c r="K168" s="46"/>
      <c r="L168" s="46"/>
      <c r="M168" s="46"/>
      <c r="N168" s="46"/>
      <c r="O168" s="46"/>
      <c r="P168" s="46"/>
      <c r="Q168" s="46"/>
      <c r="R168" s="46"/>
      <c r="S168" s="46"/>
      <c r="T168" s="46"/>
      <c r="U168" s="47"/>
      <c r="V168" s="88"/>
      <c r="W168" s="88"/>
      <c r="X168" s="25" t="str">
        <f aca="false">IF(Tasks[[#This Row],[Task Name]]="","",IF(N(Tasks[[#This Row],[Baseline Start]])&gt;0,Tasks[[#This Row],[Baseline Start]],Tasks[[#This Row],[_CalcStart]]))</f>
        <v/>
      </c>
      <c r="Y168" s="25" t="str">
        <f aca="false">IF(Tasks[[#This Row],[Task Name]]="","",IF(N(Tasks[[#This Row],[Baseline Finish]])&gt;0,Tasks[[#This Row],[Baseline Finish]],Tasks[[#This Row],[_CalcFinish]]))</f>
        <v/>
      </c>
      <c r="Z168" s="88"/>
      <c r="AA168" s="88"/>
      <c r="AB168" s="25" t="str">
        <f aca="false">IF(Tasks[[#This Row],[Task Name]]="","",IF(Tasks[[#This Row],[_IsSummary]],MIN(INDEX(Tasks[_ShownFcstStart],Tasks[[#This Row],[_Row]]+1):INDEX(Tasks[_ShownFcstStart],Tasks[[#This Row],[_Row]]+Tasks[[#This Row],[_Descendants]])),Tasks[[#This Row],[_ShownFcstStart]]))</f>
        <v/>
      </c>
      <c r="AC168" s="25" t="str">
        <f aca="false">IF(Tasks[[#This Row],[Task Name]]="","",IF(Tasks[[#This Row],[_IsSummary]],MAX(INDEX(Tasks[_ShownFcstFinish],Tasks[[#This Row],[_Row]]+1):INDEX(Tasks[_ShownFcstFinish],Tasks[[#This Row],[_Row]]+Tasks[[#This Row],[_Descendants]])),Tasks[[#This Row],[_ShownFcstFinish]]))</f>
        <v/>
      </c>
      <c r="AD16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8" s="25" t="str">
        <f aca="false">IF(Tasks[[#This Row],[Task Name]]="","",IF(Tasks[[#This Row],[_IsSummary]],MIN(INDEX(Tasks[_LeafLateStart],Tasks[[#This Row],[_Row]]+1):INDEX(Tasks[_LeafLateStart],Tasks[[#This Row],[_Row]]+Tasks[[#This Row],[_Descendants]])),Tasks[[#This Row],[_LeafLateStart]]))</f>
        <v/>
      </c>
      <c r="AG168" s="25" t="str">
        <f aca="false">IF(Tasks[[#This Row],[Task Name]]="","",IF(Tasks[[#This Row],[_IsSummary]],MAX(INDEX(Tasks[_LeafLateFinish],Tasks[[#This Row],[_Row]]+1):INDEX(Tasks[_LeafLateFinish],Tasks[[#This Row],[_Row]]+Tasks[[#This Row],[_Descendants]])),Tasks[[#This Row],[_LeafLateFinish]]))</f>
        <v/>
      </c>
      <c r="AH168" s="56" t="str">
        <f aca="false">IF(Tasks[[#This Row],[Task Name]]="","",IF(Tasks[[#This Row],[_IsSummary]],MIN(INDEX(Tasks[_LeafTotalSlack],Tasks[[#This Row],[_Row]]+1):INDEX(Tasks[_LeafTotalSlack],Tasks[[#This Row],[_Row]]+Tasks[[#This Row],[_Descendants]])),Tasks[[#This Row],[_LeafTotalSlack]]))</f>
        <v/>
      </c>
      <c r="AI16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8" s="45" t="str">
        <f aca="false">IF(Tasks[[#This Row],[Task Name]]="","",IF(IF(Tasks[[#This Row],[_IsSummary]],COUNTIF(INDEX(Tasks[_LeafCritical],Tasks[[#This Row],[_Row]]+1):INDEX(Tasks[_LeafCritical],Tasks[[#This Row],[_Row]]+Tasks[[#This Row],[_Descendants]]),TRUE())&gt;0,Tasks[[#This Row],[_LeafCritical]]),"Yes",""))</f>
        <v/>
      </c>
      <c r="AK16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8" s="102"/>
      <c r="AN16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8" s="45" t="str">
        <f aca="false">IF(Tasks[[#This Row],[Task Name]]="","",IF(Tasks[[#This Row],[Progress]]&gt;=1,"Complete",IF(OR(N(Tasks[[#This Row],[Actual Start]])&gt;0,Tasks[[#This Row],[Progress]]&gt;0),IF(Tasks[[#This Row],[Finish Var]]&gt;0,"Behind","In Progress"),IF(Tasks[[#This Row],[Planned Start]]&lt;StatusDate,"Late Start","Not Started"))))</f>
        <v/>
      </c>
      <c r="AP168" s="47"/>
      <c r="AQ168" s="102"/>
      <c r="AR16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8" s="110" t="str">
        <f aca="false">IF(Tasks[[#This Row],[Task Name]]="","",IF(Tasks[[#This Row],[_IsSummary]],SUM(INDEX(Tasks[_LeafTotalWork],Tasks[[#This Row],[_Row]]+1):INDEX(Tasks[_LeafTotalWork],Tasks[[#This Row],[_Row]]+Tasks[[#This Row],[_Descendants]])),Tasks[[#This Row],[_LeafTotalWork]]))</f>
        <v/>
      </c>
      <c r="AU168" s="111" t="str">
        <f aca="false">IF(Tasks[[#This Row],[Task Name]]="","",IF(Tasks[[#This Row],[_IsSummary]],SUM(INDEX(Tasks[_LeafTotalCost],Tasks[[#This Row],[_Row]]+1):INDEX(Tasks[_LeafTotalCost],Tasks[[#This Row],[_Row]]+Tasks[[#This Row],[_Descendants]])),Tasks[[#This Row],[_LeafTotalCost]]))</f>
        <v/>
      </c>
      <c r="AV168" s="112"/>
      <c r="AW168" s="46"/>
      <c r="AX16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8" s="96"/>
      <c r="AZ16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8" s="47"/>
      <c r="BB168" s="25" t="str">
        <f aca="false">IF(Tasks[[#This Row],[Task Name]]="","",Tasks[[#This Row],[Forecast Start]])</f>
        <v/>
      </c>
      <c r="BC168" s="25" t="str">
        <f aca="false">IF(Tasks[[#This Row],[Task Name]]="","",Tasks[[#This Row],[Forecast Finish]])</f>
        <v/>
      </c>
      <c r="BD168" s="45" t="str">
        <f aca="false">IF(Tasks[[#This Row],[Task Name]]="","",IF(Tasks[[#This Row],[_IsSummary]],NETWORKDAYS.INTL(Tasks[[#This Row],[Forecast Start]],Tasks[[#This Row],[Forecast Finish]],WorkWeek,Holidays),N(Tasks[[#This Row],[Duration]])))</f>
        <v/>
      </c>
      <c r="BE168" s="110" t="str">
        <f aca="false">IF(Tasks[[#This Row],[Task Name]]="","",Tasks[[#This Row],[Work]])</f>
        <v/>
      </c>
      <c r="BF168" s="111" t="str">
        <f aca="false">IF(Tasks[[#This Row],[Task Name]]="","",Tasks[[#This Row],[Cost]])</f>
        <v/>
      </c>
      <c r="BG168" s="88"/>
      <c r="BH168" s="88"/>
      <c r="BI168" s="46"/>
      <c r="BJ168" s="113"/>
      <c r="BK168" s="112"/>
      <c r="BL168" s="45" t="str">
        <f aca="false">IF(OR(Tasks[[#This Row],[Task Name]]="",Tasks[[#This Row],[Baseline Duration]]=""),"",Tasks[[#This Row],[BL Source Duration]]-N(Tasks[[#This Row],[Baseline Duration]]))</f>
        <v/>
      </c>
      <c r="BM168" s="110" t="str">
        <f aca="false">IF(OR(Tasks[[#This Row],[Task Name]]="",Tasks[[#This Row],[Baseline Work]]=""),"",Tasks[[#This Row],[Work]]-N(Tasks[[#This Row],[Baseline Work]]))</f>
        <v/>
      </c>
      <c r="BN168" s="111" t="str">
        <f aca="false">IF(OR(Tasks[[#This Row],[Task Name]]="",Tasks[[#This Row],[Baseline Cost]]=""),"",Tasks[[#This Row],[Cost]]-N(Tasks[[#This Row],[Baseline Cost]]))</f>
        <v/>
      </c>
      <c r="BO168" s="111" t="str">
        <f aca="false">IF(Tasks[[#This Row],[Task Name]]="","",IF(Tasks[[#This Row],[_IsSummary]],SUM(INDEX(Tasks[_LeafBudget],Tasks[[#This Row],[_Row]]+1):INDEX(Tasks[_LeafBudget],Tasks[[#This Row],[_Row]]+Tasks[[#This Row],[_Descendants]])),Tasks[[#This Row],[_LeafBudget]]))</f>
        <v/>
      </c>
      <c r="BP168" s="111" t="str">
        <f aca="false">IF(Tasks[[#This Row],[Task Name]]="","",IF(Tasks[[#This Row],[_IsSummary]],SUM(INDEX(Tasks[_LeafPV],Tasks[[#This Row],[_Row]]+1):INDEX(Tasks[_LeafPV],Tasks[[#This Row],[_Row]]+Tasks[[#This Row],[_Descendants]])),Tasks[[#This Row],[_LeafPV]]))</f>
        <v/>
      </c>
      <c r="BQ168" s="111" t="str">
        <f aca="false">IF(Tasks[[#This Row],[Task Name]]="","",IF(Tasks[[#This Row],[_IsSummary]],SUM(INDEX(Tasks[_LeafEV],Tasks[[#This Row],[_Row]]+1):INDEX(Tasks[_LeafEV],Tasks[[#This Row],[_Row]]+Tasks[[#This Row],[_Descendants]])),Tasks[[#This Row],[_LeafEV]]))</f>
        <v/>
      </c>
      <c r="BR168" s="111" t="str">
        <f aca="false">IF(Tasks[[#This Row],[Task Name]]="","",IF(Tasks[[#This Row],[_IsSummary]],SUM(INDEX(Tasks[_LeafAC],Tasks[[#This Row],[_Row]]+1):INDEX(Tasks[_LeafAC],Tasks[[#This Row],[_Row]]+Tasks[[#This Row],[_Descendants]])),Tasks[[#This Row],[_LeafAC]]))</f>
        <v/>
      </c>
      <c r="BS168" s="32" t="str">
        <f aca="false">IF(Tasks[[#This Row],[Task Name]]="","",MAX(1,N(Tasks[[#This Row],[Level]])))</f>
        <v/>
      </c>
      <c r="BT168" s="32" t="n">
        <f aca="false">ROW()-ROW(Tasks[[#Headers],[ID]])</f>
        <v>163</v>
      </c>
      <c r="BU168" s="32" t="n">
        <f aca="false">IF(OR(Tasks[[#This Row],[Task Name]]="",Tasks[[#This Row],[_Level]]&lt;=1),0,IFERROR(LOOKUP(2,1/(Tasks[[#Headers],[_Level]]:Tasks[[#This Row],[_Level]]=Tasks[[#This Row],[_Level]]-1),ROW(Tasks[[#Headers],[_Level]]:Tasks[[#This Row],[_Level]])),0))</f>
        <v>0</v>
      </c>
      <c r="BV168" s="32" t="n">
        <f aca="false">IFERROR(N(INDEX(Tasks[_Level],Tasks[[#This Row],[_Row]]+1)),0)</f>
        <v>0</v>
      </c>
      <c r="BW168" s="114" t="b">
        <f aca="false">AND(Tasks[[#This Row],[Task Name]]&lt;&gt;"",Tasks[[#This Row],[_NextLevel]]&gt;Tasks[[#This Row],[_Level]])</f>
        <v>0</v>
      </c>
      <c r="BX168" s="32" t="n">
        <f aca="false">IF(Tasks[[#This Row],[_IsSummary]],COUNTIF(Tasks[WBS],Tasks[[#This Row],[WBS]]&amp;".*"),0)</f>
        <v>0</v>
      </c>
      <c r="BY168" s="32" t="n">
        <f aca="false">IF(AND(Tasks[[#This Row],[Task Name]]&lt;&gt;"",NOT(Tasks[[#This Row],[_IsSummary]])),1,0)</f>
        <v>0</v>
      </c>
      <c r="BZ168" s="32" t="n">
        <f aca="false">IF(N(Tasks[[#This Row],[Pred1 UID]])=0,0,IFERROR(MATCH(Tasks[[#This Row],[Pred1 UID]],Tasks[UID],0),-1))</f>
        <v>0</v>
      </c>
      <c r="CA168" s="32" t="n">
        <f aca="false">IF(N(Tasks[[#This Row],[Pred2 UID]])=0,0,IFERROR(MATCH(Tasks[[#This Row],[Pred2 UID]],Tasks[UID],0),-1))</f>
        <v>0</v>
      </c>
      <c r="CB168" s="32" t="n">
        <f aca="false">IF(N(Tasks[[#This Row],[Pred3 UID]])=0,0,IFERROR(MATCH(Tasks[[#This Row],[Pred3 UID]],Tasks[UID],0),-1))</f>
        <v>0</v>
      </c>
      <c r="CC168" s="32" t="n">
        <f aca="false">IF(N(Tasks[[#This Row],[Pred4 UID]])=0,0,IFERROR(MATCH(Tasks[[#This Row],[Pred4 UID]],Tasks[UID],0),-1))</f>
        <v>0</v>
      </c>
      <c r="CD16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8" s="115" t="n">
        <f aca="false">IF(OR(Tasks[[#This Row],[_ConstraintCode]]=2,Tasks[[#This Row],[_ConstraintCode]]=3,Tasks[[#This Row],[_ConstraintCode]]=4,Tasks[[#This Row],[_ConstraintCode]]=6),Tasks[[#This Row],[_ConstraintStart]],0)</f>
        <v>0</v>
      </c>
      <c r="CG168" s="115" t="n">
        <f aca="false">IF(OR(Tasks[[#This Row],[_ConstraintCode]]=2,Tasks[[#This Row],[_ConstraintCode]]=3,Tasks[[#This Row],[_ConstraintCode]]=5,Tasks[[#This Row],[_ConstraintCode]]=7),Tasks[[#This Row],[_ConstraintStart]],2958465)</f>
        <v>2958465</v>
      </c>
      <c r="CH16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8" s="115" t="str">
        <f aca="false">IF(NOT(Tasks[[#This Row],[_IsLeaf]]=1),"",IF(N(Tasks[[#This Row],[Duration]])&lt;=0,Tasks[[#This Row],[_LeafCalcStart]],WORKDAY.INTL(Tasks[[#This Row],[_LeafCalcStart]],Tasks[[#This Row],[Duration]]-1,WorkWeek,Holidays)))</f>
        <v/>
      </c>
      <c r="CJ16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8" s="32" t="n">
        <f aca="false">IF(NOT(Tasks[[#This Row],[_IsLeaf]]=1),0,IF(N(Tasks[[#This Row],[Actual Finish]])&gt;0,1,MIN(1,N(Tasks[[#This Row],[% Complete]]))))</f>
        <v>0</v>
      </c>
      <c r="CM168" s="32" t="n">
        <f aca="false">IF(OR(NOT(Tasks[[#This Row],[_IsLeaf]]=1),Tasks[[#This Row],[Resource]]=""),0,N(Tasks[[#This Row],[Duration]])*HoursPerDay*IF(Tasks[[#This Row],[Units]]="",DefaultUnits,Tasks[[#This Row],[Units]]))</f>
        <v>0</v>
      </c>
      <c r="CN168" s="32" t="n">
        <f aca="false">IF(Tasks[[#This Row],[_LeafWork]]=0,0,Tasks[[#This Row],[_LeafWork]]*IFERROR(INDEX(res_Rate,MATCH(Tasks[[#This Row],[Resource]],res_Name,0)),0))</f>
        <v>0</v>
      </c>
      <c r="CO168" s="32" t="n">
        <f aca="false">Tasks[[#This Row],[_LeafWork]]+IF(Tasks[[#This Row],[_IsLeaf]]=1,SUMIFS(asg_Work,asg_TaskUID,Tasks[[#This Row],[UID]],asg_Valid,1),0)</f>
        <v>0</v>
      </c>
      <c r="CP168" s="32" t="n">
        <f aca="false">Tasks[[#This Row],[_LeafCost]]+IF(Tasks[[#This Row],[_IsLeaf]]=1,SUMIFS(asg_Cost,asg_TaskUID,Tasks[[#This Row],[UID]],asg_Valid,1),0)</f>
        <v>0</v>
      </c>
      <c r="CQ168" s="32" t="n">
        <f aca="false">IF(Tasks[[#This Row],[_LeafTotalCost]]=0,Tasks[[#This Row],[_LeafAC]],Tasks[[#This Row],[_LeafAC]]*Tasks[[#This Row],[_LeafCost]]/Tasks[[#This Row],[_LeafTotalCost]])</f>
        <v>0</v>
      </c>
      <c r="CR16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8" s="32" t="n">
        <f aca="false">IF(NOT(Tasks[[#This Row],[_IsLeaf]]=1),0,MAX(_xlfn.MAXIFS(Tasks[_Row],Tasks[Pred1 UID],Tasks[[#This Row],[UID]]),_xlfn.MAXIFS(Tasks[_Row],Tasks[Pred2 UID],Tasks[[#This Row],[UID]]),_xlfn.MAXIFS(Tasks[_Row],Tasks[Pred3 UID],Tasks[[#This Row],[UID]]),_xlfn.MAXIFS(Tasks[_Row],Tasks[Pred4 UID],Tasks[[#This Row],[UID]])))</f>
        <v>0</v>
      </c>
      <c r="DA16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8" s="115" t="str">
        <f aca="false">IF(NOT(Tasks[[#This Row],[_IsLeaf]]=1),"",IF(N(Tasks[[#This Row],[Duration]])&lt;=0,Tasks[[#This Row],[_LeafLateFinish]],WORKDAY.INTL(Tasks[[#This Row],[_LeafLateFinish]],-(Tasks[[#This Row],[Duration]]-1),WorkWeek,Holidays)))</f>
        <v/>
      </c>
      <c r="DD16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8" s="114" t="b">
        <f aca="false">AND(Tasks[[#This Row],[_IsLeaf]]=1,Tasks[[#This Row],[_LeafProgress]]&lt;1,N(Tasks[[#This Row],[_LeafTotalSlack]])&lt;=CriticalSlackDays)</f>
        <v>0</v>
      </c>
      <c r="DF168" s="32" t="n">
        <f aca="false">IF(AND(Tasks[[#This Row],[_IsLeaf]]=1,Tasks[[#This Row],[_ConstraintCode]]=1,Tasks[[#This Row],[Mode]]&lt;&gt;"Manual",N(Tasks[[#This Row],[Actual Start]])=0),MAX(0,N(Tasks[[#This Row],[Free Slack]])),0)</f>
        <v>0</v>
      </c>
      <c r="DG168" s="115" t="str">
        <f aca="false">IF(NOT(Tasks[[#This Row],[_IsLeaf]]=1),"",IF(Tasks[[#This Row],[_AlapShift]]=0,Tasks[[#This Row],[_LeafCalcStart]],WORKDAY.INTL(Tasks[[#This Row],[_LeafCalcStart]],Tasks[[#This Row],[_AlapShift]],WorkWeek,Holidays)))</f>
        <v/>
      </c>
      <c r="DH168" s="115" t="str">
        <f aca="false">IF(NOT(Tasks[[#This Row],[_IsLeaf]]=1),"",IF(Tasks[[#This Row],[_AlapShift]]=0,Tasks[[#This Row],[_LeafCalcFinish]],WORKDAY.INTL(Tasks[[#This Row],[_LeafCalcFinish]],Tasks[[#This Row],[_AlapShift]],WorkWeek,Holidays)))</f>
        <v/>
      </c>
      <c r="DI168" s="115" t="str">
        <f aca="false">IF(NOT(Tasks[[#This Row],[_IsLeaf]]=1),"",IF(Tasks[[#This Row],[_AlapShift]]=0,Tasks[[#This Row],[_LeafFcstStart]],WORKDAY.INTL(Tasks[[#This Row],[_LeafFcstStart]],Tasks[[#This Row],[_AlapShift]],WorkWeek,Holidays)))</f>
        <v/>
      </c>
      <c r="DJ168" s="115" t="str">
        <f aca="false">IF(NOT(Tasks[[#This Row],[_IsLeaf]]=1),"",IF(Tasks[[#This Row],[_AlapShift]]=0,Tasks[[#This Row],[_LeafFcstFinish]],WORKDAY.INTL(Tasks[[#This Row],[_LeafFcstFinish]],Tasks[[#This Row],[_AlapShift]],WorkWeek,Holidays)))</f>
        <v/>
      </c>
      <c r="DK168" s="115" t="str">
        <f aca="false">IF(Tasks[[#This Row],[Task Name]]="","",IF(Tasks[[#This Row],[_IsSummary]],MIN(INDEX(Tasks[_ShownCalcStart],Tasks[[#This Row],[_Row]]+1):INDEX(Tasks[_ShownCalcStart],Tasks[[#This Row],[_Row]]+Tasks[[#This Row],[_Descendants]])),Tasks[[#This Row],[_ShownCalcStart]]))</f>
        <v/>
      </c>
      <c r="DL168" s="115" t="str">
        <f aca="false">IF(Tasks[[#This Row],[Task Name]]="","",IF(Tasks[[#This Row],[_IsSummary]],MAX(INDEX(Tasks[_ShownCalcFinish],Tasks[[#This Row],[_Row]]+1):INDEX(Tasks[_ShownCalcFinish],Tasks[[#This Row],[_Row]]+Tasks[[#This Row],[_Descendants]])),Tasks[[#This Row],[_ShownCalcFinish]]))</f>
        <v/>
      </c>
      <c r="DM16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8" s="32" t="n">
        <f aca="false">IF(AND(Tasks[[#This Row],[_IsLeaf]]=1,Tasks[[#This Row],[_LeafTotalWork]]&gt;0),NETWORKDAYS.INTL(ProjectStart,Tasks[[#This Row],[_ShownFcstStart]],WorkWeek,Holidays),0)</f>
        <v>0</v>
      </c>
      <c r="DZ168" s="32" t="n">
        <f aca="false">IF(AND(Tasks[[#This Row],[_IsLeaf]]=1,Tasks[[#This Row],[_LeafTotalWork]]&gt;0),MAX(Tasks[[#This Row],[_StartWorkday]],NETWORKDAYS.INTL(ProjectStart,Tasks[[#This Row],[_ShownFcstFinish]],WorkWeek,Holidays)),0)</f>
        <v>0</v>
      </c>
      <c r="EA168" s="32" t="n">
        <f aca="false">IF(AND(Tasks[[#This Row],[_IsLeaf]]=1,Tasks[[#This Row],[_LeafTotalWork]]&gt;0),Tasks[[#This Row],[_LeafWork]]/(Tasks[[#This Row],[_FinishWorkday]]-Tasks[[#This Row],[_StartWorkday]]+1),0)</f>
        <v>0</v>
      </c>
      <c r="EB168" s="32" t="n">
        <f aca="false">Tasks[[#This Row],[_WorkPerWorkday]]*(Tasks[[#This Row],[_StartWorkday]]-1)</f>
        <v>-0</v>
      </c>
      <c r="EC168" s="32" t="n">
        <f aca="false">IF(Tasks[[#This Row],[_IsLeaf]]=1,MAX(N(Tasks[[#This Row],[Duration]]),0.1),0)</f>
        <v>0</v>
      </c>
      <c r="ED168" s="32" t="n">
        <f aca="false">Tasks[[#This Row],[_WeightDur]]*Tasks[[#This Row],[_LeafProgress]]</f>
        <v>0</v>
      </c>
      <c r="EE16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8" s="32" t="str">
        <f aca="false">IF(AND(Tasks[[#This Row],[_IsLeaf]]=1,N(Tasks[[#This Row],[Duration]])=0,Tasks[[#This Row],[_LeafProgress]]&lt;1),Tasks[[#This Row],[_ShownFcstFinish]]+Tasks[[#This Row],[_Row]]/100000,"")</f>
        <v/>
      </c>
      <c r="EG16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8" s="32" t="n">
        <f aca="false">IF(NOT(Tasks[[#This Row],[_IsLeaf]]=1),0,IF(Tasks[[#This Row],[Baseline Cost]]="",Tasks[[#This Row],[_LeafTotalCost]],N(Tasks[[#This Row],[Baseline Cost]])))</f>
        <v>0</v>
      </c>
      <c r="EI168" s="32" t="n">
        <f aca="false">Tasks[[#This Row],[_LeafBudget]]*Tasks[[#This Row],[_PlannedPct]]</f>
        <v>0</v>
      </c>
      <c r="EJ168" s="32" t="n">
        <f aca="false">Tasks[[#This Row],[_LeafBudget]]*Tasks[[#This Row],[_LeafProgress]]</f>
        <v>0</v>
      </c>
      <c r="EK168" s="32" t="n">
        <f aca="false">IF(NOT(Tasks[[#This Row],[_IsLeaf]]=1),0,IF(Tasks[[#This Row],[Actual Cost]]="",Tasks[[#This Row],[_LeafTotalCost]]*Tasks[[#This Row],[_LeafProgress]],N(Tasks[[#This Row],[Actual Cost]])))</f>
        <v>0</v>
      </c>
      <c r="EL168" s="32" t="str">
        <f aca="false">IF(Tasks[[#This Row],[Task Name]]="","",LEFT(Tasks[[#This Row],[WBS]],FIND(".",Tasks[[#This Row],[WBS]]&amp;".")-1))</f>
        <v/>
      </c>
      <c r="EM168" s="32" t="str">
        <f aca="false">IF(AND(Tasks[[#This Row],[Task Name]]&lt;&gt;"",Tasks[[#This Row],[_Level]]=1),Tasks[[#This Row],[_Row]],"")</f>
        <v/>
      </c>
      <c r="EN168" s="32" t="str">
        <f aca="false">IF(AND(Tasks[[#This Row],[_IsLeaf]]=1,N(Tasks[[#This Row],[Duration]])=0),Tasks[[#This Row],[Planned Finish]]+Tasks[[#This Row],[_Row]]/100000,"")</f>
        <v/>
      </c>
      <c r="EO168" s="32" t="str">
        <f aca="false">IF(AND(Tasks[[#This Row],[_IsLeaf]]=1,Tasks[[#This Row],[_LeafProgress]]&lt;1,OR(N(Tasks[[#This Row],[Finish Var]])&gt;0,Tasks[[#This Row],[Status]]="Late Start")),MAX(0,Tasks[[#This Row],[Finish Var]])+1-Tasks[[#This Row],[_Row]]/1000000,"")</f>
        <v/>
      </c>
      <c r="EP168" s="32" t="str">
        <f aca="false">IF(AND(Tasks[[#This Row],[_IsLeaf]]=1,N(Tasks[[#This Row],[Actual Start]])=0,Tasks[[#This Row],[_ShownFcstStart]]&gt;=StatusDate,Tasks[[#This Row],[_ShownFcstStart]]&lt;=LookaheadEnd),Tasks[[#This Row],[_ShownFcstStart]]+Tasks[[#This Row],[_Row]]/100000,"")</f>
        <v/>
      </c>
      <c r="EQ168" s="32" t="str">
        <f aca="false">IF(AND(Tasks[[#This Row],[_IsLeaf]]=1,Tasks[[#This Row],[_LeafProgress]]&lt;1,Tasks[[#This Row],[_ShownFcstFinish]]&gt;=StatusDate,Tasks[[#This Row],[_ShownFcstFinish]]&lt;=LookaheadEnd),Tasks[[#This Row],[_ShownFcstFinish]]+Tasks[[#This Row],[_Row]]/100000,"")</f>
        <v/>
      </c>
      <c r="ER168" s="32" t="str">
        <f aca="false">IF(Tasks[[#This Row],[_LeafCritical]],Tasks[[#This Row],[_ShownFcstStart]]+Tasks[[#This Row],[_Row]]/100000,"")</f>
        <v/>
      </c>
      <c r="ES168" s="32" t="n">
        <f aca="false">Tasks[[#This Row],[_LeafWork]]*Tasks[[#This Row],[_LeafProgress]]</f>
        <v>0</v>
      </c>
      <c r="ET168" s="115" t="str">
        <f aca="false">IF(AND(Tasks[[#This Row],[_IsLeaf]]=1,Tasks[[#This Row],[_LeafProgress]]&gt;=1),IF(N(Tasks[[#This Row],[Actual Finish]])&gt;0,Tasks[[#This Row],[Actual Finish]],Tasks[[#This Row],[_ShownFcstFinish]]),"")</f>
        <v/>
      </c>
      <c r="EU168" s="32" t="n">
        <f aca="false">IF(Tasks[[#This Row],[_IsLeaf]]=1,N(Tasks[[#This Row],[Story Points]]),0)</f>
        <v>0</v>
      </c>
      <c r="EV168" s="32" t="str">
        <f aca="false">IF(AND(Tasks[[#This Row],[_IsLeaf]]=1,CurrentSprint&lt;&gt;"",Tasks[[#This Row],[Sprint]]=CurrentSprint),Tasks[[#This Row],[_Row]],"")</f>
        <v/>
      </c>
    </row>
    <row r="169" customFormat="false" ht="15" hidden="false" customHeight="false" outlineLevel="0" collapsed="false">
      <c r="A169" s="45" t="str">
        <f aca="false">IF(Tasks[[#This Row],[Task Name]]="","",COUNTA(Tasks[[#Headers],[Task Name]]:Tasks[[#This Row],[Task Name]])-1)</f>
        <v/>
      </c>
      <c r="B169" s="46" t="n">
        <v>164</v>
      </c>
      <c r="C16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69" s="46"/>
      <c r="E169" s="45" t="str">
        <f aca="false">IF(Tasks[[#This Row],[Task Name]]="","",IF(Tasks[[#This Row],[_Level]]&lt;=OutlineShowLevel,"Yes","No"))</f>
        <v/>
      </c>
      <c r="F169" s="47"/>
      <c r="G169" s="46"/>
      <c r="H169" s="46"/>
      <c r="I169" s="46"/>
      <c r="J169" s="46"/>
      <c r="K169" s="46"/>
      <c r="L169" s="46"/>
      <c r="M169" s="46"/>
      <c r="N169" s="46"/>
      <c r="O169" s="46"/>
      <c r="P169" s="46"/>
      <c r="Q169" s="46"/>
      <c r="R169" s="46"/>
      <c r="S169" s="46"/>
      <c r="T169" s="46"/>
      <c r="U169" s="47"/>
      <c r="V169" s="88"/>
      <c r="W169" s="88"/>
      <c r="X169" s="25" t="str">
        <f aca="false">IF(Tasks[[#This Row],[Task Name]]="","",IF(N(Tasks[[#This Row],[Baseline Start]])&gt;0,Tasks[[#This Row],[Baseline Start]],Tasks[[#This Row],[_CalcStart]]))</f>
        <v/>
      </c>
      <c r="Y169" s="25" t="str">
        <f aca="false">IF(Tasks[[#This Row],[Task Name]]="","",IF(N(Tasks[[#This Row],[Baseline Finish]])&gt;0,Tasks[[#This Row],[Baseline Finish]],Tasks[[#This Row],[_CalcFinish]]))</f>
        <v/>
      </c>
      <c r="Z169" s="88"/>
      <c r="AA169" s="88"/>
      <c r="AB169" s="25" t="str">
        <f aca="false">IF(Tasks[[#This Row],[Task Name]]="","",IF(Tasks[[#This Row],[_IsSummary]],MIN(INDEX(Tasks[_ShownFcstStart],Tasks[[#This Row],[_Row]]+1):INDEX(Tasks[_ShownFcstStart],Tasks[[#This Row],[_Row]]+Tasks[[#This Row],[_Descendants]])),Tasks[[#This Row],[_ShownFcstStart]]))</f>
        <v/>
      </c>
      <c r="AC169" s="25" t="str">
        <f aca="false">IF(Tasks[[#This Row],[Task Name]]="","",IF(Tasks[[#This Row],[_IsSummary]],MAX(INDEX(Tasks[_ShownFcstFinish],Tasks[[#This Row],[_Row]]+1):INDEX(Tasks[_ShownFcstFinish],Tasks[[#This Row],[_Row]]+Tasks[[#This Row],[_Descendants]])),Tasks[[#This Row],[_ShownFcstFinish]]))</f>
        <v/>
      </c>
      <c r="AD16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6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69" s="25" t="str">
        <f aca="false">IF(Tasks[[#This Row],[Task Name]]="","",IF(Tasks[[#This Row],[_IsSummary]],MIN(INDEX(Tasks[_LeafLateStart],Tasks[[#This Row],[_Row]]+1):INDEX(Tasks[_LeafLateStart],Tasks[[#This Row],[_Row]]+Tasks[[#This Row],[_Descendants]])),Tasks[[#This Row],[_LeafLateStart]]))</f>
        <v/>
      </c>
      <c r="AG169" s="25" t="str">
        <f aca="false">IF(Tasks[[#This Row],[Task Name]]="","",IF(Tasks[[#This Row],[_IsSummary]],MAX(INDEX(Tasks[_LeafLateFinish],Tasks[[#This Row],[_Row]]+1):INDEX(Tasks[_LeafLateFinish],Tasks[[#This Row],[_Row]]+Tasks[[#This Row],[_Descendants]])),Tasks[[#This Row],[_LeafLateFinish]]))</f>
        <v/>
      </c>
      <c r="AH169" s="56" t="str">
        <f aca="false">IF(Tasks[[#This Row],[Task Name]]="","",IF(Tasks[[#This Row],[_IsSummary]],MIN(INDEX(Tasks[_LeafTotalSlack],Tasks[[#This Row],[_Row]]+1):INDEX(Tasks[_LeafTotalSlack],Tasks[[#This Row],[_Row]]+Tasks[[#This Row],[_Descendants]])),Tasks[[#This Row],[_LeafTotalSlack]]))</f>
        <v/>
      </c>
      <c r="AI16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69" s="45" t="str">
        <f aca="false">IF(Tasks[[#This Row],[Task Name]]="","",IF(IF(Tasks[[#This Row],[_IsSummary]],COUNTIF(INDEX(Tasks[_LeafCritical],Tasks[[#This Row],[_Row]]+1):INDEX(Tasks[_LeafCritical],Tasks[[#This Row],[_Row]]+Tasks[[#This Row],[_Descendants]]),TRUE())&gt;0,Tasks[[#This Row],[_LeafCritical]]),"Yes",""))</f>
        <v/>
      </c>
      <c r="AK16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6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69" s="102"/>
      <c r="AN16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69" s="45" t="str">
        <f aca="false">IF(Tasks[[#This Row],[Task Name]]="","",IF(Tasks[[#This Row],[Progress]]&gt;=1,"Complete",IF(OR(N(Tasks[[#This Row],[Actual Start]])&gt;0,Tasks[[#This Row],[Progress]]&gt;0),IF(Tasks[[#This Row],[Finish Var]]&gt;0,"Behind","In Progress"),IF(Tasks[[#This Row],[Planned Start]]&lt;StatusDate,"Late Start","Not Started"))))</f>
        <v/>
      </c>
      <c r="AP169" s="47"/>
      <c r="AQ169" s="102"/>
      <c r="AR16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6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69" s="110" t="str">
        <f aca="false">IF(Tasks[[#This Row],[Task Name]]="","",IF(Tasks[[#This Row],[_IsSummary]],SUM(INDEX(Tasks[_LeafTotalWork],Tasks[[#This Row],[_Row]]+1):INDEX(Tasks[_LeafTotalWork],Tasks[[#This Row],[_Row]]+Tasks[[#This Row],[_Descendants]])),Tasks[[#This Row],[_LeafTotalWork]]))</f>
        <v/>
      </c>
      <c r="AU169" s="111" t="str">
        <f aca="false">IF(Tasks[[#This Row],[Task Name]]="","",IF(Tasks[[#This Row],[_IsSummary]],SUM(INDEX(Tasks[_LeafTotalCost],Tasks[[#This Row],[_Row]]+1):INDEX(Tasks[_LeafTotalCost],Tasks[[#This Row],[_Row]]+Tasks[[#This Row],[_Descendants]])),Tasks[[#This Row],[_LeafTotalCost]]))</f>
        <v/>
      </c>
      <c r="AV169" s="112"/>
      <c r="AW169" s="46"/>
      <c r="AX16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69" s="96"/>
      <c r="AZ16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69" s="47"/>
      <c r="BB169" s="25" t="str">
        <f aca="false">IF(Tasks[[#This Row],[Task Name]]="","",Tasks[[#This Row],[Forecast Start]])</f>
        <v/>
      </c>
      <c r="BC169" s="25" t="str">
        <f aca="false">IF(Tasks[[#This Row],[Task Name]]="","",Tasks[[#This Row],[Forecast Finish]])</f>
        <v/>
      </c>
      <c r="BD169" s="45" t="str">
        <f aca="false">IF(Tasks[[#This Row],[Task Name]]="","",IF(Tasks[[#This Row],[_IsSummary]],NETWORKDAYS.INTL(Tasks[[#This Row],[Forecast Start]],Tasks[[#This Row],[Forecast Finish]],WorkWeek,Holidays),N(Tasks[[#This Row],[Duration]])))</f>
        <v/>
      </c>
      <c r="BE169" s="110" t="str">
        <f aca="false">IF(Tasks[[#This Row],[Task Name]]="","",Tasks[[#This Row],[Work]])</f>
        <v/>
      </c>
      <c r="BF169" s="111" t="str">
        <f aca="false">IF(Tasks[[#This Row],[Task Name]]="","",Tasks[[#This Row],[Cost]])</f>
        <v/>
      </c>
      <c r="BG169" s="88"/>
      <c r="BH169" s="88"/>
      <c r="BI169" s="46"/>
      <c r="BJ169" s="113"/>
      <c r="BK169" s="112"/>
      <c r="BL169" s="45" t="str">
        <f aca="false">IF(OR(Tasks[[#This Row],[Task Name]]="",Tasks[[#This Row],[Baseline Duration]]=""),"",Tasks[[#This Row],[BL Source Duration]]-N(Tasks[[#This Row],[Baseline Duration]]))</f>
        <v/>
      </c>
      <c r="BM169" s="110" t="str">
        <f aca="false">IF(OR(Tasks[[#This Row],[Task Name]]="",Tasks[[#This Row],[Baseline Work]]=""),"",Tasks[[#This Row],[Work]]-N(Tasks[[#This Row],[Baseline Work]]))</f>
        <v/>
      </c>
      <c r="BN169" s="111" t="str">
        <f aca="false">IF(OR(Tasks[[#This Row],[Task Name]]="",Tasks[[#This Row],[Baseline Cost]]=""),"",Tasks[[#This Row],[Cost]]-N(Tasks[[#This Row],[Baseline Cost]]))</f>
        <v/>
      </c>
      <c r="BO169" s="111" t="str">
        <f aca="false">IF(Tasks[[#This Row],[Task Name]]="","",IF(Tasks[[#This Row],[_IsSummary]],SUM(INDEX(Tasks[_LeafBudget],Tasks[[#This Row],[_Row]]+1):INDEX(Tasks[_LeafBudget],Tasks[[#This Row],[_Row]]+Tasks[[#This Row],[_Descendants]])),Tasks[[#This Row],[_LeafBudget]]))</f>
        <v/>
      </c>
      <c r="BP169" s="111" t="str">
        <f aca="false">IF(Tasks[[#This Row],[Task Name]]="","",IF(Tasks[[#This Row],[_IsSummary]],SUM(INDEX(Tasks[_LeafPV],Tasks[[#This Row],[_Row]]+1):INDEX(Tasks[_LeafPV],Tasks[[#This Row],[_Row]]+Tasks[[#This Row],[_Descendants]])),Tasks[[#This Row],[_LeafPV]]))</f>
        <v/>
      </c>
      <c r="BQ169" s="111" t="str">
        <f aca="false">IF(Tasks[[#This Row],[Task Name]]="","",IF(Tasks[[#This Row],[_IsSummary]],SUM(INDEX(Tasks[_LeafEV],Tasks[[#This Row],[_Row]]+1):INDEX(Tasks[_LeafEV],Tasks[[#This Row],[_Row]]+Tasks[[#This Row],[_Descendants]])),Tasks[[#This Row],[_LeafEV]]))</f>
        <v/>
      </c>
      <c r="BR169" s="111" t="str">
        <f aca="false">IF(Tasks[[#This Row],[Task Name]]="","",IF(Tasks[[#This Row],[_IsSummary]],SUM(INDEX(Tasks[_LeafAC],Tasks[[#This Row],[_Row]]+1):INDEX(Tasks[_LeafAC],Tasks[[#This Row],[_Row]]+Tasks[[#This Row],[_Descendants]])),Tasks[[#This Row],[_LeafAC]]))</f>
        <v/>
      </c>
      <c r="BS169" s="32" t="str">
        <f aca="false">IF(Tasks[[#This Row],[Task Name]]="","",MAX(1,N(Tasks[[#This Row],[Level]])))</f>
        <v/>
      </c>
      <c r="BT169" s="32" t="n">
        <f aca="false">ROW()-ROW(Tasks[[#Headers],[ID]])</f>
        <v>164</v>
      </c>
      <c r="BU169" s="32" t="n">
        <f aca="false">IF(OR(Tasks[[#This Row],[Task Name]]="",Tasks[[#This Row],[_Level]]&lt;=1),0,IFERROR(LOOKUP(2,1/(Tasks[[#Headers],[_Level]]:Tasks[[#This Row],[_Level]]=Tasks[[#This Row],[_Level]]-1),ROW(Tasks[[#Headers],[_Level]]:Tasks[[#This Row],[_Level]])),0))</f>
        <v>0</v>
      </c>
      <c r="BV169" s="32" t="n">
        <f aca="false">IFERROR(N(INDEX(Tasks[_Level],Tasks[[#This Row],[_Row]]+1)),0)</f>
        <v>0</v>
      </c>
      <c r="BW169" s="114" t="b">
        <f aca="false">AND(Tasks[[#This Row],[Task Name]]&lt;&gt;"",Tasks[[#This Row],[_NextLevel]]&gt;Tasks[[#This Row],[_Level]])</f>
        <v>0</v>
      </c>
      <c r="BX169" s="32" t="n">
        <f aca="false">IF(Tasks[[#This Row],[_IsSummary]],COUNTIF(Tasks[WBS],Tasks[[#This Row],[WBS]]&amp;".*"),0)</f>
        <v>0</v>
      </c>
      <c r="BY169" s="32" t="n">
        <f aca="false">IF(AND(Tasks[[#This Row],[Task Name]]&lt;&gt;"",NOT(Tasks[[#This Row],[_IsSummary]])),1,0)</f>
        <v>0</v>
      </c>
      <c r="BZ169" s="32" t="n">
        <f aca="false">IF(N(Tasks[[#This Row],[Pred1 UID]])=0,0,IFERROR(MATCH(Tasks[[#This Row],[Pred1 UID]],Tasks[UID],0),-1))</f>
        <v>0</v>
      </c>
      <c r="CA169" s="32" t="n">
        <f aca="false">IF(N(Tasks[[#This Row],[Pred2 UID]])=0,0,IFERROR(MATCH(Tasks[[#This Row],[Pred2 UID]],Tasks[UID],0),-1))</f>
        <v>0</v>
      </c>
      <c r="CB169" s="32" t="n">
        <f aca="false">IF(N(Tasks[[#This Row],[Pred3 UID]])=0,0,IFERROR(MATCH(Tasks[[#This Row],[Pred3 UID]],Tasks[UID],0),-1))</f>
        <v>0</v>
      </c>
      <c r="CC169" s="32" t="n">
        <f aca="false">IF(N(Tasks[[#This Row],[Pred4 UID]])=0,0,IFERROR(MATCH(Tasks[[#This Row],[Pred4 UID]],Tasks[UID],0),-1))</f>
        <v>0</v>
      </c>
      <c r="CD16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6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69" s="115" t="n">
        <f aca="false">IF(OR(Tasks[[#This Row],[_ConstraintCode]]=2,Tasks[[#This Row],[_ConstraintCode]]=3,Tasks[[#This Row],[_ConstraintCode]]=4,Tasks[[#This Row],[_ConstraintCode]]=6),Tasks[[#This Row],[_ConstraintStart]],0)</f>
        <v>0</v>
      </c>
      <c r="CG169" s="115" t="n">
        <f aca="false">IF(OR(Tasks[[#This Row],[_ConstraintCode]]=2,Tasks[[#This Row],[_ConstraintCode]]=3,Tasks[[#This Row],[_ConstraintCode]]=5,Tasks[[#This Row],[_ConstraintCode]]=7),Tasks[[#This Row],[_ConstraintStart]],2958465)</f>
        <v>2958465</v>
      </c>
      <c r="CH16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69" s="115" t="str">
        <f aca="false">IF(NOT(Tasks[[#This Row],[_IsLeaf]]=1),"",IF(N(Tasks[[#This Row],[Duration]])&lt;=0,Tasks[[#This Row],[_LeafCalcStart]],WORKDAY.INTL(Tasks[[#This Row],[_LeafCalcStart]],Tasks[[#This Row],[Duration]]-1,WorkWeek,Holidays)))</f>
        <v/>
      </c>
      <c r="CJ16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6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69" s="32" t="n">
        <f aca="false">IF(NOT(Tasks[[#This Row],[_IsLeaf]]=1),0,IF(N(Tasks[[#This Row],[Actual Finish]])&gt;0,1,MIN(1,N(Tasks[[#This Row],[% Complete]]))))</f>
        <v>0</v>
      </c>
      <c r="CM169" s="32" t="n">
        <f aca="false">IF(OR(NOT(Tasks[[#This Row],[_IsLeaf]]=1),Tasks[[#This Row],[Resource]]=""),0,N(Tasks[[#This Row],[Duration]])*HoursPerDay*IF(Tasks[[#This Row],[Units]]="",DefaultUnits,Tasks[[#This Row],[Units]]))</f>
        <v>0</v>
      </c>
      <c r="CN169" s="32" t="n">
        <f aca="false">IF(Tasks[[#This Row],[_LeafWork]]=0,0,Tasks[[#This Row],[_LeafWork]]*IFERROR(INDEX(res_Rate,MATCH(Tasks[[#This Row],[Resource]],res_Name,0)),0))</f>
        <v>0</v>
      </c>
      <c r="CO169" s="32" t="n">
        <f aca="false">Tasks[[#This Row],[_LeafWork]]+IF(Tasks[[#This Row],[_IsLeaf]]=1,SUMIFS(asg_Work,asg_TaskUID,Tasks[[#This Row],[UID]],asg_Valid,1),0)</f>
        <v>0</v>
      </c>
      <c r="CP169" s="32" t="n">
        <f aca="false">Tasks[[#This Row],[_LeafCost]]+IF(Tasks[[#This Row],[_IsLeaf]]=1,SUMIFS(asg_Cost,asg_TaskUID,Tasks[[#This Row],[UID]],asg_Valid,1),0)</f>
        <v>0</v>
      </c>
      <c r="CQ169" s="32" t="n">
        <f aca="false">IF(Tasks[[#This Row],[_LeafTotalCost]]=0,Tasks[[#This Row],[_LeafAC]],Tasks[[#This Row],[_LeafAC]]*Tasks[[#This Row],[_LeafCost]]/Tasks[[#This Row],[_LeafTotalCost]])</f>
        <v>0</v>
      </c>
      <c r="CR16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6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6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6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6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6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6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6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69" s="32" t="n">
        <f aca="false">IF(NOT(Tasks[[#This Row],[_IsLeaf]]=1),0,MAX(_xlfn.MAXIFS(Tasks[_Row],Tasks[Pred1 UID],Tasks[[#This Row],[UID]]),_xlfn.MAXIFS(Tasks[_Row],Tasks[Pred2 UID],Tasks[[#This Row],[UID]]),_xlfn.MAXIFS(Tasks[_Row],Tasks[Pred3 UID],Tasks[[#This Row],[UID]]),_xlfn.MAXIFS(Tasks[_Row],Tasks[Pred4 UID],Tasks[[#This Row],[UID]])))</f>
        <v>0</v>
      </c>
      <c r="DA16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6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69" s="115" t="str">
        <f aca="false">IF(NOT(Tasks[[#This Row],[_IsLeaf]]=1),"",IF(N(Tasks[[#This Row],[Duration]])&lt;=0,Tasks[[#This Row],[_LeafLateFinish]],WORKDAY.INTL(Tasks[[#This Row],[_LeafLateFinish]],-(Tasks[[#This Row],[Duration]]-1),WorkWeek,Holidays)))</f>
        <v/>
      </c>
      <c r="DD16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69" s="114" t="b">
        <f aca="false">AND(Tasks[[#This Row],[_IsLeaf]]=1,Tasks[[#This Row],[_LeafProgress]]&lt;1,N(Tasks[[#This Row],[_LeafTotalSlack]])&lt;=CriticalSlackDays)</f>
        <v>0</v>
      </c>
      <c r="DF169" s="32" t="n">
        <f aca="false">IF(AND(Tasks[[#This Row],[_IsLeaf]]=1,Tasks[[#This Row],[_ConstraintCode]]=1,Tasks[[#This Row],[Mode]]&lt;&gt;"Manual",N(Tasks[[#This Row],[Actual Start]])=0),MAX(0,N(Tasks[[#This Row],[Free Slack]])),0)</f>
        <v>0</v>
      </c>
      <c r="DG169" s="115" t="str">
        <f aca="false">IF(NOT(Tasks[[#This Row],[_IsLeaf]]=1),"",IF(Tasks[[#This Row],[_AlapShift]]=0,Tasks[[#This Row],[_LeafCalcStart]],WORKDAY.INTL(Tasks[[#This Row],[_LeafCalcStart]],Tasks[[#This Row],[_AlapShift]],WorkWeek,Holidays)))</f>
        <v/>
      </c>
      <c r="DH169" s="115" t="str">
        <f aca="false">IF(NOT(Tasks[[#This Row],[_IsLeaf]]=1),"",IF(Tasks[[#This Row],[_AlapShift]]=0,Tasks[[#This Row],[_LeafCalcFinish]],WORKDAY.INTL(Tasks[[#This Row],[_LeafCalcFinish]],Tasks[[#This Row],[_AlapShift]],WorkWeek,Holidays)))</f>
        <v/>
      </c>
      <c r="DI169" s="115" t="str">
        <f aca="false">IF(NOT(Tasks[[#This Row],[_IsLeaf]]=1),"",IF(Tasks[[#This Row],[_AlapShift]]=0,Tasks[[#This Row],[_LeafFcstStart]],WORKDAY.INTL(Tasks[[#This Row],[_LeafFcstStart]],Tasks[[#This Row],[_AlapShift]],WorkWeek,Holidays)))</f>
        <v/>
      </c>
      <c r="DJ169" s="115" t="str">
        <f aca="false">IF(NOT(Tasks[[#This Row],[_IsLeaf]]=1),"",IF(Tasks[[#This Row],[_AlapShift]]=0,Tasks[[#This Row],[_LeafFcstFinish]],WORKDAY.INTL(Tasks[[#This Row],[_LeafFcstFinish]],Tasks[[#This Row],[_AlapShift]],WorkWeek,Holidays)))</f>
        <v/>
      </c>
      <c r="DK169" s="115" t="str">
        <f aca="false">IF(Tasks[[#This Row],[Task Name]]="","",IF(Tasks[[#This Row],[_IsSummary]],MIN(INDEX(Tasks[_ShownCalcStart],Tasks[[#This Row],[_Row]]+1):INDEX(Tasks[_ShownCalcStart],Tasks[[#This Row],[_Row]]+Tasks[[#This Row],[_Descendants]])),Tasks[[#This Row],[_ShownCalcStart]]))</f>
        <v/>
      </c>
      <c r="DL169" s="115" t="str">
        <f aca="false">IF(Tasks[[#This Row],[Task Name]]="","",IF(Tasks[[#This Row],[_IsSummary]],MAX(INDEX(Tasks[_ShownCalcFinish],Tasks[[#This Row],[_Row]]+1):INDEX(Tasks[_ShownCalcFinish],Tasks[[#This Row],[_Row]]+Tasks[[#This Row],[_Descendants]])),Tasks[[#This Row],[_ShownCalcFinish]]))</f>
        <v/>
      </c>
      <c r="DM16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6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6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6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6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6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6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6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6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6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6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6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69" s="32" t="n">
        <f aca="false">IF(AND(Tasks[[#This Row],[_IsLeaf]]=1,Tasks[[#This Row],[_LeafTotalWork]]&gt;0),NETWORKDAYS.INTL(ProjectStart,Tasks[[#This Row],[_ShownFcstStart]],WorkWeek,Holidays),0)</f>
        <v>0</v>
      </c>
      <c r="DZ169" s="32" t="n">
        <f aca="false">IF(AND(Tasks[[#This Row],[_IsLeaf]]=1,Tasks[[#This Row],[_LeafTotalWork]]&gt;0),MAX(Tasks[[#This Row],[_StartWorkday]],NETWORKDAYS.INTL(ProjectStart,Tasks[[#This Row],[_ShownFcstFinish]],WorkWeek,Holidays)),0)</f>
        <v>0</v>
      </c>
      <c r="EA169" s="32" t="n">
        <f aca="false">IF(AND(Tasks[[#This Row],[_IsLeaf]]=1,Tasks[[#This Row],[_LeafTotalWork]]&gt;0),Tasks[[#This Row],[_LeafWork]]/(Tasks[[#This Row],[_FinishWorkday]]-Tasks[[#This Row],[_StartWorkday]]+1),0)</f>
        <v>0</v>
      </c>
      <c r="EB169" s="32" t="n">
        <f aca="false">Tasks[[#This Row],[_WorkPerWorkday]]*(Tasks[[#This Row],[_StartWorkday]]-1)</f>
        <v>-0</v>
      </c>
      <c r="EC169" s="32" t="n">
        <f aca="false">IF(Tasks[[#This Row],[_IsLeaf]]=1,MAX(N(Tasks[[#This Row],[Duration]]),0.1),0)</f>
        <v>0</v>
      </c>
      <c r="ED169" s="32" t="n">
        <f aca="false">Tasks[[#This Row],[_WeightDur]]*Tasks[[#This Row],[_LeafProgress]]</f>
        <v>0</v>
      </c>
      <c r="EE16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69" s="32" t="str">
        <f aca="false">IF(AND(Tasks[[#This Row],[_IsLeaf]]=1,N(Tasks[[#This Row],[Duration]])=0,Tasks[[#This Row],[_LeafProgress]]&lt;1),Tasks[[#This Row],[_ShownFcstFinish]]+Tasks[[#This Row],[_Row]]/100000,"")</f>
        <v/>
      </c>
      <c r="EG16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69" s="32" t="n">
        <f aca="false">IF(NOT(Tasks[[#This Row],[_IsLeaf]]=1),0,IF(Tasks[[#This Row],[Baseline Cost]]="",Tasks[[#This Row],[_LeafTotalCost]],N(Tasks[[#This Row],[Baseline Cost]])))</f>
        <v>0</v>
      </c>
      <c r="EI169" s="32" t="n">
        <f aca="false">Tasks[[#This Row],[_LeafBudget]]*Tasks[[#This Row],[_PlannedPct]]</f>
        <v>0</v>
      </c>
      <c r="EJ169" s="32" t="n">
        <f aca="false">Tasks[[#This Row],[_LeafBudget]]*Tasks[[#This Row],[_LeafProgress]]</f>
        <v>0</v>
      </c>
      <c r="EK169" s="32" t="n">
        <f aca="false">IF(NOT(Tasks[[#This Row],[_IsLeaf]]=1),0,IF(Tasks[[#This Row],[Actual Cost]]="",Tasks[[#This Row],[_LeafTotalCost]]*Tasks[[#This Row],[_LeafProgress]],N(Tasks[[#This Row],[Actual Cost]])))</f>
        <v>0</v>
      </c>
      <c r="EL169" s="32" t="str">
        <f aca="false">IF(Tasks[[#This Row],[Task Name]]="","",LEFT(Tasks[[#This Row],[WBS]],FIND(".",Tasks[[#This Row],[WBS]]&amp;".")-1))</f>
        <v/>
      </c>
      <c r="EM169" s="32" t="str">
        <f aca="false">IF(AND(Tasks[[#This Row],[Task Name]]&lt;&gt;"",Tasks[[#This Row],[_Level]]=1),Tasks[[#This Row],[_Row]],"")</f>
        <v/>
      </c>
      <c r="EN169" s="32" t="str">
        <f aca="false">IF(AND(Tasks[[#This Row],[_IsLeaf]]=1,N(Tasks[[#This Row],[Duration]])=0),Tasks[[#This Row],[Planned Finish]]+Tasks[[#This Row],[_Row]]/100000,"")</f>
        <v/>
      </c>
      <c r="EO169" s="32" t="str">
        <f aca="false">IF(AND(Tasks[[#This Row],[_IsLeaf]]=1,Tasks[[#This Row],[_LeafProgress]]&lt;1,OR(N(Tasks[[#This Row],[Finish Var]])&gt;0,Tasks[[#This Row],[Status]]="Late Start")),MAX(0,Tasks[[#This Row],[Finish Var]])+1-Tasks[[#This Row],[_Row]]/1000000,"")</f>
        <v/>
      </c>
      <c r="EP169" s="32" t="str">
        <f aca="false">IF(AND(Tasks[[#This Row],[_IsLeaf]]=1,N(Tasks[[#This Row],[Actual Start]])=0,Tasks[[#This Row],[_ShownFcstStart]]&gt;=StatusDate,Tasks[[#This Row],[_ShownFcstStart]]&lt;=LookaheadEnd),Tasks[[#This Row],[_ShownFcstStart]]+Tasks[[#This Row],[_Row]]/100000,"")</f>
        <v/>
      </c>
      <c r="EQ169" s="32" t="str">
        <f aca="false">IF(AND(Tasks[[#This Row],[_IsLeaf]]=1,Tasks[[#This Row],[_LeafProgress]]&lt;1,Tasks[[#This Row],[_ShownFcstFinish]]&gt;=StatusDate,Tasks[[#This Row],[_ShownFcstFinish]]&lt;=LookaheadEnd),Tasks[[#This Row],[_ShownFcstFinish]]+Tasks[[#This Row],[_Row]]/100000,"")</f>
        <v/>
      </c>
      <c r="ER169" s="32" t="str">
        <f aca="false">IF(Tasks[[#This Row],[_LeafCritical]],Tasks[[#This Row],[_ShownFcstStart]]+Tasks[[#This Row],[_Row]]/100000,"")</f>
        <v/>
      </c>
      <c r="ES169" s="32" t="n">
        <f aca="false">Tasks[[#This Row],[_LeafWork]]*Tasks[[#This Row],[_LeafProgress]]</f>
        <v>0</v>
      </c>
      <c r="ET169" s="115" t="str">
        <f aca="false">IF(AND(Tasks[[#This Row],[_IsLeaf]]=1,Tasks[[#This Row],[_LeafProgress]]&gt;=1),IF(N(Tasks[[#This Row],[Actual Finish]])&gt;0,Tasks[[#This Row],[Actual Finish]],Tasks[[#This Row],[_ShownFcstFinish]]),"")</f>
        <v/>
      </c>
      <c r="EU169" s="32" t="n">
        <f aca="false">IF(Tasks[[#This Row],[_IsLeaf]]=1,N(Tasks[[#This Row],[Story Points]]),0)</f>
        <v>0</v>
      </c>
      <c r="EV169" s="32" t="str">
        <f aca="false">IF(AND(Tasks[[#This Row],[_IsLeaf]]=1,CurrentSprint&lt;&gt;"",Tasks[[#This Row],[Sprint]]=CurrentSprint),Tasks[[#This Row],[_Row]],"")</f>
        <v/>
      </c>
    </row>
    <row r="170" customFormat="false" ht="15" hidden="false" customHeight="false" outlineLevel="0" collapsed="false">
      <c r="A170" s="45" t="str">
        <f aca="false">IF(Tasks[[#This Row],[Task Name]]="","",COUNTA(Tasks[[#Headers],[Task Name]]:Tasks[[#This Row],[Task Name]])-1)</f>
        <v/>
      </c>
      <c r="B170" s="46" t="n">
        <v>165</v>
      </c>
      <c r="C17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0" s="46"/>
      <c r="E170" s="45" t="str">
        <f aca="false">IF(Tasks[[#This Row],[Task Name]]="","",IF(Tasks[[#This Row],[_Level]]&lt;=OutlineShowLevel,"Yes","No"))</f>
        <v/>
      </c>
      <c r="F170" s="47"/>
      <c r="G170" s="46"/>
      <c r="H170" s="46"/>
      <c r="I170" s="46"/>
      <c r="J170" s="46"/>
      <c r="K170" s="46"/>
      <c r="L170" s="46"/>
      <c r="M170" s="46"/>
      <c r="N170" s="46"/>
      <c r="O170" s="46"/>
      <c r="P170" s="46"/>
      <c r="Q170" s="46"/>
      <c r="R170" s="46"/>
      <c r="S170" s="46"/>
      <c r="T170" s="46"/>
      <c r="U170" s="47"/>
      <c r="V170" s="88"/>
      <c r="W170" s="88"/>
      <c r="X170" s="25" t="str">
        <f aca="false">IF(Tasks[[#This Row],[Task Name]]="","",IF(N(Tasks[[#This Row],[Baseline Start]])&gt;0,Tasks[[#This Row],[Baseline Start]],Tasks[[#This Row],[_CalcStart]]))</f>
        <v/>
      </c>
      <c r="Y170" s="25" t="str">
        <f aca="false">IF(Tasks[[#This Row],[Task Name]]="","",IF(N(Tasks[[#This Row],[Baseline Finish]])&gt;0,Tasks[[#This Row],[Baseline Finish]],Tasks[[#This Row],[_CalcFinish]]))</f>
        <v/>
      </c>
      <c r="Z170" s="88"/>
      <c r="AA170" s="88"/>
      <c r="AB170" s="25" t="str">
        <f aca="false">IF(Tasks[[#This Row],[Task Name]]="","",IF(Tasks[[#This Row],[_IsSummary]],MIN(INDEX(Tasks[_ShownFcstStart],Tasks[[#This Row],[_Row]]+1):INDEX(Tasks[_ShownFcstStart],Tasks[[#This Row],[_Row]]+Tasks[[#This Row],[_Descendants]])),Tasks[[#This Row],[_ShownFcstStart]]))</f>
        <v/>
      </c>
      <c r="AC170" s="25" t="str">
        <f aca="false">IF(Tasks[[#This Row],[Task Name]]="","",IF(Tasks[[#This Row],[_IsSummary]],MAX(INDEX(Tasks[_ShownFcstFinish],Tasks[[#This Row],[_Row]]+1):INDEX(Tasks[_ShownFcstFinish],Tasks[[#This Row],[_Row]]+Tasks[[#This Row],[_Descendants]])),Tasks[[#This Row],[_ShownFcstFinish]]))</f>
        <v/>
      </c>
      <c r="AD17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0" s="25" t="str">
        <f aca="false">IF(Tasks[[#This Row],[Task Name]]="","",IF(Tasks[[#This Row],[_IsSummary]],MIN(INDEX(Tasks[_LeafLateStart],Tasks[[#This Row],[_Row]]+1):INDEX(Tasks[_LeafLateStart],Tasks[[#This Row],[_Row]]+Tasks[[#This Row],[_Descendants]])),Tasks[[#This Row],[_LeafLateStart]]))</f>
        <v/>
      </c>
      <c r="AG170" s="25" t="str">
        <f aca="false">IF(Tasks[[#This Row],[Task Name]]="","",IF(Tasks[[#This Row],[_IsSummary]],MAX(INDEX(Tasks[_LeafLateFinish],Tasks[[#This Row],[_Row]]+1):INDEX(Tasks[_LeafLateFinish],Tasks[[#This Row],[_Row]]+Tasks[[#This Row],[_Descendants]])),Tasks[[#This Row],[_LeafLateFinish]]))</f>
        <v/>
      </c>
      <c r="AH170" s="56" t="str">
        <f aca="false">IF(Tasks[[#This Row],[Task Name]]="","",IF(Tasks[[#This Row],[_IsSummary]],MIN(INDEX(Tasks[_LeafTotalSlack],Tasks[[#This Row],[_Row]]+1):INDEX(Tasks[_LeafTotalSlack],Tasks[[#This Row],[_Row]]+Tasks[[#This Row],[_Descendants]])),Tasks[[#This Row],[_LeafTotalSlack]]))</f>
        <v/>
      </c>
      <c r="AI17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0" s="45" t="str">
        <f aca="false">IF(Tasks[[#This Row],[Task Name]]="","",IF(IF(Tasks[[#This Row],[_IsSummary]],COUNTIF(INDEX(Tasks[_LeafCritical],Tasks[[#This Row],[_Row]]+1):INDEX(Tasks[_LeafCritical],Tasks[[#This Row],[_Row]]+Tasks[[#This Row],[_Descendants]]),TRUE())&gt;0,Tasks[[#This Row],[_LeafCritical]]),"Yes",""))</f>
        <v/>
      </c>
      <c r="AK17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0" s="102"/>
      <c r="AN17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0" s="45" t="str">
        <f aca="false">IF(Tasks[[#This Row],[Task Name]]="","",IF(Tasks[[#This Row],[Progress]]&gt;=1,"Complete",IF(OR(N(Tasks[[#This Row],[Actual Start]])&gt;0,Tasks[[#This Row],[Progress]]&gt;0),IF(Tasks[[#This Row],[Finish Var]]&gt;0,"Behind","In Progress"),IF(Tasks[[#This Row],[Planned Start]]&lt;StatusDate,"Late Start","Not Started"))))</f>
        <v/>
      </c>
      <c r="AP170" s="47"/>
      <c r="AQ170" s="102"/>
      <c r="AR17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0" s="110" t="str">
        <f aca="false">IF(Tasks[[#This Row],[Task Name]]="","",IF(Tasks[[#This Row],[_IsSummary]],SUM(INDEX(Tasks[_LeafTotalWork],Tasks[[#This Row],[_Row]]+1):INDEX(Tasks[_LeafTotalWork],Tasks[[#This Row],[_Row]]+Tasks[[#This Row],[_Descendants]])),Tasks[[#This Row],[_LeafTotalWork]]))</f>
        <v/>
      </c>
      <c r="AU170" s="111" t="str">
        <f aca="false">IF(Tasks[[#This Row],[Task Name]]="","",IF(Tasks[[#This Row],[_IsSummary]],SUM(INDEX(Tasks[_LeafTotalCost],Tasks[[#This Row],[_Row]]+1):INDEX(Tasks[_LeafTotalCost],Tasks[[#This Row],[_Row]]+Tasks[[#This Row],[_Descendants]])),Tasks[[#This Row],[_LeafTotalCost]]))</f>
        <v/>
      </c>
      <c r="AV170" s="112"/>
      <c r="AW170" s="46"/>
      <c r="AX17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0" s="96"/>
      <c r="AZ17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0" s="47"/>
      <c r="BB170" s="25" t="str">
        <f aca="false">IF(Tasks[[#This Row],[Task Name]]="","",Tasks[[#This Row],[Forecast Start]])</f>
        <v/>
      </c>
      <c r="BC170" s="25" t="str">
        <f aca="false">IF(Tasks[[#This Row],[Task Name]]="","",Tasks[[#This Row],[Forecast Finish]])</f>
        <v/>
      </c>
      <c r="BD170" s="45" t="str">
        <f aca="false">IF(Tasks[[#This Row],[Task Name]]="","",IF(Tasks[[#This Row],[_IsSummary]],NETWORKDAYS.INTL(Tasks[[#This Row],[Forecast Start]],Tasks[[#This Row],[Forecast Finish]],WorkWeek,Holidays),N(Tasks[[#This Row],[Duration]])))</f>
        <v/>
      </c>
      <c r="BE170" s="110" t="str">
        <f aca="false">IF(Tasks[[#This Row],[Task Name]]="","",Tasks[[#This Row],[Work]])</f>
        <v/>
      </c>
      <c r="BF170" s="111" t="str">
        <f aca="false">IF(Tasks[[#This Row],[Task Name]]="","",Tasks[[#This Row],[Cost]])</f>
        <v/>
      </c>
      <c r="BG170" s="88"/>
      <c r="BH170" s="88"/>
      <c r="BI170" s="46"/>
      <c r="BJ170" s="113"/>
      <c r="BK170" s="112"/>
      <c r="BL170" s="45" t="str">
        <f aca="false">IF(OR(Tasks[[#This Row],[Task Name]]="",Tasks[[#This Row],[Baseline Duration]]=""),"",Tasks[[#This Row],[BL Source Duration]]-N(Tasks[[#This Row],[Baseline Duration]]))</f>
        <v/>
      </c>
      <c r="BM170" s="110" t="str">
        <f aca="false">IF(OR(Tasks[[#This Row],[Task Name]]="",Tasks[[#This Row],[Baseline Work]]=""),"",Tasks[[#This Row],[Work]]-N(Tasks[[#This Row],[Baseline Work]]))</f>
        <v/>
      </c>
      <c r="BN170" s="111" t="str">
        <f aca="false">IF(OR(Tasks[[#This Row],[Task Name]]="",Tasks[[#This Row],[Baseline Cost]]=""),"",Tasks[[#This Row],[Cost]]-N(Tasks[[#This Row],[Baseline Cost]]))</f>
        <v/>
      </c>
      <c r="BO170" s="111" t="str">
        <f aca="false">IF(Tasks[[#This Row],[Task Name]]="","",IF(Tasks[[#This Row],[_IsSummary]],SUM(INDEX(Tasks[_LeafBudget],Tasks[[#This Row],[_Row]]+1):INDEX(Tasks[_LeafBudget],Tasks[[#This Row],[_Row]]+Tasks[[#This Row],[_Descendants]])),Tasks[[#This Row],[_LeafBudget]]))</f>
        <v/>
      </c>
      <c r="BP170" s="111" t="str">
        <f aca="false">IF(Tasks[[#This Row],[Task Name]]="","",IF(Tasks[[#This Row],[_IsSummary]],SUM(INDEX(Tasks[_LeafPV],Tasks[[#This Row],[_Row]]+1):INDEX(Tasks[_LeafPV],Tasks[[#This Row],[_Row]]+Tasks[[#This Row],[_Descendants]])),Tasks[[#This Row],[_LeafPV]]))</f>
        <v/>
      </c>
      <c r="BQ170" s="111" t="str">
        <f aca="false">IF(Tasks[[#This Row],[Task Name]]="","",IF(Tasks[[#This Row],[_IsSummary]],SUM(INDEX(Tasks[_LeafEV],Tasks[[#This Row],[_Row]]+1):INDEX(Tasks[_LeafEV],Tasks[[#This Row],[_Row]]+Tasks[[#This Row],[_Descendants]])),Tasks[[#This Row],[_LeafEV]]))</f>
        <v/>
      </c>
      <c r="BR170" s="111" t="str">
        <f aca="false">IF(Tasks[[#This Row],[Task Name]]="","",IF(Tasks[[#This Row],[_IsSummary]],SUM(INDEX(Tasks[_LeafAC],Tasks[[#This Row],[_Row]]+1):INDEX(Tasks[_LeafAC],Tasks[[#This Row],[_Row]]+Tasks[[#This Row],[_Descendants]])),Tasks[[#This Row],[_LeafAC]]))</f>
        <v/>
      </c>
      <c r="BS170" s="32" t="str">
        <f aca="false">IF(Tasks[[#This Row],[Task Name]]="","",MAX(1,N(Tasks[[#This Row],[Level]])))</f>
        <v/>
      </c>
      <c r="BT170" s="32" t="n">
        <f aca="false">ROW()-ROW(Tasks[[#Headers],[ID]])</f>
        <v>165</v>
      </c>
      <c r="BU170" s="32" t="n">
        <f aca="false">IF(OR(Tasks[[#This Row],[Task Name]]="",Tasks[[#This Row],[_Level]]&lt;=1),0,IFERROR(LOOKUP(2,1/(Tasks[[#Headers],[_Level]]:Tasks[[#This Row],[_Level]]=Tasks[[#This Row],[_Level]]-1),ROW(Tasks[[#Headers],[_Level]]:Tasks[[#This Row],[_Level]])),0))</f>
        <v>0</v>
      </c>
      <c r="BV170" s="32" t="n">
        <f aca="false">IFERROR(N(INDEX(Tasks[_Level],Tasks[[#This Row],[_Row]]+1)),0)</f>
        <v>0</v>
      </c>
      <c r="BW170" s="114" t="b">
        <f aca="false">AND(Tasks[[#This Row],[Task Name]]&lt;&gt;"",Tasks[[#This Row],[_NextLevel]]&gt;Tasks[[#This Row],[_Level]])</f>
        <v>0</v>
      </c>
      <c r="BX170" s="32" t="n">
        <f aca="false">IF(Tasks[[#This Row],[_IsSummary]],COUNTIF(Tasks[WBS],Tasks[[#This Row],[WBS]]&amp;".*"),0)</f>
        <v>0</v>
      </c>
      <c r="BY170" s="32" t="n">
        <f aca="false">IF(AND(Tasks[[#This Row],[Task Name]]&lt;&gt;"",NOT(Tasks[[#This Row],[_IsSummary]])),1,0)</f>
        <v>0</v>
      </c>
      <c r="BZ170" s="32" t="n">
        <f aca="false">IF(N(Tasks[[#This Row],[Pred1 UID]])=0,0,IFERROR(MATCH(Tasks[[#This Row],[Pred1 UID]],Tasks[UID],0),-1))</f>
        <v>0</v>
      </c>
      <c r="CA170" s="32" t="n">
        <f aca="false">IF(N(Tasks[[#This Row],[Pred2 UID]])=0,0,IFERROR(MATCH(Tasks[[#This Row],[Pred2 UID]],Tasks[UID],0),-1))</f>
        <v>0</v>
      </c>
      <c r="CB170" s="32" t="n">
        <f aca="false">IF(N(Tasks[[#This Row],[Pred3 UID]])=0,0,IFERROR(MATCH(Tasks[[#This Row],[Pred3 UID]],Tasks[UID],0),-1))</f>
        <v>0</v>
      </c>
      <c r="CC170" s="32" t="n">
        <f aca="false">IF(N(Tasks[[#This Row],[Pred4 UID]])=0,0,IFERROR(MATCH(Tasks[[#This Row],[Pred4 UID]],Tasks[UID],0),-1))</f>
        <v>0</v>
      </c>
      <c r="CD17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0" s="115" t="n">
        <f aca="false">IF(OR(Tasks[[#This Row],[_ConstraintCode]]=2,Tasks[[#This Row],[_ConstraintCode]]=3,Tasks[[#This Row],[_ConstraintCode]]=4,Tasks[[#This Row],[_ConstraintCode]]=6),Tasks[[#This Row],[_ConstraintStart]],0)</f>
        <v>0</v>
      </c>
      <c r="CG170" s="115" t="n">
        <f aca="false">IF(OR(Tasks[[#This Row],[_ConstraintCode]]=2,Tasks[[#This Row],[_ConstraintCode]]=3,Tasks[[#This Row],[_ConstraintCode]]=5,Tasks[[#This Row],[_ConstraintCode]]=7),Tasks[[#This Row],[_ConstraintStart]],2958465)</f>
        <v>2958465</v>
      </c>
      <c r="CH17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0" s="115" t="str">
        <f aca="false">IF(NOT(Tasks[[#This Row],[_IsLeaf]]=1),"",IF(N(Tasks[[#This Row],[Duration]])&lt;=0,Tasks[[#This Row],[_LeafCalcStart]],WORKDAY.INTL(Tasks[[#This Row],[_LeafCalcStart]],Tasks[[#This Row],[Duration]]-1,WorkWeek,Holidays)))</f>
        <v/>
      </c>
      <c r="CJ17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0" s="32" t="n">
        <f aca="false">IF(NOT(Tasks[[#This Row],[_IsLeaf]]=1),0,IF(N(Tasks[[#This Row],[Actual Finish]])&gt;0,1,MIN(1,N(Tasks[[#This Row],[% Complete]]))))</f>
        <v>0</v>
      </c>
      <c r="CM170" s="32" t="n">
        <f aca="false">IF(OR(NOT(Tasks[[#This Row],[_IsLeaf]]=1),Tasks[[#This Row],[Resource]]=""),0,N(Tasks[[#This Row],[Duration]])*HoursPerDay*IF(Tasks[[#This Row],[Units]]="",DefaultUnits,Tasks[[#This Row],[Units]]))</f>
        <v>0</v>
      </c>
      <c r="CN170" s="32" t="n">
        <f aca="false">IF(Tasks[[#This Row],[_LeafWork]]=0,0,Tasks[[#This Row],[_LeafWork]]*IFERROR(INDEX(res_Rate,MATCH(Tasks[[#This Row],[Resource]],res_Name,0)),0))</f>
        <v>0</v>
      </c>
      <c r="CO170" s="32" t="n">
        <f aca="false">Tasks[[#This Row],[_LeafWork]]+IF(Tasks[[#This Row],[_IsLeaf]]=1,SUMIFS(asg_Work,asg_TaskUID,Tasks[[#This Row],[UID]],asg_Valid,1),0)</f>
        <v>0</v>
      </c>
      <c r="CP170" s="32" t="n">
        <f aca="false">Tasks[[#This Row],[_LeafCost]]+IF(Tasks[[#This Row],[_IsLeaf]]=1,SUMIFS(asg_Cost,asg_TaskUID,Tasks[[#This Row],[UID]],asg_Valid,1),0)</f>
        <v>0</v>
      </c>
      <c r="CQ170" s="32" t="n">
        <f aca="false">IF(Tasks[[#This Row],[_LeafTotalCost]]=0,Tasks[[#This Row],[_LeafAC]],Tasks[[#This Row],[_LeafAC]]*Tasks[[#This Row],[_LeafCost]]/Tasks[[#This Row],[_LeafTotalCost]])</f>
        <v>0</v>
      </c>
      <c r="CR17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0" s="32" t="n">
        <f aca="false">IF(NOT(Tasks[[#This Row],[_IsLeaf]]=1),0,MAX(_xlfn.MAXIFS(Tasks[_Row],Tasks[Pred1 UID],Tasks[[#This Row],[UID]]),_xlfn.MAXIFS(Tasks[_Row],Tasks[Pred2 UID],Tasks[[#This Row],[UID]]),_xlfn.MAXIFS(Tasks[_Row],Tasks[Pred3 UID],Tasks[[#This Row],[UID]]),_xlfn.MAXIFS(Tasks[_Row],Tasks[Pred4 UID],Tasks[[#This Row],[UID]])))</f>
        <v>0</v>
      </c>
      <c r="DA17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0" s="115" t="str">
        <f aca="false">IF(NOT(Tasks[[#This Row],[_IsLeaf]]=1),"",IF(N(Tasks[[#This Row],[Duration]])&lt;=0,Tasks[[#This Row],[_LeafLateFinish]],WORKDAY.INTL(Tasks[[#This Row],[_LeafLateFinish]],-(Tasks[[#This Row],[Duration]]-1),WorkWeek,Holidays)))</f>
        <v/>
      </c>
      <c r="DD17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0" s="114" t="b">
        <f aca="false">AND(Tasks[[#This Row],[_IsLeaf]]=1,Tasks[[#This Row],[_LeafProgress]]&lt;1,N(Tasks[[#This Row],[_LeafTotalSlack]])&lt;=CriticalSlackDays)</f>
        <v>0</v>
      </c>
      <c r="DF170" s="32" t="n">
        <f aca="false">IF(AND(Tasks[[#This Row],[_IsLeaf]]=1,Tasks[[#This Row],[_ConstraintCode]]=1,Tasks[[#This Row],[Mode]]&lt;&gt;"Manual",N(Tasks[[#This Row],[Actual Start]])=0),MAX(0,N(Tasks[[#This Row],[Free Slack]])),0)</f>
        <v>0</v>
      </c>
      <c r="DG170" s="115" t="str">
        <f aca="false">IF(NOT(Tasks[[#This Row],[_IsLeaf]]=1),"",IF(Tasks[[#This Row],[_AlapShift]]=0,Tasks[[#This Row],[_LeafCalcStart]],WORKDAY.INTL(Tasks[[#This Row],[_LeafCalcStart]],Tasks[[#This Row],[_AlapShift]],WorkWeek,Holidays)))</f>
        <v/>
      </c>
      <c r="DH170" s="115" t="str">
        <f aca="false">IF(NOT(Tasks[[#This Row],[_IsLeaf]]=1),"",IF(Tasks[[#This Row],[_AlapShift]]=0,Tasks[[#This Row],[_LeafCalcFinish]],WORKDAY.INTL(Tasks[[#This Row],[_LeafCalcFinish]],Tasks[[#This Row],[_AlapShift]],WorkWeek,Holidays)))</f>
        <v/>
      </c>
      <c r="DI170" s="115" t="str">
        <f aca="false">IF(NOT(Tasks[[#This Row],[_IsLeaf]]=1),"",IF(Tasks[[#This Row],[_AlapShift]]=0,Tasks[[#This Row],[_LeafFcstStart]],WORKDAY.INTL(Tasks[[#This Row],[_LeafFcstStart]],Tasks[[#This Row],[_AlapShift]],WorkWeek,Holidays)))</f>
        <v/>
      </c>
      <c r="DJ170" s="115" t="str">
        <f aca="false">IF(NOT(Tasks[[#This Row],[_IsLeaf]]=1),"",IF(Tasks[[#This Row],[_AlapShift]]=0,Tasks[[#This Row],[_LeafFcstFinish]],WORKDAY.INTL(Tasks[[#This Row],[_LeafFcstFinish]],Tasks[[#This Row],[_AlapShift]],WorkWeek,Holidays)))</f>
        <v/>
      </c>
      <c r="DK170" s="115" t="str">
        <f aca="false">IF(Tasks[[#This Row],[Task Name]]="","",IF(Tasks[[#This Row],[_IsSummary]],MIN(INDEX(Tasks[_ShownCalcStart],Tasks[[#This Row],[_Row]]+1):INDEX(Tasks[_ShownCalcStart],Tasks[[#This Row],[_Row]]+Tasks[[#This Row],[_Descendants]])),Tasks[[#This Row],[_ShownCalcStart]]))</f>
        <v/>
      </c>
      <c r="DL170" s="115" t="str">
        <f aca="false">IF(Tasks[[#This Row],[Task Name]]="","",IF(Tasks[[#This Row],[_IsSummary]],MAX(INDEX(Tasks[_ShownCalcFinish],Tasks[[#This Row],[_Row]]+1):INDEX(Tasks[_ShownCalcFinish],Tasks[[#This Row],[_Row]]+Tasks[[#This Row],[_Descendants]])),Tasks[[#This Row],[_ShownCalcFinish]]))</f>
        <v/>
      </c>
      <c r="DM17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0" s="32" t="n">
        <f aca="false">IF(AND(Tasks[[#This Row],[_IsLeaf]]=1,Tasks[[#This Row],[_LeafTotalWork]]&gt;0),NETWORKDAYS.INTL(ProjectStart,Tasks[[#This Row],[_ShownFcstStart]],WorkWeek,Holidays),0)</f>
        <v>0</v>
      </c>
      <c r="DZ170" s="32" t="n">
        <f aca="false">IF(AND(Tasks[[#This Row],[_IsLeaf]]=1,Tasks[[#This Row],[_LeafTotalWork]]&gt;0),MAX(Tasks[[#This Row],[_StartWorkday]],NETWORKDAYS.INTL(ProjectStart,Tasks[[#This Row],[_ShownFcstFinish]],WorkWeek,Holidays)),0)</f>
        <v>0</v>
      </c>
      <c r="EA170" s="32" t="n">
        <f aca="false">IF(AND(Tasks[[#This Row],[_IsLeaf]]=1,Tasks[[#This Row],[_LeafTotalWork]]&gt;0),Tasks[[#This Row],[_LeafWork]]/(Tasks[[#This Row],[_FinishWorkday]]-Tasks[[#This Row],[_StartWorkday]]+1),0)</f>
        <v>0</v>
      </c>
      <c r="EB170" s="32" t="n">
        <f aca="false">Tasks[[#This Row],[_WorkPerWorkday]]*(Tasks[[#This Row],[_StartWorkday]]-1)</f>
        <v>-0</v>
      </c>
      <c r="EC170" s="32" t="n">
        <f aca="false">IF(Tasks[[#This Row],[_IsLeaf]]=1,MAX(N(Tasks[[#This Row],[Duration]]),0.1),0)</f>
        <v>0</v>
      </c>
      <c r="ED170" s="32" t="n">
        <f aca="false">Tasks[[#This Row],[_WeightDur]]*Tasks[[#This Row],[_LeafProgress]]</f>
        <v>0</v>
      </c>
      <c r="EE17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0" s="32" t="str">
        <f aca="false">IF(AND(Tasks[[#This Row],[_IsLeaf]]=1,N(Tasks[[#This Row],[Duration]])=0,Tasks[[#This Row],[_LeafProgress]]&lt;1),Tasks[[#This Row],[_ShownFcstFinish]]+Tasks[[#This Row],[_Row]]/100000,"")</f>
        <v/>
      </c>
      <c r="EG17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0" s="32" t="n">
        <f aca="false">IF(NOT(Tasks[[#This Row],[_IsLeaf]]=1),0,IF(Tasks[[#This Row],[Baseline Cost]]="",Tasks[[#This Row],[_LeafTotalCost]],N(Tasks[[#This Row],[Baseline Cost]])))</f>
        <v>0</v>
      </c>
      <c r="EI170" s="32" t="n">
        <f aca="false">Tasks[[#This Row],[_LeafBudget]]*Tasks[[#This Row],[_PlannedPct]]</f>
        <v>0</v>
      </c>
      <c r="EJ170" s="32" t="n">
        <f aca="false">Tasks[[#This Row],[_LeafBudget]]*Tasks[[#This Row],[_LeafProgress]]</f>
        <v>0</v>
      </c>
      <c r="EK170" s="32" t="n">
        <f aca="false">IF(NOT(Tasks[[#This Row],[_IsLeaf]]=1),0,IF(Tasks[[#This Row],[Actual Cost]]="",Tasks[[#This Row],[_LeafTotalCost]]*Tasks[[#This Row],[_LeafProgress]],N(Tasks[[#This Row],[Actual Cost]])))</f>
        <v>0</v>
      </c>
      <c r="EL170" s="32" t="str">
        <f aca="false">IF(Tasks[[#This Row],[Task Name]]="","",LEFT(Tasks[[#This Row],[WBS]],FIND(".",Tasks[[#This Row],[WBS]]&amp;".")-1))</f>
        <v/>
      </c>
      <c r="EM170" s="32" t="str">
        <f aca="false">IF(AND(Tasks[[#This Row],[Task Name]]&lt;&gt;"",Tasks[[#This Row],[_Level]]=1),Tasks[[#This Row],[_Row]],"")</f>
        <v/>
      </c>
      <c r="EN170" s="32" t="str">
        <f aca="false">IF(AND(Tasks[[#This Row],[_IsLeaf]]=1,N(Tasks[[#This Row],[Duration]])=0),Tasks[[#This Row],[Planned Finish]]+Tasks[[#This Row],[_Row]]/100000,"")</f>
        <v/>
      </c>
      <c r="EO170" s="32" t="str">
        <f aca="false">IF(AND(Tasks[[#This Row],[_IsLeaf]]=1,Tasks[[#This Row],[_LeafProgress]]&lt;1,OR(N(Tasks[[#This Row],[Finish Var]])&gt;0,Tasks[[#This Row],[Status]]="Late Start")),MAX(0,Tasks[[#This Row],[Finish Var]])+1-Tasks[[#This Row],[_Row]]/1000000,"")</f>
        <v/>
      </c>
      <c r="EP170" s="32" t="str">
        <f aca="false">IF(AND(Tasks[[#This Row],[_IsLeaf]]=1,N(Tasks[[#This Row],[Actual Start]])=0,Tasks[[#This Row],[_ShownFcstStart]]&gt;=StatusDate,Tasks[[#This Row],[_ShownFcstStart]]&lt;=LookaheadEnd),Tasks[[#This Row],[_ShownFcstStart]]+Tasks[[#This Row],[_Row]]/100000,"")</f>
        <v/>
      </c>
      <c r="EQ170" s="32" t="str">
        <f aca="false">IF(AND(Tasks[[#This Row],[_IsLeaf]]=1,Tasks[[#This Row],[_LeafProgress]]&lt;1,Tasks[[#This Row],[_ShownFcstFinish]]&gt;=StatusDate,Tasks[[#This Row],[_ShownFcstFinish]]&lt;=LookaheadEnd),Tasks[[#This Row],[_ShownFcstFinish]]+Tasks[[#This Row],[_Row]]/100000,"")</f>
        <v/>
      </c>
      <c r="ER170" s="32" t="str">
        <f aca="false">IF(Tasks[[#This Row],[_LeafCritical]],Tasks[[#This Row],[_ShownFcstStart]]+Tasks[[#This Row],[_Row]]/100000,"")</f>
        <v/>
      </c>
      <c r="ES170" s="32" t="n">
        <f aca="false">Tasks[[#This Row],[_LeafWork]]*Tasks[[#This Row],[_LeafProgress]]</f>
        <v>0</v>
      </c>
      <c r="ET170" s="115" t="str">
        <f aca="false">IF(AND(Tasks[[#This Row],[_IsLeaf]]=1,Tasks[[#This Row],[_LeafProgress]]&gt;=1),IF(N(Tasks[[#This Row],[Actual Finish]])&gt;0,Tasks[[#This Row],[Actual Finish]],Tasks[[#This Row],[_ShownFcstFinish]]),"")</f>
        <v/>
      </c>
      <c r="EU170" s="32" t="n">
        <f aca="false">IF(Tasks[[#This Row],[_IsLeaf]]=1,N(Tasks[[#This Row],[Story Points]]),0)</f>
        <v>0</v>
      </c>
      <c r="EV170" s="32" t="str">
        <f aca="false">IF(AND(Tasks[[#This Row],[_IsLeaf]]=1,CurrentSprint&lt;&gt;"",Tasks[[#This Row],[Sprint]]=CurrentSprint),Tasks[[#This Row],[_Row]],"")</f>
        <v/>
      </c>
    </row>
    <row r="171" customFormat="false" ht="15" hidden="false" customHeight="false" outlineLevel="0" collapsed="false">
      <c r="A171" s="45" t="str">
        <f aca="false">IF(Tasks[[#This Row],[Task Name]]="","",COUNTA(Tasks[[#Headers],[Task Name]]:Tasks[[#This Row],[Task Name]])-1)</f>
        <v/>
      </c>
      <c r="B171" s="46" t="n">
        <v>166</v>
      </c>
      <c r="C17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1" s="46"/>
      <c r="E171" s="45" t="str">
        <f aca="false">IF(Tasks[[#This Row],[Task Name]]="","",IF(Tasks[[#This Row],[_Level]]&lt;=OutlineShowLevel,"Yes","No"))</f>
        <v/>
      </c>
      <c r="F171" s="47"/>
      <c r="G171" s="46"/>
      <c r="H171" s="46"/>
      <c r="I171" s="46"/>
      <c r="J171" s="46"/>
      <c r="K171" s="46"/>
      <c r="L171" s="46"/>
      <c r="M171" s="46"/>
      <c r="N171" s="46"/>
      <c r="O171" s="46"/>
      <c r="P171" s="46"/>
      <c r="Q171" s="46"/>
      <c r="R171" s="46"/>
      <c r="S171" s="46"/>
      <c r="T171" s="46"/>
      <c r="U171" s="47"/>
      <c r="V171" s="88"/>
      <c r="W171" s="88"/>
      <c r="X171" s="25" t="str">
        <f aca="false">IF(Tasks[[#This Row],[Task Name]]="","",IF(N(Tasks[[#This Row],[Baseline Start]])&gt;0,Tasks[[#This Row],[Baseline Start]],Tasks[[#This Row],[_CalcStart]]))</f>
        <v/>
      </c>
      <c r="Y171" s="25" t="str">
        <f aca="false">IF(Tasks[[#This Row],[Task Name]]="","",IF(N(Tasks[[#This Row],[Baseline Finish]])&gt;0,Tasks[[#This Row],[Baseline Finish]],Tasks[[#This Row],[_CalcFinish]]))</f>
        <v/>
      </c>
      <c r="Z171" s="88"/>
      <c r="AA171" s="88"/>
      <c r="AB171" s="25" t="str">
        <f aca="false">IF(Tasks[[#This Row],[Task Name]]="","",IF(Tasks[[#This Row],[_IsSummary]],MIN(INDEX(Tasks[_ShownFcstStart],Tasks[[#This Row],[_Row]]+1):INDEX(Tasks[_ShownFcstStart],Tasks[[#This Row],[_Row]]+Tasks[[#This Row],[_Descendants]])),Tasks[[#This Row],[_ShownFcstStart]]))</f>
        <v/>
      </c>
      <c r="AC171" s="25" t="str">
        <f aca="false">IF(Tasks[[#This Row],[Task Name]]="","",IF(Tasks[[#This Row],[_IsSummary]],MAX(INDEX(Tasks[_ShownFcstFinish],Tasks[[#This Row],[_Row]]+1):INDEX(Tasks[_ShownFcstFinish],Tasks[[#This Row],[_Row]]+Tasks[[#This Row],[_Descendants]])),Tasks[[#This Row],[_ShownFcstFinish]]))</f>
        <v/>
      </c>
      <c r="AD17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1" s="25" t="str">
        <f aca="false">IF(Tasks[[#This Row],[Task Name]]="","",IF(Tasks[[#This Row],[_IsSummary]],MIN(INDEX(Tasks[_LeafLateStart],Tasks[[#This Row],[_Row]]+1):INDEX(Tasks[_LeafLateStart],Tasks[[#This Row],[_Row]]+Tasks[[#This Row],[_Descendants]])),Tasks[[#This Row],[_LeafLateStart]]))</f>
        <v/>
      </c>
      <c r="AG171" s="25" t="str">
        <f aca="false">IF(Tasks[[#This Row],[Task Name]]="","",IF(Tasks[[#This Row],[_IsSummary]],MAX(INDEX(Tasks[_LeafLateFinish],Tasks[[#This Row],[_Row]]+1):INDEX(Tasks[_LeafLateFinish],Tasks[[#This Row],[_Row]]+Tasks[[#This Row],[_Descendants]])),Tasks[[#This Row],[_LeafLateFinish]]))</f>
        <v/>
      </c>
      <c r="AH171" s="56" t="str">
        <f aca="false">IF(Tasks[[#This Row],[Task Name]]="","",IF(Tasks[[#This Row],[_IsSummary]],MIN(INDEX(Tasks[_LeafTotalSlack],Tasks[[#This Row],[_Row]]+1):INDEX(Tasks[_LeafTotalSlack],Tasks[[#This Row],[_Row]]+Tasks[[#This Row],[_Descendants]])),Tasks[[#This Row],[_LeafTotalSlack]]))</f>
        <v/>
      </c>
      <c r="AI17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1" s="45" t="str">
        <f aca="false">IF(Tasks[[#This Row],[Task Name]]="","",IF(IF(Tasks[[#This Row],[_IsSummary]],COUNTIF(INDEX(Tasks[_LeafCritical],Tasks[[#This Row],[_Row]]+1):INDEX(Tasks[_LeafCritical],Tasks[[#This Row],[_Row]]+Tasks[[#This Row],[_Descendants]]),TRUE())&gt;0,Tasks[[#This Row],[_LeafCritical]]),"Yes",""))</f>
        <v/>
      </c>
      <c r="AK17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1" s="102"/>
      <c r="AN17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1" s="45" t="str">
        <f aca="false">IF(Tasks[[#This Row],[Task Name]]="","",IF(Tasks[[#This Row],[Progress]]&gt;=1,"Complete",IF(OR(N(Tasks[[#This Row],[Actual Start]])&gt;0,Tasks[[#This Row],[Progress]]&gt;0),IF(Tasks[[#This Row],[Finish Var]]&gt;0,"Behind","In Progress"),IF(Tasks[[#This Row],[Planned Start]]&lt;StatusDate,"Late Start","Not Started"))))</f>
        <v/>
      </c>
      <c r="AP171" s="47"/>
      <c r="AQ171" s="102"/>
      <c r="AR17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1" s="110" t="str">
        <f aca="false">IF(Tasks[[#This Row],[Task Name]]="","",IF(Tasks[[#This Row],[_IsSummary]],SUM(INDEX(Tasks[_LeafTotalWork],Tasks[[#This Row],[_Row]]+1):INDEX(Tasks[_LeafTotalWork],Tasks[[#This Row],[_Row]]+Tasks[[#This Row],[_Descendants]])),Tasks[[#This Row],[_LeafTotalWork]]))</f>
        <v/>
      </c>
      <c r="AU171" s="111" t="str">
        <f aca="false">IF(Tasks[[#This Row],[Task Name]]="","",IF(Tasks[[#This Row],[_IsSummary]],SUM(INDEX(Tasks[_LeafTotalCost],Tasks[[#This Row],[_Row]]+1):INDEX(Tasks[_LeafTotalCost],Tasks[[#This Row],[_Row]]+Tasks[[#This Row],[_Descendants]])),Tasks[[#This Row],[_LeafTotalCost]]))</f>
        <v/>
      </c>
      <c r="AV171" s="112"/>
      <c r="AW171" s="46"/>
      <c r="AX17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1" s="96"/>
      <c r="AZ17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1" s="47"/>
      <c r="BB171" s="25" t="str">
        <f aca="false">IF(Tasks[[#This Row],[Task Name]]="","",Tasks[[#This Row],[Forecast Start]])</f>
        <v/>
      </c>
      <c r="BC171" s="25" t="str">
        <f aca="false">IF(Tasks[[#This Row],[Task Name]]="","",Tasks[[#This Row],[Forecast Finish]])</f>
        <v/>
      </c>
      <c r="BD171" s="45" t="str">
        <f aca="false">IF(Tasks[[#This Row],[Task Name]]="","",IF(Tasks[[#This Row],[_IsSummary]],NETWORKDAYS.INTL(Tasks[[#This Row],[Forecast Start]],Tasks[[#This Row],[Forecast Finish]],WorkWeek,Holidays),N(Tasks[[#This Row],[Duration]])))</f>
        <v/>
      </c>
      <c r="BE171" s="110" t="str">
        <f aca="false">IF(Tasks[[#This Row],[Task Name]]="","",Tasks[[#This Row],[Work]])</f>
        <v/>
      </c>
      <c r="BF171" s="111" t="str">
        <f aca="false">IF(Tasks[[#This Row],[Task Name]]="","",Tasks[[#This Row],[Cost]])</f>
        <v/>
      </c>
      <c r="BG171" s="88"/>
      <c r="BH171" s="88"/>
      <c r="BI171" s="46"/>
      <c r="BJ171" s="113"/>
      <c r="BK171" s="112"/>
      <c r="BL171" s="45" t="str">
        <f aca="false">IF(OR(Tasks[[#This Row],[Task Name]]="",Tasks[[#This Row],[Baseline Duration]]=""),"",Tasks[[#This Row],[BL Source Duration]]-N(Tasks[[#This Row],[Baseline Duration]]))</f>
        <v/>
      </c>
      <c r="BM171" s="110" t="str">
        <f aca="false">IF(OR(Tasks[[#This Row],[Task Name]]="",Tasks[[#This Row],[Baseline Work]]=""),"",Tasks[[#This Row],[Work]]-N(Tasks[[#This Row],[Baseline Work]]))</f>
        <v/>
      </c>
      <c r="BN171" s="111" t="str">
        <f aca="false">IF(OR(Tasks[[#This Row],[Task Name]]="",Tasks[[#This Row],[Baseline Cost]]=""),"",Tasks[[#This Row],[Cost]]-N(Tasks[[#This Row],[Baseline Cost]]))</f>
        <v/>
      </c>
      <c r="BO171" s="111" t="str">
        <f aca="false">IF(Tasks[[#This Row],[Task Name]]="","",IF(Tasks[[#This Row],[_IsSummary]],SUM(INDEX(Tasks[_LeafBudget],Tasks[[#This Row],[_Row]]+1):INDEX(Tasks[_LeafBudget],Tasks[[#This Row],[_Row]]+Tasks[[#This Row],[_Descendants]])),Tasks[[#This Row],[_LeafBudget]]))</f>
        <v/>
      </c>
      <c r="BP171" s="111" t="str">
        <f aca="false">IF(Tasks[[#This Row],[Task Name]]="","",IF(Tasks[[#This Row],[_IsSummary]],SUM(INDEX(Tasks[_LeafPV],Tasks[[#This Row],[_Row]]+1):INDEX(Tasks[_LeafPV],Tasks[[#This Row],[_Row]]+Tasks[[#This Row],[_Descendants]])),Tasks[[#This Row],[_LeafPV]]))</f>
        <v/>
      </c>
      <c r="BQ171" s="111" t="str">
        <f aca="false">IF(Tasks[[#This Row],[Task Name]]="","",IF(Tasks[[#This Row],[_IsSummary]],SUM(INDEX(Tasks[_LeafEV],Tasks[[#This Row],[_Row]]+1):INDEX(Tasks[_LeafEV],Tasks[[#This Row],[_Row]]+Tasks[[#This Row],[_Descendants]])),Tasks[[#This Row],[_LeafEV]]))</f>
        <v/>
      </c>
      <c r="BR171" s="111" t="str">
        <f aca="false">IF(Tasks[[#This Row],[Task Name]]="","",IF(Tasks[[#This Row],[_IsSummary]],SUM(INDEX(Tasks[_LeafAC],Tasks[[#This Row],[_Row]]+1):INDEX(Tasks[_LeafAC],Tasks[[#This Row],[_Row]]+Tasks[[#This Row],[_Descendants]])),Tasks[[#This Row],[_LeafAC]]))</f>
        <v/>
      </c>
      <c r="BS171" s="32" t="str">
        <f aca="false">IF(Tasks[[#This Row],[Task Name]]="","",MAX(1,N(Tasks[[#This Row],[Level]])))</f>
        <v/>
      </c>
      <c r="BT171" s="32" t="n">
        <f aca="false">ROW()-ROW(Tasks[[#Headers],[ID]])</f>
        <v>166</v>
      </c>
      <c r="BU171" s="32" t="n">
        <f aca="false">IF(OR(Tasks[[#This Row],[Task Name]]="",Tasks[[#This Row],[_Level]]&lt;=1),0,IFERROR(LOOKUP(2,1/(Tasks[[#Headers],[_Level]]:Tasks[[#This Row],[_Level]]=Tasks[[#This Row],[_Level]]-1),ROW(Tasks[[#Headers],[_Level]]:Tasks[[#This Row],[_Level]])),0))</f>
        <v>0</v>
      </c>
      <c r="BV171" s="32" t="n">
        <f aca="false">IFERROR(N(INDEX(Tasks[_Level],Tasks[[#This Row],[_Row]]+1)),0)</f>
        <v>0</v>
      </c>
      <c r="BW171" s="114" t="b">
        <f aca="false">AND(Tasks[[#This Row],[Task Name]]&lt;&gt;"",Tasks[[#This Row],[_NextLevel]]&gt;Tasks[[#This Row],[_Level]])</f>
        <v>0</v>
      </c>
      <c r="BX171" s="32" t="n">
        <f aca="false">IF(Tasks[[#This Row],[_IsSummary]],COUNTIF(Tasks[WBS],Tasks[[#This Row],[WBS]]&amp;".*"),0)</f>
        <v>0</v>
      </c>
      <c r="BY171" s="32" t="n">
        <f aca="false">IF(AND(Tasks[[#This Row],[Task Name]]&lt;&gt;"",NOT(Tasks[[#This Row],[_IsSummary]])),1,0)</f>
        <v>0</v>
      </c>
      <c r="BZ171" s="32" t="n">
        <f aca="false">IF(N(Tasks[[#This Row],[Pred1 UID]])=0,0,IFERROR(MATCH(Tasks[[#This Row],[Pred1 UID]],Tasks[UID],0),-1))</f>
        <v>0</v>
      </c>
      <c r="CA171" s="32" t="n">
        <f aca="false">IF(N(Tasks[[#This Row],[Pred2 UID]])=0,0,IFERROR(MATCH(Tasks[[#This Row],[Pred2 UID]],Tasks[UID],0),-1))</f>
        <v>0</v>
      </c>
      <c r="CB171" s="32" t="n">
        <f aca="false">IF(N(Tasks[[#This Row],[Pred3 UID]])=0,0,IFERROR(MATCH(Tasks[[#This Row],[Pred3 UID]],Tasks[UID],0),-1))</f>
        <v>0</v>
      </c>
      <c r="CC171" s="32" t="n">
        <f aca="false">IF(N(Tasks[[#This Row],[Pred4 UID]])=0,0,IFERROR(MATCH(Tasks[[#This Row],[Pred4 UID]],Tasks[UID],0),-1))</f>
        <v>0</v>
      </c>
      <c r="CD17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1" s="115" t="n">
        <f aca="false">IF(OR(Tasks[[#This Row],[_ConstraintCode]]=2,Tasks[[#This Row],[_ConstraintCode]]=3,Tasks[[#This Row],[_ConstraintCode]]=4,Tasks[[#This Row],[_ConstraintCode]]=6),Tasks[[#This Row],[_ConstraintStart]],0)</f>
        <v>0</v>
      </c>
      <c r="CG171" s="115" t="n">
        <f aca="false">IF(OR(Tasks[[#This Row],[_ConstraintCode]]=2,Tasks[[#This Row],[_ConstraintCode]]=3,Tasks[[#This Row],[_ConstraintCode]]=5,Tasks[[#This Row],[_ConstraintCode]]=7),Tasks[[#This Row],[_ConstraintStart]],2958465)</f>
        <v>2958465</v>
      </c>
      <c r="CH17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1" s="115" t="str">
        <f aca="false">IF(NOT(Tasks[[#This Row],[_IsLeaf]]=1),"",IF(N(Tasks[[#This Row],[Duration]])&lt;=0,Tasks[[#This Row],[_LeafCalcStart]],WORKDAY.INTL(Tasks[[#This Row],[_LeafCalcStart]],Tasks[[#This Row],[Duration]]-1,WorkWeek,Holidays)))</f>
        <v/>
      </c>
      <c r="CJ17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1" s="32" t="n">
        <f aca="false">IF(NOT(Tasks[[#This Row],[_IsLeaf]]=1),0,IF(N(Tasks[[#This Row],[Actual Finish]])&gt;0,1,MIN(1,N(Tasks[[#This Row],[% Complete]]))))</f>
        <v>0</v>
      </c>
      <c r="CM171" s="32" t="n">
        <f aca="false">IF(OR(NOT(Tasks[[#This Row],[_IsLeaf]]=1),Tasks[[#This Row],[Resource]]=""),0,N(Tasks[[#This Row],[Duration]])*HoursPerDay*IF(Tasks[[#This Row],[Units]]="",DefaultUnits,Tasks[[#This Row],[Units]]))</f>
        <v>0</v>
      </c>
      <c r="CN171" s="32" t="n">
        <f aca="false">IF(Tasks[[#This Row],[_LeafWork]]=0,0,Tasks[[#This Row],[_LeafWork]]*IFERROR(INDEX(res_Rate,MATCH(Tasks[[#This Row],[Resource]],res_Name,0)),0))</f>
        <v>0</v>
      </c>
      <c r="CO171" s="32" t="n">
        <f aca="false">Tasks[[#This Row],[_LeafWork]]+IF(Tasks[[#This Row],[_IsLeaf]]=1,SUMIFS(asg_Work,asg_TaskUID,Tasks[[#This Row],[UID]],asg_Valid,1),0)</f>
        <v>0</v>
      </c>
      <c r="CP171" s="32" t="n">
        <f aca="false">Tasks[[#This Row],[_LeafCost]]+IF(Tasks[[#This Row],[_IsLeaf]]=1,SUMIFS(asg_Cost,asg_TaskUID,Tasks[[#This Row],[UID]],asg_Valid,1),0)</f>
        <v>0</v>
      </c>
      <c r="CQ171" s="32" t="n">
        <f aca="false">IF(Tasks[[#This Row],[_LeafTotalCost]]=0,Tasks[[#This Row],[_LeafAC]],Tasks[[#This Row],[_LeafAC]]*Tasks[[#This Row],[_LeafCost]]/Tasks[[#This Row],[_LeafTotalCost]])</f>
        <v>0</v>
      </c>
      <c r="CR17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1" s="32" t="n">
        <f aca="false">IF(NOT(Tasks[[#This Row],[_IsLeaf]]=1),0,MAX(_xlfn.MAXIFS(Tasks[_Row],Tasks[Pred1 UID],Tasks[[#This Row],[UID]]),_xlfn.MAXIFS(Tasks[_Row],Tasks[Pred2 UID],Tasks[[#This Row],[UID]]),_xlfn.MAXIFS(Tasks[_Row],Tasks[Pred3 UID],Tasks[[#This Row],[UID]]),_xlfn.MAXIFS(Tasks[_Row],Tasks[Pred4 UID],Tasks[[#This Row],[UID]])))</f>
        <v>0</v>
      </c>
      <c r="DA17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1" s="115" t="str">
        <f aca="false">IF(NOT(Tasks[[#This Row],[_IsLeaf]]=1),"",IF(N(Tasks[[#This Row],[Duration]])&lt;=0,Tasks[[#This Row],[_LeafLateFinish]],WORKDAY.INTL(Tasks[[#This Row],[_LeafLateFinish]],-(Tasks[[#This Row],[Duration]]-1),WorkWeek,Holidays)))</f>
        <v/>
      </c>
      <c r="DD17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1" s="114" t="b">
        <f aca="false">AND(Tasks[[#This Row],[_IsLeaf]]=1,Tasks[[#This Row],[_LeafProgress]]&lt;1,N(Tasks[[#This Row],[_LeafTotalSlack]])&lt;=CriticalSlackDays)</f>
        <v>0</v>
      </c>
      <c r="DF171" s="32" t="n">
        <f aca="false">IF(AND(Tasks[[#This Row],[_IsLeaf]]=1,Tasks[[#This Row],[_ConstraintCode]]=1,Tasks[[#This Row],[Mode]]&lt;&gt;"Manual",N(Tasks[[#This Row],[Actual Start]])=0),MAX(0,N(Tasks[[#This Row],[Free Slack]])),0)</f>
        <v>0</v>
      </c>
      <c r="DG171" s="115" t="str">
        <f aca="false">IF(NOT(Tasks[[#This Row],[_IsLeaf]]=1),"",IF(Tasks[[#This Row],[_AlapShift]]=0,Tasks[[#This Row],[_LeafCalcStart]],WORKDAY.INTL(Tasks[[#This Row],[_LeafCalcStart]],Tasks[[#This Row],[_AlapShift]],WorkWeek,Holidays)))</f>
        <v/>
      </c>
      <c r="DH171" s="115" t="str">
        <f aca="false">IF(NOT(Tasks[[#This Row],[_IsLeaf]]=1),"",IF(Tasks[[#This Row],[_AlapShift]]=0,Tasks[[#This Row],[_LeafCalcFinish]],WORKDAY.INTL(Tasks[[#This Row],[_LeafCalcFinish]],Tasks[[#This Row],[_AlapShift]],WorkWeek,Holidays)))</f>
        <v/>
      </c>
      <c r="DI171" s="115" t="str">
        <f aca="false">IF(NOT(Tasks[[#This Row],[_IsLeaf]]=1),"",IF(Tasks[[#This Row],[_AlapShift]]=0,Tasks[[#This Row],[_LeafFcstStart]],WORKDAY.INTL(Tasks[[#This Row],[_LeafFcstStart]],Tasks[[#This Row],[_AlapShift]],WorkWeek,Holidays)))</f>
        <v/>
      </c>
      <c r="DJ171" s="115" t="str">
        <f aca="false">IF(NOT(Tasks[[#This Row],[_IsLeaf]]=1),"",IF(Tasks[[#This Row],[_AlapShift]]=0,Tasks[[#This Row],[_LeafFcstFinish]],WORKDAY.INTL(Tasks[[#This Row],[_LeafFcstFinish]],Tasks[[#This Row],[_AlapShift]],WorkWeek,Holidays)))</f>
        <v/>
      </c>
      <c r="DK171" s="115" t="str">
        <f aca="false">IF(Tasks[[#This Row],[Task Name]]="","",IF(Tasks[[#This Row],[_IsSummary]],MIN(INDEX(Tasks[_ShownCalcStart],Tasks[[#This Row],[_Row]]+1):INDEX(Tasks[_ShownCalcStart],Tasks[[#This Row],[_Row]]+Tasks[[#This Row],[_Descendants]])),Tasks[[#This Row],[_ShownCalcStart]]))</f>
        <v/>
      </c>
      <c r="DL171" s="115" t="str">
        <f aca="false">IF(Tasks[[#This Row],[Task Name]]="","",IF(Tasks[[#This Row],[_IsSummary]],MAX(INDEX(Tasks[_ShownCalcFinish],Tasks[[#This Row],[_Row]]+1):INDEX(Tasks[_ShownCalcFinish],Tasks[[#This Row],[_Row]]+Tasks[[#This Row],[_Descendants]])),Tasks[[#This Row],[_ShownCalcFinish]]))</f>
        <v/>
      </c>
      <c r="DM17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1" s="32" t="n">
        <f aca="false">IF(AND(Tasks[[#This Row],[_IsLeaf]]=1,Tasks[[#This Row],[_LeafTotalWork]]&gt;0),NETWORKDAYS.INTL(ProjectStart,Tasks[[#This Row],[_ShownFcstStart]],WorkWeek,Holidays),0)</f>
        <v>0</v>
      </c>
      <c r="DZ171" s="32" t="n">
        <f aca="false">IF(AND(Tasks[[#This Row],[_IsLeaf]]=1,Tasks[[#This Row],[_LeafTotalWork]]&gt;0),MAX(Tasks[[#This Row],[_StartWorkday]],NETWORKDAYS.INTL(ProjectStart,Tasks[[#This Row],[_ShownFcstFinish]],WorkWeek,Holidays)),0)</f>
        <v>0</v>
      </c>
      <c r="EA171" s="32" t="n">
        <f aca="false">IF(AND(Tasks[[#This Row],[_IsLeaf]]=1,Tasks[[#This Row],[_LeafTotalWork]]&gt;0),Tasks[[#This Row],[_LeafWork]]/(Tasks[[#This Row],[_FinishWorkday]]-Tasks[[#This Row],[_StartWorkday]]+1),0)</f>
        <v>0</v>
      </c>
      <c r="EB171" s="32" t="n">
        <f aca="false">Tasks[[#This Row],[_WorkPerWorkday]]*(Tasks[[#This Row],[_StartWorkday]]-1)</f>
        <v>-0</v>
      </c>
      <c r="EC171" s="32" t="n">
        <f aca="false">IF(Tasks[[#This Row],[_IsLeaf]]=1,MAX(N(Tasks[[#This Row],[Duration]]),0.1),0)</f>
        <v>0</v>
      </c>
      <c r="ED171" s="32" t="n">
        <f aca="false">Tasks[[#This Row],[_WeightDur]]*Tasks[[#This Row],[_LeafProgress]]</f>
        <v>0</v>
      </c>
      <c r="EE17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1" s="32" t="str">
        <f aca="false">IF(AND(Tasks[[#This Row],[_IsLeaf]]=1,N(Tasks[[#This Row],[Duration]])=0,Tasks[[#This Row],[_LeafProgress]]&lt;1),Tasks[[#This Row],[_ShownFcstFinish]]+Tasks[[#This Row],[_Row]]/100000,"")</f>
        <v/>
      </c>
      <c r="EG17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1" s="32" t="n">
        <f aca="false">IF(NOT(Tasks[[#This Row],[_IsLeaf]]=1),0,IF(Tasks[[#This Row],[Baseline Cost]]="",Tasks[[#This Row],[_LeafTotalCost]],N(Tasks[[#This Row],[Baseline Cost]])))</f>
        <v>0</v>
      </c>
      <c r="EI171" s="32" t="n">
        <f aca="false">Tasks[[#This Row],[_LeafBudget]]*Tasks[[#This Row],[_PlannedPct]]</f>
        <v>0</v>
      </c>
      <c r="EJ171" s="32" t="n">
        <f aca="false">Tasks[[#This Row],[_LeafBudget]]*Tasks[[#This Row],[_LeafProgress]]</f>
        <v>0</v>
      </c>
      <c r="EK171" s="32" t="n">
        <f aca="false">IF(NOT(Tasks[[#This Row],[_IsLeaf]]=1),0,IF(Tasks[[#This Row],[Actual Cost]]="",Tasks[[#This Row],[_LeafTotalCost]]*Tasks[[#This Row],[_LeafProgress]],N(Tasks[[#This Row],[Actual Cost]])))</f>
        <v>0</v>
      </c>
      <c r="EL171" s="32" t="str">
        <f aca="false">IF(Tasks[[#This Row],[Task Name]]="","",LEFT(Tasks[[#This Row],[WBS]],FIND(".",Tasks[[#This Row],[WBS]]&amp;".")-1))</f>
        <v/>
      </c>
      <c r="EM171" s="32" t="str">
        <f aca="false">IF(AND(Tasks[[#This Row],[Task Name]]&lt;&gt;"",Tasks[[#This Row],[_Level]]=1),Tasks[[#This Row],[_Row]],"")</f>
        <v/>
      </c>
      <c r="EN171" s="32" t="str">
        <f aca="false">IF(AND(Tasks[[#This Row],[_IsLeaf]]=1,N(Tasks[[#This Row],[Duration]])=0),Tasks[[#This Row],[Planned Finish]]+Tasks[[#This Row],[_Row]]/100000,"")</f>
        <v/>
      </c>
      <c r="EO171" s="32" t="str">
        <f aca="false">IF(AND(Tasks[[#This Row],[_IsLeaf]]=1,Tasks[[#This Row],[_LeafProgress]]&lt;1,OR(N(Tasks[[#This Row],[Finish Var]])&gt;0,Tasks[[#This Row],[Status]]="Late Start")),MAX(0,Tasks[[#This Row],[Finish Var]])+1-Tasks[[#This Row],[_Row]]/1000000,"")</f>
        <v/>
      </c>
      <c r="EP171" s="32" t="str">
        <f aca="false">IF(AND(Tasks[[#This Row],[_IsLeaf]]=1,N(Tasks[[#This Row],[Actual Start]])=0,Tasks[[#This Row],[_ShownFcstStart]]&gt;=StatusDate,Tasks[[#This Row],[_ShownFcstStart]]&lt;=LookaheadEnd),Tasks[[#This Row],[_ShownFcstStart]]+Tasks[[#This Row],[_Row]]/100000,"")</f>
        <v/>
      </c>
      <c r="EQ171" s="32" t="str">
        <f aca="false">IF(AND(Tasks[[#This Row],[_IsLeaf]]=1,Tasks[[#This Row],[_LeafProgress]]&lt;1,Tasks[[#This Row],[_ShownFcstFinish]]&gt;=StatusDate,Tasks[[#This Row],[_ShownFcstFinish]]&lt;=LookaheadEnd),Tasks[[#This Row],[_ShownFcstFinish]]+Tasks[[#This Row],[_Row]]/100000,"")</f>
        <v/>
      </c>
      <c r="ER171" s="32" t="str">
        <f aca="false">IF(Tasks[[#This Row],[_LeafCritical]],Tasks[[#This Row],[_ShownFcstStart]]+Tasks[[#This Row],[_Row]]/100000,"")</f>
        <v/>
      </c>
      <c r="ES171" s="32" t="n">
        <f aca="false">Tasks[[#This Row],[_LeafWork]]*Tasks[[#This Row],[_LeafProgress]]</f>
        <v>0</v>
      </c>
      <c r="ET171" s="115" t="str">
        <f aca="false">IF(AND(Tasks[[#This Row],[_IsLeaf]]=1,Tasks[[#This Row],[_LeafProgress]]&gt;=1),IF(N(Tasks[[#This Row],[Actual Finish]])&gt;0,Tasks[[#This Row],[Actual Finish]],Tasks[[#This Row],[_ShownFcstFinish]]),"")</f>
        <v/>
      </c>
      <c r="EU171" s="32" t="n">
        <f aca="false">IF(Tasks[[#This Row],[_IsLeaf]]=1,N(Tasks[[#This Row],[Story Points]]),0)</f>
        <v>0</v>
      </c>
      <c r="EV171" s="32" t="str">
        <f aca="false">IF(AND(Tasks[[#This Row],[_IsLeaf]]=1,CurrentSprint&lt;&gt;"",Tasks[[#This Row],[Sprint]]=CurrentSprint),Tasks[[#This Row],[_Row]],"")</f>
        <v/>
      </c>
    </row>
    <row r="172" customFormat="false" ht="15" hidden="false" customHeight="false" outlineLevel="0" collapsed="false">
      <c r="A172" s="45" t="str">
        <f aca="false">IF(Tasks[[#This Row],[Task Name]]="","",COUNTA(Tasks[[#Headers],[Task Name]]:Tasks[[#This Row],[Task Name]])-1)</f>
        <v/>
      </c>
      <c r="B172" s="46" t="n">
        <v>167</v>
      </c>
      <c r="C17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2" s="46"/>
      <c r="E172" s="45" t="str">
        <f aca="false">IF(Tasks[[#This Row],[Task Name]]="","",IF(Tasks[[#This Row],[_Level]]&lt;=OutlineShowLevel,"Yes","No"))</f>
        <v/>
      </c>
      <c r="F172" s="47"/>
      <c r="G172" s="46"/>
      <c r="H172" s="46"/>
      <c r="I172" s="46"/>
      <c r="J172" s="46"/>
      <c r="K172" s="46"/>
      <c r="L172" s="46"/>
      <c r="M172" s="46"/>
      <c r="N172" s="46"/>
      <c r="O172" s="46"/>
      <c r="P172" s="46"/>
      <c r="Q172" s="46"/>
      <c r="R172" s="46"/>
      <c r="S172" s="46"/>
      <c r="T172" s="46"/>
      <c r="U172" s="47"/>
      <c r="V172" s="88"/>
      <c r="W172" s="88"/>
      <c r="X172" s="25" t="str">
        <f aca="false">IF(Tasks[[#This Row],[Task Name]]="","",IF(N(Tasks[[#This Row],[Baseline Start]])&gt;0,Tasks[[#This Row],[Baseline Start]],Tasks[[#This Row],[_CalcStart]]))</f>
        <v/>
      </c>
      <c r="Y172" s="25" t="str">
        <f aca="false">IF(Tasks[[#This Row],[Task Name]]="","",IF(N(Tasks[[#This Row],[Baseline Finish]])&gt;0,Tasks[[#This Row],[Baseline Finish]],Tasks[[#This Row],[_CalcFinish]]))</f>
        <v/>
      </c>
      <c r="Z172" s="88"/>
      <c r="AA172" s="88"/>
      <c r="AB172" s="25" t="str">
        <f aca="false">IF(Tasks[[#This Row],[Task Name]]="","",IF(Tasks[[#This Row],[_IsSummary]],MIN(INDEX(Tasks[_ShownFcstStart],Tasks[[#This Row],[_Row]]+1):INDEX(Tasks[_ShownFcstStart],Tasks[[#This Row],[_Row]]+Tasks[[#This Row],[_Descendants]])),Tasks[[#This Row],[_ShownFcstStart]]))</f>
        <v/>
      </c>
      <c r="AC172" s="25" t="str">
        <f aca="false">IF(Tasks[[#This Row],[Task Name]]="","",IF(Tasks[[#This Row],[_IsSummary]],MAX(INDEX(Tasks[_ShownFcstFinish],Tasks[[#This Row],[_Row]]+1):INDEX(Tasks[_ShownFcstFinish],Tasks[[#This Row],[_Row]]+Tasks[[#This Row],[_Descendants]])),Tasks[[#This Row],[_ShownFcstFinish]]))</f>
        <v/>
      </c>
      <c r="AD17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2" s="25" t="str">
        <f aca="false">IF(Tasks[[#This Row],[Task Name]]="","",IF(Tasks[[#This Row],[_IsSummary]],MIN(INDEX(Tasks[_LeafLateStart],Tasks[[#This Row],[_Row]]+1):INDEX(Tasks[_LeafLateStart],Tasks[[#This Row],[_Row]]+Tasks[[#This Row],[_Descendants]])),Tasks[[#This Row],[_LeafLateStart]]))</f>
        <v/>
      </c>
      <c r="AG172" s="25" t="str">
        <f aca="false">IF(Tasks[[#This Row],[Task Name]]="","",IF(Tasks[[#This Row],[_IsSummary]],MAX(INDEX(Tasks[_LeafLateFinish],Tasks[[#This Row],[_Row]]+1):INDEX(Tasks[_LeafLateFinish],Tasks[[#This Row],[_Row]]+Tasks[[#This Row],[_Descendants]])),Tasks[[#This Row],[_LeafLateFinish]]))</f>
        <v/>
      </c>
      <c r="AH172" s="56" t="str">
        <f aca="false">IF(Tasks[[#This Row],[Task Name]]="","",IF(Tasks[[#This Row],[_IsSummary]],MIN(INDEX(Tasks[_LeafTotalSlack],Tasks[[#This Row],[_Row]]+1):INDEX(Tasks[_LeafTotalSlack],Tasks[[#This Row],[_Row]]+Tasks[[#This Row],[_Descendants]])),Tasks[[#This Row],[_LeafTotalSlack]]))</f>
        <v/>
      </c>
      <c r="AI17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2" s="45" t="str">
        <f aca="false">IF(Tasks[[#This Row],[Task Name]]="","",IF(IF(Tasks[[#This Row],[_IsSummary]],COUNTIF(INDEX(Tasks[_LeafCritical],Tasks[[#This Row],[_Row]]+1):INDEX(Tasks[_LeafCritical],Tasks[[#This Row],[_Row]]+Tasks[[#This Row],[_Descendants]]),TRUE())&gt;0,Tasks[[#This Row],[_LeafCritical]]),"Yes",""))</f>
        <v/>
      </c>
      <c r="AK17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2" s="102"/>
      <c r="AN17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2" s="45" t="str">
        <f aca="false">IF(Tasks[[#This Row],[Task Name]]="","",IF(Tasks[[#This Row],[Progress]]&gt;=1,"Complete",IF(OR(N(Tasks[[#This Row],[Actual Start]])&gt;0,Tasks[[#This Row],[Progress]]&gt;0),IF(Tasks[[#This Row],[Finish Var]]&gt;0,"Behind","In Progress"),IF(Tasks[[#This Row],[Planned Start]]&lt;StatusDate,"Late Start","Not Started"))))</f>
        <v/>
      </c>
      <c r="AP172" s="47"/>
      <c r="AQ172" s="102"/>
      <c r="AR17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2" s="110" t="str">
        <f aca="false">IF(Tasks[[#This Row],[Task Name]]="","",IF(Tasks[[#This Row],[_IsSummary]],SUM(INDEX(Tasks[_LeafTotalWork],Tasks[[#This Row],[_Row]]+1):INDEX(Tasks[_LeafTotalWork],Tasks[[#This Row],[_Row]]+Tasks[[#This Row],[_Descendants]])),Tasks[[#This Row],[_LeafTotalWork]]))</f>
        <v/>
      </c>
      <c r="AU172" s="111" t="str">
        <f aca="false">IF(Tasks[[#This Row],[Task Name]]="","",IF(Tasks[[#This Row],[_IsSummary]],SUM(INDEX(Tasks[_LeafTotalCost],Tasks[[#This Row],[_Row]]+1):INDEX(Tasks[_LeafTotalCost],Tasks[[#This Row],[_Row]]+Tasks[[#This Row],[_Descendants]])),Tasks[[#This Row],[_LeafTotalCost]]))</f>
        <v/>
      </c>
      <c r="AV172" s="112"/>
      <c r="AW172" s="46"/>
      <c r="AX17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2" s="96"/>
      <c r="AZ17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2" s="47"/>
      <c r="BB172" s="25" t="str">
        <f aca="false">IF(Tasks[[#This Row],[Task Name]]="","",Tasks[[#This Row],[Forecast Start]])</f>
        <v/>
      </c>
      <c r="BC172" s="25" t="str">
        <f aca="false">IF(Tasks[[#This Row],[Task Name]]="","",Tasks[[#This Row],[Forecast Finish]])</f>
        <v/>
      </c>
      <c r="BD172" s="45" t="str">
        <f aca="false">IF(Tasks[[#This Row],[Task Name]]="","",IF(Tasks[[#This Row],[_IsSummary]],NETWORKDAYS.INTL(Tasks[[#This Row],[Forecast Start]],Tasks[[#This Row],[Forecast Finish]],WorkWeek,Holidays),N(Tasks[[#This Row],[Duration]])))</f>
        <v/>
      </c>
      <c r="BE172" s="110" t="str">
        <f aca="false">IF(Tasks[[#This Row],[Task Name]]="","",Tasks[[#This Row],[Work]])</f>
        <v/>
      </c>
      <c r="BF172" s="111" t="str">
        <f aca="false">IF(Tasks[[#This Row],[Task Name]]="","",Tasks[[#This Row],[Cost]])</f>
        <v/>
      </c>
      <c r="BG172" s="88"/>
      <c r="BH172" s="88"/>
      <c r="BI172" s="46"/>
      <c r="BJ172" s="113"/>
      <c r="BK172" s="112"/>
      <c r="BL172" s="45" t="str">
        <f aca="false">IF(OR(Tasks[[#This Row],[Task Name]]="",Tasks[[#This Row],[Baseline Duration]]=""),"",Tasks[[#This Row],[BL Source Duration]]-N(Tasks[[#This Row],[Baseline Duration]]))</f>
        <v/>
      </c>
      <c r="BM172" s="110" t="str">
        <f aca="false">IF(OR(Tasks[[#This Row],[Task Name]]="",Tasks[[#This Row],[Baseline Work]]=""),"",Tasks[[#This Row],[Work]]-N(Tasks[[#This Row],[Baseline Work]]))</f>
        <v/>
      </c>
      <c r="BN172" s="111" t="str">
        <f aca="false">IF(OR(Tasks[[#This Row],[Task Name]]="",Tasks[[#This Row],[Baseline Cost]]=""),"",Tasks[[#This Row],[Cost]]-N(Tasks[[#This Row],[Baseline Cost]]))</f>
        <v/>
      </c>
      <c r="BO172" s="111" t="str">
        <f aca="false">IF(Tasks[[#This Row],[Task Name]]="","",IF(Tasks[[#This Row],[_IsSummary]],SUM(INDEX(Tasks[_LeafBudget],Tasks[[#This Row],[_Row]]+1):INDEX(Tasks[_LeafBudget],Tasks[[#This Row],[_Row]]+Tasks[[#This Row],[_Descendants]])),Tasks[[#This Row],[_LeafBudget]]))</f>
        <v/>
      </c>
      <c r="BP172" s="111" t="str">
        <f aca="false">IF(Tasks[[#This Row],[Task Name]]="","",IF(Tasks[[#This Row],[_IsSummary]],SUM(INDEX(Tasks[_LeafPV],Tasks[[#This Row],[_Row]]+1):INDEX(Tasks[_LeafPV],Tasks[[#This Row],[_Row]]+Tasks[[#This Row],[_Descendants]])),Tasks[[#This Row],[_LeafPV]]))</f>
        <v/>
      </c>
      <c r="BQ172" s="111" t="str">
        <f aca="false">IF(Tasks[[#This Row],[Task Name]]="","",IF(Tasks[[#This Row],[_IsSummary]],SUM(INDEX(Tasks[_LeafEV],Tasks[[#This Row],[_Row]]+1):INDEX(Tasks[_LeafEV],Tasks[[#This Row],[_Row]]+Tasks[[#This Row],[_Descendants]])),Tasks[[#This Row],[_LeafEV]]))</f>
        <v/>
      </c>
      <c r="BR172" s="111" t="str">
        <f aca="false">IF(Tasks[[#This Row],[Task Name]]="","",IF(Tasks[[#This Row],[_IsSummary]],SUM(INDEX(Tasks[_LeafAC],Tasks[[#This Row],[_Row]]+1):INDEX(Tasks[_LeafAC],Tasks[[#This Row],[_Row]]+Tasks[[#This Row],[_Descendants]])),Tasks[[#This Row],[_LeafAC]]))</f>
        <v/>
      </c>
      <c r="BS172" s="32" t="str">
        <f aca="false">IF(Tasks[[#This Row],[Task Name]]="","",MAX(1,N(Tasks[[#This Row],[Level]])))</f>
        <v/>
      </c>
      <c r="BT172" s="32" t="n">
        <f aca="false">ROW()-ROW(Tasks[[#Headers],[ID]])</f>
        <v>167</v>
      </c>
      <c r="BU172" s="32" t="n">
        <f aca="false">IF(OR(Tasks[[#This Row],[Task Name]]="",Tasks[[#This Row],[_Level]]&lt;=1),0,IFERROR(LOOKUP(2,1/(Tasks[[#Headers],[_Level]]:Tasks[[#This Row],[_Level]]=Tasks[[#This Row],[_Level]]-1),ROW(Tasks[[#Headers],[_Level]]:Tasks[[#This Row],[_Level]])),0))</f>
        <v>0</v>
      </c>
      <c r="BV172" s="32" t="n">
        <f aca="false">IFERROR(N(INDEX(Tasks[_Level],Tasks[[#This Row],[_Row]]+1)),0)</f>
        <v>0</v>
      </c>
      <c r="BW172" s="114" t="b">
        <f aca="false">AND(Tasks[[#This Row],[Task Name]]&lt;&gt;"",Tasks[[#This Row],[_NextLevel]]&gt;Tasks[[#This Row],[_Level]])</f>
        <v>0</v>
      </c>
      <c r="BX172" s="32" t="n">
        <f aca="false">IF(Tasks[[#This Row],[_IsSummary]],COUNTIF(Tasks[WBS],Tasks[[#This Row],[WBS]]&amp;".*"),0)</f>
        <v>0</v>
      </c>
      <c r="BY172" s="32" t="n">
        <f aca="false">IF(AND(Tasks[[#This Row],[Task Name]]&lt;&gt;"",NOT(Tasks[[#This Row],[_IsSummary]])),1,0)</f>
        <v>0</v>
      </c>
      <c r="BZ172" s="32" t="n">
        <f aca="false">IF(N(Tasks[[#This Row],[Pred1 UID]])=0,0,IFERROR(MATCH(Tasks[[#This Row],[Pred1 UID]],Tasks[UID],0),-1))</f>
        <v>0</v>
      </c>
      <c r="CA172" s="32" t="n">
        <f aca="false">IF(N(Tasks[[#This Row],[Pred2 UID]])=0,0,IFERROR(MATCH(Tasks[[#This Row],[Pred2 UID]],Tasks[UID],0),-1))</f>
        <v>0</v>
      </c>
      <c r="CB172" s="32" t="n">
        <f aca="false">IF(N(Tasks[[#This Row],[Pred3 UID]])=0,0,IFERROR(MATCH(Tasks[[#This Row],[Pred3 UID]],Tasks[UID],0),-1))</f>
        <v>0</v>
      </c>
      <c r="CC172" s="32" t="n">
        <f aca="false">IF(N(Tasks[[#This Row],[Pred4 UID]])=0,0,IFERROR(MATCH(Tasks[[#This Row],[Pred4 UID]],Tasks[UID],0),-1))</f>
        <v>0</v>
      </c>
      <c r="CD17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2" s="115" t="n">
        <f aca="false">IF(OR(Tasks[[#This Row],[_ConstraintCode]]=2,Tasks[[#This Row],[_ConstraintCode]]=3,Tasks[[#This Row],[_ConstraintCode]]=4,Tasks[[#This Row],[_ConstraintCode]]=6),Tasks[[#This Row],[_ConstraintStart]],0)</f>
        <v>0</v>
      </c>
      <c r="CG172" s="115" t="n">
        <f aca="false">IF(OR(Tasks[[#This Row],[_ConstraintCode]]=2,Tasks[[#This Row],[_ConstraintCode]]=3,Tasks[[#This Row],[_ConstraintCode]]=5,Tasks[[#This Row],[_ConstraintCode]]=7),Tasks[[#This Row],[_ConstraintStart]],2958465)</f>
        <v>2958465</v>
      </c>
      <c r="CH17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2" s="115" t="str">
        <f aca="false">IF(NOT(Tasks[[#This Row],[_IsLeaf]]=1),"",IF(N(Tasks[[#This Row],[Duration]])&lt;=0,Tasks[[#This Row],[_LeafCalcStart]],WORKDAY.INTL(Tasks[[#This Row],[_LeafCalcStart]],Tasks[[#This Row],[Duration]]-1,WorkWeek,Holidays)))</f>
        <v/>
      </c>
      <c r="CJ17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2" s="32" t="n">
        <f aca="false">IF(NOT(Tasks[[#This Row],[_IsLeaf]]=1),0,IF(N(Tasks[[#This Row],[Actual Finish]])&gt;0,1,MIN(1,N(Tasks[[#This Row],[% Complete]]))))</f>
        <v>0</v>
      </c>
      <c r="CM172" s="32" t="n">
        <f aca="false">IF(OR(NOT(Tasks[[#This Row],[_IsLeaf]]=1),Tasks[[#This Row],[Resource]]=""),0,N(Tasks[[#This Row],[Duration]])*HoursPerDay*IF(Tasks[[#This Row],[Units]]="",DefaultUnits,Tasks[[#This Row],[Units]]))</f>
        <v>0</v>
      </c>
      <c r="CN172" s="32" t="n">
        <f aca="false">IF(Tasks[[#This Row],[_LeafWork]]=0,0,Tasks[[#This Row],[_LeafWork]]*IFERROR(INDEX(res_Rate,MATCH(Tasks[[#This Row],[Resource]],res_Name,0)),0))</f>
        <v>0</v>
      </c>
      <c r="CO172" s="32" t="n">
        <f aca="false">Tasks[[#This Row],[_LeafWork]]+IF(Tasks[[#This Row],[_IsLeaf]]=1,SUMIFS(asg_Work,asg_TaskUID,Tasks[[#This Row],[UID]],asg_Valid,1),0)</f>
        <v>0</v>
      </c>
      <c r="CP172" s="32" t="n">
        <f aca="false">Tasks[[#This Row],[_LeafCost]]+IF(Tasks[[#This Row],[_IsLeaf]]=1,SUMIFS(asg_Cost,asg_TaskUID,Tasks[[#This Row],[UID]],asg_Valid,1),0)</f>
        <v>0</v>
      </c>
      <c r="CQ172" s="32" t="n">
        <f aca="false">IF(Tasks[[#This Row],[_LeafTotalCost]]=0,Tasks[[#This Row],[_LeafAC]],Tasks[[#This Row],[_LeafAC]]*Tasks[[#This Row],[_LeafCost]]/Tasks[[#This Row],[_LeafTotalCost]])</f>
        <v>0</v>
      </c>
      <c r="CR17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2" s="32" t="n">
        <f aca="false">IF(NOT(Tasks[[#This Row],[_IsLeaf]]=1),0,MAX(_xlfn.MAXIFS(Tasks[_Row],Tasks[Pred1 UID],Tasks[[#This Row],[UID]]),_xlfn.MAXIFS(Tasks[_Row],Tasks[Pred2 UID],Tasks[[#This Row],[UID]]),_xlfn.MAXIFS(Tasks[_Row],Tasks[Pred3 UID],Tasks[[#This Row],[UID]]),_xlfn.MAXIFS(Tasks[_Row],Tasks[Pred4 UID],Tasks[[#This Row],[UID]])))</f>
        <v>0</v>
      </c>
      <c r="DA17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2" s="115" t="str">
        <f aca="false">IF(NOT(Tasks[[#This Row],[_IsLeaf]]=1),"",IF(N(Tasks[[#This Row],[Duration]])&lt;=0,Tasks[[#This Row],[_LeafLateFinish]],WORKDAY.INTL(Tasks[[#This Row],[_LeafLateFinish]],-(Tasks[[#This Row],[Duration]]-1),WorkWeek,Holidays)))</f>
        <v/>
      </c>
      <c r="DD17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2" s="114" t="b">
        <f aca="false">AND(Tasks[[#This Row],[_IsLeaf]]=1,Tasks[[#This Row],[_LeafProgress]]&lt;1,N(Tasks[[#This Row],[_LeafTotalSlack]])&lt;=CriticalSlackDays)</f>
        <v>0</v>
      </c>
      <c r="DF172" s="32" t="n">
        <f aca="false">IF(AND(Tasks[[#This Row],[_IsLeaf]]=1,Tasks[[#This Row],[_ConstraintCode]]=1,Tasks[[#This Row],[Mode]]&lt;&gt;"Manual",N(Tasks[[#This Row],[Actual Start]])=0),MAX(0,N(Tasks[[#This Row],[Free Slack]])),0)</f>
        <v>0</v>
      </c>
      <c r="DG172" s="115" t="str">
        <f aca="false">IF(NOT(Tasks[[#This Row],[_IsLeaf]]=1),"",IF(Tasks[[#This Row],[_AlapShift]]=0,Tasks[[#This Row],[_LeafCalcStart]],WORKDAY.INTL(Tasks[[#This Row],[_LeafCalcStart]],Tasks[[#This Row],[_AlapShift]],WorkWeek,Holidays)))</f>
        <v/>
      </c>
      <c r="DH172" s="115" t="str">
        <f aca="false">IF(NOT(Tasks[[#This Row],[_IsLeaf]]=1),"",IF(Tasks[[#This Row],[_AlapShift]]=0,Tasks[[#This Row],[_LeafCalcFinish]],WORKDAY.INTL(Tasks[[#This Row],[_LeafCalcFinish]],Tasks[[#This Row],[_AlapShift]],WorkWeek,Holidays)))</f>
        <v/>
      </c>
      <c r="DI172" s="115" t="str">
        <f aca="false">IF(NOT(Tasks[[#This Row],[_IsLeaf]]=1),"",IF(Tasks[[#This Row],[_AlapShift]]=0,Tasks[[#This Row],[_LeafFcstStart]],WORKDAY.INTL(Tasks[[#This Row],[_LeafFcstStart]],Tasks[[#This Row],[_AlapShift]],WorkWeek,Holidays)))</f>
        <v/>
      </c>
      <c r="DJ172" s="115" t="str">
        <f aca="false">IF(NOT(Tasks[[#This Row],[_IsLeaf]]=1),"",IF(Tasks[[#This Row],[_AlapShift]]=0,Tasks[[#This Row],[_LeafFcstFinish]],WORKDAY.INTL(Tasks[[#This Row],[_LeafFcstFinish]],Tasks[[#This Row],[_AlapShift]],WorkWeek,Holidays)))</f>
        <v/>
      </c>
      <c r="DK172" s="115" t="str">
        <f aca="false">IF(Tasks[[#This Row],[Task Name]]="","",IF(Tasks[[#This Row],[_IsSummary]],MIN(INDEX(Tasks[_ShownCalcStart],Tasks[[#This Row],[_Row]]+1):INDEX(Tasks[_ShownCalcStart],Tasks[[#This Row],[_Row]]+Tasks[[#This Row],[_Descendants]])),Tasks[[#This Row],[_ShownCalcStart]]))</f>
        <v/>
      </c>
      <c r="DL172" s="115" t="str">
        <f aca="false">IF(Tasks[[#This Row],[Task Name]]="","",IF(Tasks[[#This Row],[_IsSummary]],MAX(INDEX(Tasks[_ShownCalcFinish],Tasks[[#This Row],[_Row]]+1):INDEX(Tasks[_ShownCalcFinish],Tasks[[#This Row],[_Row]]+Tasks[[#This Row],[_Descendants]])),Tasks[[#This Row],[_ShownCalcFinish]]))</f>
        <v/>
      </c>
      <c r="DM17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2" s="32" t="n">
        <f aca="false">IF(AND(Tasks[[#This Row],[_IsLeaf]]=1,Tasks[[#This Row],[_LeafTotalWork]]&gt;0),NETWORKDAYS.INTL(ProjectStart,Tasks[[#This Row],[_ShownFcstStart]],WorkWeek,Holidays),0)</f>
        <v>0</v>
      </c>
      <c r="DZ172" s="32" t="n">
        <f aca="false">IF(AND(Tasks[[#This Row],[_IsLeaf]]=1,Tasks[[#This Row],[_LeafTotalWork]]&gt;0),MAX(Tasks[[#This Row],[_StartWorkday]],NETWORKDAYS.INTL(ProjectStart,Tasks[[#This Row],[_ShownFcstFinish]],WorkWeek,Holidays)),0)</f>
        <v>0</v>
      </c>
      <c r="EA172" s="32" t="n">
        <f aca="false">IF(AND(Tasks[[#This Row],[_IsLeaf]]=1,Tasks[[#This Row],[_LeafTotalWork]]&gt;0),Tasks[[#This Row],[_LeafWork]]/(Tasks[[#This Row],[_FinishWorkday]]-Tasks[[#This Row],[_StartWorkday]]+1),0)</f>
        <v>0</v>
      </c>
      <c r="EB172" s="32" t="n">
        <f aca="false">Tasks[[#This Row],[_WorkPerWorkday]]*(Tasks[[#This Row],[_StartWorkday]]-1)</f>
        <v>-0</v>
      </c>
      <c r="EC172" s="32" t="n">
        <f aca="false">IF(Tasks[[#This Row],[_IsLeaf]]=1,MAX(N(Tasks[[#This Row],[Duration]]),0.1),0)</f>
        <v>0</v>
      </c>
      <c r="ED172" s="32" t="n">
        <f aca="false">Tasks[[#This Row],[_WeightDur]]*Tasks[[#This Row],[_LeafProgress]]</f>
        <v>0</v>
      </c>
      <c r="EE17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2" s="32" t="str">
        <f aca="false">IF(AND(Tasks[[#This Row],[_IsLeaf]]=1,N(Tasks[[#This Row],[Duration]])=0,Tasks[[#This Row],[_LeafProgress]]&lt;1),Tasks[[#This Row],[_ShownFcstFinish]]+Tasks[[#This Row],[_Row]]/100000,"")</f>
        <v/>
      </c>
      <c r="EG17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2" s="32" t="n">
        <f aca="false">IF(NOT(Tasks[[#This Row],[_IsLeaf]]=1),0,IF(Tasks[[#This Row],[Baseline Cost]]="",Tasks[[#This Row],[_LeafTotalCost]],N(Tasks[[#This Row],[Baseline Cost]])))</f>
        <v>0</v>
      </c>
      <c r="EI172" s="32" t="n">
        <f aca="false">Tasks[[#This Row],[_LeafBudget]]*Tasks[[#This Row],[_PlannedPct]]</f>
        <v>0</v>
      </c>
      <c r="EJ172" s="32" t="n">
        <f aca="false">Tasks[[#This Row],[_LeafBudget]]*Tasks[[#This Row],[_LeafProgress]]</f>
        <v>0</v>
      </c>
      <c r="EK172" s="32" t="n">
        <f aca="false">IF(NOT(Tasks[[#This Row],[_IsLeaf]]=1),0,IF(Tasks[[#This Row],[Actual Cost]]="",Tasks[[#This Row],[_LeafTotalCost]]*Tasks[[#This Row],[_LeafProgress]],N(Tasks[[#This Row],[Actual Cost]])))</f>
        <v>0</v>
      </c>
      <c r="EL172" s="32" t="str">
        <f aca="false">IF(Tasks[[#This Row],[Task Name]]="","",LEFT(Tasks[[#This Row],[WBS]],FIND(".",Tasks[[#This Row],[WBS]]&amp;".")-1))</f>
        <v/>
      </c>
      <c r="EM172" s="32" t="str">
        <f aca="false">IF(AND(Tasks[[#This Row],[Task Name]]&lt;&gt;"",Tasks[[#This Row],[_Level]]=1),Tasks[[#This Row],[_Row]],"")</f>
        <v/>
      </c>
      <c r="EN172" s="32" t="str">
        <f aca="false">IF(AND(Tasks[[#This Row],[_IsLeaf]]=1,N(Tasks[[#This Row],[Duration]])=0),Tasks[[#This Row],[Planned Finish]]+Tasks[[#This Row],[_Row]]/100000,"")</f>
        <v/>
      </c>
      <c r="EO172" s="32" t="str">
        <f aca="false">IF(AND(Tasks[[#This Row],[_IsLeaf]]=1,Tasks[[#This Row],[_LeafProgress]]&lt;1,OR(N(Tasks[[#This Row],[Finish Var]])&gt;0,Tasks[[#This Row],[Status]]="Late Start")),MAX(0,Tasks[[#This Row],[Finish Var]])+1-Tasks[[#This Row],[_Row]]/1000000,"")</f>
        <v/>
      </c>
      <c r="EP172" s="32" t="str">
        <f aca="false">IF(AND(Tasks[[#This Row],[_IsLeaf]]=1,N(Tasks[[#This Row],[Actual Start]])=0,Tasks[[#This Row],[_ShownFcstStart]]&gt;=StatusDate,Tasks[[#This Row],[_ShownFcstStart]]&lt;=LookaheadEnd),Tasks[[#This Row],[_ShownFcstStart]]+Tasks[[#This Row],[_Row]]/100000,"")</f>
        <v/>
      </c>
      <c r="EQ172" s="32" t="str">
        <f aca="false">IF(AND(Tasks[[#This Row],[_IsLeaf]]=1,Tasks[[#This Row],[_LeafProgress]]&lt;1,Tasks[[#This Row],[_ShownFcstFinish]]&gt;=StatusDate,Tasks[[#This Row],[_ShownFcstFinish]]&lt;=LookaheadEnd),Tasks[[#This Row],[_ShownFcstFinish]]+Tasks[[#This Row],[_Row]]/100000,"")</f>
        <v/>
      </c>
      <c r="ER172" s="32" t="str">
        <f aca="false">IF(Tasks[[#This Row],[_LeafCritical]],Tasks[[#This Row],[_ShownFcstStart]]+Tasks[[#This Row],[_Row]]/100000,"")</f>
        <v/>
      </c>
      <c r="ES172" s="32" t="n">
        <f aca="false">Tasks[[#This Row],[_LeafWork]]*Tasks[[#This Row],[_LeafProgress]]</f>
        <v>0</v>
      </c>
      <c r="ET172" s="115" t="str">
        <f aca="false">IF(AND(Tasks[[#This Row],[_IsLeaf]]=1,Tasks[[#This Row],[_LeafProgress]]&gt;=1),IF(N(Tasks[[#This Row],[Actual Finish]])&gt;0,Tasks[[#This Row],[Actual Finish]],Tasks[[#This Row],[_ShownFcstFinish]]),"")</f>
        <v/>
      </c>
      <c r="EU172" s="32" t="n">
        <f aca="false">IF(Tasks[[#This Row],[_IsLeaf]]=1,N(Tasks[[#This Row],[Story Points]]),0)</f>
        <v>0</v>
      </c>
      <c r="EV172" s="32" t="str">
        <f aca="false">IF(AND(Tasks[[#This Row],[_IsLeaf]]=1,CurrentSprint&lt;&gt;"",Tasks[[#This Row],[Sprint]]=CurrentSprint),Tasks[[#This Row],[_Row]],"")</f>
        <v/>
      </c>
    </row>
    <row r="173" customFormat="false" ht="15" hidden="false" customHeight="false" outlineLevel="0" collapsed="false">
      <c r="A173" s="45" t="str">
        <f aca="false">IF(Tasks[[#This Row],[Task Name]]="","",COUNTA(Tasks[[#Headers],[Task Name]]:Tasks[[#This Row],[Task Name]])-1)</f>
        <v/>
      </c>
      <c r="B173" s="46" t="n">
        <v>168</v>
      </c>
      <c r="C17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3" s="46"/>
      <c r="E173" s="45" t="str">
        <f aca="false">IF(Tasks[[#This Row],[Task Name]]="","",IF(Tasks[[#This Row],[_Level]]&lt;=OutlineShowLevel,"Yes","No"))</f>
        <v/>
      </c>
      <c r="F173" s="47"/>
      <c r="G173" s="46"/>
      <c r="H173" s="46"/>
      <c r="I173" s="46"/>
      <c r="J173" s="46"/>
      <c r="K173" s="46"/>
      <c r="L173" s="46"/>
      <c r="M173" s="46"/>
      <c r="N173" s="46"/>
      <c r="O173" s="46"/>
      <c r="P173" s="46"/>
      <c r="Q173" s="46"/>
      <c r="R173" s="46"/>
      <c r="S173" s="46"/>
      <c r="T173" s="46"/>
      <c r="U173" s="47"/>
      <c r="V173" s="88"/>
      <c r="W173" s="88"/>
      <c r="X173" s="25" t="str">
        <f aca="false">IF(Tasks[[#This Row],[Task Name]]="","",IF(N(Tasks[[#This Row],[Baseline Start]])&gt;0,Tasks[[#This Row],[Baseline Start]],Tasks[[#This Row],[_CalcStart]]))</f>
        <v/>
      </c>
      <c r="Y173" s="25" t="str">
        <f aca="false">IF(Tasks[[#This Row],[Task Name]]="","",IF(N(Tasks[[#This Row],[Baseline Finish]])&gt;0,Tasks[[#This Row],[Baseline Finish]],Tasks[[#This Row],[_CalcFinish]]))</f>
        <v/>
      </c>
      <c r="Z173" s="88"/>
      <c r="AA173" s="88"/>
      <c r="AB173" s="25" t="str">
        <f aca="false">IF(Tasks[[#This Row],[Task Name]]="","",IF(Tasks[[#This Row],[_IsSummary]],MIN(INDEX(Tasks[_ShownFcstStart],Tasks[[#This Row],[_Row]]+1):INDEX(Tasks[_ShownFcstStart],Tasks[[#This Row],[_Row]]+Tasks[[#This Row],[_Descendants]])),Tasks[[#This Row],[_ShownFcstStart]]))</f>
        <v/>
      </c>
      <c r="AC173" s="25" t="str">
        <f aca="false">IF(Tasks[[#This Row],[Task Name]]="","",IF(Tasks[[#This Row],[_IsSummary]],MAX(INDEX(Tasks[_ShownFcstFinish],Tasks[[#This Row],[_Row]]+1):INDEX(Tasks[_ShownFcstFinish],Tasks[[#This Row],[_Row]]+Tasks[[#This Row],[_Descendants]])),Tasks[[#This Row],[_ShownFcstFinish]]))</f>
        <v/>
      </c>
      <c r="AD17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3" s="25" t="str">
        <f aca="false">IF(Tasks[[#This Row],[Task Name]]="","",IF(Tasks[[#This Row],[_IsSummary]],MIN(INDEX(Tasks[_LeafLateStart],Tasks[[#This Row],[_Row]]+1):INDEX(Tasks[_LeafLateStart],Tasks[[#This Row],[_Row]]+Tasks[[#This Row],[_Descendants]])),Tasks[[#This Row],[_LeafLateStart]]))</f>
        <v/>
      </c>
      <c r="AG173" s="25" t="str">
        <f aca="false">IF(Tasks[[#This Row],[Task Name]]="","",IF(Tasks[[#This Row],[_IsSummary]],MAX(INDEX(Tasks[_LeafLateFinish],Tasks[[#This Row],[_Row]]+1):INDEX(Tasks[_LeafLateFinish],Tasks[[#This Row],[_Row]]+Tasks[[#This Row],[_Descendants]])),Tasks[[#This Row],[_LeafLateFinish]]))</f>
        <v/>
      </c>
      <c r="AH173" s="56" t="str">
        <f aca="false">IF(Tasks[[#This Row],[Task Name]]="","",IF(Tasks[[#This Row],[_IsSummary]],MIN(INDEX(Tasks[_LeafTotalSlack],Tasks[[#This Row],[_Row]]+1):INDEX(Tasks[_LeafTotalSlack],Tasks[[#This Row],[_Row]]+Tasks[[#This Row],[_Descendants]])),Tasks[[#This Row],[_LeafTotalSlack]]))</f>
        <v/>
      </c>
      <c r="AI17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3" s="45" t="str">
        <f aca="false">IF(Tasks[[#This Row],[Task Name]]="","",IF(IF(Tasks[[#This Row],[_IsSummary]],COUNTIF(INDEX(Tasks[_LeafCritical],Tasks[[#This Row],[_Row]]+1):INDEX(Tasks[_LeafCritical],Tasks[[#This Row],[_Row]]+Tasks[[#This Row],[_Descendants]]),TRUE())&gt;0,Tasks[[#This Row],[_LeafCritical]]),"Yes",""))</f>
        <v/>
      </c>
      <c r="AK17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3" s="102"/>
      <c r="AN17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3" s="45" t="str">
        <f aca="false">IF(Tasks[[#This Row],[Task Name]]="","",IF(Tasks[[#This Row],[Progress]]&gt;=1,"Complete",IF(OR(N(Tasks[[#This Row],[Actual Start]])&gt;0,Tasks[[#This Row],[Progress]]&gt;0),IF(Tasks[[#This Row],[Finish Var]]&gt;0,"Behind","In Progress"),IF(Tasks[[#This Row],[Planned Start]]&lt;StatusDate,"Late Start","Not Started"))))</f>
        <v/>
      </c>
      <c r="AP173" s="47"/>
      <c r="AQ173" s="102"/>
      <c r="AR17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3" s="110" t="str">
        <f aca="false">IF(Tasks[[#This Row],[Task Name]]="","",IF(Tasks[[#This Row],[_IsSummary]],SUM(INDEX(Tasks[_LeafTotalWork],Tasks[[#This Row],[_Row]]+1):INDEX(Tasks[_LeafTotalWork],Tasks[[#This Row],[_Row]]+Tasks[[#This Row],[_Descendants]])),Tasks[[#This Row],[_LeafTotalWork]]))</f>
        <v/>
      </c>
      <c r="AU173" s="111" t="str">
        <f aca="false">IF(Tasks[[#This Row],[Task Name]]="","",IF(Tasks[[#This Row],[_IsSummary]],SUM(INDEX(Tasks[_LeafTotalCost],Tasks[[#This Row],[_Row]]+1):INDEX(Tasks[_LeafTotalCost],Tasks[[#This Row],[_Row]]+Tasks[[#This Row],[_Descendants]])),Tasks[[#This Row],[_LeafTotalCost]]))</f>
        <v/>
      </c>
      <c r="AV173" s="112"/>
      <c r="AW173" s="46"/>
      <c r="AX17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3" s="96"/>
      <c r="AZ17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3" s="47"/>
      <c r="BB173" s="25" t="str">
        <f aca="false">IF(Tasks[[#This Row],[Task Name]]="","",Tasks[[#This Row],[Forecast Start]])</f>
        <v/>
      </c>
      <c r="BC173" s="25" t="str">
        <f aca="false">IF(Tasks[[#This Row],[Task Name]]="","",Tasks[[#This Row],[Forecast Finish]])</f>
        <v/>
      </c>
      <c r="BD173" s="45" t="str">
        <f aca="false">IF(Tasks[[#This Row],[Task Name]]="","",IF(Tasks[[#This Row],[_IsSummary]],NETWORKDAYS.INTL(Tasks[[#This Row],[Forecast Start]],Tasks[[#This Row],[Forecast Finish]],WorkWeek,Holidays),N(Tasks[[#This Row],[Duration]])))</f>
        <v/>
      </c>
      <c r="BE173" s="110" t="str">
        <f aca="false">IF(Tasks[[#This Row],[Task Name]]="","",Tasks[[#This Row],[Work]])</f>
        <v/>
      </c>
      <c r="BF173" s="111" t="str">
        <f aca="false">IF(Tasks[[#This Row],[Task Name]]="","",Tasks[[#This Row],[Cost]])</f>
        <v/>
      </c>
      <c r="BG173" s="88"/>
      <c r="BH173" s="88"/>
      <c r="BI173" s="46"/>
      <c r="BJ173" s="113"/>
      <c r="BK173" s="112"/>
      <c r="BL173" s="45" t="str">
        <f aca="false">IF(OR(Tasks[[#This Row],[Task Name]]="",Tasks[[#This Row],[Baseline Duration]]=""),"",Tasks[[#This Row],[BL Source Duration]]-N(Tasks[[#This Row],[Baseline Duration]]))</f>
        <v/>
      </c>
      <c r="BM173" s="110" t="str">
        <f aca="false">IF(OR(Tasks[[#This Row],[Task Name]]="",Tasks[[#This Row],[Baseline Work]]=""),"",Tasks[[#This Row],[Work]]-N(Tasks[[#This Row],[Baseline Work]]))</f>
        <v/>
      </c>
      <c r="BN173" s="111" t="str">
        <f aca="false">IF(OR(Tasks[[#This Row],[Task Name]]="",Tasks[[#This Row],[Baseline Cost]]=""),"",Tasks[[#This Row],[Cost]]-N(Tasks[[#This Row],[Baseline Cost]]))</f>
        <v/>
      </c>
      <c r="BO173" s="111" t="str">
        <f aca="false">IF(Tasks[[#This Row],[Task Name]]="","",IF(Tasks[[#This Row],[_IsSummary]],SUM(INDEX(Tasks[_LeafBudget],Tasks[[#This Row],[_Row]]+1):INDEX(Tasks[_LeafBudget],Tasks[[#This Row],[_Row]]+Tasks[[#This Row],[_Descendants]])),Tasks[[#This Row],[_LeafBudget]]))</f>
        <v/>
      </c>
      <c r="BP173" s="111" t="str">
        <f aca="false">IF(Tasks[[#This Row],[Task Name]]="","",IF(Tasks[[#This Row],[_IsSummary]],SUM(INDEX(Tasks[_LeafPV],Tasks[[#This Row],[_Row]]+1):INDEX(Tasks[_LeafPV],Tasks[[#This Row],[_Row]]+Tasks[[#This Row],[_Descendants]])),Tasks[[#This Row],[_LeafPV]]))</f>
        <v/>
      </c>
      <c r="BQ173" s="111" t="str">
        <f aca="false">IF(Tasks[[#This Row],[Task Name]]="","",IF(Tasks[[#This Row],[_IsSummary]],SUM(INDEX(Tasks[_LeafEV],Tasks[[#This Row],[_Row]]+1):INDEX(Tasks[_LeafEV],Tasks[[#This Row],[_Row]]+Tasks[[#This Row],[_Descendants]])),Tasks[[#This Row],[_LeafEV]]))</f>
        <v/>
      </c>
      <c r="BR173" s="111" t="str">
        <f aca="false">IF(Tasks[[#This Row],[Task Name]]="","",IF(Tasks[[#This Row],[_IsSummary]],SUM(INDEX(Tasks[_LeafAC],Tasks[[#This Row],[_Row]]+1):INDEX(Tasks[_LeafAC],Tasks[[#This Row],[_Row]]+Tasks[[#This Row],[_Descendants]])),Tasks[[#This Row],[_LeafAC]]))</f>
        <v/>
      </c>
      <c r="BS173" s="32" t="str">
        <f aca="false">IF(Tasks[[#This Row],[Task Name]]="","",MAX(1,N(Tasks[[#This Row],[Level]])))</f>
        <v/>
      </c>
      <c r="BT173" s="32" t="n">
        <f aca="false">ROW()-ROW(Tasks[[#Headers],[ID]])</f>
        <v>168</v>
      </c>
      <c r="BU173" s="32" t="n">
        <f aca="false">IF(OR(Tasks[[#This Row],[Task Name]]="",Tasks[[#This Row],[_Level]]&lt;=1),0,IFERROR(LOOKUP(2,1/(Tasks[[#Headers],[_Level]]:Tasks[[#This Row],[_Level]]=Tasks[[#This Row],[_Level]]-1),ROW(Tasks[[#Headers],[_Level]]:Tasks[[#This Row],[_Level]])),0))</f>
        <v>0</v>
      </c>
      <c r="BV173" s="32" t="n">
        <f aca="false">IFERROR(N(INDEX(Tasks[_Level],Tasks[[#This Row],[_Row]]+1)),0)</f>
        <v>0</v>
      </c>
      <c r="BW173" s="114" t="b">
        <f aca="false">AND(Tasks[[#This Row],[Task Name]]&lt;&gt;"",Tasks[[#This Row],[_NextLevel]]&gt;Tasks[[#This Row],[_Level]])</f>
        <v>0</v>
      </c>
      <c r="BX173" s="32" t="n">
        <f aca="false">IF(Tasks[[#This Row],[_IsSummary]],COUNTIF(Tasks[WBS],Tasks[[#This Row],[WBS]]&amp;".*"),0)</f>
        <v>0</v>
      </c>
      <c r="BY173" s="32" t="n">
        <f aca="false">IF(AND(Tasks[[#This Row],[Task Name]]&lt;&gt;"",NOT(Tasks[[#This Row],[_IsSummary]])),1,0)</f>
        <v>0</v>
      </c>
      <c r="BZ173" s="32" t="n">
        <f aca="false">IF(N(Tasks[[#This Row],[Pred1 UID]])=0,0,IFERROR(MATCH(Tasks[[#This Row],[Pred1 UID]],Tasks[UID],0),-1))</f>
        <v>0</v>
      </c>
      <c r="CA173" s="32" t="n">
        <f aca="false">IF(N(Tasks[[#This Row],[Pred2 UID]])=0,0,IFERROR(MATCH(Tasks[[#This Row],[Pred2 UID]],Tasks[UID],0),-1))</f>
        <v>0</v>
      </c>
      <c r="CB173" s="32" t="n">
        <f aca="false">IF(N(Tasks[[#This Row],[Pred3 UID]])=0,0,IFERROR(MATCH(Tasks[[#This Row],[Pred3 UID]],Tasks[UID],0),-1))</f>
        <v>0</v>
      </c>
      <c r="CC173" s="32" t="n">
        <f aca="false">IF(N(Tasks[[#This Row],[Pred4 UID]])=0,0,IFERROR(MATCH(Tasks[[#This Row],[Pred4 UID]],Tasks[UID],0),-1))</f>
        <v>0</v>
      </c>
      <c r="CD17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3" s="115" t="n">
        <f aca="false">IF(OR(Tasks[[#This Row],[_ConstraintCode]]=2,Tasks[[#This Row],[_ConstraintCode]]=3,Tasks[[#This Row],[_ConstraintCode]]=4,Tasks[[#This Row],[_ConstraintCode]]=6),Tasks[[#This Row],[_ConstraintStart]],0)</f>
        <v>0</v>
      </c>
      <c r="CG173" s="115" t="n">
        <f aca="false">IF(OR(Tasks[[#This Row],[_ConstraintCode]]=2,Tasks[[#This Row],[_ConstraintCode]]=3,Tasks[[#This Row],[_ConstraintCode]]=5,Tasks[[#This Row],[_ConstraintCode]]=7),Tasks[[#This Row],[_ConstraintStart]],2958465)</f>
        <v>2958465</v>
      </c>
      <c r="CH17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3" s="115" t="str">
        <f aca="false">IF(NOT(Tasks[[#This Row],[_IsLeaf]]=1),"",IF(N(Tasks[[#This Row],[Duration]])&lt;=0,Tasks[[#This Row],[_LeafCalcStart]],WORKDAY.INTL(Tasks[[#This Row],[_LeafCalcStart]],Tasks[[#This Row],[Duration]]-1,WorkWeek,Holidays)))</f>
        <v/>
      </c>
      <c r="CJ17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3" s="32" t="n">
        <f aca="false">IF(NOT(Tasks[[#This Row],[_IsLeaf]]=1),0,IF(N(Tasks[[#This Row],[Actual Finish]])&gt;0,1,MIN(1,N(Tasks[[#This Row],[% Complete]]))))</f>
        <v>0</v>
      </c>
      <c r="CM173" s="32" t="n">
        <f aca="false">IF(OR(NOT(Tasks[[#This Row],[_IsLeaf]]=1),Tasks[[#This Row],[Resource]]=""),0,N(Tasks[[#This Row],[Duration]])*HoursPerDay*IF(Tasks[[#This Row],[Units]]="",DefaultUnits,Tasks[[#This Row],[Units]]))</f>
        <v>0</v>
      </c>
      <c r="CN173" s="32" t="n">
        <f aca="false">IF(Tasks[[#This Row],[_LeafWork]]=0,0,Tasks[[#This Row],[_LeafWork]]*IFERROR(INDEX(res_Rate,MATCH(Tasks[[#This Row],[Resource]],res_Name,0)),0))</f>
        <v>0</v>
      </c>
      <c r="CO173" s="32" t="n">
        <f aca="false">Tasks[[#This Row],[_LeafWork]]+IF(Tasks[[#This Row],[_IsLeaf]]=1,SUMIFS(asg_Work,asg_TaskUID,Tasks[[#This Row],[UID]],asg_Valid,1),0)</f>
        <v>0</v>
      </c>
      <c r="CP173" s="32" t="n">
        <f aca="false">Tasks[[#This Row],[_LeafCost]]+IF(Tasks[[#This Row],[_IsLeaf]]=1,SUMIFS(asg_Cost,asg_TaskUID,Tasks[[#This Row],[UID]],asg_Valid,1),0)</f>
        <v>0</v>
      </c>
      <c r="CQ173" s="32" t="n">
        <f aca="false">IF(Tasks[[#This Row],[_LeafTotalCost]]=0,Tasks[[#This Row],[_LeafAC]],Tasks[[#This Row],[_LeafAC]]*Tasks[[#This Row],[_LeafCost]]/Tasks[[#This Row],[_LeafTotalCost]])</f>
        <v>0</v>
      </c>
      <c r="CR17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3" s="32" t="n">
        <f aca="false">IF(NOT(Tasks[[#This Row],[_IsLeaf]]=1),0,MAX(_xlfn.MAXIFS(Tasks[_Row],Tasks[Pred1 UID],Tasks[[#This Row],[UID]]),_xlfn.MAXIFS(Tasks[_Row],Tasks[Pred2 UID],Tasks[[#This Row],[UID]]),_xlfn.MAXIFS(Tasks[_Row],Tasks[Pred3 UID],Tasks[[#This Row],[UID]]),_xlfn.MAXIFS(Tasks[_Row],Tasks[Pred4 UID],Tasks[[#This Row],[UID]])))</f>
        <v>0</v>
      </c>
      <c r="DA17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3" s="115" t="str">
        <f aca="false">IF(NOT(Tasks[[#This Row],[_IsLeaf]]=1),"",IF(N(Tasks[[#This Row],[Duration]])&lt;=0,Tasks[[#This Row],[_LeafLateFinish]],WORKDAY.INTL(Tasks[[#This Row],[_LeafLateFinish]],-(Tasks[[#This Row],[Duration]]-1),WorkWeek,Holidays)))</f>
        <v/>
      </c>
      <c r="DD17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3" s="114" t="b">
        <f aca="false">AND(Tasks[[#This Row],[_IsLeaf]]=1,Tasks[[#This Row],[_LeafProgress]]&lt;1,N(Tasks[[#This Row],[_LeafTotalSlack]])&lt;=CriticalSlackDays)</f>
        <v>0</v>
      </c>
      <c r="DF173" s="32" t="n">
        <f aca="false">IF(AND(Tasks[[#This Row],[_IsLeaf]]=1,Tasks[[#This Row],[_ConstraintCode]]=1,Tasks[[#This Row],[Mode]]&lt;&gt;"Manual",N(Tasks[[#This Row],[Actual Start]])=0),MAX(0,N(Tasks[[#This Row],[Free Slack]])),0)</f>
        <v>0</v>
      </c>
      <c r="DG173" s="115" t="str">
        <f aca="false">IF(NOT(Tasks[[#This Row],[_IsLeaf]]=1),"",IF(Tasks[[#This Row],[_AlapShift]]=0,Tasks[[#This Row],[_LeafCalcStart]],WORKDAY.INTL(Tasks[[#This Row],[_LeafCalcStart]],Tasks[[#This Row],[_AlapShift]],WorkWeek,Holidays)))</f>
        <v/>
      </c>
      <c r="DH173" s="115" t="str">
        <f aca="false">IF(NOT(Tasks[[#This Row],[_IsLeaf]]=1),"",IF(Tasks[[#This Row],[_AlapShift]]=0,Tasks[[#This Row],[_LeafCalcFinish]],WORKDAY.INTL(Tasks[[#This Row],[_LeafCalcFinish]],Tasks[[#This Row],[_AlapShift]],WorkWeek,Holidays)))</f>
        <v/>
      </c>
      <c r="DI173" s="115" t="str">
        <f aca="false">IF(NOT(Tasks[[#This Row],[_IsLeaf]]=1),"",IF(Tasks[[#This Row],[_AlapShift]]=0,Tasks[[#This Row],[_LeafFcstStart]],WORKDAY.INTL(Tasks[[#This Row],[_LeafFcstStart]],Tasks[[#This Row],[_AlapShift]],WorkWeek,Holidays)))</f>
        <v/>
      </c>
      <c r="DJ173" s="115" t="str">
        <f aca="false">IF(NOT(Tasks[[#This Row],[_IsLeaf]]=1),"",IF(Tasks[[#This Row],[_AlapShift]]=0,Tasks[[#This Row],[_LeafFcstFinish]],WORKDAY.INTL(Tasks[[#This Row],[_LeafFcstFinish]],Tasks[[#This Row],[_AlapShift]],WorkWeek,Holidays)))</f>
        <v/>
      </c>
      <c r="DK173" s="115" t="str">
        <f aca="false">IF(Tasks[[#This Row],[Task Name]]="","",IF(Tasks[[#This Row],[_IsSummary]],MIN(INDEX(Tasks[_ShownCalcStart],Tasks[[#This Row],[_Row]]+1):INDEX(Tasks[_ShownCalcStart],Tasks[[#This Row],[_Row]]+Tasks[[#This Row],[_Descendants]])),Tasks[[#This Row],[_ShownCalcStart]]))</f>
        <v/>
      </c>
      <c r="DL173" s="115" t="str">
        <f aca="false">IF(Tasks[[#This Row],[Task Name]]="","",IF(Tasks[[#This Row],[_IsSummary]],MAX(INDEX(Tasks[_ShownCalcFinish],Tasks[[#This Row],[_Row]]+1):INDEX(Tasks[_ShownCalcFinish],Tasks[[#This Row],[_Row]]+Tasks[[#This Row],[_Descendants]])),Tasks[[#This Row],[_ShownCalcFinish]]))</f>
        <v/>
      </c>
      <c r="DM17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3" s="32" t="n">
        <f aca="false">IF(AND(Tasks[[#This Row],[_IsLeaf]]=1,Tasks[[#This Row],[_LeafTotalWork]]&gt;0),NETWORKDAYS.INTL(ProjectStart,Tasks[[#This Row],[_ShownFcstStart]],WorkWeek,Holidays),0)</f>
        <v>0</v>
      </c>
      <c r="DZ173" s="32" t="n">
        <f aca="false">IF(AND(Tasks[[#This Row],[_IsLeaf]]=1,Tasks[[#This Row],[_LeafTotalWork]]&gt;0),MAX(Tasks[[#This Row],[_StartWorkday]],NETWORKDAYS.INTL(ProjectStart,Tasks[[#This Row],[_ShownFcstFinish]],WorkWeek,Holidays)),0)</f>
        <v>0</v>
      </c>
      <c r="EA173" s="32" t="n">
        <f aca="false">IF(AND(Tasks[[#This Row],[_IsLeaf]]=1,Tasks[[#This Row],[_LeafTotalWork]]&gt;0),Tasks[[#This Row],[_LeafWork]]/(Tasks[[#This Row],[_FinishWorkday]]-Tasks[[#This Row],[_StartWorkday]]+1),0)</f>
        <v>0</v>
      </c>
      <c r="EB173" s="32" t="n">
        <f aca="false">Tasks[[#This Row],[_WorkPerWorkday]]*(Tasks[[#This Row],[_StartWorkday]]-1)</f>
        <v>-0</v>
      </c>
      <c r="EC173" s="32" t="n">
        <f aca="false">IF(Tasks[[#This Row],[_IsLeaf]]=1,MAX(N(Tasks[[#This Row],[Duration]]),0.1),0)</f>
        <v>0</v>
      </c>
      <c r="ED173" s="32" t="n">
        <f aca="false">Tasks[[#This Row],[_WeightDur]]*Tasks[[#This Row],[_LeafProgress]]</f>
        <v>0</v>
      </c>
      <c r="EE17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3" s="32" t="str">
        <f aca="false">IF(AND(Tasks[[#This Row],[_IsLeaf]]=1,N(Tasks[[#This Row],[Duration]])=0,Tasks[[#This Row],[_LeafProgress]]&lt;1),Tasks[[#This Row],[_ShownFcstFinish]]+Tasks[[#This Row],[_Row]]/100000,"")</f>
        <v/>
      </c>
      <c r="EG17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3" s="32" t="n">
        <f aca="false">IF(NOT(Tasks[[#This Row],[_IsLeaf]]=1),0,IF(Tasks[[#This Row],[Baseline Cost]]="",Tasks[[#This Row],[_LeafTotalCost]],N(Tasks[[#This Row],[Baseline Cost]])))</f>
        <v>0</v>
      </c>
      <c r="EI173" s="32" t="n">
        <f aca="false">Tasks[[#This Row],[_LeafBudget]]*Tasks[[#This Row],[_PlannedPct]]</f>
        <v>0</v>
      </c>
      <c r="EJ173" s="32" t="n">
        <f aca="false">Tasks[[#This Row],[_LeafBudget]]*Tasks[[#This Row],[_LeafProgress]]</f>
        <v>0</v>
      </c>
      <c r="EK173" s="32" t="n">
        <f aca="false">IF(NOT(Tasks[[#This Row],[_IsLeaf]]=1),0,IF(Tasks[[#This Row],[Actual Cost]]="",Tasks[[#This Row],[_LeafTotalCost]]*Tasks[[#This Row],[_LeafProgress]],N(Tasks[[#This Row],[Actual Cost]])))</f>
        <v>0</v>
      </c>
      <c r="EL173" s="32" t="str">
        <f aca="false">IF(Tasks[[#This Row],[Task Name]]="","",LEFT(Tasks[[#This Row],[WBS]],FIND(".",Tasks[[#This Row],[WBS]]&amp;".")-1))</f>
        <v/>
      </c>
      <c r="EM173" s="32" t="str">
        <f aca="false">IF(AND(Tasks[[#This Row],[Task Name]]&lt;&gt;"",Tasks[[#This Row],[_Level]]=1),Tasks[[#This Row],[_Row]],"")</f>
        <v/>
      </c>
      <c r="EN173" s="32" t="str">
        <f aca="false">IF(AND(Tasks[[#This Row],[_IsLeaf]]=1,N(Tasks[[#This Row],[Duration]])=0),Tasks[[#This Row],[Planned Finish]]+Tasks[[#This Row],[_Row]]/100000,"")</f>
        <v/>
      </c>
      <c r="EO173" s="32" t="str">
        <f aca="false">IF(AND(Tasks[[#This Row],[_IsLeaf]]=1,Tasks[[#This Row],[_LeafProgress]]&lt;1,OR(N(Tasks[[#This Row],[Finish Var]])&gt;0,Tasks[[#This Row],[Status]]="Late Start")),MAX(0,Tasks[[#This Row],[Finish Var]])+1-Tasks[[#This Row],[_Row]]/1000000,"")</f>
        <v/>
      </c>
      <c r="EP173" s="32" t="str">
        <f aca="false">IF(AND(Tasks[[#This Row],[_IsLeaf]]=1,N(Tasks[[#This Row],[Actual Start]])=0,Tasks[[#This Row],[_ShownFcstStart]]&gt;=StatusDate,Tasks[[#This Row],[_ShownFcstStart]]&lt;=LookaheadEnd),Tasks[[#This Row],[_ShownFcstStart]]+Tasks[[#This Row],[_Row]]/100000,"")</f>
        <v/>
      </c>
      <c r="EQ173" s="32" t="str">
        <f aca="false">IF(AND(Tasks[[#This Row],[_IsLeaf]]=1,Tasks[[#This Row],[_LeafProgress]]&lt;1,Tasks[[#This Row],[_ShownFcstFinish]]&gt;=StatusDate,Tasks[[#This Row],[_ShownFcstFinish]]&lt;=LookaheadEnd),Tasks[[#This Row],[_ShownFcstFinish]]+Tasks[[#This Row],[_Row]]/100000,"")</f>
        <v/>
      </c>
      <c r="ER173" s="32" t="str">
        <f aca="false">IF(Tasks[[#This Row],[_LeafCritical]],Tasks[[#This Row],[_ShownFcstStart]]+Tasks[[#This Row],[_Row]]/100000,"")</f>
        <v/>
      </c>
      <c r="ES173" s="32" t="n">
        <f aca="false">Tasks[[#This Row],[_LeafWork]]*Tasks[[#This Row],[_LeafProgress]]</f>
        <v>0</v>
      </c>
      <c r="ET173" s="115" t="str">
        <f aca="false">IF(AND(Tasks[[#This Row],[_IsLeaf]]=1,Tasks[[#This Row],[_LeafProgress]]&gt;=1),IF(N(Tasks[[#This Row],[Actual Finish]])&gt;0,Tasks[[#This Row],[Actual Finish]],Tasks[[#This Row],[_ShownFcstFinish]]),"")</f>
        <v/>
      </c>
      <c r="EU173" s="32" t="n">
        <f aca="false">IF(Tasks[[#This Row],[_IsLeaf]]=1,N(Tasks[[#This Row],[Story Points]]),0)</f>
        <v>0</v>
      </c>
      <c r="EV173" s="32" t="str">
        <f aca="false">IF(AND(Tasks[[#This Row],[_IsLeaf]]=1,CurrentSprint&lt;&gt;"",Tasks[[#This Row],[Sprint]]=CurrentSprint),Tasks[[#This Row],[_Row]],"")</f>
        <v/>
      </c>
    </row>
    <row r="174" customFormat="false" ht="15" hidden="false" customHeight="false" outlineLevel="0" collapsed="false">
      <c r="A174" s="45" t="str">
        <f aca="false">IF(Tasks[[#This Row],[Task Name]]="","",COUNTA(Tasks[[#Headers],[Task Name]]:Tasks[[#This Row],[Task Name]])-1)</f>
        <v/>
      </c>
      <c r="B174" s="46" t="n">
        <v>169</v>
      </c>
      <c r="C17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4" s="46"/>
      <c r="E174" s="45" t="str">
        <f aca="false">IF(Tasks[[#This Row],[Task Name]]="","",IF(Tasks[[#This Row],[_Level]]&lt;=OutlineShowLevel,"Yes","No"))</f>
        <v/>
      </c>
      <c r="F174" s="47"/>
      <c r="G174" s="46"/>
      <c r="H174" s="46"/>
      <c r="I174" s="46"/>
      <c r="J174" s="46"/>
      <c r="K174" s="46"/>
      <c r="L174" s="46"/>
      <c r="M174" s="46"/>
      <c r="N174" s="46"/>
      <c r="O174" s="46"/>
      <c r="P174" s="46"/>
      <c r="Q174" s="46"/>
      <c r="R174" s="46"/>
      <c r="S174" s="46"/>
      <c r="T174" s="46"/>
      <c r="U174" s="47"/>
      <c r="V174" s="88"/>
      <c r="W174" s="88"/>
      <c r="X174" s="25" t="str">
        <f aca="false">IF(Tasks[[#This Row],[Task Name]]="","",IF(N(Tasks[[#This Row],[Baseline Start]])&gt;0,Tasks[[#This Row],[Baseline Start]],Tasks[[#This Row],[_CalcStart]]))</f>
        <v/>
      </c>
      <c r="Y174" s="25" t="str">
        <f aca="false">IF(Tasks[[#This Row],[Task Name]]="","",IF(N(Tasks[[#This Row],[Baseline Finish]])&gt;0,Tasks[[#This Row],[Baseline Finish]],Tasks[[#This Row],[_CalcFinish]]))</f>
        <v/>
      </c>
      <c r="Z174" s="88"/>
      <c r="AA174" s="88"/>
      <c r="AB174" s="25" t="str">
        <f aca="false">IF(Tasks[[#This Row],[Task Name]]="","",IF(Tasks[[#This Row],[_IsSummary]],MIN(INDEX(Tasks[_ShownFcstStart],Tasks[[#This Row],[_Row]]+1):INDEX(Tasks[_ShownFcstStart],Tasks[[#This Row],[_Row]]+Tasks[[#This Row],[_Descendants]])),Tasks[[#This Row],[_ShownFcstStart]]))</f>
        <v/>
      </c>
      <c r="AC174" s="25" t="str">
        <f aca="false">IF(Tasks[[#This Row],[Task Name]]="","",IF(Tasks[[#This Row],[_IsSummary]],MAX(INDEX(Tasks[_ShownFcstFinish],Tasks[[#This Row],[_Row]]+1):INDEX(Tasks[_ShownFcstFinish],Tasks[[#This Row],[_Row]]+Tasks[[#This Row],[_Descendants]])),Tasks[[#This Row],[_ShownFcstFinish]]))</f>
        <v/>
      </c>
      <c r="AD17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4" s="25" t="str">
        <f aca="false">IF(Tasks[[#This Row],[Task Name]]="","",IF(Tasks[[#This Row],[_IsSummary]],MIN(INDEX(Tasks[_LeafLateStart],Tasks[[#This Row],[_Row]]+1):INDEX(Tasks[_LeafLateStart],Tasks[[#This Row],[_Row]]+Tasks[[#This Row],[_Descendants]])),Tasks[[#This Row],[_LeafLateStart]]))</f>
        <v/>
      </c>
      <c r="AG174" s="25" t="str">
        <f aca="false">IF(Tasks[[#This Row],[Task Name]]="","",IF(Tasks[[#This Row],[_IsSummary]],MAX(INDEX(Tasks[_LeafLateFinish],Tasks[[#This Row],[_Row]]+1):INDEX(Tasks[_LeafLateFinish],Tasks[[#This Row],[_Row]]+Tasks[[#This Row],[_Descendants]])),Tasks[[#This Row],[_LeafLateFinish]]))</f>
        <v/>
      </c>
      <c r="AH174" s="56" t="str">
        <f aca="false">IF(Tasks[[#This Row],[Task Name]]="","",IF(Tasks[[#This Row],[_IsSummary]],MIN(INDEX(Tasks[_LeafTotalSlack],Tasks[[#This Row],[_Row]]+1):INDEX(Tasks[_LeafTotalSlack],Tasks[[#This Row],[_Row]]+Tasks[[#This Row],[_Descendants]])),Tasks[[#This Row],[_LeafTotalSlack]]))</f>
        <v/>
      </c>
      <c r="AI17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4" s="45" t="str">
        <f aca="false">IF(Tasks[[#This Row],[Task Name]]="","",IF(IF(Tasks[[#This Row],[_IsSummary]],COUNTIF(INDEX(Tasks[_LeafCritical],Tasks[[#This Row],[_Row]]+1):INDEX(Tasks[_LeafCritical],Tasks[[#This Row],[_Row]]+Tasks[[#This Row],[_Descendants]]),TRUE())&gt;0,Tasks[[#This Row],[_LeafCritical]]),"Yes",""))</f>
        <v/>
      </c>
      <c r="AK17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4" s="102"/>
      <c r="AN17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4" s="45" t="str">
        <f aca="false">IF(Tasks[[#This Row],[Task Name]]="","",IF(Tasks[[#This Row],[Progress]]&gt;=1,"Complete",IF(OR(N(Tasks[[#This Row],[Actual Start]])&gt;0,Tasks[[#This Row],[Progress]]&gt;0),IF(Tasks[[#This Row],[Finish Var]]&gt;0,"Behind","In Progress"),IF(Tasks[[#This Row],[Planned Start]]&lt;StatusDate,"Late Start","Not Started"))))</f>
        <v/>
      </c>
      <c r="AP174" s="47"/>
      <c r="AQ174" s="102"/>
      <c r="AR17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4" s="110" t="str">
        <f aca="false">IF(Tasks[[#This Row],[Task Name]]="","",IF(Tasks[[#This Row],[_IsSummary]],SUM(INDEX(Tasks[_LeafTotalWork],Tasks[[#This Row],[_Row]]+1):INDEX(Tasks[_LeafTotalWork],Tasks[[#This Row],[_Row]]+Tasks[[#This Row],[_Descendants]])),Tasks[[#This Row],[_LeafTotalWork]]))</f>
        <v/>
      </c>
      <c r="AU174" s="111" t="str">
        <f aca="false">IF(Tasks[[#This Row],[Task Name]]="","",IF(Tasks[[#This Row],[_IsSummary]],SUM(INDEX(Tasks[_LeafTotalCost],Tasks[[#This Row],[_Row]]+1):INDEX(Tasks[_LeafTotalCost],Tasks[[#This Row],[_Row]]+Tasks[[#This Row],[_Descendants]])),Tasks[[#This Row],[_LeafTotalCost]]))</f>
        <v/>
      </c>
      <c r="AV174" s="112"/>
      <c r="AW174" s="46"/>
      <c r="AX17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4" s="96"/>
      <c r="AZ17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4" s="47"/>
      <c r="BB174" s="25" t="str">
        <f aca="false">IF(Tasks[[#This Row],[Task Name]]="","",Tasks[[#This Row],[Forecast Start]])</f>
        <v/>
      </c>
      <c r="BC174" s="25" t="str">
        <f aca="false">IF(Tasks[[#This Row],[Task Name]]="","",Tasks[[#This Row],[Forecast Finish]])</f>
        <v/>
      </c>
      <c r="BD174" s="45" t="str">
        <f aca="false">IF(Tasks[[#This Row],[Task Name]]="","",IF(Tasks[[#This Row],[_IsSummary]],NETWORKDAYS.INTL(Tasks[[#This Row],[Forecast Start]],Tasks[[#This Row],[Forecast Finish]],WorkWeek,Holidays),N(Tasks[[#This Row],[Duration]])))</f>
        <v/>
      </c>
      <c r="BE174" s="110" t="str">
        <f aca="false">IF(Tasks[[#This Row],[Task Name]]="","",Tasks[[#This Row],[Work]])</f>
        <v/>
      </c>
      <c r="BF174" s="111" t="str">
        <f aca="false">IF(Tasks[[#This Row],[Task Name]]="","",Tasks[[#This Row],[Cost]])</f>
        <v/>
      </c>
      <c r="BG174" s="88"/>
      <c r="BH174" s="88"/>
      <c r="BI174" s="46"/>
      <c r="BJ174" s="113"/>
      <c r="BK174" s="112"/>
      <c r="BL174" s="45" t="str">
        <f aca="false">IF(OR(Tasks[[#This Row],[Task Name]]="",Tasks[[#This Row],[Baseline Duration]]=""),"",Tasks[[#This Row],[BL Source Duration]]-N(Tasks[[#This Row],[Baseline Duration]]))</f>
        <v/>
      </c>
      <c r="BM174" s="110" t="str">
        <f aca="false">IF(OR(Tasks[[#This Row],[Task Name]]="",Tasks[[#This Row],[Baseline Work]]=""),"",Tasks[[#This Row],[Work]]-N(Tasks[[#This Row],[Baseline Work]]))</f>
        <v/>
      </c>
      <c r="BN174" s="111" t="str">
        <f aca="false">IF(OR(Tasks[[#This Row],[Task Name]]="",Tasks[[#This Row],[Baseline Cost]]=""),"",Tasks[[#This Row],[Cost]]-N(Tasks[[#This Row],[Baseline Cost]]))</f>
        <v/>
      </c>
      <c r="BO174" s="111" t="str">
        <f aca="false">IF(Tasks[[#This Row],[Task Name]]="","",IF(Tasks[[#This Row],[_IsSummary]],SUM(INDEX(Tasks[_LeafBudget],Tasks[[#This Row],[_Row]]+1):INDEX(Tasks[_LeafBudget],Tasks[[#This Row],[_Row]]+Tasks[[#This Row],[_Descendants]])),Tasks[[#This Row],[_LeafBudget]]))</f>
        <v/>
      </c>
      <c r="BP174" s="111" t="str">
        <f aca="false">IF(Tasks[[#This Row],[Task Name]]="","",IF(Tasks[[#This Row],[_IsSummary]],SUM(INDEX(Tasks[_LeafPV],Tasks[[#This Row],[_Row]]+1):INDEX(Tasks[_LeafPV],Tasks[[#This Row],[_Row]]+Tasks[[#This Row],[_Descendants]])),Tasks[[#This Row],[_LeafPV]]))</f>
        <v/>
      </c>
      <c r="BQ174" s="111" t="str">
        <f aca="false">IF(Tasks[[#This Row],[Task Name]]="","",IF(Tasks[[#This Row],[_IsSummary]],SUM(INDEX(Tasks[_LeafEV],Tasks[[#This Row],[_Row]]+1):INDEX(Tasks[_LeafEV],Tasks[[#This Row],[_Row]]+Tasks[[#This Row],[_Descendants]])),Tasks[[#This Row],[_LeafEV]]))</f>
        <v/>
      </c>
      <c r="BR174" s="111" t="str">
        <f aca="false">IF(Tasks[[#This Row],[Task Name]]="","",IF(Tasks[[#This Row],[_IsSummary]],SUM(INDEX(Tasks[_LeafAC],Tasks[[#This Row],[_Row]]+1):INDEX(Tasks[_LeafAC],Tasks[[#This Row],[_Row]]+Tasks[[#This Row],[_Descendants]])),Tasks[[#This Row],[_LeafAC]]))</f>
        <v/>
      </c>
      <c r="BS174" s="32" t="str">
        <f aca="false">IF(Tasks[[#This Row],[Task Name]]="","",MAX(1,N(Tasks[[#This Row],[Level]])))</f>
        <v/>
      </c>
      <c r="BT174" s="32" t="n">
        <f aca="false">ROW()-ROW(Tasks[[#Headers],[ID]])</f>
        <v>169</v>
      </c>
      <c r="BU174" s="32" t="n">
        <f aca="false">IF(OR(Tasks[[#This Row],[Task Name]]="",Tasks[[#This Row],[_Level]]&lt;=1),0,IFERROR(LOOKUP(2,1/(Tasks[[#Headers],[_Level]]:Tasks[[#This Row],[_Level]]=Tasks[[#This Row],[_Level]]-1),ROW(Tasks[[#Headers],[_Level]]:Tasks[[#This Row],[_Level]])),0))</f>
        <v>0</v>
      </c>
      <c r="BV174" s="32" t="n">
        <f aca="false">IFERROR(N(INDEX(Tasks[_Level],Tasks[[#This Row],[_Row]]+1)),0)</f>
        <v>0</v>
      </c>
      <c r="BW174" s="114" t="b">
        <f aca="false">AND(Tasks[[#This Row],[Task Name]]&lt;&gt;"",Tasks[[#This Row],[_NextLevel]]&gt;Tasks[[#This Row],[_Level]])</f>
        <v>0</v>
      </c>
      <c r="BX174" s="32" t="n">
        <f aca="false">IF(Tasks[[#This Row],[_IsSummary]],COUNTIF(Tasks[WBS],Tasks[[#This Row],[WBS]]&amp;".*"),0)</f>
        <v>0</v>
      </c>
      <c r="BY174" s="32" t="n">
        <f aca="false">IF(AND(Tasks[[#This Row],[Task Name]]&lt;&gt;"",NOT(Tasks[[#This Row],[_IsSummary]])),1,0)</f>
        <v>0</v>
      </c>
      <c r="BZ174" s="32" t="n">
        <f aca="false">IF(N(Tasks[[#This Row],[Pred1 UID]])=0,0,IFERROR(MATCH(Tasks[[#This Row],[Pred1 UID]],Tasks[UID],0),-1))</f>
        <v>0</v>
      </c>
      <c r="CA174" s="32" t="n">
        <f aca="false">IF(N(Tasks[[#This Row],[Pred2 UID]])=0,0,IFERROR(MATCH(Tasks[[#This Row],[Pred2 UID]],Tasks[UID],0),-1))</f>
        <v>0</v>
      </c>
      <c r="CB174" s="32" t="n">
        <f aca="false">IF(N(Tasks[[#This Row],[Pred3 UID]])=0,0,IFERROR(MATCH(Tasks[[#This Row],[Pred3 UID]],Tasks[UID],0),-1))</f>
        <v>0</v>
      </c>
      <c r="CC174" s="32" t="n">
        <f aca="false">IF(N(Tasks[[#This Row],[Pred4 UID]])=0,0,IFERROR(MATCH(Tasks[[#This Row],[Pred4 UID]],Tasks[UID],0),-1))</f>
        <v>0</v>
      </c>
      <c r="CD17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4" s="115" t="n">
        <f aca="false">IF(OR(Tasks[[#This Row],[_ConstraintCode]]=2,Tasks[[#This Row],[_ConstraintCode]]=3,Tasks[[#This Row],[_ConstraintCode]]=4,Tasks[[#This Row],[_ConstraintCode]]=6),Tasks[[#This Row],[_ConstraintStart]],0)</f>
        <v>0</v>
      </c>
      <c r="CG174" s="115" t="n">
        <f aca="false">IF(OR(Tasks[[#This Row],[_ConstraintCode]]=2,Tasks[[#This Row],[_ConstraintCode]]=3,Tasks[[#This Row],[_ConstraintCode]]=5,Tasks[[#This Row],[_ConstraintCode]]=7),Tasks[[#This Row],[_ConstraintStart]],2958465)</f>
        <v>2958465</v>
      </c>
      <c r="CH17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4" s="115" t="str">
        <f aca="false">IF(NOT(Tasks[[#This Row],[_IsLeaf]]=1),"",IF(N(Tasks[[#This Row],[Duration]])&lt;=0,Tasks[[#This Row],[_LeafCalcStart]],WORKDAY.INTL(Tasks[[#This Row],[_LeafCalcStart]],Tasks[[#This Row],[Duration]]-1,WorkWeek,Holidays)))</f>
        <v/>
      </c>
      <c r="CJ17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4" s="32" t="n">
        <f aca="false">IF(NOT(Tasks[[#This Row],[_IsLeaf]]=1),0,IF(N(Tasks[[#This Row],[Actual Finish]])&gt;0,1,MIN(1,N(Tasks[[#This Row],[% Complete]]))))</f>
        <v>0</v>
      </c>
      <c r="CM174" s="32" t="n">
        <f aca="false">IF(OR(NOT(Tasks[[#This Row],[_IsLeaf]]=1),Tasks[[#This Row],[Resource]]=""),0,N(Tasks[[#This Row],[Duration]])*HoursPerDay*IF(Tasks[[#This Row],[Units]]="",DefaultUnits,Tasks[[#This Row],[Units]]))</f>
        <v>0</v>
      </c>
      <c r="CN174" s="32" t="n">
        <f aca="false">IF(Tasks[[#This Row],[_LeafWork]]=0,0,Tasks[[#This Row],[_LeafWork]]*IFERROR(INDEX(res_Rate,MATCH(Tasks[[#This Row],[Resource]],res_Name,0)),0))</f>
        <v>0</v>
      </c>
      <c r="CO174" s="32" t="n">
        <f aca="false">Tasks[[#This Row],[_LeafWork]]+IF(Tasks[[#This Row],[_IsLeaf]]=1,SUMIFS(asg_Work,asg_TaskUID,Tasks[[#This Row],[UID]],asg_Valid,1),0)</f>
        <v>0</v>
      </c>
      <c r="CP174" s="32" t="n">
        <f aca="false">Tasks[[#This Row],[_LeafCost]]+IF(Tasks[[#This Row],[_IsLeaf]]=1,SUMIFS(asg_Cost,asg_TaskUID,Tasks[[#This Row],[UID]],asg_Valid,1),0)</f>
        <v>0</v>
      </c>
      <c r="CQ174" s="32" t="n">
        <f aca="false">IF(Tasks[[#This Row],[_LeafTotalCost]]=0,Tasks[[#This Row],[_LeafAC]],Tasks[[#This Row],[_LeafAC]]*Tasks[[#This Row],[_LeafCost]]/Tasks[[#This Row],[_LeafTotalCost]])</f>
        <v>0</v>
      </c>
      <c r="CR17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4" s="32" t="n">
        <f aca="false">IF(NOT(Tasks[[#This Row],[_IsLeaf]]=1),0,MAX(_xlfn.MAXIFS(Tasks[_Row],Tasks[Pred1 UID],Tasks[[#This Row],[UID]]),_xlfn.MAXIFS(Tasks[_Row],Tasks[Pred2 UID],Tasks[[#This Row],[UID]]),_xlfn.MAXIFS(Tasks[_Row],Tasks[Pred3 UID],Tasks[[#This Row],[UID]]),_xlfn.MAXIFS(Tasks[_Row],Tasks[Pred4 UID],Tasks[[#This Row],[UID]])))</f>
        <v>0</v>
      </c>
      <c r="DA17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4" s="115" t="str">
        <f aca="false">IF(NOT(Tasks[[#This Row],[_IsLeaf]]=1),"",IF(N(Tasks[[#This Row],[Duration]])&lt;=0,Tasks[[#This Row],[_LeafLateFinish]],WORKDAY.INTL(Tasks[[#This Row],[_LeafLateFinish]],-(Tasks[[#This Row],[Duration]]-1),WorkWeek,Holidays)))</f>
        <v/>
      </c>
      <c r="DD17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4" s="114" t="b">
        <f aca="false">AND(Tasks[[#This Row],[_IsLeaf]]=1,Tasks[[#This Row],[_LeafProgress]]&lt;1,N(Tasks[[#This Row],[_LeafTotalSlack]])&lt;=CriticalSlackDays)</f>
        <v>0</v>
      </c>
      <c r="DF174" s="32" t="n">
        <f aca="false">IF(AND(Tasks[[#This Row],[_IsLeaf]]=1,Tasks[[#This Row],[_ConstraintCode]]=1,Tasks[[#This Row],[Mode]]&lt;&gt;"Manual",N(Tasks[[#This Row],[Actual Start]])=0),MAX(0,N(Tasks[[#This Row],[Free Slack]])),0)</f>
        <v>0</v>
      </c>
      <c r="DG174" s="115" t="str">
        <f aca="false">IF(NOT(Tasks[[#This Row],[_IsLeaf]]=1),"",IF(Tasks[[#This Row],[_AlapShift]]=0,Tasks[[#This Row],[_LeafCalcStart]],WORKDAY.INTL(Tasks[[#This Row],[_LeafCalcStart]],Tasks[[#This Row],[_AlapShift]],WorkWeek,Holidays)))</f>
        <v/>
      </c>
      <c r="DH174" s="115" t="str">
        <f aca="false">IF(NOT(Tasks[[#This Row],[_IsLeaf]]=1),"",IF(Tasks[[#This Row],[_AlapShift]]=0,Tasks[[#This Row],[_LeafCalcFinish]],WORKDAY.INTL(Tasks[[#This Row],[_LeafCalcFinish]],Tasks[[#This Row],[_AlapShift]],WorkWeek,Holidays)))</f>
        <v/>
      </c>
      <c r="DI174" s="115" t="str">
        <f aca="false">IF(NOT(Tasks[[#This Row],[_IsLeaf]]=1),"",IF(Tasks[[#This Row],[_AlapShift]]=0,Tasks[[#This Row],[_LeafFcstStart]],WORKDAY.INTL(Tasks[[#This Row],[_LeafFcstStart]],Tasks[[#This Row],[_AlapShift]],WorkWeek,Holidays)))</f>
        <v/>
      </c>
      <c r="DJ174" s="115" t="str">
        <f aca="false">IF(NOT(Tasks[[#This Row],[_IsLeaf]]=1),"",IF(Tasks[[#This Row],[_AlapShift]]=0,Tasks[[#This Row],[_LeafFcstFinish]],WORKDAY.INTL(Tasks[[#This Row],[_LeafFcstFinish]],Tasks[[#This Row],[_AlapShift]],WorkWeek,Holidays)))</f>
        <v/>
      </c>
      <c r="DK174" s="115" t="str">
        <f aca="false">IF(Tasks[[#This Row],[Task Name]]="","",IF(Tasks[[#This Row],[_IsSummary]],MIN(INDEX(Tasks[_ShownCalcStart],Tasks[[#This Row],[_Row]]+1):INDEX(Tasks[_ShownCalcStart],Tasks[[#This Row],[_Row]]+Tasks[[#This Row],[_Descendants]])),Tasks[[#This Row],[_ShownCalcStart]]))</f>
        <v/>
      </c>
      <c r="DL174" s="115" t="str">
        <f aca="false">IF(Tasks[[#This Row],[Task Name]]="","",IF(Tasks[[#This Row],[_IsSummary]],MAX(INDEX(Tasks[_ShownCalcFinish],Tasks[[#This Row],[_Row]]+1):INDEX(Tasks[_ShownCalcFinish],Tasks[[#This Row],[_Row]]+Tasks[[#This Row],[_Descendants]])),Tasks[[#This Row],[_ShownCalcFinish]]))</f>
        <v/>
      </c>
      <c r="DM17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4" s="32" t="n">
        <f aca="false">IF(AND(Tasks[[#This Row],[_IsLeaf]]=1,Tasks[[#This Row],[_LeafTotalWork]]&gt;0),NETWORKDAYS.INTL(ProjectStart,Tasks[[#This Row],[_ShownFcstStart]],WorkWeek,Holidays),0)</f>
        <v>0</v>
      </c>
      <c r="DZ174" s="32" t="n">
        <f aca="false">IF(AND(Tasks[[#This Row],[_IsLeaf]]=1,Tasks[[#This Row],[_LeafTotalWork]]&gt;0),MAX(Tasks[[#This Row],[_StartWorkday]],NETWORKDAYS.INTL(ProjectStart,Tasks[[#This Row],[_ShownFcstFinish]],WorkWeek,Holidays)),0)</f>
        <v>0</v>
      </c>
      <c r="EA174" s="32" t="n">
        <f aca="false">IF(AND(Tasks[[#This Row],[_IsLeaf]]=1,Tasks[[#This Row],[_LeafTotalWork]]&gt;0),Tasks[[#This Row],[_LeafWork]]/(Tasks[[#This Row],[_FinishWorkday]]-Tasks[[#This Row],[_StartWorkday]]+1),0)</f>
        <v>0</v>
      </c>
      <c r="EB174" s="32" t="n">
        <f aca="false">Tasks[[#This Row],[_WorkPerWorkday]]*(Tasks[[#This Row],[_StartWorkday]]-1)</f>
        <v>-0</v>
      </c>
      <c r="EC174" s="32" t="n">
        <f aca="false">IF(Tasks[[#This Row],[_IsLeaf]]=1,MAX(N(Tasks[[#This Row],[Duration]]),0.1),0)</f>
        <v>0</v>
      </c>
      <c r="ED174" s="32" t="n">
        <f aca="false">Tasks[[#This Row],[_WeightDur]]*Tasks[[#This Row],[_LeafProgress]]</f>
        <v>0</v>
      </c>
      <c r="EE17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4" s="32" t="str">
        <f aca="false">IF(AND(Tasks[[#This Row],[_IsLeaf]]=1,N(Tasks[[#This Row],[Duration]])=0,Tasks[[#This Row],[_LeafProgress]]&lt;1),Tasks[[#This Row],[_ShownFcstFinish]]+Tasks[[#This Row],[_Row]]/100000,"")</f>
        <v/>
      </c>
      <c r="EG17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4" s="32" t="n">
        <f aca="false">IF(NOT(Tasks[[#This Row],[_IsLeaf]]=1),0,IF(Tasks[[#This Row],[Baseline Cost]]="",Tasks[[#This Row],[_LeafTotalCost]],N(Tasks[[#This Row],[Baseline Cost]])))</f>
        <v>0</v>
      </c>
      <c r="EI174" s="32" t="n">
        <f aca="false">Tasks[[#This Row],[_LeafBudget]]*Tasks[[#This Row],[_PlannedPct]]</f>
        <v>0</v>
      </c>
      <c r="EJ174" s="32" t="n">
        <f aca="false">Tasks[[#This Row],[_LeafBudget]]*Tasks[[#This Row],[_LeafProgress]]</f>
        <v>0</v>
      </c>
      <c r="EK174" s="32" t="n">
        <f aca="false">IF(NOT(Tasks[[#This Row],[_IsLeaf]]=1),0,IF(Tasks[[#This Row],[Actual Cost]]="",Tasks[[#This Row],[_LeafTotalCost]]*Tasks[[#This Row],[_LeafProgress]],N(Tasks[[#This Row],[Actual Cost]])))</f>
        <v>0</v>
      </c>
      <c r="EL174" s="32" t="str">
        <f aca="false">IF(Tasks[[#This Row],[Task Name]]="","",LEFT(Tasks[[#This Row],[WBS]],FIND(".",Tasks[[#This Row],[WBS]]&amp;".")-1))</f>
        <v/>
      </c>
      <c r="EM174" s="32" t="str">
        <f aca="false">IF(AND(Tasks[[#This Row],[Task Name]]&lt;&gt;"",Tasks[[#This Row],[_Level]]=1),Tasks[[#This Row],[_Row]],"")</f>
        <v/>
      </c>
      <c r="EN174" s="32" t="str">
        <f aca="false">IF(AND(Tasks[[#This Row],[_IsLeaf]]=1,N(Tasks[[#This Row],[Duration]])=0),Tasks[[#This Row],[Planned Finish]]+Tasks[[#This Row],[_Row]]/100000,"")</f>
        <v/>
      </c>
      <c r="EO174" s="32" t="str">
        <f aca="false">IF(AND(Tasks[[#This Row],[_IsLeaf]]=1,Tasks[[#This Row],[_LeafProgress]]&lt;1,OR(N(Tasks[[#This Row],[Finish Var]])&gt;0,Tasks[[#This Row],[Status]]="Late Start")),MAX(0,Tasks[[#This Row],[Finish Var]])+1-Tasks[[#This Row],[_Row]]/1000000,"")</f>
        <v/>
      </c>
      <c r="EP174" s="32" t="str">
        <f aca="false">IF(AND(Tasks[[#This Row],[_IsLeaf]]=1,N(Tasks[[#This Row],[Actual Start]])=0,Tasks[[#This Row],[_ShownFcstStart]]&gt;=StatusDate,Tasks[[#This Row],[_ShownFcstStart]]&lt;=LookaheadEnd),Tasks[[#This Row],[_ShownFcstStart]]+Tasks[[#This Row],[_Row]]/100000,"")</f>
        <v/>
      </c>
      <c r="EQ174" s="32" t="str">
        <f aca="false">IF(AND(Tasks[[#This Row],[_IsLeaf]]=1,Tasks[[#This Row],[_LeafProgress]]&lt;1,Tasks[[#This Row],[_ShownFcstFinish]]&gt;=StatusDate,Tasks[[#This Row],[_ShownFcstFinish]]&lt;=LookaheadEnd),Tasks[[#This Row],[_ShownFcstFinish]]+Tasks[[#This Row],[_Row]]/100000,"")</f>
        <v/>
      </c>
      <c r="ER174" s="32" t="str">
        <f aca="false">IF(Tasks[[#This Row],[_LeafCritical]],Tasks[[#This Row],[_ShownFcstStart]]+Tasks[[#This Row],[_Row]]/100000,"")</f>
        <v/>
      </c>
      <c r="ES174" s="32" t="n">
        <f aca="false">Tasks[[#This Row],[_LeafWork]]*Tasks[[#This Row],[_LeafProgress]]</f>
        <v>0</v>
      </c>
      <c r="ET174" s="115" t="str">
        <f aca="false">IF(AND(Tasks[[#This Row],[_IsLeaf]]=1,Tasks[[#This Row],[_LeafProgress]]&gt;=1),IF(N(Tasks[[#This Row],[Actual Finish]])&gt;0,Tasks[[#This Row],[Actual Finish]],Tasks[[#This Row],[_ShownFcstFinish]]),"")</f>
        <v/>
      </c>
      <c r="EU174" s="32" t="n">
        <f aca="false">IF(Tasks[[#This Row],[_IsLeaf]]=1,N(Tasks[[#This Row],[Story Points]]),0)</f>
        <v>0</v>
      </c>
      <c r="EV174" s="32" t="str">
        <f aca="false">IF(AND(Tasks[[#This Row],[_IsLeaf]]=1,CurrentSprint&lt;&gt;"",Tasks[[#This Row],[Sprint]]=CurrentSprint),Tasks[[#This Row],[_Row]],"")</f>
        <v/>
      </c>
    </row>
    <row r="175" customFormat="false" ht="15" hidden="false" customHeight="false" outlineLevel="0" collapsed="false">
      <c r="A175" s="45" t="str">
        <f aca="false">IF(Tasks[[#This Row],[Task Name]]="","",COUNTA(Tasks[[#Headers],[Task Name]]:Tasks[[#This Row],[Task Name]])-1)</f>
        <v/>
      </c>
      <c r="B175" s="46" t="n">
        <v>170</v>
      </c>
      <c r="C17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5" s="46"/>
      <c r="E175" s="45" t="str">
        <f aca="false">IF(Tasks[[#This Row],[Task Name]]="","",IF(Tasks[[#This Row],[_Level]]&lt;=OutlineShowLevel,"Yes","No"))</f>
        <v/>
      </c>
      <c r="F175" s="47"/>
      <c r="G175" s="46"/>
      <c r="H175" s="46"/>
      <c r="I175" s="46"/>
      <c r="J175" s="46"/>
      <c r="K175" s="46"/>
      <c r="L175" s="46"/>
      <c r="M175" s="46"/>
      <c r="N175" s="46"/>
      <c r="O175" s="46"/>
      <c r="P175" s="46"/>
      <c r="Q175" s="46"/>
      <c r="R175" s="46"/>
      <c r="S175" s="46"/>
      <c r="T175" s="46"/>
      <c r="U175" s="47"/>
      <c r="V175" s="88"/>
      <c r="W175" s="88"/>
      <c r="X175" s="25" t="str">
        <f aca="false">IF(Tasks[[#This Row],[Task Name]]="","",IF(N(Tasks[[#This Row],[Baseline Start]])&gt;0,Tasks[[#This Row],[Baseline Start]],Tasks[[#This Row],[_CalcStart]]))</f>
        <v/>
      </c>
      <c r="Y175" s="25" t="str">
        <f aca="false">IF(Tasks[[#This Row],[Task Name]]="","",IF(N(Tasks[[#This Row],[Baseline Finish]])&gt;0,Tasks[[#This Row],[Baseline Finish]],Tasks[[#This Row],[_CalcFinish]]))</f>
        <v/>
      </c>
      <c r="Z175" s="88"/>
      <c r="AA175" s="88"/>
      <c r="AB175" s="25" t="str">
        <f aca="false">IF(Tasks[[#This Row],[Task Name]]="","",IF(Tasks[[#This Row],[_IsSummary]],MIN(INDEX(Tasks[_ShownFcstStart],Tasks[[#This Row],[_Row]]+1):INDEX(Tasks[_ShownFcstStart],Tasks[[#This Row],[_Row]]+Tasks[[#This Row],[_Descendants]])),Tasks[[#This Row],[_ShownFcstStart]]))</f>
        <v/>
      </c>
      <c r="AC175" s="25" t="str">
        <f aca="false">IF(Tasks[[#This Row],[Task Name]]="","",IF(Tasks[[#This Row],[_IsSummary]],MAX(INDEX(Tasks[_ShownFcstFinish],Tasks[[#This Row],[_Row]]+1):INDEX(Tasks[_ShownFcstFinish],Tasks[[#This Row],[_Row]]+Tasks[[#This Row],[_Descendants]])),Tasks[[#This Row],[_ShownFcstFinish]]))</f>
        <v/>
      </c>
      <c r="AD17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5" s="25" t="str">
        <f aca="false">IF(Tasks[[#This Row],[Task Name]]="","",IF(Tasks[[#This Row],[_IsSummary]],MIN(INDEX(Tasks[_LeafLateStart],Tasks[[#This Row],[_Row]]+1):INDEX(Tasks[_LeafLateStart],Tasks[[#This Row],[_Row]]+Tasks[[#This Row],[_Descendants]])),Tasks[[#This Row],[_LeafLateStart]]))</f>
        <v/>
      </c>
      <c r="AG175" s="25" t="str">
        <f aca="false">IF(Tasks[[#This Row],[Task Name]]="","",IF(Tasks[[#This Row],[_IsSummary]],MAX(INDEX(Tasks[_LeafLateFinish],Tasks[[#This Row],[_Row]]+1):INDEX(Tasks[_LeafLateFinish],Tasks[[#This Row],[_Row]]+Tasks[[#This Row],[_Descendants]])),Tasks[[#This Row],[_LeafLateFinish]]))</f>
        <v/>
      </c>
      <c r="AH175" s="56" t="str">
        <f aca="false">IF(Tasks[[#This Row],[Task Name]]="","",IF(Tasks[[#This Row],[_IsSummary]],MIN(INDEX(Tasks[_LeafTotalSlack],Tasks[[#This Row],[_Row]]+1):INDEX(Tasks[_LeafTotalSlack],Tasks[[#This Row],[_Row]]+Tasks[[#This Row],[_Descendants]])),Tasks[[#This Row],[_LeafTotalSlack]]))</f>
        <v/>
      </c>
      <c r="AI17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5" s="45" t="str">
        <f aca="false">IF(Tasks[[#This Row],[Task Name]]="","",IF(IF(Tasks[[#This Row],[_IsSummary]],COUNTIF(INDEX(Tasks[_LeafCritical],Tasks[[#This Row],[_Row]]+1):INDEX(Tasks[_LeafCritical],Tasks[[#This Row],[_Row]]+Tasks[[#This Row],[_Descendants]]),TRUE())&gt;0,Tasks[[#This Row],[_LeafCritical]]),"Yes",""))</f>
        <v/>
      </c>
      <c r="AK17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5" s="102"/>
      <c r="AN17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5" s="45" t="str">
        <f aca="false">IF(Tasks[[#This Row],[Task Name]]="","",IF(Tasks[[#This Row],[Progress]]&gt;=1,"Complete",IF(OR(N(Tasks[[#This Row],[Actual Start]])&gt;0,Tasks[[#This Row],[Progress]]&gt;0),IF(Tasks[[#This Row],[Finish Var]]&gt;0,"Behind","In Progress"),IF(Tasks[[#This Row],[Planned Start]]&lt;StatusDate,"Late Start","Not Started"))))</f>
        <v/>
      </c>
      <c r="AP175" s="47"/>
      <c r="AQ175" s="102"/>
      <c r="AR17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5" s="110" t="str">
        <f aca="false">IF(Tasks[[#This Row],[Task Name]]="","",IF(Tasks[[#This Row],[_IsSummary]],SUM(INDEX(Tasks[_LeafTotalWork],Tasks[[#This Row],[_Row]]+1):INDEX(Tasks[_LeafTotalWork],Tasks[[#This Row],[_Row]]+Tasks[[#This Row],[_Descendants]])),Tasks[[#This Row],[_LeafTotalWork]]))</f>
        <v/>
      </c>
      <c r="AU175" s="111" t="str">
        <f aca="false">IF(Tasks[[#This Row],[Task Name]]="","",IF(Tasks[[#This Row],[_IsSummary]],SUM(INDEX(Tasks[_LeafTotalCost],Tasks[[#This Row],[_Row]]+1):INDEX(Tasks[_LeafTotalCost],Tasks[[#This Row],[_Row]]+Tasks[[#This Row],[_Descendants]])),Tasks[[#This Row],[_LeafTotalCost]]))</f>
        <v/>
      </c>
      <c r="AV175" s="112"/>
      <c r="AW175" s="46"/>
      <c r="AX17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5" s="96"/>
      <c r="AZ17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5" s="47"/>
      <c r="BB175" s="25" t="str">
        <f aca="false">IF(Tasks[[#This Row],[Task Name]]="","",Tasks[[#This Row],[Forecast Start]])</f>
        <v/>
      </c>
      <c r="BC175" s="25" t="str">
        <f aca="false">IF(Tasks[[#This Row],[Task Name]]="","",Tasks[[#This Row],[Forecast Finish]])</f>
        <v/>
      </c>
      <c r="BD175" s="45" t="str">
        <f aca="false">IF(Tasks[[#This Row],[Task Name]]="","",IF(Tasks[[#This Row],[_IsSummary]],NETWORKDAYS.INTL(Tasks[[#This Row],[Forecast Start]],Tasks[[#This Row],[Forecast Finish]],WorkWeek,Holidays),N(Tasks[[#This Row],[Duration]])))</f>
        <v/>
      </c>
      <c r="BE175" s="110" t="str">
        <f aca="false">IF(Tasks[[#This Row],[Task Name]]="","",Tasks[[#This Row],[Work]])</f>
        <v/>
      </c>
      <c r="BF175" s="111" t="str">
        <f aca="false">IF(Tasks[[#This Row],[Task Name]]="","",Tasks[[#This Row],[Cost]])</f>
        <v/>
      </c>
      <c r="BG175" s="88"/>
      <c r="BH175" s="88"/>
      <c r="BI175" s="46"/>
      <c r="BJ175" s="113"/>
      <c r="BK175" s="112"/>
      <c r="BL175" s="45" t="str">
        <f aca="false">IF(OR(Tasks[[#This Row],[Task Name]]="",Tasks[[#This Row],[Baseline Duration]]=""),"",Tasks[[#This Row],[BL Source Duration]]-N(Tasks[[#This Row],[Baseline Duration]]))</f>
        <v/>
      </c>
      <c r="BM175" s="110" t="str">
        <f aca="false">IF(OR(Tasks[[#This Row],[Task Name]]="",Tasks[[#This Row],[Baseline Work]]=""),"",Tasks[[#This Row],[Work]]-N(Tasks[[#This Row],[Baseline Work]]))</f>
        <v/>
      </c>
      <c r="BN175" s="111" t="str">
        <f aca="false">IF(OR(Tasks[[#This Row],[Task Name]]="",Tasks[[#This Row],[Baseline Cost]]=""),"",Tasks[[#This Row],[Cost]]-N(Tasks[[#This Row],[Baseline Cost]]))</f>
        <v/>
      </c>
      <c r="BO175" s="111" t="str">
        <f aca="false">IF(Tasks[[#This Row],[Task Name]]="","",IF(Tasks[[#This Row],[_IsSummary]],SUM(INDEX(Tasks[_LeafBudget],Tasks[[#This Row],[_Row]]+1):INDEX(Tasks[_LeafBudget],Tasks[[#This Row],[_Row]]+Tasks[[#This Row],[_Descendants]])),Tasks[[#This Row],[_LeafBudget]]))</f>
        <v/>
      </c>
      <c r="BP175" s="111" t="str">
        <f aca="false">IF(Tasks[[#This Row],[Task Name]]="","",IF(Tasks[[#This Row],[_IsSummary]],SUM(INDEX(Tasks[_LeafPV],Tasks[[#This Row],[_Row]]+1):INDEX(Tasks[_LeafPV],Tasks[[#This Row],[_Row]]+Tasks[[#This Row],[_Descendants]])),Tasks[[#This Row],[_LeafPV]]))</f>
        <v/>
      </c>
      <c r="BQ175" s="111" t="str">
        <f aca="false">IF(Tasks[[#This Row],[Task Name]]="","",IF(Tasks[[#This Row],[_IsSummary]],SUM(INDEX(Tasks[_LeafEV],Tasks[[#This Row],[_Row]]+1):INDEX(Tasks[_LeafEV],Tasks[[#This Row],[_Row]]+Tasks[[#This Row],[_Descendants]])),Tasks[[#This Row],[_LeafEV]]))</f>
        <v/>
      </c>
      <c r="BR175" s="111" t="str">
        <f aca="false">IF(Tasks[[#This Row],[Task Name]]="","",IF(Tasks[[#This Row],[_IsSummary]],SUM(INDEX(Tasks[_LeafAC],Tasks[[#This Row],[_Row]]+1):INDEX(Tasks[_LeafAC],Tasks[[#This Row],[_Row]]+Tasks[[#This Row],[_Descendants]])),Tasks[[#This Row],[_LeafAC]]))</f>
        <v/>
      </c>
      <c r="BS175" s="32" t="str">
        <f aca="false">IF(Tasks[[#This Row],[Task Name]]="","",MAX(1,N(Tasks[[#This Row],[Level]])))</f>
        <v/>
      </c>
      <c r="BT175" s="32" t="n">
        <f aca="false">ROW()-ROW(Tasks[[#Headers],[ID]])</f>
        <v>170</v>
      </c>
      <c r="BU175" s="32" t="n">
        <f aca="false">IF(OR(Tasks[[#This Row],[Task Name]]="",Tasks[[#This Row],[_Level]]&lt;=1),0,IFERROR(LOOKUP(2,1/(Tasks[[#Headers],[_Level]]:Tasks[[#This Row],[_Level]]=Tasks[[#This Row],[_Level]]-1),ROW(Tasks[[#Headers],[_Level]]:Tasks[[#This Row],[_Level]])),0))</f>
        <v>0</v>
      </c>
      <c r="BV175" s="32" t="n">
        <f aca="false">IFERROR(N(INDEX(Tasks[_Level],Tasks[[#This Row],[_Row]]+1)),0)</f>
        <v>0</v>
      </c>
      <c r="BW175" s="114" t="b">
        <f aca="false">AND(Tasks[[#This Row],[Task Name]]&lt;&gt;"",Tasks[[#This Row],[_NextLevel]]&gt;Tasks[[#This Row],[_Level]])</f>
        <v>0</v>
      </c>
      <c r="BX175" s="32" t="n">
        <f aca="false">IF(Tasks[[#This Row],[_IsSummary]],COUNTIF(Tasks[WBS],Tasks[[#This Row],[WBS]]&amp;".*"),0)</f>
        <v>0</v>
      </c>
      <c r="BY175" s="32" t="n">
        <f aca="false">IF(AND(Tasks[[#This Row],[Task Name]]&lt;&gt;"",NOT(Tasks[[#This Row],[_IsSummary]])),1,0)</f>
        <v>0</v>
      </c>
      <c r="BZ175" s="32" t="n">
        <f aca="false">IF(N(Tasks[[#This Row],[Pred1 UID]])=0,0,IFERROR(MATCH(Tasks[[#This Row],[Pred1 UID]],Tasks[UID],0),-1))</f>
        <v>0</v>
      </c>
      <c r="CA175" s="32" t="n">
        <f aca="false">IF(N(Tasks[[#This Row],[Pred2 UID]])=0,0,IFERROR(MATCH(Tasks[[#This Row],[Pred2 UID]],Tasks[UID],0),-1))</f>
        <v>0</v>
      </c>
      <c r="CB175" s="32" t="n">
        <f aca="false">IF(N(Tasks[[#This Row],[Pred3 UID]])=0,0,IFERROR(MATCH(Tasks[[#This Row],[Pred3 UID]],Tasks[UID],0),-1))</f>
        <v>0</v>
      </c>
      <c r="CC175" s="32" t="n">
        <f aca="false">IF(N(Tasks[[#This Row],[Pred4 UID]])=0,0,IFERROR(MATCH(Tasks[[#This Row],[Pred4 UID]],Tasks[UID],0),-1))</f>
        <v>0</v>
      </c>
      <c r="CD17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5" s="115" t="n">
        <f aca="false">IF(OR(Tasks[[#This Row],[_ConstraintCode]]=2,Tasks[[#This Row],[_ConstraintCode]]=3,Tasks[[#This Row],[_ConstraintCode]]=4,Tasks[[#This Row],[_ConstraintCode]]=6),Tasks[[#This Row],[_ConstraintStart]],0)</f>
        <v>0</v>
      </c>
      <c r="CG175" s="115" t="n">
        <f aca="false">IF(OR(Tasks[[#This Row],[_ConstraintCode]]=2,Tasks[[#This Row],[_ConstraintCode]]=3,Tasks[[#This Row],[_ConstraintCode]]=5,Tasks[[#This Row],[_ConstraintCode]]=7),Tasks[[#This Row],[_ConstraintStart]],2958465)</f>
        <v>2958465</v>
      </c>
      <c r="CH17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5" s="115" t="str">
        <f aca="false">IF(NOT(Tasks[[#This Row],[_IsLeaf]]=1),"",IF(N(Tasks[[#This Row],[Duration]])&lt;=0,Tasks[[#This Row],[_LeafCalcStart]],WORKDAY.INTL(Tasks[[#This Row],[_LeafCalcStart]],Tasks[[#This Row],[Duration]]-1,WorkWeek,Holidays)))</f>
        <v/>
      </c>
      <c r="CJ17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5" s="32" t="n">
        <f aca="false">IF(NOT(Tasks[[#This Row],[_IsLeaf]]=1),0,IF(N(Tasks[[#This Row],[Actual Finish]])&gt;0,1,MIN(1,N(Tasks[[#This Row],[% Complete]]))))</f>
        <v>0</v>
      </c>
      <c r="CM175" s="32" t="n">
        <f aca="false">IF(OR(NOT(Tasks[[#This Row],[_IsLeaf]]=1),Tasks[[#This Row],[Resource]]=""),0,N(Tasks[[#This Row],[Duration]])*HoursPerDay*IF(Tasks[[#This Row],[Units]]="",DefaultUnits,Tasks[[#This Row],[Units]]))</f>
        <v>0</v>
      </c>
      <c r="CN175" s="32" t="n">
        <f aca="false">IF(Tasks[[#This Row],[_LeafWork]]=0,0,Tasks[[#This Row],[_LeafWork]]*IFERROR(INDEX(res_Rate,MATCH(Tasks[[#This Row],[Resource]],res_Name,0)),0))</f>
        <v>0</v>
      </c>
      <c r="CO175" s="32" t="n">
        <f aca="false">Tasks[[#This Row],[_LeafWork]]+IF(Tasks[[#This Row],[_IsLeaf]]=1,SUMIFS(asg_Work,asg_TaskUID,Tasks[[#This Row],[UID]],asg_Valid,1),0)</f>
        <v>0</v>
      </c>
      <c r="CP175" s="32" t="n">
        <f aca="false">Tasks[[#This Row],[_LeafCost]]+IF(Tasks[[#This Row],[_IsLeaf]]=1,SUMIFS(asg_Cost,asg_TaskUID,Tasks[[#This Row],[UID]],asg_Valid,1),0)</f>
        <v>0</v>
      </c>
      <c r="CQ175" s="32" t="n">
        <f aca="false">IF(Tasks[[#This Row],[_LeafTotalCost]]=0,Tasks[[#This Row],[_LeafAC]],Tasks[[#This Row],[_LeafAC]]*Tasks[[#This Row],[_LeafCost]]/Tasks[[#This Row],[_LeafTotalCost]])</f>
        <v>0</v>
      </c>
      <c r="CR17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5" s="32" t="n">
        <f aca="false">IF(NOT(Tasks[[#This Row],[_IsLeaf]]=1),0,MAX(_xlfn.MAXIFS(Tasks[_Row],Tasks[Pred1 UID],Tasks[[#This Row],[UID]]),_xlfn.MAXIFS(Tasks[_Row],Tasks[Pred2 UID],Tasks[[#This Row],[UID]]),_xlfn.MAXIFS(Tasks[_Row],Tasks[Pred3 UID],Tasks[[#This Row],[UID]]),_xlfn.MAXIFS(Tasks[_Row],Tasks[Pred4 UID],Tasks[[#This Row],[UID]])))</f>
        <v>0</v>
      </c>
      <c r="DA17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5" s="115" t="str">
        <f aca="false">IF(NOT(Tasks[[#This Row],[_IsLeaf]]=1),"",IF(N(Tasks[[#This Row],[Duration]])&lt;=0,Tasks[[#This Row],[_LeafLateFinish]],WORKDAY.INTL(Tasks[[#This Row],[_LeafLateFinish]],-(Tasks[[#This Row],[Duration]]-1),WorkWeek,Holidays)))</f>
        <v/>
      </c>
      <c r="DD17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5" s="114" t="b">
        <f aca="false">AND(Tasks[[#This Row],[_IsLeaf]]=1,Tasks[[#This Row],[_LeafProgress]]&lt;1,N(Tasks[[#This Row],[_LeafTotalSlack]])&lt;=CriticalSlackDays)</f>
        <v>0</v>
      </c>
      <c r="DF175" s="32" t="n">
        <f aca="false">IF(AND(Tasks[[#This Row],[_IsLeaf]]=1,Tasks[[#This Row],[_ConstraintCode]]=1,Tasks[[#This Row],[Mode]]&lt;&gt;"Manual",N(Tasks[[#This Row],[Actual Start]])=0),MAX(0,N(Tasks[[#This Row],[Free Slack]])),0)</f>
        <v>0</v>
      </c>
      <c r="DG175" s="115" t="str">
        <f aca="false">IF(NOT(Tasks[[#This Row],[_IsLeaf]]=1),"",IF(Tasks[[#This Row],[_AlapShift]]=0,Tasks[[#This Row],[_LeafCalcStart]],WORKDAY.INTL(Tasks[[#This Row],[_LeafCalcStart]],Tasks[[#This Row],[_AlapShift]],WorkWeek,Holidays)))</f>
        <v/>
      </c>
      <c r="DH175" s="115" t="str">
        <f aca="false">IF(NOT(Tasks[[#This Row],[_IsLeaf]]=1),"",IF(Tasks[[#This Row],[_AlapShift]]=0,Tasks[[#This Row],[_LeafCalcFinish]],WORKDAY.INTL(Tasks[[#This Row],[_LeafCalcFinish]],Tasks[[#This Row],[_AlapShift]],WorkWeek,Holidays)))</f>
        <v/>
      </c>
      <c r="DI175" s="115" t="str">
        <f aca="false">IF(NOT(Tasks[[#This Row],[_IsLeaf]]=1),"",IF(Tasks[[#This Row],[_AlapShift]]=0,Tasks[[#This Row],[_LeafFcstStart]],WORKDAY.INTL(Tasks[[#This Row],[_LeafFcstStart]],Tasks[[#This Row],[_AlapShift]],WorkWeek,Holidays)))</f>
        <v/>
      </c>
      <c r="DJ175" s="115" t="str">
        <f aca="false">IF(NOT(Tasks[[#This Row],[_IsLeaf]]=1),"",IF(Tasks[[#This Row],[_AlapShift]]=0,Tasks[[#This Row],[_LeafFcstFinish]],WORKDAY.INTL(Tasks[[#This Row],[_LeafFcstFinish]],Tasks[[#This Row],[_AlapShift]],WorkWeek,Holidays)))</f>
        <v/>
      </c>
      <c r="DK175" s="115" t="str">
        <f aca="false">IF(Tasks[[#This Row],[Task Name]]="","",IF(Tasks[[#This Row],[_IsSummary]],MIN(INDEX(Tasks[_ShownCalcStart],Tasks[[#This Row],[_Row]]+1):INDEX(Tasks[_ShownCalcStart],Tasks[[#This Row],[_Row]]+Tasks[[#This Row],[_Descendants]])),Tasks[[#This Row],[_ShownCalcStart]]))</f>
        <v/>
      </c>
      <c r="DL175" s="115" t="str">
        <f aca="false">IF(Tasks[[#This Row],[Task Name]]="","",IF(Tasks[[#This Row],[_IsSummary]],MAX(INDEX(Tasks[_ShownCalcFinish],Tasks[[#This Row],[_Row]]+1):INDEX(Tasks[_ShownCalcFinish],Tasks[[#This Row],[_Row]]+Tasks[[#This Row],[_Descendants]])),Tasks[[#This Row],[_ShownCalcFinish]]))</f>
        <v/>
      </c>
      <c r="DM17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5" s="32" t="n">
        <f aca="false">IF(AND(Tasks[[#This Row],[_IsLeaf]]=1,Tasks[[#This Row],[_LeafTotalWork]]&gt;0),NETWORKDAYS.INTL(ProjectStart,Tasks[[#This Row],[_ShownFcstStart]],WorkWeek,Holidays),0)</f>
        <v>0</v>
      </c>
      <c r="DZ175" s="32" t="n">
        <f aca="false">IF(AND(Tasks[[#This Row],[_IsLeaf]]=1,Tasks[[#This Row],[_LeafTotalWork]]&gt;0),MAX(Tasks[[#This Row],[_StartWorkday]],NETWORKDAYS.INTL(ProjectStart,Tasks[[#This Row],[_ShownFcstFinish]],WorkWeek,Holidays)),0)</f>
        <v>0</v>
      </c>
      <c r="EA175" s="32" t="n">
        <f aca="false">IF(AND(Tasks[[#This Row],[_IsLeaf]]=1,Tasks[[#This Row],[_LeafTotalWork]]&gt;0),Tasks[[#This Row],[_LeafWork]]/(Tasks[[#This Row],[_FinishWorkday]]-Tasks[[#This Row],[_StartWorkday]]+1),0)</f>
        <v>0</v>
      </c>
      <c r="EB175" s="32" t="n">
        <f aca="false">Tasks[[#This Row],[_WorkPerWorkday]]*(Tasks[[#This Row],[_StartWorkday]]-1)</f>
        <v>-0</v>
      </c>
      <c r="EC175" s="32" t="n">
        <f aca="false">IF(Tasks[[#This Row],[_IsLeaf]]=1,MAX(N(Tasks[[#This Row],[Duration]]),0.1),0)</f>
        <v>0</v>
      </c>
      <c r="ED175" s="32" t="n">
        <f aca="false">Tasks[[#This Row],[_WeightDur]]*Tasks[[#This Row],[_LeafProgress]]</f>
        <v>0</v>
      </c>
      <c r="EE17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5" s="32" t="str">
        <f aca="false">IF(AND(Tasks[[#This Row],[_IsLeaf]]=1,N(Tasks[[#This Row],[Duration]])=0,Tasks[[#This Row],[_LeafProgress]]&lt;1),Tasks[[#This Row],[_ShownFcstFinish]]+Tasks[[#This Row],[_Row]]/100000,"")</f>
        <v/>
      </c>
      <c r="EG17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5" s="32" t="n">
        <f aca="false">IF(NOT(Tasks[[#This Row],[_IsLeaf]]=1),0,IF(Tasks[[#This Row],[Baseline Cost]]="",Tasks[[#This Row],[_LeafTotalCost]],N(Tasks[[#This Row],[Baseline Cost]])))</f>
        <v>0</v>
      </c>
      <c r="EI175" s="32" t="n">
        <f aca="false">Tasks[[#This Row],[_LeafBudget]]*Tasks[[#This Row],[_PlannedPct]]</f>
        <v>0</v>
      </c>
      <c r="EJ175" s="32" t="n">
        <f aca="false">Tasks[[#This Row],[_LeafBudget]]*Tasks[[#This Row],[_LeafProgress]]</f>
        <v>0</v>
      </c>
      <c r="EK175" s="32" t="n">
        <f aca="false">IF(NOT(Tasks[[#This Row],[_IsLeaf]]=1),0,IF(Tasks[[#This Row],[Actual Cost]]="",Tasks[[#This Row],[_LeafTotalCost]]*Tasks[[#This Row],[_LeafProgress]],N(Tasks[[#This Row],[Actual Cost]])))</f>
        <v>0</v>
      </c>
      <c r="EL175" s="32" t="str">
        <f aca="false">IF(Tasks[[#This Row],[Task Name]]="","",LEFT(Tasks[[#This Row],[WBS]],FIND(".",Tasks[[#This Row],[WBS]]&amp;".")-1))</f>
        <v/>
      </c>
      <c r="EM175" s="32" t="str">
        <f aca="false">IF(AND(Tasks[[#This Row],[Task Name]]&lt;&gt;"",Tasks[[#This Row],[_Level]]=1),Tasks[[#This Row],[_Row]],"")</f>
        <v/>
      </c>
      <c r="EN175" s="32" t="str">
        <f aca="false">IF(AND(Tasks[[#This Row],[_IsLeaf]]=1,N(Tasks[[#This Row],[Duration]])=0),Tasks[[#This Row],[Planned Finish]]+Tasks[[#This Row],[_Row]]/100000,"")</f>
        <v/>
      </c>
      <c r="EO175" s="32" t="str">
        <f aca="false">IF(AND(Tasks[[#This Row],[_IsLeaf]]=1,Tasks[[#This Row],[_LeafProgress]]&lt;1,OR(N(Tasks[[#This Row],[Finish Var]])&gt;0,Tasks[[#This Row],[Status]]="Late Start")),MAX(0,Tasks[[#This Row],[Finish Var]])+1-Tasks[[#This Row],[_Row]]/1000000,"")</f>
        <v/>
      </c>
      <c r="EP175" s="32" t="str">
        <f aca="false">IF(AND(Tasks[[#This Row],[_IsLeaf]]=1,N(Tasks[[#This Row],[Actual Start]])=0,Tasks[[#This Row],[_ShownFcstStart]]&gt;=StatusDate,Tasks[[#This Row],[_ShownFcstStart]]&lt;=LookaheadEnd),Tasks[[#This Row],[_ShownFcstStart]]+Tasks[[#This Row],[_Row]]/100000,"")</f>
        <v/>
      </c>
      <c r="EQ175" s="32" t="str">
        <f aca="false">IF(AND(Tasks[[#This Row],[_IsLeaf]]=1,Tasks[[#This Row],[_LeafProgress]]&lt;1,Tasks[[#This Row],[_ShownFcstFinish]]&gt;=StatusDate,Tasks[[#This Row],[_ShownFcstFinish]]&lt;=LookaheadEnd),Tasks[[#This Row],[_ShownFcstFinish]]+Tasks[[#This Row],[_Row]]/100000,"")</f>
        <v/>
      </c>
      <c r="ER175" s="32" t="str">
        <f aca="false">IF(Tasks[[#This Row],[_LeafCritical]],Tasks[[#This Row],[_ShownFcstStart]]+Tasks[[#This Row],[_Row]]/100000,"")</f>
        <v/>
      </c>
      <c r="ES175" s="32" t="n">
        <f aca="false">Tasks[[#This Row],[_LeafWork]]*Tasks[[#This Row],[_LeafProgress]]</f>
        <v>0</v>
      </c>
      <c r="ET175" s="115" t="str">
        <f aca="false">IF(AND(Tasks[[#This Row],[_IsLeaf]]=1,Tasks[[#This Row],[_LeafProgress]]&gt;=1),IF(N(Tasks[[#This Row],[Actual Finish]])&gt;0,Tasks[[#This Row],[Actual Finish]],Tasks[[#This Row],[_ShownFcstFinish]]),"")</f>
        <v/>
      </c>
      <c r="EU175" s="32" t="n">
        <f aca="false">IF(Tasks[[#This Row],[_IsLeaf]]=1,N(Tasks[[#This Row],[Story Points]]),0)</f>
        <v>0</v>
      </c>
      <c r="EV175" s="32" t="str">
        <f aca="false">IF(AND(Tasks[[#This Row],[_IsLeaf]]=1,CurrentSprint&lt;&gt;"",Tasks[[#This Row],[Sprint]]=CurrentSprint),Tasks[[#This Row],[_Row]],"")</f>
        <v/>
      </c>
    </row>
    <row r="176" customFormat="false" ht="15" hidden="false" customHeight="false" outlineLevel="0" collapsed="false">
      <c r="A176" s="45" t="str">
        <f aca="false">IF(Tasks[[#This Row],[Task Name]]="","",COUNTA(Tasks[[#Headers],[Task Name]]:Tasks[[#This Row],[Task Name]])-1)</f>
        <v/>
      </c>
      <c r="B176" s="46" t="n">
        <v>171</v>
      </c>
      <c r="C17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6" s="46"/>
      <c r="E176" s="45" t="str">
        <f aca="false">IF(Tasks[[#This Row],[Task Name]]="","",IF(Tasks[[#This Row],[_Level]]&lt;=OutlineShowLevel,"Yes","No"))</f>
        <v/>
      </c>
      <c r="F176" s="47"/>
      <c r="G176" s="46"/>
      <c r="H176" s="46"/>
      <c r="I176" s="46"/>
      <c r="J176" s="46"/>
      <c r="K176" s="46"/>
      <c r="L176" s="46"/>
      <c r="M176" s="46"/>
      <c r="N176" s="46"/>
      <c r="O176" s="46"/>
      <c r="P176" s="46"/>
      <c r="Q176" s="46"/>
      <c r="R176" s="46"/>
      <c r="S176" s="46"/>
      <c r="T176" s="46"/>
      <c r="U176" s="47"/>
      <c r="V176" s="88"/>
      <c r="W176" s="88"/>
      <c r="X176" s="25" t="str">
        <f aca="false">IF(Tasks[[#This Row],[Task Name]]="","",IF(N(Tasks[[#This Row],[Baseline Start]])&gt;0,Tasks[[#This Row],[Baseline Start]],Tasks[[#This Row],[_CalcStart]]))</f>
        <v/>
      </c>
      <c r="Y176" s="25" t="str">
        <f aca="false">IF(Tasks[[#This Row],[Task Name]]="","",IF(N(Tasks[[#This Row],[Baseline Finish]])&gt;0,Tasks[[#This Row],[Baseline Finish]],Tasks[[#This Row],[_CalcFinish]]))</f>
        <v/>
      </c>
      <c r="Z176" s="88"/>
      <c r="AA176" s="88"/>
      <c r="AB176" s="25" t="str">
        <f aca="false">IF(Tasks[[#This Row],[Task Name]]="","",IF(Tasks[[#This Row],[_IsSummary]],MIN(INDEX(Tasks[_ShownFcstStart],Tasks[[#This Row],[_Row]]+1):INDEX(Tasks[_ShownFcstStart],Tasks[[#This Row],[_Row]]+Tasks[[#This Row],[_Descendants]])),Tasks[[#This Row],[_ShownFcstStart]]))</f>
        <v/>
      </c>
      <c r="AC176" s="25" t="str">
        <f aca="false">IF(Tasks[[#This Row],[Task Name]]="","",IF(Tasks[[#This Row],[_IsSummary]],MAX(INDEX(Tasks[_ShownFcstFinish],Tasks[[#This Row],[_Row]]+1):INDEX(Tasks[_ShownFcstFinish],Tasks[[#This Row],[_Row]]+Tasks[[#This Row],[_Descendants]])),Tasks[[#This Row],[_ShownFcstFinish]]))</f>
        <v/>
      </c>
      <c r="AD17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6" s="25" t="str">
        <f aca="false">IF(Tasks[[#This Row],[Task Name]]="","",IF(Tasks[[#This Row],[_IsSummary]],MIN(INDEX(Tasks[_LeafLateStart],Tasks[[#This Row],[_Row]]+1):INDEX(Tasks[_LeafLateStart],Tasks[[#This Row],[_Row]]+Tasks[[#This Row],[_Descendants]])),Tasks[[#This Row],[_LeafLateStart]]))</f>
        <v/>
      </c>
      <c r="AG176" s="25" t="str">
        <f aca="false">IF(Tasks[[#This Row],[Task Name]]="","",IF(Tasks[[#This Row],[_IsSummary]],MAX(INDEX(Tasks[_LeafLateFinish],Tasks[[#This Row],[_Row]]+1):INDEX(Tasks[_LeafLateFinish],Tasks[[#This Row],[_Row]]+Tasks[[#This Row],[_Descendants]])),Tasks[[#This Row],[_LeafLateFinish]]))</f>
        <v/>
      </c>
      <c r="AH176" s="56" t="str">
        <f aca="false">IF(Tasks[[#This Row],[Task Name]]="","",IF(Tasks[[#This Row],[_IsSummary]],MIN(INDEX(Tasks[_LeafTotalSlack],Tasks[[#This Row],[_Row]]+1):INDEX(Tasks[_LeafTotalSlack],Tasks[[#This Row],[_Row]]+Tasks[[#This Row],[_Descendants]])),Tasks[[#This Row],[_LeafTotalSlack]]))</f>
        <v/>
      </c>
      <c r="AI17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6" s="45" t="str">
        <f aca="false">IF(Tasks[[#This Row],[Task Name]]="","",IF(IF(Tasks[[#This Row],[_IsSummary]],COUNTIF(INDEX(Tasks[_LeafCritical],Tasks[[#This Row],[_Row]]+1):INDEX(Tasks[_LeafCritical],Tasks[[#This Row],[_Row]]+Tasks[[#This Row],[_Descendants]]),TRUE())&gt;0,Tasks[[#This Row],[_LeafCritical]]),"Yes",""))</f>
        <v/>
      </c>
      <c r="AK17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6" s="102"/>
      <c r="AN17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6" s="45" t="str">
        <f aca="false">IF(Tasks[[#This Row],[Task Name]]="","",IF(Tasks[[#This Row],[Progress]]&gt;=1,"Complete",IF(OR(N(Tasks[[#This Row],[Actual Start]])&gt;0,Tasks[[#This Row],[Progress]]&gt;0),IF(Tasks[[#This Row],[Finish Var]]&gt;0,"Behind","In Progress"),IF(Tasks[[#This Row],[Planned Start]]&lt;StatusDate,"Late Start","Not Started"))))</f>
        <v/>
      </c>
      <c r="AP176" s="47"/>
      <c r="AQ176" s="102"/>
      <c r="AR17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6" s="110" t="str">
        <f aca="false">IF(Tasks[[#This Row],[Task Name]]="","",IF(Tasks[[#This Row],[_IsSummary]],SUM(INDEX(Tasks[_LeafTotalWork],Tasks[[#This Row],[_Row]]+1):INDEX(Tasks[_LeafTotalWork],Tasks[[#This Row],[_Row]]+Tasks[[#This Row],[_Descendants]])),Tasks[[#This Row],[_LeafTotalWork]]))</f>
        <v/>
      </c>
      <c r="AU176" s="111" t="str">
        <f aca="false">IF(Tasks[[#This Row],[Task Name]]="","",IF(Tasks[[#This Row],[_IsSummary]],SUM(INDEX(Tasks[_LeafTotalCost],Tasks[[#This Row],[_Row]]+1):INDEX(Tasks[_LeafTotalCost],Tasks[[#This Row],[_Row]]+Tasks[[#This Row],[_Descendants]])),Tasks[[#This Row],[_LeafTotalCost]]))</f>
        <v/>
      </c>
      <c r="AV176" s="112"/>
      <c r="AW176" s="46"/>
      <c r="AX17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6" s="96"/>
      <c r="AZ17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6" s="47"/>
      <c r="BB176" s="25" t="str">
        <f aca="false">IF(Tasks[[#This Row],[Task Name]]="","",Tasks[[#This Row],[Forecast Start]])</f>
        <v/>
      </c>
      <c r="BC176" s="25" t="str">
        <f aca="false">IF(Tasks[[#This Row],[Task Name]]="","",Tasks[[#This Row],[Forecast Finish]])</f>
        <v/>
      </c>
      <c r="BD176" s="45" t="str">
        <f aca="false">IF(Tasks[[#This Row],[Task Name]]="","",IF(Tasks[[#This Row],[_IsSummary]],NETWORKDAYS.INTL(Tasks[[#This Row],[Forecast Start]],Tasks[[#This Row],[Forecast Finish]],WorkWeek,Holidays),N(Tasks[[#This Row],[Duration]])))</f>
        <v/>
      </c>
      <c r="BE176" s="110" t="str">
        <f aca="false">IF(Tasks[[#This Row],[Task Name]]="","",Tasks[[#This Row],[Work]])</f>
        <v/>
      </c>
      <c r="BF176" s="111" t="str">
        <f aca="false">IF(Tasks[[#This Row],[Task Name]]="","",Tasks[[#This Row],[Cost]])</f>
        <v/>
      </c>
      <c r="BG176" s="88"/>
      <c r="BH176" s="88"/>
      <c r="BI176" s="46"/>
      <c r="BJ176" s="113"/>
      <c r="BK176" s="112"/>
      <c r="BL176" s="45" t="str">
        <f aca="false">IF(OR(Tasks[[#This Row],[Task Name]]="",Tasks[[#This Row],[Baseline Duration]]=""),"",Tasks[[#This Row],[BL Source Duration]]-N(Tasks[[#This Row],[Baseline Duration]]))</f>
        <v/>
      </c>
      <c r="BM176" s="110" t="str">
        <f aca="false">IF(OR(Tasks[[#This Row],[Task Name]]="",Tasks[[#This Row],[Baseline Work]]=""),"",Tasks[[#This Row],[Work]]-N(Tasks[[#This Row],[Baseline Work]]))</f>
        <v/>
      </c>
      <c r="BN176" s="111" t="str">
        <f aca="false">IF(OR(Tasks[[#This Row],[Task Name]]="",Tasks[[#This Row],[Baseline Cost]]=""),"",Tasks[[#This Row],[Cost]]-N(Tasks[[#This Row],[Baseline Cost]]))</f>
        <v/>
      </c>
      <c r="BO176" s="111" t="str">
        <f aca="false">IF(Tasks[[#This Row],[Task Name]]="","",IF(Tasks[[#This Row],[_IsSummary]],SUM(INDEX(Tasks[_LeafBudget],Tasks[[#This Row],[_Row]]+1):INDEX(Tasks[_LeafBudget],Tasks[[#This Row],[_Row]]+Tasks[[#This Row],[_Descendants]])),Tasks[[#This Row],[_LeafBudget]]))</f>
        <v/>
      </c>
      <c r="BP176" s="111" t="str">
        <f aca="false">IF(Tasks[[#This Row],[Task Name]]="","",IF(Tasks[[#This Row],[_IsSummary]],SUM(INDEX(Tasks[_LeafPV],Tasks[[#This Row],[_Row]]+1):INDEX(Tasks[_LeafPV],Tasks[[#This Row],[_Row]]+Tasks[[#This Row],[_Descendants]])),Tasks[[#This Row],[_LeafPV]]))</f>
        <v/>
      </c>
      <c r="BQ176" s="111" t="str">
        <f aca="false">IF(Tasks[[#This Row],[Task Name]]="","",IF(Tasks[[#This Row],[_IsSummary]],SUM(INDEX(Tasks[_LeafEV],Tasks[[#This Row],[_Row]]+1):INDEX(Tasks[_LeafEV],Tasks[[#This Row],[_Row]]+Tasks[[#This Row],[_Descendants]])),Tasks[[#This Row],[_LeafEV]]))</f>
        <v/>
      </c>
      <c r="BR176" s="111" t="str">
        <f aca="false">IF(Tasks[[#This Row],[Task Name]]="","",IF(Tasks[[#This Row],[_IsSummary]],SUM(INDEX(Tasks[_LeafAC],Tasks[[#This Row],[_Row]]+1):INDEX(Tasks[_LeafAC],Tasks[[#This Row],[_Row]]+Tasks[[#This Row],[_Descendants]])),Tasks[[#This Row],[_LeafAC]]))</f>
        <v/>
      </c>
      <c r="BS176" s="32" t="str">
        <f aca="false">IF(Tasks[[#This Row],[Task Name]]="","",MAX(1,N(Tasks[[#This Row],[Level]])))</f>
        <v/>
      </c>
      <c r="BT176" s="32" t="n">
        <f aca="false">ROW()-ROW(Tasks[[#Headers],[ID]])</f>
        <v>171</v>
      </c>
      <c r="BU176" s="32" t="n">
        <f aca="false">IF(OR(Tasks[[#This Row],[Task Name]]="",Tasks[[#This Row],[_Level]]&lt;=1),0,IFERROR(LOOKUP(2,1/(Tasks[[#Headers],[_Level]]:Tasks[[#This Row],[_Level]]=Tasks[[#This Row],[_Level]]-1),ROW(Tasks[[#Headers],[_Level]]:Tasks[[#This Row],[_Level]])),0))</f>
        <v>0</v>
      </c>
      <c r="BV176" s="32" t="n">
        <f aca="false">IFERROR(N(INDEX(Tasks[_Level],Tasks[[#This Row],[_Row]]+1)),0)</f>
        <v>0</v>
      </c>
      <c r="BW176" s="114" t="b">
        <f aca="false">AND(Tasks[[#This Row],[Task Name]]&lt;&gt;"",Tasks[[#This Row],[_NextLevel]]&gt;Tasks[[#This Row],[_Level]])</f>
        <v>0</v>
      </c>
      <c r="BX176" s="32" t="n">
        <f aca="false">IF(Tasks[[#This Row],[_IsSummary]],COUNTIF(Tasks[WBS],Tasks[[#This Row],[WBS]]&amp;".*"),0)</f>
        <v>0</v>
      </c>
      <c r="BY176" s="32" t="n">
        <f aca="false">IF(AND(Tasks[[#This Row],[Task Name]]&lt;&gt;"",NOT(Tasks[[#This Row],[_IsSummary]])),1,0)</f>
        <v>0</v>
      </c>
      <c r="BZ176" s="32" t="n">
        <f aca="false">IF(N(Tasks[[#This Row],[Pred1 UID]])=0,0,IFERROR(MATCH(Tasks[[#This Row],[Pred1 UID]],Tasks[UID],0),-1))</f>
        <v>0</v>
      </c>
      <c r="CA176" s="32" t="n">
        <f aca="false">IF(N(Tasks[[#This Row],[Pred2 UID]])=0,0,IFERROR(MATCH(Tasks[[#This Row],[Pred2 UID]],Tasks[UID],0),-1))</f>
        <v>0</v>
      </c>
      <c r="CB176" s="32" t="n">
        <f aca="false">IF(N(Tasks[[#This Row],[Pred3 UID]])=0,0,IFERROR(MATCH(Tasks[[#This Row],[Pred3 UID]],Tasks[UID],0),-1))</f>
        <v>0</v>
      </c>
      <c r="CC176" s="32" t="n">
        <f aca="false">IF(N(Tasks[[#This Row],[Pred4 UID]])=0,0,IFERROR(MATCH(Tasks[[#This Row],[Pred4 UID]],Tasks[UID],0),-1))</f>
        <v>0</v>
      </c>
      <c r="CD17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6" s="115" t="n">
        <f aca="false">IF(OR(Tasks[[#This Row],[_ConstraintCode]]=2,Tasks[[#This Row],[_ConstraintCode]]=3,Tasks[[#This Row],[_ConstraintCode]]=4,Tasks[[#This Row],[_ConstraintCode]]=6),Tasks[[#This Row],[_ConstraintStart]],0)</f>
        <v>0</v>
      </c>
      <c r="CG176" s="115" t="n">
        <f aca="false">IF(OR(Tasks[[#This Row],[_ConstraintCode]]=2,Tasks[[#This Row],[_ConstraintCode]]=3,Tasks[[#This Row],[_ConstraintCode]]=5,Tasks[[#This Row],[_ConstraintCode]]=7),Tasks[[#This Row],[_ConstraintStart]],2958465)</f>
        <v>2958465</v>
      </c>
      <c r="CH17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6" s="115" t="str">
        <f aca="false">IF(NOT(Tasks[[#This Row],[_IsLeaf]]=1),"",IF(N(Tasks[[#This Row],[Duration]])&lt;=0,Tasks[[#This Row],[_LeafCalcStart]],WORKDAY.INTL(Tasks[[#This Row],[_LeafCalcStart]],Tasks[[#This Row],[Duration]]-1,WorkWeek,Holidays)))</f>
        <v/>
      </c>
      <c r="CJ17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6" s="32" t="n">
        <f aca="false">IF(NOT(Tasks[[#This Row],[_IsLeaf]]=1),0,IF(N(Tasks[[#This Row],[Actual Finish]])&gt;0,1,MIN(1,N(Tasks[[#This Row],[% Complete]]))))</f>
        <v>0</v>
      </c>
      <c r="CM176" s="32" t="n">
        <f aca="false">IF(OR(NOT(Tasks[[#This Row],[_IsLeaf]]=1),Tasks[[#This Row],[Resource]]=""),0,N(Tasks[[#This Row],[Duration]])*HoursPerDay*IF(Tasks[[#This Row],[Units]]="",DefaultUnits,Tasks[[#This Row],[Units]]))</f>
        <v>0</v>
      </c>
      <c r="CN176" s="32" t="n">
        <f aca="false">IF(Tasks[[#This Row],[_LeafWork]]=0,0,Tasks[[#This Row],[_LeafWork]]*IFERROR(INDEX(res_Rate,MATCH(Tasks[[#This Row],[Resource]],res_Name,0)),0))</f>
        <v>0</v>
      </c>
      <c r="CO176" s="32" t="n">
        <f aca="false">Tasks[[#This Row],[_LeafWork]]+IF(Tasks[[#This Row],[_IsLeaf]]=1,SUMIFS(asg_Work,asg_TaskUID,Tasks[[#This Row],[UID]],asg_Valid,1),0)</f>
        <v>0</v>
      </c>
      <c r="CP176" s="32" t="n">
        <f aca="false">Tasks[[#This Row],[_LeafCost]]+IF(Tasks[[#This Row],[_IsLeaf]]=1,SUMIFS(asg_Cost,asg_TaskUID,Tasks[[#This Row],[UID]],asg_Valid,1),0)</f>
        <v>0</v>
      </c>
      <c r="CQ176" s="32" t="n">
        <f aca="false">IF(Tasks[[#This Row],[_LeafTotalCost]]=0,Tasks[[#This Row],[_LeafAC]],Tasks[[#This Row],[_LeafAC]]*Tasks[[#This Row],[_LeafCost]]/Tasks[[#This Row],[_LeafTotalCost]])</f>
        <v>0</v>
      </c>
      <c r="CR17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6" s="32" t="n">
        <f aca="false">IF(NOT(Tasks[[#This Row],[_IsLeaf]]=1),0,MAX(_xlfn.MAXIFS(Tasks[_Row],Tasks[Pred1 UID],Tasks[[#This Row],[UID]]),_xlfn.MAXIFS(Tasks[_Row],Tasks[Pred2 UID],Tasks[[#This Row],[UID]]),_xlfn.MAXIFS(Tasks[_Row],Tasks[Pred3 UID],Tasks[[#This Row],[UID]]),_xlfn.MAXIFS(Tasks[_Row],Tasks[Pred4 UID],Tasks[[#This Row],[UID]])))</f>
        <v>0</v>
      </c>
      <c r="DA17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6" s="115" t="str">
        <f aca="false">IF(NOT(Tasks[[#This Row],[_IsLeaf]]=1),"",IF(N(Tasks[[#This Row],[Duration]])&lt;=0,Tasks[[#This Row],[_LeafLateFinish]],WORKDAY.INTL(Tasks[[#This Row],[_LeafLateFinish]],-(Tasks[[#This Row],[Duration]]-1),WorkWeek,Holidays)))</f>
        <v/>
      </c>
      <c r="DD17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6" s="114" t="b">
        <f aca="false">AND(Tasks[[#This Row],[_IsLeaf]]=1,Tasks[[#This Row],[_LeafProgress]]&lt;1,N(Tasks[[#This Row],[_LeafTotalSlack]])&lt;=CriticalSlackDays)</f>
        <v>0</v>
      </c>
      <c r="DF176" s="32" t="n">
        <f aca="false">IF(AND(Tasks[[#This Row],[_IsLeaf]]=1,Tasks[[#This Row],[_ConstraintCode]]=1,Tasks[[#This Row],[Mode]]&lt;&gt;"Manual",N(Tasks[[#This Row],[Actual Start]])=0),MAX(0,N(Tasks[[#This Row],[Free Slack]])),0)</f>
        <v>0</v>
      </c>
      <c r="DG176" s="115" t="str">
        <f aca="false">IF(NOT(Tasks[[#This Row],[_IsLeaf]]=1),"",IF(Tasks[[#This Row],[_AlapShift]]=0,Tasks[[#This Row],[_LeafCalcStart]],WORKDAY.INTL(Tasks[[#This Row],[_LeafCalcStart]],Tasks[[#This Row],[_AlapShift]],WorkWeek,Holidays)))</f>
        <v/>
      </c>
      <c r="DH176" s="115" t="str">
        <f aca="false">IF(NOT(Tasks[[#This Row],[_IsLeaf]]=1),"",IF(Tasks[[#This Row],[_AlapShift]]=0,Tasks[[#This Row],[_LeafCalcFinish]],WORKDAY.INTL(Tasks[[#This Row],[_LeafCalcFinish]],Tasks[[#This Row],[_AlapShift]],WorkWeek,Holidays)))</f>
        <v/>
      </c>
      <c r="DI176" s="115" t="str">
        <f aca="false">IF(NOT(Tasks[[#This Row],[_IsLeaf]]=1),"",IF(Tasks[[#This Row],[_AlapShift]]=0,Tasks[[#This Row],[_LeafFcstStart]],WORKDAY.INTL(Tasks[[#This Row],[_LeafFcstStart]],Tasks[[#This Row],[_AlapShift]],WorkWeek,Holidays)))</f>
        <v/>
      </c>
      <c r="DJ176" s="115" t="str">
        <f aca="false">IF(NOT(Tasks[[#This Row],[_IsLeaf]]=1),"",IF(Tasks[[#This Row],[_AlapShift]]=0,Tasks[[#This Row],[_LeafFcstFinish]],WORKDAY.INTL(Tasks[[#This Row],[_LeafFcstFinish]],Tasks[[#This Row],[_AlapShift]],WorkWeek,Holidays)))</f>
        <v/>
      </c>
      <c r="DK176" s="115" t="str">
        <f aca="false">IF(Tasks[[#This Row],[Task Name]]="","",IF(Tasks[[#This Row],[_IsSummary]],MIN(INDEX(Tasks[_ShownCalcStart],Tasks[[#This Row],[_Row]]+1):INDEX(Tasks[_ShownCalcStart],Tasks[[#This Row],[_Row]]+Tasks[[#This Row],[_Descendants]])),Tasks[[#This Row],[_ShownCalcStart]]))</f>
        <v/>
      </c>
      <c r="DL176" s="115" t="str">
        <f aca="false">IF(Tasks[[#This Row],[Task Name]]="","",IF(Tasks[[#This Row],[_IsSummary]],MAX(INDEX(Tasks[_ShownCalcFinish],Tasks[[#This Row],[_Row]]+1):INDEX(Tasks[_ShownCalcFinish],Tasks[[#This Row],[_Row]]+Tasks[[#This Row],[_Descendants]])),Tasks[[#This Row],[_ShownCalcFinish]]))</f>
        <v/>
      </c>
      <c r="DM17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6" s="32" t="n">
        <f aca="false">IF(AND(Tasks[[#This Row],[_IsLeaf]]=1,Tasks[[#This Row],[_LeafTotalWork]]&gt;0),NETWORKDAYS.INTL(ProjectStart,Tasks[[#This Row],[_ShownFcstStart]],WorkWeek,Holidays),0)</f>
        <v>0</v>
      </c>
      <c r="DZ176" s="32" t="n">
        <f aca="false">IF(AND(Tasks[[#This Row],[_IsLeaf]]=1,Tasks[[#This Row],[_LeafTotalWork]]&gt;0),MAX(Tasks[[#This Row],[_StartWorkday]],NETWORKDAYS.INTL(ProjectStart,Tasks[[#This Row],[_ShownFcstFinish]],WorkWeek,Holidays)),0)</f>
        <v>0</v>
      </c>
      <c r="EA176" s="32" t="n">
        <f aca="false">IF(AND(Tasks[[#This Row],[_IsLeaf]]=1,Tasks[[#This Row],[_LeafTotalWork]]&gt;0),Tasks[[#This Row],[_LeafWork]]/(Tasks[[#This Row],[_FinishWorkday]]-Tasks[[#This Row],[_StartWorkday]]+1),0)</f>
        <v>0</v>
      </c>
      <c r="EB176" s="32" t="n">
        <f aca="false">Tasks[[#This Row],[_WorkPerWorkday]]*(Tasks[[#This Row],[_StartWorkday]]-1)</f>
        <v>-0</v>
      </c>
      <c r="EC176" s="32" t="n">
        <f aca="false">IF(Tasks[[#This Row],[_IsLeaf]]=1,MAX(N(Tasks[[#This Row],[Duration]]),0.1),0)</f>
        <v>0</v>
      </c>
      <c r="ED176" s="32" t="n">
        <f aca="false">Tasks[[#This Row],[_WeightDur]]*Tasks[[#This Row],[_LeafProgress]]</f>
        <v>0</v>
      </c>
      <c r="EE17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6" s="32" t="str">
        <f aca="false">IF(AND(Tasks[[#This Row],[_IsLeaf]]=1,N(Tasks[[#This Row],[Duration]])=0,Tasks[[#This Row],[_LeafProgress]]&lt;1),Tasks[[#This Row],[_ShownFcstFinish]]+Tasks[[#This Row],[_Row]]/100000,"")</f>
        <v/>
      </c>
      <c r="EG17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6" s="32" t="n">
        <f aca="false">IF(NOT(Tasks[[#This Row],[_IsLeaf]]=1),0,IF(Tasks[[#This Row],[Baseline Cost]]="",Tasks[[#This Row],[_LeafTotalCost]],N(Tasks[[#This Row],[Baseline Cost]])))</f>
        <v>0</v>
      </c>
      <c r="EI176" s="32" t="n">
        <f aca="false">Tasks[[#This Row],[_LeafBudget]]*Tasks[[#This Row],[_PlannedPct]]</f>
        <v>0</v>
      </c>
      <c r="EJ176" s="32" t="n">
        <f aca="false">Tasks[[#This Row],[_LeafBudget]]*Tasks[[#This Row],[_LeafProgress]]</f>
        <v>0</v>
      </c>
      <c r="EK176" s="32" t="n">
        <f aca="false">IF(NOT(Tasks[[#This Row],[_IsLeaf]]=1),0,IF(Tasks[[#This Row],[Actual Cost]]="",Tasks[[#This Row],[_LeafTotalCost]]*Tasks[[#This Row],[_LeafProgress]],N(Tasks[[#This Row],[Actual Cost]])))</f>
        <v>0</v>
      </c>
      <c r="EL176" s="32" t="str">
        <f aca="false">IF(Tasks[[#This Row],[Task Name]]="","",LEFT(Tasks[[#This Row],[WBS]],FIND(".",Tasks[[#This Row],[WBS]]&amp;".")-1))</f>
        <v/>
      </c>
      <c r="EM176" s="32" t="str">
        <f aca="false">IF(AND(Tasks[[#This Row],[Task Name]]&lt;&gt;"",Tasks[[#This Row],[_Level]]=1),Tasks[[#This Row],[_Row]],"")</f>
        <v/>
      </c>
      <c r="EN176" s="32" t="str">
        <f aca="false">IF(AND(Tasks[[#This Row],[_IsLeaf]]=1,N(Tasks[[#This Row],[Duration]])=0),Tasks[[#This Row],[Planned Finish]]+Tasks[[#This Row],[_Row]]/100000,"")</f>
        <v/>
      </c>
      <c r="EO176" s="32" t="str">
        <f aca="false">IF(AND(Tasks[[#This Row],[_IsLeaf]]=1,Tasks[[#This Row],[_LeafProgress]]&lt;1,OR(N(Tasks[[#This Row],[Finish Var]])&gt;0,Tasks[[#This Row],[Status]]="Late Start")),MAX(0,Tasks[[#This Row],[Finish Var]])+1-Tasks[[#This Row],[_Row]]/1000000,"")</f>
        <v/>
      </c>
      <c r="EP176" s="32" t="str">
        <f aca="false">IF(AND(Tasks[[#This Row],[_IsLeaf]]=1,N(Tasks[[#This Row],[Actual Start]])=0,Tasks[[#This Row],[_ShownFcstStart]]&gt;=StatusDate,Tasks[[#This Row],[_ShownFcstStart]]&lt;=LookaheadEnd),Tasks[[#This Row],[_ShownFcstStart]]+Tasks[[#This Row],[_Row]]/100000,"")</f>
        <v/>
      </c>
      <c r="EQ176" s="32" t="str">
        <f aca="false">IF(AND(Tasks[[#This Row],[_IsLeaf]]=1,Tasks[[#This Row],[_LeafProgress]]&lt;1,Tasks[[#This Row],[_ShownFcstFinish]]&gt;=StatusDate,Tasks[[#This Row],[_ShownFcstFinish]]&lt;=LookaheadEnd),Tasks[[#This Row],[_ShownFcstFinish]]+Tasks[[#This Row],[_Row]]/100000,"")</f>
        <v/>
      </c>
      <c r="ER176" s="32" t="str">
        <f aca="false">IF(Tasks[[#This Row],[_LeafCritical]],Tasks[[#This Row],[_ShownFcstStart]]+Tasks[[#This Row],[_Row]]/100000,"")</f>
        <v/>
      </c>
      <c r="ES176" s="32" t="n">
        <f aca="false">Tasks[[#This Row],[_LeafWork]]*Tasks[[#This Row],[_LeafProgress]]</f>
        <v>0</v>
      </c>
      <c r="ET176" s="115" t="str">
        <f aca="false">IF(AND(Tasks[[#This Row],[_IsLeaf]]=1,Tasks[[#This Row],[_LeafProgress]]&gt;=1),IF(N(Tasks[[#This Row],[Actual Finish]])&gt;0,Tasks[[#This Row],[Actual Finish]],Tasks[[#This Row],[_ShownFcstFinish]]),"")</f>
        <v/>
      </c>
      <c r="EU176" s="32" t="n">
        <f aca="false">IF(Tasks[[#This Row],[_IsLeaf]]=1,N(Tasks[[#This Row],[Story Points]]),0)</f>
        <v>0</v>
      </c>
      <c r="EV176" s="32" t="str">
        <f aca="false">IF(AND(Tasks[[#This Row],[_IsLeaf]]=1,CurrentSprint&lt;&gt;"",Tasks[[#This Row],[Sprint]]=CurrentSprint),Tasks[[#This Row],[_Row]],"")</f>
        <v/>
      </c>
    </row>
    <row r="177" customFormat="false" ht="15" hidden="false" customHeight="false" outlineLevel="0" collapsed="false">
      <c r="A177" s="45" t="str">
        <f aca="false">IF(Tasks[[#This Row],[Task Name]]="","",COUNTA(Tasks[[#Headers],[Task Name]]:Tasks[[#This Row],[Task Name]])-1)</f>
        <v/>
      </c>
      <c r="B177" s="46" t="n">
        <v>172</v>
      </c>
      <c r="C17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7" s="46"/>
      <c r="E177" s="45" t="str">
        <f aca="false">IF(Tasks[[#This Row],[Task Name]]="","",IF(Tasks[[#This Row],[_Level]]&lt;=OutlineShowLevel,"Yes","No"))</f>
        <v/>
      </c>
      <c r="F177" s="47"/>
      <c r="G177" s="46"/>
      <c r="H177" s="46"/>
      <c r="I177" s="46"/>
      <c r="J177" s="46"/>
      <c r="K177" s="46"/>
      <c r="L177" s="46"/>
      <c r="M177" s="46"/>
      <c r="N177" s="46"/>
      <c r="O177" s="46"/>
      <c r="P177" s="46"/>
      <c r="Q177" s="46"/>
      <c r="R177" s="46"/>
      <c r="S177" s="46"/>
      <c r="T177" s="46"/>
      <c r="U177" s="47"/>
      <c r="V177" s="88"/>
      <c r="W177" s="88"/>
      <c r="X177" s="25" t="str">
        <f aca="false">IF(Tasks[[#This Row],[Task Name]]="","",IF(N(Tasks[[#This Row],[Baseline Start]])&gt;0,Tasks[[#This Row],[Baseline Start]],Tasks[[#This Row],[_CalcStart]]))</f>
        <v/>
      </c>
      <c r="Y177" s="25" t="str">
        <f aca="false">IF(Tasks[[#This Row],[Task Name]]="","",IF(N(Tasks[[#This Row],[Baseline Finish]])&gt;0,Tasks[[#This Row],[Baseline Finish]],Tasks[[#This Row],[_CalcFinish]]))</f>
        <v/>
      </c>
      <c r="Z177" s="88"/>
      <c r="AA177" s="88"/>
      <c r="AB177" s="25" t="str">
        <f aca="false">IF(Tasks[[#This Row],[Task Name]]="","",IF(Tasks[[#This Row],[_IsSummary]],MIN(INDEX(Tasks[_ShownFcstStart],Tasks[[#This Row],[_Row]]+1):INDEX(Tasks[_ShownFcstStart],Tasks[[#This Row],[_Row]]+Tasks[[#This Row],[_Descendants]])),Tasks[[#This Row],[_ShownFcstStart]]))</f>
        <v/>
      </c>
      <c r="AC177" s="25" t="str">
        <f aca="false">IF(Tasks[[#This Row],[Task Name]]="","",IF(Tasks[[#This Row],[_IsSummary]],MAX(INDEX(Tasks[_ShownFcstFinish],Tasks[[#This Row],[_Row]]+1):INDEX(Tasks[_ShownFcstFinish],Tasks[[#This Row],[_Row]]+Tasks[[#This Row],[_Descendants]])),Tasks[[#This Row],[_ShownFcstFinish]]))</f>
        <v/>
      </c>
      <c r="AD17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7" s="25" t="str">
        <f aca="false">IF(Tasks[[#This Row],[Task Name]]="","",IF(Tasks[[#This Row],[_IsSummary]],MIN(INDEX(Tasks[_LeafLateStart],Tasks[[#This Row],[_Row]]+1):INDEX(Tasks[_LeafLateStart],Tasks[[#This Row],[_Row]]+Tasks[[#This Row],[_Descendants]])),Tasks[[#This Row],[_LeafLateStart]]))</f>
        <v/>
      </c>
      <c r="AG177" s="25" t="str">
        <f aca="false">IF(Tasks[[#This Row],[Task Name]]="","",IF(Tasks[[#This Row],[_IsSummary]],MAX(INDEX(Tasks[_LeafLateFinish],Tasks[[#This Row],[_Row]]+1):INDEX(Tasks[_LeafLateFinish],Tasks[[#This Row],[_Row]]+Tasks[[#This Row],[_Descendants]])),Tasks[[#This Row],[_LeafLateFinish]]))</f>
        <v/>
      </c>
      <c r="AH177" s="56" t="str">
        <f aca="false">IF(Tasks[[#This Row],[Task Name]]="","",IF(Tasks[[#This Row],[_IsSummary]],MIN(INDEX(Tasks[_LeafTotalSlack],Tasks[[#This Row],[_Row]]+1):INDEX(Tasks[_LeafTotalSlack],Tasks[[#This Row],[_Row]]+Tasks[[#This Row],[_Descendants]])),Tasks[[#This Row],[_LeafTotalSlack]]))</f>
        <v/>
      </c>
      <c r="AI17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7" s="45" t="str">
        <f aca="false">IF(Tasks[[#This Row],[Task Name]]="","",IF(IF(Tasks[[#This Row],[_IsSummary]],COUNTIF(INDEX(Tasks[_LeafCritical],Tasks[[#This Row],[_Row]]+1):INDEX(Tasks[_LeafCritical],Tasks[[#This Row],[_Row]]+Tasks[[#This Row],[_Descendants]]),TRUE())&gt;0,Tasks[[#This Row],[_LeafCritical]]),"Yes",""))</f>
        <v/>
      </c>
      <c r="AK17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7" s="102"/>
      <c r="AN17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7" s="45" t="str">
        <f aca="false">IF(Tasks[[#This Row],[Task Name]]="","",IF(Tasks[[#This Row],[Progress]]&gt;=1,"Complete",IF(OR(N(Tasks[[#This Row],[Actual Start]])&gt;0,Tasks[[#This Row],[Progress]]&gt;0),IF(Tasks[[#This Row],[Finish Var]]&gt;0,"Behind","In Progress"),IF(Tasks[[#This Row],[Planned Start]]&lt;StatusDate,"Late Start","Not Started"))))</f>
        <v/>
      </c>
      <c r="AP177" s="47"/>
      <c r="AQ177" s="102"/>
      <c r="AR17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7" s="110" t="str">
        <f aca="false">IF(Tasks[[#This Row],[Task Name]]="","",IF(Tasks[[#This Row],[_IsSummary]],SUM(INDEX(Tasks[_LeafTotalWork],Tasks[[#This Row],[_Row]]+1):INDEX(Tasks[_LeafTotalWork],Tasks[[#This Row],[_Row]]+Tasks[[#This Row],[_Descendants]])),Tasks[[#This Row],[_LeafTotalWork]]))</f>
        <v/>
      </c>
      <c r="AU177" s="111" t="str">
        <f aca="false">IF(Tasks[[#This Row],[Task Name]]="","",IF(Tasks[[#This Row],[_IsSummary]],SUM(INDEX(Tasks[_LeafTotalCost],Tasks[[#This Row],[_Row]]+1):INDEX(Tasks[_LeafTotalCost],Tasks[[#This Row],[_Row]]+Tasks[[#This Row],[_Descendants]])),Tasks[[#This Row],[_LeafTotalCost]]))</f>
        <v/>
      </c>
      <c r="AV177" s="112"/>
      <c r="AW177" s="46"/>
      <c r="AX17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7" s="96"/>
      <c r="AZ17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7" s="47"/>
      <c r="BB177" s="25" t="str">
        <f aca="false">IF(Tasks[[#This Row],[Task Name]]="","",Tasks[[#This Row],[Forecast Start]])</f>
        <v/>
      </c>
      <c r="BC177" s="25" t="str">
        <f aca="false">IF(Tasks[[#This Row],[Task Name]]="","",Tasks[[#This Row],[Forecast Finish]])</f>
        <v/>
      </c>
      <c r="BD177" s="45" t="str">
        <f aca="false">IF(Tasks[[#This Row],[Task Name]]="","",IF(Tasks[[#This Row],[_IsSummary]],NETWORKDAYS.INTL(Tasks[[#This Row],[Forecast Start]],Tasks[[#This Row],[Forecast Finish]],WorkWeek,Holidays),N(Tasks[[#This Row],[Duration]])))</f>
        <v/>
      </c>
      <c r="BE177" s="110" t="str">
        <f aca="false">IF(Tasks[[#This Row],[Task Name]]="","",Tasks[[#This Row],[Work]])</f>
        <v/>
      </c>
      <c r="BF177" s="111" t="str">
        <f aca="false">IF(Tasks[[#This Row],[Task Name]]="","",Tasks[[#This Row],[Cost]])</f>
        <v/>
      </c>
      <c r="BG177" s="88"/>
      <c r="BH177" s="88"/>
      <c r="BI177" s="46"/>
      <c r="BJ177" s="113"/>
      <c r="BK177" s="112"/>
      <c r="BL177" s="45" t="str">
        <f aca="false">IF(OR(Tasks[[#This Row],[Task Name]]="",Tasks[[#This Row],[Baseline Duration]]=""),"",Tasks[[#This Row],[BL Source Duration]]-N(Tasks[[#This Row],[Baseline Duration]]))</f>
        <v/>
      </c>
      <c r="BM177" s="110" t="str">
        <f aca="false">IF(OR(Tasks[[#This Row],[Task Name]]="",Tasks[[#This Row],[Baseline Work]]=""),"",Tasks[[#This Row],[Work]]-N(Tasks[[#This Row],[Baseline Work]]))</f>
        <v/>
      </c>
      <c r="BN177" s="111" t="str">
        <f aca="false">IF(OR(Tasks[[#This Row],[Task Name]]="",Tasks[[#This Row],[Baseline Cost]]=""),"",Tasks[[#This Row],[Cost]]-N(Tasks[[#This Row],[Baseline Cost]]))</f>
        <v/>
      </c>
      <c r="BO177" s="111" t="str">
        <f aca="false">IF(Tasks[[#This Row],[Task Name]]="","",IF(Tasks[[#This Row],[_IsSummary]],SUM(INDEX(Tasks[_LeafBudget],Tasks[[#This Row],[_Row]]+1):INDEX(Tasks[_LeafBudget],Tasks[[#This Row],[_Row]]+Tasks[[#This Row],[_Descendants]])),Tasks[[#This Row],[_LeafBudget]]))</f>
        <v/>
      </c>
      <c r="BP177" s="111" t="str">
        <f aca="false">IF(Tasks[[#This Row],[Task Name]]="","",IF(Tasks[[#This Row],[_IsSummary]],SUM(INDEX(Tasks[_LeafPV],Tasks[[#This Row],[_Row]]+1):INDEX(Tasks[_LeafPV],Tasks[[#This Row],[_Row]]+Tasks[[#This Row],[_Descendants]])),Tasks[[#This Row],[_LeafPV]]))</f>
        <v/>
      </c>
      <c r="BQ177" s="111" t="str">
        <f aca="false">IF(Tasks[[#This Row],[Task Name]]="","",IF(Tasks[[#This Row],[_IsSummary]],SUM(INDEX(Tasks[_LeafEV],Tasks[[#This Row],[_Row]]+1):INDEX(Tasks[_LeafEV],Tasks[[#This Row],[_Row]]+Tasks[[#This Row],[_Descendants]])),Tasks[[#This Row],[_LeafEV]]))</f>
        <v/>
      </c>
      <c r="BR177" s="111" t="str">
        <f aca="false">IF(Tasks[[#This Row],[Task Name]]="","",IF(Tasks[[#This Row],[_IsSummary]],SUM(INDEX(Tasks[_LeafAC],Tasks[[#This Row],[_Row]]+1):INDEX(Tasks[_LeafAC],Tasks[[#This Row],[_Row]]+Tasks[[#This Row],[_Descendants]])),Tasks[[#This Row],[_LeafAC]]))</f>
        <v/>
      </c>
      <c r="BS177" s="32" t="str">
        <f aca="false">IF(Tasks[[#This Row],[Task Name]]="","",MAX(1,N(Tasks[[#This Row],[Level]])))</f>
        <v/>
      </c>
      <c r="BT177" s="32" t="n">
        <f aca="false">ROW()-ROW(Tasks[[#Headers],[ID]])</f>
        <v>172</v>
      </c>
      <c r="BU177" s="32" t="n">
        <f aca="false">IF(OR(Tasks[[#This Row],[Task Name]]="",Tasks[[#This Row],[_Level]]&lt;=1),0,IFERROR(LOOKUP(2,1/(Tasks[[#Headers],[_Level]]:Tasks[[#This Row],[_Level]]=Tasks[[#This Row],[_Level]]-1),ROW(Tasks[[#Headers],[_Level]]:Tasks[[#This Row],[_Level]])),0))</f>
        <v>0</v>
      </c>
      <c r="BV177" s="32" t="n">
        <f aca="false">IFERROR(N(INDEX(Tasks[_Level],Tasks[[#This Row],[_Row]]+1)),0)</f>
        <v>0</v>
      </c>
      <c r="BW177" s="114" t="b">
        <f aca="false">AND(Tasks[[#This Row],[Task Name]]&lt;&gt;"",Tasks[[#This Row],[_NextLevel]]&gt;Tasks[[#This Row],[_Level]])</f>
        <v>0</v>
      </c>
      <c r="BX177" s="32" t="n">
        <f aca="false">IF(Tasks[[#This Row],[_IsSummary]],COUNTIF(Tasks[WBS],Tasks[[#This Row],[WBS]]&amp;".*"),0)</f>
        <v>0</v>
      </c>
      <c r="BY177" s="32" t="n">
        <f aca="false">IF(AND(Tasks[[#This Row],[Task Name]]&lt;&gt;"",NOT(Tasks[[#This Row],[_IsSummary]])),1,0)</f>
        <v>0</v>
      </c>
      <c r="BZ177" s="32" t="n">
        <f aca="false">IF(N(Tasks[[#This Row],[Pred1 UID]])=0,0,IFERROR(MATCH(Tasks[[#This Row],[Pred1 UID]],Tasks[UID],0),-1))</f>
        <v>0</v>
      </c>
      <c r="CA177" s="32" t="n">
        <f aca="false">IF(N(Tasks[[#This Row],[Pred2 UID]])=0,0,IFERROR(MATCH(Tasks[[#This Row],[Pred2 UID]],Tasks[UID],0),-1))</f>
        <v>0</v>
      </c>
      <c r="CB177" s="32" t="n">
        <f aca="false">IF(N(Tasks[[#This Row],[Pred3 UID]])=0,0,IFERROR(MATCH(Tasks[[#This Row],[Pred3 UID]],Tasks[UID],0),-1))</f>
        <v>0</v>
      </c>
      <c r="CC177" s="32" t="n">
        <f aca="false">IF(N(Tasks[[#This Row],[Pred4 UID]])=0,0,IFERROR(MATCH(Tasks[[#This Row],[Pred4 UID]],Tasks[UID],0),-1))</f>
        <v>0</v>
      </c>
      <c r="CD17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7" s="115" t="n">
        <f aca="false">IF(OR(Tasks[[#This Row],[_ConstraintCode]]=2,Tasks[[#This Row],[_ConstraintCode]]=3,Tasks[[#This Row],[_ConstraintCode]]=4,Tasks[[#This Row],[_ConstraintCode]]=6),Tasks[[#This Row],[_ConstraintStart]],0)</f>
        <v>0</v>
      </c>
      <c r="CG177" s="115" t="n">
        <f aca="false">IF(OR(Tasks[[#This Row],[_ConstraintCode]]=2,Tasks[[#This Row],[_ConstraintCode]]=3,Tasks[[#This Row],[_ConstraintCode]]=5,Tasks[[#This Row],[_ConstraintCode]]=7),Tasks[[#This Row],[_ConstraintStart]],2958465)</f>
        <v>2958465</v>
      </c>
      <c r="CH17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7" s="115" t="str">
        <f aca="false">IF(NOT(Tasks[[#This Row],[_IsLeaf]]=1),"",IF(N(Tasks[[#This Row],[Duration]])&lt;=0,Tasks[[#This Row],[_LeafCalcStart]],WORKDAY.INTL(Tasks[[#This Row],[_LeafCalcStart]],Tasks[[#This Row],[Duration]]-1,WorkWeek,Holidays)))</f>
        <v/>
      </c>
      <c r="CJ17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7" s="32" t="n">
        <f aca="false">IF(NOT(Tasks[[#This Row],[_IsLeaf]]=1),0,IF(N(Tasks[[#This Row],[Actual Finish]])&gt;0,1,MIN(1,N(Tasks[[#This Row],[% Complete]]))))</f>
        <v>0</v>
      </c>
      <c r="CM177" s="32" t="n">
        <f aca="false">IF(OR(NOT(Tasks[[#This Row],[_IsLeaf]]=1),Tasks[[#This Row],[Resource]]=""),0,N(Tasks[[#This Row],[Duration]])*HoursPerDay*IF(Tasks[[#This Row],[Units]]="",DefaultUnits,Tasks[[#This Row],[Units]]))</f>
        <v>0</v>
      </c>
      <c r="CN177" s="32" t="n">
        <f aca="false">IF(Tasks[[#This Row],[_LeafWork]]=0,0,Tasks[[#This Row],[_LeafWork]]*IFERROR(INDEX(res_Rate,MATCH(Tasks[[#This Row],[Resource]],res_Name,0)),0))</f>
        <v>0</v>
      </c>
      <c r="CO177" s="32" t="n">
        <f aca="false">Tasks[[#This Row],[_LeafWork]]+IF(Tasks[[#This Row],[_IsLeaf]]=1,SUMIFS(asg_Work,asg_TaskUID,Tasks[[#This Row],[UID]],asg_Valid,1),0)</f>
        <v>0</v>
      </c>
      <c r="CP177" s="32" t="n">
        <f aca="false">Tasks[[#This Row],[_LeafCost]]+IF(Tasks[[#This Row],[_IsLeaf]]=1,SUMIFS(asg_Cost,asg_TaskUID,Tasks[[#This Row],[UID]],asg_Valid,1),0)</f>
        <v>0</v>
      </c>
      <c r="CQ177" s="32" t="n">
        <f aca="false">IF(Tasks[[#This Row],[_LeafTotalCost]]=0,Tasks[[#This Row],[_LeafAC]],Tasks[[#This Row],[_LeafAC]]*Tasks[[#This Row],[_LeafCost]]/Tasks[[#This Row],[_LeafTotalCost]])</f>
        <v>0</v>
      </c>
      <c r="CR17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7" s="32" t="n">
        <f aca="false">IF(NOT(Tasks[[#This Row],[_IsLeaf]]=1),0,MAX(_xlfn.MAXIFS(Tasks[_Row],Tasks[Pred1 UID],Tasks[[#This Row],[UID]]),_xlfn.MAXIFS(Tasks[_Row],Tasks[Pred2 UID],Tasks[[#This Row],[UID]]),_xlfn.MAXIFS(Tasks[_Row],Tasks[Pred3 UID],Tasks[[#This Row],[UID]]),_xlfn.MAXIFS(Tasks[_Row],Tasks[Pred4 UID],Tasks[[#This Row],[UID]])))</f>
        <v>0</v>
      </c>
      <c r="DA17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7" s="115" t="str">
        <f aca="false">IF(NOT(Tasks[[#This Row],[_IsLeaf]]=1),"",IF(N(Tasks[[#This Row],[Duration]])&lt;=0,Tasks[[#This Row],[_LeafLateFinish]],WORKDAY.INTL(Tasks[[#This Row],[_LeafLateFinish]],-(Tasks[[#This Row],[Duration]]-1),WorkWeek,Holidays)))</f>
        <v/>
      </c>
      <c r="DD17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7" s="114" t="b">
        <f aca="false">AND(Tasks[[#This Row],[_IsLeaf]]=1,Tasks[[#This Row],[_LeafProgress]]&lt;1,N(Tasks[[#This Row],[_LeafTotalSlack]])&lt;=CriticalSlackDays)</f>
        <v>0</v>
      </c>
      <c r="DF177" s="32" t="n">
        <f aca="false">IF(AND(Tasks[[#This Row],[_IsLeaf]]=1,Tasks[[#This Row],[_ConstraintCode]]=1,Tasks[[#This Row],[Mode]]&lt;&gt;"Manual",N(Tasks[[#This Row],[Actual Start]])=0),MAX(0,N(Tasks[[#This Row],[Free Slack]])),0)</f>
        <v>0</v>
      </c>
      <c r="DG177" s="115" t="str">
        <f aca="false">IF(NOT(Tasks[[#This Row],[_IsLeaf]]=1),"",IF(Tasks[[#This Row],[_AlapShift]]=0,Tasks[[#This Row],[_LeafCalcStart]],WORKDAY.INTL(Tasks[[#This Row],[_LeafCalcStart]],Tasks[[#This Row],[_AlapShift]],WorkWeek,Holidays)))</f>
        <v/>
      </c>
      <c r="DH177" s="115" t="str">
        <f aca="false">IF(NOT(Tasks[[#This Row],[_IsLeaf]]=1),"",IF(Tasks[[#This Row],[_AlapShift]]=0,Tasks[[#This Row],[_LeafCalcFinish]],WORKDAY.INTL(Tasks[[#This Row],[_LeafCalcFinish]],Tasks[[#This Row],[_AlapShift]],WorkWeek,Holidays)))</f>
        <v/>
      </c>
      <c r="DI177" s="115" t="str">
        <f aca="false">IF(NOT(Tasks[[#This Row],[_IsLeaf]]=1),"",IF(Tasks[[#This Row],[_AlapShift]]=0,Tasks[[#This Row],[_LeafFcstStart]],WORKDAY.INTL(Tasks[[#This Row],[_LeafFcstStart]],Tasks[[#This Row],[_AlapShift]],WorkWeek,Holidays)))</f>
        <v/>
      </c>
      <c r="DJ177" s="115" t="str">
        <f aca="false">IF(NOT(Tasks[[#This Row],[_IsLeaf]]=1),"",IF(Tasks[[#This Row],[_AlapShift]]=0,Tasks[[#This Row],[_LeafFcstFinish]],WORKDAY.INTL(Tasks[[#This Row],[_LeafFcstFinish]],Tasks[[#This Row],[_AlapShift]],WorkWeek,Holidays)))</f>
        <v/>
      </c>
      <c r="DK177" s="115" t="str">
        <f aca="false">IF(Tasks[[#This Row],[Task Name]]="","",IF(Tasks[[#This Row],[_IsSummary]],MIN(INDEX(Tasks[_ShownCalcStart],Tasks[[#This Row],[_Row]]+1):INDEX(Tasks[_ShownCalcStart],Tasks[[#This Row],[_Row]]+Tasks[[#This Row],[_Descendants]])),Tasks[[#This Row],[_ShownCalcStart]]))</f>
        <v/>
      </c>
      <c r="DL177" s="115" t="str">
        <f aca="false">IF(Tasks[[#This Row],[Task Name]]="","",IF(Tasks[[#This Row],[_IsSummary]],MAX(INDEX(Tasks[_ShownCalcFinish],Tasks[[#This Row],[_Row]]+1):INDEX(Tasks[_ShownCalcFinish],Tasks[[#This Row],[_Row]]+Tasks[[#This Row],[_Descendants]])),Tasks[[#This Row],[_ShownCalcFinish]]))</f>
        <v/>
      </c>
      <c r="DM17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7" s="32" t="n">
        <f aca="false">IF(AND(Tasks[[#This Row],[_IsLeaf]]=1,Tasks[[#This Row],[_LeafTotalWork]]&gt;0),NETWORKDAYS.INTL(ProjectStart,Tasks[[#This Row],[_ShownFcstStart]],WorkWeek,Holidays),0)</f>
        <v>0</v>
      </c>
      <c r="DZ177" s="32" t="n">
        <f aca="false">IF(AND(Tasks[[#This Row],[_IsLeaf]]=1,Tasks[[#This Row],[_LeafTotalWork]]&gt;0),MAX(Tasks[[#This Row],[_StartWorkday]],NETWORKDAYS.INTL(ProjectStart,Tasks[[#This Row],[_ShownFcstFinish]],WorkWeek,Holidays)),0)</f>
        <v>0</v>
      </c>
      <c r="EA177" s="32" t="n">
        <f aca="false">IF(AND(Tasks[[#This Row],[_IsLeaf]]=1,Tasks[[#This Row],[_LeafTotalWork]]&gt;0),Tasks[[#This Row],[_LeafWork]]/(Tasks[[#This Row],[_FinishWorkday]]-Tasks[[#This Row],[_StartWorkday]]+1),0)</f>
        <v>0</v>
      </c>
      <c r="EB177" s="32" t="n">
        <f aca="false">Tasks[[#This Row],[_WorkPerWorkday]]*(Tasks[[#This Row],[_StartWorkday]]-1)</f>
        <v>-0</v>
      </c>
      <c r="EC177" s="32" t="n">
        <f aca="false">IF(Tasks[[#This Row],[_IsLeaf]]=1,MAX(N(Tasks[[#This Row],[Duration]]),0.1),0)</f>
        <v>0</v>
      </c>
      <c r="ED177" s="32" t="n">
        <f aca="false">Tasks[[#This Row],[_WeightDur]]*Tasks[[#This Row],[_LeafProgress]]</f>
        <v>0</v>
      </c>
      <c r="EE17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7" s="32" t="str">
        <f aca="false">IF(AND(Tasks[[#This Row],[_IsLeaf]]=1,N(Tasks[[#This Row],[Duration]])=0,Tasks[[#This Row],[_LeafProgress]]&lt;1),Tasks[[#This Row],[_ShownFcstFinish]]+Tasks[[#This Row],[_Row]]/100000,"")</f>
        <v/>
      </c>
      <c r="EG17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7" s="32" t="n">
        <f aca="false">IF(NOT(Tasks[[#This Row],[_IsLeaf]]=1),0,IF(Tasks[[#This Row],[Baseline Cost]]="",Tasks[[#This Row],[_LeafTotalCost]],N(Tasks[[#This Row],[Baseline Cost]])))</f>
        <v>0</v>
      </c>
      <c r="EI177" s="32" t="n">
        <f aca="false">Tasks[[#This Row],[_LeafBudget]]*Tasks[[#This Row],[_PlannedPct]]</f>
        <v>0</v>
      </c>
      <c r="EJ177" s="32" t="n">
        <f aca="false">Tasks[[#This Row],[_LeafBudget]]*Tasks[[#This Row],[_LeafProgress]]</f>
        <v>0</v>
      </c>
      <c r="EK177" s="32" t="n">
        <f aca="false">IF(NOT(Tasks[[#This Row],[_IsLeaf]]=1),0,IF(Tasks[[#This Row],[Actual Cost]]="",Tasks[[#This Row],[_LeafTotalCost]]*Tasks[[#This Row],[_LeafProgress]],N(Tasks[[#This Row],[Actual Cost]])))</f>
        <v>0</v>
      </c>
      <c r="EL177" s="32" t="str">
        <f aca="false">IF(Tasks[[#This Row],[Task Name]]="","",LEFT(Tasks[[#This Row],[WBS]],FIND(".",Tasks[[#This Row],[WBS]]&amp;".")-1))</f>
        <v/>
      </c>
      <c r="EM177" s="32" t="str">
        <f aca="false">IF(AND(Tasks[[#This Row],[Task Name]]&lt;&gt;"",Tasks[[#This Row],[_Level]]=1),Tasks[[#This Row],[_Row]],"")</f>
        <v/>
      </c>
      <c r="EN177" s="32" t="str">
        <f aca="false">IF(AND(Tasks[[#This Row],[_IsLeaf]]=1,N(Tasks[[#This Row],[Duration]])=0),Tasks[[#This Row],[Planned Finish]]+Tasks[[#This Row],[_Row]]/100000,"")</f>
        <v/>
      </c>
      <c r="EO177" s="32" t="str">
        <f aca="false">IF(AND(Tasks[[#This Row],[_IsLeaf]]=1,Tasks[[#This Row],[_LeafProgress]]&lt;1,OR(N(Tasks[[#This Row],[Finish Var]])&gt;0,Tasks[[#This Row],[Status]]="Late Start")),MAX(0,Tasks[[#This Row],[Finish Var]])+1-Tasks[[#This Row],[_Row]]/1000000,"")</f>
        <v/>
      </c>
      <c r="EP177" s="32" t="str">
        <f aca="false">IF(AND(Tasks[[#This Row],[_IsLeaf]]=1,N(Tasks[[#This Row],[Actual Start]])=0,Tasks[[#This Row],[_ShownFcstStart]]&gt;=StatusDate,Tasks[[#This Row],[_ShownFcstStart]]&lt;=LookaheadEnd),Tasks[[#This Row],[_ShownFcstStart]]+Tasks[[#This Row],[_Row]]/100000,"")</f>
        <v/>
      </c>
      <c r="EQ177" s="32" t="str">
        <f aca="false">IF(AND(Tasks[[#This Row],[_IsLeaf]]=1,Tasks[[#This Row],[_LeafProgress]]&lt;1,Tasks[[#This Row],[_ShownFcstFinish]]&gt;=StatusDate,Tasks[[#This Row],[_ShownFcstFinish]]&lt;=LookaheadEnd),Tasks[[#This Row],[_ShownFcstFinish]]+Tasks[[#This Row],[_Row]]/100000,"")</f>
        <v/>
      </c>
      <c r="ER177" s="32" t="str">
        <f aca="false">IF(Tasks[[#This Row],[_LeafCritical]],Tasks[[#This Row],[_ShownFcstStart]]+Tasks[[#This Row],[_Row]]/100000,"")</f>
        <v/>
      </c>
      <c r="ES177" s="32" t="n">
        <f aca="false">Tasks[[#This Row],[_LeafWork]]*Tasks[[#This Row],[_LeafProgress]]</f>
        <v>0</v>
      </c>
      <c r="ET177" s="115" t="str">
        <f aca="false">IF(AND(Tasks[[#This Row],[_IsLeaf]]=1,Tasks[[#This Row],[_LeafProgress]]&gt;=1),IF(N(Tasks[[#This Row],[Actual Finish]])&gt;0,Tasks[[#This Row],[Actual Finish]],Tasks[[#This Row],[_ShownFcstFinish]]),"")</f>
        <v/>
      </c>
      <c r="EU177" s="32" t="n">
        <f aca="false">IF(Tasks[[#This Row],[_IsLeaf]]=1,N(Tasks[[#This Row],[Story Points]]),0)</f>
        <v>0</v>
      </c>
      <c r="EV177" s="32" t="str">
        <f aca="false">IF(AND(Tasks[[#This Row],[_IsLeaf]]=1,CurrentSprint&lt;&gt;"",Tasks[[#This Row],[Sprint]]=CurrentSprint),Tasks[[#This Row],[_Row]],"")</f>
        <v/>
      </c>
    </row>
    <row r="178" customFormat="false" ht="15" hidden="false" customHeight="false" outlineLevel="0" collapsed="false">
      <c r="A178" s="45" t="str">
        <f aca="false">IF(Tasks[[#This Row],[Task Name]]="","",COUNTA(Tasks[[#Headers],[Task Name]]:Tasks[[#This Row],[Task Name]])-1)</f>
        <v/>
      </c>
      <c r="B178" s="46" t="n">
        <v>173</v>
      </c>
      <c r="C17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8" s="46"/>
      <c r="E178" s="45" t="str">
        <f aca="false">IF(Tasks[[#This Row],[Task Name]]="","",IF(Tasks[[#This Row],[_Level]]&lt;=OutlineShowLevel,"Yes","No"))</f>
        <v/>
      </c>
      <c r="F178" s="47"/>
      <c r="G178" s="46"/>
      <c r="H178" s="46"/>
      <c r="I178" s="46"/>
      <c r="J178" s="46"/>
      <c r="K178" s="46"/>
      <c r="L178" s="46"/>
      <c r="M178" s="46"/>
      <c r="N178" s="46"/>
      <c r="O178" s="46"/>
      <c r="P178" s="46"/>
      <c r="Q178" s="46"/>
      <c r="R178" s="46"/>
      <c r="S178" s="46"/>
      <c r="T178" s="46"/>
      <c r="U178" s="47"/>
      <c r="V178" s="88"/>
      <c r="W178" s="88"/>
      <c r="X178" s="25" t="str">
        <f aca="false">IF(Tasks[[#This Row],[Task Name]]="","",IF(N(Tasks[[#This Row],[Baseline Start]])&gt;0,Tasks[[#This Row],[Baseline Start]],Tasks[[#This Row],[_CalcStart]]))</f>
        <v/>
      </c>
      <c r="Y178" s="25" t="str">
        <f aca="false">IF(Tasks[[#This Row],[Task Name]]="","",IF(N(Tasks[[#This Row],[Baseline Finish]])&gt;0,Tasks[[#This Row],[Baseline Finish]],Tasks[[#This Row],[_CalcFinish]]))</f>
        <v/>
      </c>
      <c r="Z178" s="88"/>
      <c r="AA178" s="88"/>
      <c r="AB178" s="25" t="str">
        <f aca="false">IF(Tasks[[#This Row],[Task Name]]="","",IF(Tasks[[#This Row],[_IsSummary]],MIN(INDEX(Tasks[_ShownFcstStart],Tasks[[#This Row],[_Row]]+1):INDEX(Tasks[_ShownFcstStart],Tasks[[#This Row],[_Row]]+Tasks[[#This Row],[_Descendants]])),Tasks[[#This Row],[_ShownFcstStart]]))</f>
        <v/>
      </c>
      <c r="AC178" s="25" t="str">
        <f aca="false">IF(Tasks[[#This Row],[Task Name]]="","",IF(Tasks[[#This Row],[_IsSummary]],MAX(INDEX(Tasks[_ShownFcstFinish],Tasks[[#This Row],[_Row]]+1):INDEX(Tasks[_ShownFcstFinish],Tasks[[#This Row],[_Row]]+Tasks[[#This Row],[_Descendants]])),Tasks[[#This Row],[_ShownFcstFinish]]))</f>
        <v/>
      </c>
      <c r="AD17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8" s="25" t="str">
        <f aca="false">IF(Tasks[[#This Row],[Task Name]]="","",IF(Tasks[[#This Row],[_IsSummary]],MIN(INDEX(Tasks[_LeafLateStart],Tasks[[#This Row],[_Row]]+1):INDEX(Tasks[_LeafLateStart],Tasks[[#This Row],[_Row]]+Tasks[[#This Row],[_Descendants]])),Tasks[[#This Row],[_LeafLateStart]]))</f>
        <v/>
      </c>
      <c r="AG178" s="25" t="str">
        <f aca="false">IF(Tasks[[#This Row],[Task Name]]="","",IF(Tasks[[#This Row],[_IsSummary]],MAX(INDEX(Tasks[_LeafLateFinish],Tasks[[#This Row],[_Row]]+1):INDEX(Tasks[_LeafLateFinish],Tasks[[#This Row],[_Row]]+Tasks[[#This Row],[_Descendants]])),Tasks[[#This Row],[_LeafLateFinish]]))</f>
        <v/>
      </c>
      <c r="AH178" s="56" t="str">
        <f aca="false">IF(Tasks[[#This Row],[Task Name]]="","",IF(Tasks[[#This Row],[_IsSummary]],MIN(INDEX(Tasks[_LeafTotalSlack],Tasks[[#This Row],[_Row]]+1):INDEX(Tasks[_LeafTotalSlack],Tasks[[#This Row],[_Row]]+Tasks[[#This Row],[_Descendants]])),Tasks[[#This Row],[_LeafTotalSlack]]))</f>
        <v/>
      </c>
      <c r="AI17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8" s="45" t="str">
        <f aca="false">IF(Tasks[[#This Row],[Task Name]]="","",IF(IF(Tasks[[#This Row],[_IsSummary]],COUNTIF(INDEX(Tasks[_LeafCritical],Tasks[[#This Row],[_Row]]+1):INDEX(Tasks[_LeafCritical],Tasks[[#This Row],[_Row]]+Tasks[[#This Row],[_Descendants]]),TRUE())&gt;0,Tasks[[#This Row],[_LeafCritical]]),"Yes",""))</f>
        <v/>
      </c>
      <c r="AK17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8" s="102"/>
      <c r="AN17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8" s="45" t="str">
        <f aca="false">IF(Tasks[[#This Row],[Task Name]]="","",IF(Tasks[[#This Row],[Progress]]&gt;=1,"Complete",IF(OR(N(Tasks[[#This Row],[Actual Start]])&gt;0,Tasks[[#This Row],[Progress]]&gt;0),IF(Tasks[[#This Row],[Finish Var]]&gt;0,"Behind","In Progress"),IF(Tasks[[#This Row],[Planned Start]]&lt;StatusDate,"Late Start","Not Started"))))</f>
        <v/>
      </c>
      <c r="AP178" s="47"/>
      <c r="AQ178" s="102"/>
      <c r="AR17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8" s="110" t="str">
        <f aca="false">IF(Tasks[[#This Row],[Task Name]]="","",IF(Tasks[[#This Row],[_IsSummary]],SUM(INDEX(Tasks[_LeafTotalWork],Tasks[[#This Row],[_Row]]+1):INDEX(Tasks[_LeafTotalWork],Tasks[[#This Row],[_Row]]+Tasks[[#This Row],[_Descendants]])),Tasks[[#This Row],[_LeafTotalWork]]))</f>
        <v/>
      </c>
      <c r="AU178" s="111" t="str">
        <f aca="false">IF(Tasks[[#This Row],[Task Name]]="","",IF(Tasks[[#This Row],[_IsSummary]],SUM(INDEX(Tasks[_LeafTotalCost],Tasks[[#This Row],[_Row]]+1):INDEX(Tasks[_LeafTotalCost],Tasks[[#This Row],[_Row]]+Tasks[[#This Row],[_Descendants]])),Tasks[[#This Row],[_LeafTotalCost]]))</f>
        <v/>
      </c>
      <c r="AV178" s="112"/>
      <c r="AW178" s="46"/>
      <c r="AX17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8" s="96"/>
      <c r="AZ17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8" s="47"/>
      <c r="BB178" s="25" t="str">
        <f aca="false">IF(Tasks[[#This Row],[Task Name]]="","",Tasks[[#This Row],[Forecast Start]])</f>
        <v/>
      </c>
      <c r="BC178" s="25" t="str">
        <f aca="false">IF(Tasks[[#This Row],[Task Name]]="","",Tasks[[#This Row],[Forecast Finish]])</f>
        <v/>
      </c>
      <c r="BD178" s="45" t="str">
        <f aca="false">IF(Tasks[[#This Row],[Task Name]]="","",IF(Tasks[[#This Row],[_IsSummary]],NETWORKDAYS.INTL(Tasks[[#This Row],[Forecast Start]],Tasks[[#This Row],[Forecast Finish]],WorkWeek,Holidays),N(Tasks[[#This Row],[Duration]])))</f>
        <v/>
      </c>
      <c r="BE178" s="110" t="str">
        <f aca="false">IF(Tasks[[#This Row],[Task Name]]="","",Tasks[[#This Row],[Work]])</f>
        <v/>
      </c>
      <c r="BF178" s="111" t="str">
        <f aca="false">IF(Tasks[[#This Row],[Task Name]]="","",Tasks[[#This Row],[Cost]])</f>
        <v/>
      </c>
      <c r="BG178" s="88"/>
      <c r="BH178" s="88"/>
      <c r="BI178" s="46"/>
      <c r="BJ178" s="113"/>
      <c r="BK178" s="112"/>
      <c r="BL178" s="45" t="str">
        <f aca="false">IF(OR(Tasks[[#This Row],[Task Name]]="",Tasks[[#This Row],[Baseline Duration]]=""),"",Tasks[[#This Row],[BL Source Duration]]-N(Tasks[[#This Row],[Baseline Duration]]))</f>
        <v/>
      </c>
      <c r="BM178" s="110" t="str">
        <f aca="false">IF(OR(Tasks[[#This Row],[Task Name]]="",Tasks[[#This Row],[Baseline Work]]=""),"",Tasks[[#This Row],[Work]]-N(Tasks[[#This Row],[Baseline Work]]))</f>
        <v/>
      </c>
      <c r="BN178" s="111" t="str">
        <f aca="false">IF(OR(Tasks[[#This Row],[Task Name]]="",Tasks[[#This Row],[Baseline Cost]]=""),"",Tasks[[#This Row],[Cost]]-N(Tasks[[#This Row],[Baseline Cost]]))</f>
        <v/>
      </c>
      <c r="BO178" s="111" t="str">
        <f aca="false">IF(Tasks[[#This Row],[Task Name]]="","",IF(Tasks[[#This Row],[_IsSummary]],SUM(INDEX(Tasks[_LeafBudget],Tasks[[#This Row],[_Row]]+1):INDEX(Tasks[_LeafBudget],Tasks[[#This Row],[_Row]]+Tasks[[#This Row],[_Descendants]])),Tasks[[#This Row],[_LeafBudget]]))</f>
        <v/>
      </c>
      <c r="BP178" s="111" t="str">
        <f aca="false">IF(Tasks[[#This Row],[Task Name]]="","",IF(Tasks[[#This Row],[_IsSummary]],SUM(INDEX(Tasks[_LeafPV],Tasks[[#This Row],[_Row]]+1):INDEX(Tasks[_LeafPV],Tasks[[#This Row],[_Row]]+Tasks[[#This Row],[_Descendants]])),Tasks[[#This Row],[_LeafPV]]))</f>
        <v/>
      </c>
      <c r="BQ178" s="111" t="str">
        <f aca="false">IF(Tasks[[#This Row],[Task Name]]="","",IF(Tasks[[#This Row],[_IsSummary]],SUM(INDEX(Tasks[_LeafEV],Tasks[[#This Row],[_Row]]+1):INDEX(Tasks[_LeafEV],Tasks[[#This Row],[_Row]]+Tasks[[#This Row],[_Descendants]])),Tasks[[#This Row],[_LeafEV]]))</f>
        <v/>
      </c>
      <c r="BR178" s="111" t="str">
        <f aca="false">IF(Tasks[[#This Row],[Task Name]]="","",IF(Tasks[[#This Row],[_IsSummary]],SUM(INDEX(Tasks[_LeafAC],Tasks[[#This Row],[_Row]]+1):INDEX(Tasks[_LeafAC],Tasks[[#This Row],[_Row]]+Tasks[[#This Row],[_Descendants]])),Tasks[[#This Row],[_LeafAC]]))</f>
        <v/>
      </c>
      <c r="BS178" s="32" t="str">
        <f aca="false">IF(Tasks[[#This Row],[Task Name]]="","",MAX(1,N(Tasks[[#This Row],[Level]])))</f>
        <v/>
      </c>
      <c r="BT178" s="32" t="n">
        <f aca="false">ROW()-ROW(Tasks[[#Headers],[ID]])</f>
        <v>173</v>
      </c>
      <c r="BU178" s="32" t="n">
        <f aca="false">IF(OR(Tasks[[#This Row],[Task Name]]="",Tasks[[#This Row],[_Level]]&lt;=1),0,IFERROR(LOOKUP(2,1/(Tasks[[#Headers],[_Level]]:Tasks[[#This Row],[_Level]]=Tasks[[#This Row],[_Level]]-1),ROW(Tasks[[#Headers],[_Level]]:Tasks[[#This Row],[_Level]])),0))</f>
        <v>0</v>
      </c>
      <c r="BV178" s="32" t="n">
        <f aca="false">IFERROR(N(INDEX(Tasks[_Level],Tasks[[#This Row],[_Row]]+1)),0)</f>
        <v>0</v>
      </c>
      <c r="BW178" s="114" t="b">
        <f aca="false">AND(Tasks[[#This Row],[Task Name]]&lt;&gt;"",Tasks[[#This Row],[_NextLevel]]&gt;Tasks[[#This Row],[_Level]])</f>
        <v>0</v>
      </c>
      <c r="BX178" s="32" t="n">
        <f aca="false">IF(Tasks[[#This Row],[_IsSummary]],COUNTIF(Tasks[WBS],Tasks[[#This Row],[WBS]]&amp;".*"),0)</f>
        <v>0</v>
      </c>
      <c r="BY178" s="32" t="n">
        <f aca="false">IF(AND(Tasks[[#This Row],[Task Name]]&lt;&gt;"",NOT(Tasks[[#This Row],[_IsSummary]])),1,0)</f>
        <v>0</v>
      </c>
      <c r="BZ178" s="32" t="n">
        <f aca="false">IF(N(Tasks[[#This Row],[Pred1 UID]])=0,0,IFERROR(MATCH(Tasks[[#This Row],[Pred1 UID]],Tasks[UID],0),-1))</f>
        <v>0</v>
      </c>
      <c r="CA178" s="32" t="n">
        <f aca="false">IF(N(Tasks[[#This Row],[Pred2 UID]])=0,0,IFERROR(MATCH(Tasks[[#This Row],[Pred2 UID]],Tasks[UID],0),-1))</f>
        <v>0</v>
      </c>
      <c r="CB178" s="32" t="n">
        <f aca="false">IF(N(Tasks[[#This Row],[Pred3 UID]])=0,0,IFERROR(MATCH(Tasks[[#This Row],[Pred3 UID]],Tasks[UID],0),-1))</f>
        <v>0</v>
      </c>
      <c r="CC178" s="32" t="n">
        <f aca="false">IF(N(Tasks[[#This Row],[Pred4 UID]])=0,0,IFERROR(MATCH(Tasks[[#This Row],[Pred4 UID]],Tasks[UID],0),-1))</f>
        <v>0</v>
      </c>
      <c r="CD17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8" s="115" t="n">
        <f aca="false">IF(OR(Tasks[[#This Row],[_ConstraintCode]]=2,Tasks[[#This Row],[_ConstraintCode]]=3,Tasks[[#This Row],[_ConstraintCode]]=4,Tasks[[#This Row],[_ConstraintCode]]=6),Tasks[[#This Row],[_ConstraintStart]],0)</f>
        <v>0</v>
      </c>
      <c r="CG178" s="115" t="n">
        <f aca="false">IF(OR(Tasks[[#This Row],[_ConstraintCode]]=2,Tasks[[#This Row],[_ConstraintCode]]=3,Tasks[[#This Row],[_ConstraintCode]]=5,Tasks[[#This Row],[_ConstraintCode]]=7),Tasks[[#This Row],[_ConstraintStart]],2958465)</f>
        <v>2958465</v>
      </c>
      <c r="CH17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8" s="115" t="str">
        <f aca="false">IF(NOT(Tasks[[#This Row],[_IsLeaf]]=1),"",IF(N(Tasks[[#This Row],[Duration]])&lt;=0,Tasks[[#This Row],[_LeafCalcStart]],WORKDAY.INTL(Tasks[[#This Row],[_LeafCalcStart]],Tasks[[#This Row],[Duration]]-1,WorkWeek,Holidays)))</f>
        <v/>
      </c>
      <c r="CJ17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8" s="32" t="n">
        <f aca="false">IF(NOT(Tasks[[#This Row],[_IsLeaf]]=1),0,IF(N(Tasks[[#This Row],[Actual Finish]])&gt;0,1,MIN(1,N(Tasks[[#This Row],[% Complete]]))))</f>
        <v>0</v>
      </c>
      <c r="CM178" s="32" t="n">
        <f aca="false">IF(OR(NOT(Tasks[[#This Row],[_IsLeaf]]=1),Tasks[[#This Row],[Resource]]=""),0,N(Tasks[[#This Row],[Duration]])*HoursPerDay*IF(Tasks[[#This Row],[Units]]="",DefaultUnits,Tasks[[#This Row],[Units]]))</f>
        <v>0</v>
      </c>
      <c r="CN178" s="32" t="n">
        <f aca="false">IF(Tasks[[#This Row],[_LeafWork]]=0,0,Tasks[[#This Row],[_LeafWork]]*IFERROR(INDEX(res_Rate,MATCH(Tasks[[#This Row],[Resource]],res_Name,0)),0))</f>
        <v>0</v>
      </c>
      <c r="CO178" s="32" t="n">
        <f aca="false">Tasks[[#This Row],[_LeafWork]]+IF(Tasks[[#This Row],[_IsLeaf]]=1,SUMIFS(asg_Work,asg_TaskUID,Tasks[[#This Row],[UID]],asg_Valid,1),0)</f>
        <v>0</v>
      </c>
      <c r="CP178" s="32" t="n">
        <f aca="false">Tasks[[#This Row],[_LeafCost]]+IF(Tasks[[#This Row],[_IsLeaf]]=1,SUMIFS(asg_Cost,asg_TaskUID,Tasks[[#This Row],[UID]],asg_Valid,1),0)</f>
        <v>0</v>
      </c>
      <c r="CQ178" s="32" t="n">
        <f aca="false">IF(Tasks[[#This Row],[_LeafTotalCost]]=0,Tasks[[#This Row],[_LeafAC]],Tasks[[#This Row],[_LeafAC]]*Tasks[[#This Row],[_LeafCost]]/Tasks[[#This Row],[_LeafTotalCost]])</f>
        <v>0</v>
      </c>
      <c r="CR17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8" s="32" t="n">
        <f aca="false">IF(NOT(Tasks[[#This Row],[_IsLeaf]]=1),0,MAX(_xlfn.MAXIFS(Tasks[_Row],Tasks[Pred1 UID],Tasks[[#This Row],[UID]]),_xlfn.MAXIFS(Tasks[_Row],Tasks[Pred2 UID],Tasks[[#This Row],[UID]]),_xlfn.MAXIFS(Tasks[_Row],Tasks[Pred3 UID],Tasks[[#This Row],[UID]]),_xlfn.MAXIFS(Tasks[_Row],Tasks[Pred4 UID],Tasks[[#This Row],[UID]])))</f>
        <v>0</v>
      </c>
      <c r="DA17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8" s="115" t="str">
        <f aca="false">IF(NOT(Tasks[[#This Row],[_IsLeaf]]=1),"",IF(N(Tasks[[#This Row],[Duration]])&lt;=0,Tasks[[#This Row],[_LeafLateFinish]],WORKDAY.INTL(Tasks[[#This Row],[_LeafLateFinish]],-(Tasks[[#This Row],[Duration]]-1),WorkWeek,Holidays)))</f>
        <v/>
      </c>
      <c r="DD17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8" s="114" t="b">
        <f aca="false">AND(Tasks[[#This Row],[_IsLeaf]]=1,Tasks[[#This Row],[_LeafProgress]]&lt;1,N(Tasks[[#This Row],[_LeafTotalSlack]])&lt;=CriticalSlackDays)</f>
        <v>0</v>
      </c>
      <c r="DF178" s="32" t="n">
        <f aca="false">IF(AND(Tasks[[#This Row],[_IsLeaf]]=1,Tasks[[#This Row],[_ConstraintCode]]=1,Tasks[[#This Row],[Mode]]&lt;&gt;"Manual",N(Tasks[[#This Row],[Actual Start]])=0),MAX(0,N(Tasks[[#This Row],[Free Slack]])),0)</f>
        <v>0</v>
      </c>
      <c r="DG178" s="115" t="str">
        <f aca="false">IF(NOT(Tasks[[#This Row],[_IsLeaf]]=1),"",IF(Tasks[[#This Row],[_AlapShift]]=0,Tasks[[#This Row],[_LeafCalcStart]],WORKDAY.INTL(Tasks[[#This Row],[_LeafCalcStart]],Tasks[[#This Row],[_AlapShift]],WorkWeek,Holidays)))</f>
        <v/>
      </c>
      <c r="DH178" s="115" t="str">
        <f aca="false">IF(NOT(Tasks[[#This Row],[_IsLeaf]]=1),"",IF(Tasks[[#This Row],[_AlapShift]]=0,Tasks[[#This Row],[_LeafCalcFinish]],WORKDAY.INTL(Tasks[[#This Row],[_LeafCalcFinish]],Tasks[[#This Row],[_AlapShift]],WorkWeek,Holidays)))</f>
        <v/>
      </c>
      <c r="DI178" s="115" t="str">
        <f aca="false">IF(NOT(Tasks[[#This Row],[_IsLeaf]]=1),"",IF(Tasks[[#This Row],[_AlapShift]]=0,Tasks[[#This Row],[_LeafFcstStart]],WORKDAY.INTL(Tasks[[#This Row],[_LeafFcstStart]],Tasks[[#This Row],[_AlapShift]],WorkWeek,Holidays)))</f>
        <v/>
      </c>
      <c r="DJ178" s="115" t="str">
        <f aca="false">IF(NOT(Tasks[[#This Row],[_IsLeaf]]=1),"",IF(Tasks[[#This Row],[_AlapShift]]=0,Tasks[[#This Row],[_LeafFcstFinish]],WORKDAY.INTL(Tasks[[#This Row],[_LeafFcstFinish]],Tasks[[#This Row],[_AlapShift]],WorkWeek,Holidays)))</f>
        <v/>
      </c>
      <c r="DK178" s="115" t="str">
        <f aca="false">IF(Tasks[[#This Row],[Task Name]]="","",IF(Tasks[[#This Row],[_IsSummary]],MIN(INDEX(Tasks[_ShownCalcStart],Tasks[[#This Row],[_Row]]+1):INDEX(Tasks[_ShownCalcStart],Tasks[[#This Row],[_Row]]+Tasks[[#This Row],[_Descendants]])),Tasks[[#This Row],[_ShownCalcStart]]))</f>
        <v/>
      </c>
      <c r="DL178" s="115" t="str">
        <f aca="false">IF(Tasks[[#This Row],[Task Name]]="","",IF(Tasks[[#This Row],[_IsSummary]],MAX(INDEX(Tasks[_ShownCalcFinish],Tasks[[#This Row],[_Row]]+1):INDEX(Tasks[_ShownCalcFinish],Tasks[[#This Row],[_Row]]+Tasks[[#This Row],[_Descendants]])),Tasks[[#This Row],[_ShownCalcFinish]]))</f>
        <v/>
      </c>
      <c r="DM17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8" s="32" t="n">
        <f aca="false">IF(AND(Tasks[[#This Row],[_IsLeaf]]=1,Tasks[[#This Row],[_LeafTotalWork]]&gt;0),NETWORKDAYS.INTL(ProjectStart,Tasks[[#This Row],[_ShownFcstStart]],WorkWeek,Holidays),0)</f>
        <v>0</v>
      </c>
      <c r="DZ178" s="32" t="n">
        <f aca="false">IF(AND(Tasks[[#This Row],[_IsLeaf]]=1,Tasks[[#This Row],[_LeafTotalWork]]&gt;0),MAX(Tasks[[#This Row],[_StartWorkday]],NETWORKDAYS.INTL(ProjectStart,Tasks[[#This Row],[_ShownFcstFinish]],WorkWeek,Holidays)),0)</f>
        <v>0</v>
      </c>
      <c r="EA178" s="32" t="n">
        <f aca="false">IF(AND(Tasks[[#This Row],[_IsLeaf]]=1,Tasks[[#This Row],[_LeafTotalWork]]&gt;0),Tasks[[#This Row],[_LeafWork]]/(Tasks[[#This Row],[_FinishWorkday]]-Tasks[[#This Row],[_StartWorkday]]+1),0)</f>
        <v>0</v>
      </c>
      <c r="EB178" s="32" t="n">
        <f aca="false">Tasks[[#This Row],[_WorkPerWorkday]]*(Tasks[[#This Row],[_StartWorkday]]-1)</f>
        <v>-0</v>
      </c>
      <c r="EC178" s="32" t="n">
        <f aca="false">IF(Tasks[[#This Row],[_IsLeaf]]=1,MAX(N(Tasks[[#This Row],[Duration]]),0.1),0)</f>
        <v>0</v>
      </c>
      <c r="ED178" s="32" t="n">
        <f aca="false">Tasks[[#This Row],[_WeightDur]]*Tasks[[#This Row],[_LeafProgress]]</f>
        <v>0</v>
      </c>
      <c r="EE17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8" s="32" t="str">
        <f aca="false">IF(AND(Tasks[[#This Row],[_IsLeaf]]=1,N(Tasks[[#This Row],[Duration]])=0,Tasks[[#This Row],[_LeafProgress]]&lt;1),Tasks[[#This Row],[_ShownFcstFinish]]+Tasks[[#This Row],[_Row]]/100000,"")</f>
        <v/>
      </c>
      <c r="EG17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8" s="32" t="n">
        <f aca="false">IF(NOT(Tasks[[#This Row],[_IsLeaf]]=1),0,IF(Tasks[[#This Row],[Baseline Cost]]="",Tasks[[#This Row],[_LeafTotalCost]],N(Tasks[[#This Row],[Baseline Cost]])))</f>
        <v>0</v>
      </c>
      <c r="EI178" s="32" t="n">
        <f aca="false">Tasks[[#This Row],[_LeafBudget]]*Tasks[[#This Row],[_PlannedPct]]</f>
        <v>0</v>
      </c>
      <c r="EJ178" s="32" t="n">
        <f aca="false">Tasks[[#This Row],[_LeafBudget]]*Tasks[[#This Row],[_LeafProgress]]</f>
        <v>0</v>
      </c>
      <c r="EK178" s="32" t="n">
        <f aca="false">IF(NOT(Tasks[[#This Row],[_IsLeaf]]=1),0,IF(Tasks[[#This Row],[Actual Cost]]="",Tasks[[#This Row],[_LeafTotalCost]]*Tasks[[#This Row],[_LeafProgress]],N(Tasks[[#This Row],[Actual Cost]])))</f>
        <v>0</v>
      </c>
      <c r="EL178" s="32" t="str">
        <f aca="false">IF(Tasks[[#This Row],[Task Name]]="","",LEFT(Tasks[[#This Row],[WBS]],FIND(".",Tasks[[#This Row],[WBS]]&amp;".")-1))</f>
        <v/>
      </c>
      <c r="EM178" s="32" t="str">
        <f aca="false">IF(AND(Tasks[[#This Row],[Task Name]]&lt;&gt;"",Tasks[[#This Row],[_Level]]=1),Tasks[[#This Row],[_Row]],"")</f>
        <v/>
      </c>
      <c r="EN178" s="32" t="str">
        <f aca="false">IF(AND(Tasks[[#This Row],[_IsLeaf]]=1,N(Tasks[[#This Row],[Duration]])=0),Tasks[[#This Row],[Planned Finish]]+Tasks[[#This Row],[_Row]]/100000,"")</f>
        <v/>
      </c>
      <c r="EO178" s="32" t="str">
        <f aca="false">IF(AND(Tasks[[#This Row],[_IsLeaf]]=1,Tasks[[#This Row],[_LeafProgress]]&lt;1,OR(N(Tasks[[#This Row],[Finish Var]])&gt;0,Tasks[[#This Row],[Status]]="Late Start")),MAX(0,Tasks[[#This Row],[Finish Var]])+1-Tasks[[#This Row],[_Row]]/1000000,"")</f>
        <v/>
      </c>
      <c r="EP178" s="32" t="str">
        <f aca="false">IF(AND(Tasks[[#This Row],[_IsLeaf]]=1,N(Tasks[[#This Row],[Actual Start]])=0,Tasks[[#This Row],[_ShownFcstStart]]&gt;=StatusDate,Tasks[[#This Row],[_ShownFcstStart]]&lt;=LookaheadEnd),Tasks[[#This Row],[_ShownFcstStart]]+Tasks[[#This Row],[_Row]]/100000,"")</f>
        <v/>
      </c>
      <c r="EQ178" s="32" t="str">
        <f aca="false">IF(AND(Tasks[[#This Row],[_IsLeaf]]=1,Tasks[[#This Row],[_LeafProgress]]&lt;1,Tasks[[#This Row],[_ShownFcstFinish]]&gt;=StatusDate,Tasks[[#This Row],[_ShownFcstFinish]]&lt;=LookaheadEnd),Tasks[[#This Row],[_ShownFcstFinish]]+Tasks[[#This Row],[_Row]]/100000,"")</f>
        <v/>
      </c>
      <c r="ER178" s="32" t="str">
        <f aca="false">IF(Tasks[[#This Row],[_LeafCritical]],Tasks[[#This Row],[_ShownFcstStart]]+Tasks[[#This Row],[_Row]]/100000,"")</f>
        <v/>
      </c>
      <c r="ES178" s="32" t="n">
        <f aca="false">Tasks[[#This Row],[_LeafWork]]*Tasks[[#This Row],[_LeafProgress]]</f>
        <v>0</v>
      </c>
      <c r="ET178" s="115" t="str">
        <f aca="false">IF(AND(Tasks[[#This Row],[_IsLeaf]]=1,Tasks[[#This Row],[_LeafProgress]]&gt;=1),IF(N(Tasks[[#This Row],[Actual Finish]])&gt;0,Tasks[[#This Row],[Actual Finish]],Tasks[[#This Row],[_ShownFcstFinish]]),"")</f>
        <v/>
      </c>
      <c r="EU178" s="32" t="n">
        <f aca="false">IF(Tasks[[#This Row],[_IsLeaf]]=1,N(Tasks[[#This Row],[Story Points]]),0)</f>
        <v>0</v>
      </c>
      <c r="EV178" s="32" t="str">
        <f aca="false">IF(AND(Tasks[[#This Row],[_IsLeaf]]=1,CurrentSprint&lt;&gt;"",Tasks[[#This Row],[Sprint]]=CurrentSprint),Tasks[[#This Row],[_Row]],"")</f>
        <v/>
      </c>
    </row>
    <row r="179" customFormat="false" ht="15" hidden="false" customHeight="false" outlineLevel="0" collapsed="false">
      <c r="A179" s="45" t="str">
        <f aca="false">IF(Tasks[[#This Row],[Task Name]]="","",COUNTA(Tasks[[#Headers],[Task Name]]:Tasks[[#This Row],[Task Name]])-1)</f>
        <v/>
      </c>
      <c r="B179" s="46" t="n">
        <v>174</v>
      </c>
      <c r="C17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79" s="46"/>
      <c r="E179" s="45" t="str">
        <f aca="false">IF(Tasks[[#This Row],[Task Name]]="","",IF(Tasks[[#This Row],[_Level]]&lt;=OutlineShowLevel,"Yes","No"))</f>
        <v/>
      </c>
      <c r="F179" s="47"/>
      <c r="G179" s="46"/>
      <c r="H179" s="46"/>
      <c r="I179" s="46"/>
      <c r="J179" s="46"/>
      <c r="K179" s="46"/>
      <c r="L179" s="46"/>
      <c r="M179" s="46"/>
      <c r="N179" s="46"/>
      <c r="O179" s="46"/>
      <c r="P179" s="46"/>
      <c r="Q179" s="46"/>
      <c r="R179" s="46"/>
      <c r="S179" s="46"/>
      <c r="T179" s="46"/>
      <c r="U179" s="47"/>
      <c r="V179" s="88"/>
      <c r="W179" s="88"/>
      <c r="X179" s="25" t="str">
        <f aca="false">IF(Tasks[[#This Row],[Task Name]]="","",IF(N(Tasks[[#This Row],[Baseline Start]])&gt;0,Tasks[[#This Row],[Baseline Start]],Tasks[[#This Row],[_CalcStart]]))</f>
        <v/>
      </c>
      <c r="Y179" s="25" t="str">
        <f aca="false">IF(Tasks[[#This Row],[Task Name]]="","",IF(N(Tasks[[#This Row],[Baseline Finish]])&gt;0,Tasks[[#This Row],[Baseline Finish]],Tasks[[#This Row],[_CalcFinish]]))</f>
        <v/>
      </c>
      <c r="Z179" s="88"/>
      <c r="AA179" s="88"/>
      <c r="AB179" s="25" t="str">
        <f aca="false">IF(Tasks[[#This Row],[Task Name]]="","",IF(Tasks[[#This Row],[_IsSummary]],MIN(INDEX(Tasks[_ShownFcstStart],Tasks[[#This Row],[_Row]]+1):INDEX(Tasks[_ShownFcstStart],Tasks[[#This Row],[_Row]]+Tasks[[#This Row],[_Descendants]])),Tasks[[#This Row],[_ShownFcstStart]]))</f>
        <v/>
      </c>
      <c r="AC179" s="25" t="str">
        <f aca="false">IF(Tasks[[#This Row],[Task Name]]="","",IF(Tasks[[#This Row],[_IsSummary]],MAX(INDEX(Tasks[_ShownFcstFinish],Tasks[[#This Row],[_Row]]+1):INDEX(Tasks[_ShownFcstFinish],Tasks[[#This Row],[_Row]]+Tasks[[#This Row],[_Descendants]])),Tasks[[#This Row],[_ShownFcstFinish]]))</f>
        <v/>
      </c>
      <c r="AD17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7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79" s="25" t="str">
        <f aca="false">IF(Tasks[[#This Row],[Task Name]]="","",IF(Tasks[[#This Row],[_IsSummary]],MIN(INDEX(Tasks[_LeafLateStart],Tasks[[#This Row],[_Row]]+1):INDEX(Tasks[_LeafLateStart],Tasks[[#This Row],[_Row]]+Tasks[[#This Row],[_Descendants]])),Tasks[[#This Row],[_LeafLateStart]]))</f>
        <v/>
      </c>
      <c r="AG179" s="25" t="str">
        <f aca="false">IF(Tasks[[#This Row],[Task Name]]="","",IF(Tasks[[#This Row],[_IsSummary]],MAX(INDEX(Tasks[_LeafLateFinish],Tasks[[#This Row],[_Row]]+1):INDEX(Tasks[_LeafLateFinish],Tasks[[#This Row],[_Row]]+Tasks[[#This Row],[_Descendants]])),Tasks[[#This Row],[_LeafLateFinish]]))</f>
        <v/>
      </c>
      <c r="AH179" s="56" t="str">
        <f aca="false">IF(Tasks[[#This Row],[Task Name]]="","",IF(Tasks[[#This Row],[_IsSummary]],MIN(INDEX(Tasks[_LeafTotalSlack],Tasks[[#This Row],[_Row]]+1):INDEX(Tasks[_LeafTotalSlack],Tasks[[#This Row],[_Row]]+Tasks[[#This Row],[_Descendants]])),Tasks[[#This Row],[_LeafTotalSlack]]))</f>
        <v/>
      </c>
      <c r="AI17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79" s="45" t="str">
        <f aca="false">IF(Tasks[[#This Row],[Task Name]]="","",IF(IF(Tasks[[#This Row],[_IsSummary]],COUNTIF(INDEX(Tasks[_LeafCritical],Tasks[[#This Row],[_Row]]+1):INDEX(Tasks[_LeafCritical],Tasks[[#This Row],[_Row]]+Tasks[[#This Row],[_Descendants]]),TRUE())&gt;0,Tasks[[#This Row],[_LeafCritical]]),"Yes",""))</f>
        <v/>
      </c>
      <c r="AK17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7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79" s="102"/>
      <c r="AN17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79" s="45" t="str">
        <f aca="false">IF(Tasks[[#This Row],[Task Name]]="","",IF(Tasks[[#This Row],[Progress]]&gt;=1,"Complete",IF(OR(N(Tasks[[#This Row],[Actual Start]])&gt;0,Tasks[[#This Row],[Progress]]&gt;0),IF(Tasks[[#This Row],[Finish Var]]&gt;0,"Behind","In Progress"),IF(Tasks[[#This Row],[Planned Start]]&lt;StatusDate,"Late Start","Not Started"))))</f>
        <v/>
      </c>
      <c r="AP179" s="47"/>
      <c r="AQ179" s="102"/>
      <c r="AR17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7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79" s="110" t="str">
        <f aca="false">IF(Tasks[[#This Row],[Task Name]]="","",IF(Tasks[[#This Row],[_IsSummary]],SUM(INDEX(Tasks[_LeafTotalWork],Tasks[[#This Row],[_Row]]+1):INDEX(Tasks[_LeafTotalWork],Tasks[[#This Row],[_Row]]+Tasks[[#This Row],[_Descendants]])),Tasks[[#This Row],[_LeafTotalWork]]))</f>
        <v/>
      </c>
      <c r="AU179" s="111" t="str">
        <f aca="false">IF(Tasks[[#This Row],[Task Name]]="","",IF(Tasks[[#This Row],[_IsSummary]],SUM(INDEX(Tasks[_LeafTotalCost],Tasks[[#This Row],[_Row]]+1):INDEX(Tasks[_LeafTotalCost],Tasks[[#This Row],[_Row]]+Tasks[[#This Row],[_Descendants]])),Tasks[[#This Row],[_LeafTotalCost]]))</f>
        <v/>
      </c>
      <c r="AV179" s="112"/>
      <c r="AW179" s="46"/>
      <c r="AX17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79" s="96"/>
      <c r="AZ17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79" s="47"/>
      <c r="BB179" s="25" t="str">
        <f aca="false">IF(Tasks[[#This Row],[Task Name]]="","",Tasks[[#This Row],[Forecast Start]])</f>
        <v/>
      </c>
      <c r="BC179" s="25" t="str">
        <f aca="false">IF(Tasks[[#This Row],[Task Name]]="","",Tasks[[#This Row],[Forecast Finish]])</f>
        <v/>
      </c>
      <c r="BD179" s="45" t="str">
        <f aca="false">IF(Tasks[[#This Row],[Task Name]]="","",IF(Tasks[[#This Row],[_IsSummary]],NETWORKDAYS.INTL(Tasks[[#This Row],[Forecast Start]],Tasks[[#This Row],[Forecast Finish]],WorkWeek,Holidays),N(Tasks[[#This Row],[Duration]])))</f>
        <v/>
      </c>
      <c r="BE179" s="110" t="str">
        <f aca="false">IF(Tasks[[#This Row],[Task Name]]="","",Tasks[[#This Row],[Work]])</f>
        <v/>
      </c>
      <c r="BF179" s="111" t="str">
        <f aca="false">IF(Tasks[[#This Row],[Task Name]]="","",Tasks[[#This Row],[Cost]])</f>
        <v/>
      </c>
      <c r="BG179" s="88"/>
      <c r="BH179" s="88"/>
      <c r="BI179" s="46"/>
      <c r="BJ179" s="113"/>
      <c r="BK179" s="112"/>
      <c r="BL179" s="45" t="str">
        <f aca="false">IF(OR(Tasks[[#This Row],[Task Name]]="",Tasks[[#This Row],[Baseline Duration]]=""),"",Tasks[[#This Row],[BL Source Duration]]-N(Tasks[[#This Row],[Baseline Duration]]))</f>
        <v/>
      </c>
      <c r="BM179" s="110" t="str">
        <f aca="false">IF(OR(Tasks[[#This Row],[Task Name]]="",Tasks[[#This Row],[Baseline Work]]=""),"",Tasks[[#This Row],[Work]]-N(Tasks[[#This Row],[Baseline Work]]))</f>
        <v/>
      </c>
      <c r="BN179" s="111" t="str">
        <f aca="false">IF(OR(Tasks[[#This Row],[Task Name]]="",Tasks[[#This Row],[Baseline Cost]]=""),"",Tasks[[#This Row],[Cost]]-N(Tasks[[#This Row],[Baseline Cost]]))</f>
        <v/>
      </c>
      <c r="BO179" s="111" t="str">
        <f aca="false">IF(Tasks[[#This Row],[Task Name]]="","",IF(Tasks[[#This Row],[_IsSummary]],SUM(INDEX(Tasks[_LeafBudget],Tasks[[#This Row],[_Row]]+1):INDEX(Tasks[_LeafBudget],Tasks[[#This Row],[_Row]]+Tasks[[#This Row],[_Descendants]])),Tasks[[#This Row],[_LeafBudget]]))</f>
        <v/>
      </c>
      <c r="BP179" s="111" t="str">
        <f aca="false">IF(Tasks[[#This Row],[Task Name]]="","",IF(Tasks[[#This Row],[_IsSummary]],SUM(INDEX(Tasks[_LeafPV],Tasks[[#This Row],[_Row]]+1):INDEX(Tasks[_LeafPV],Tasks[[#This Row],[_Row]]+Tasks[[#This Row],[_Descendants]])),Tasks[[#This Row],[_LeafPV]]))</f>
        <v/>
      </c>
      <c r="BQ179" s="111" t="str">
        <f aca="false">IF(Tasks[[#This Row],[Task Name]]="","",IF(Tasks[[#This Row],[_IsSummary]],SUM(INDEX(Tasks[_LeafEV],Tasks[[#This Row],[_Row]]+1):INDEX(Tasks[_LeafEV],Tasks[[#This Row],[_Row]]+Tasks[[#This Row],[_Descendants]])),Tasks[[#This Row],[_LeafEV]]))</f>
        <v/>
      </c>
      <c r="BR179" s="111" t="str">
        <f aca="false">IF(Tasks[[#This Row],[Task Name]]="","",IF(Tasks[[#This Row],[_IsSummary]],SUM(INDEX(Tasks[_LeafAC],Tasks[[#This Row],[_Row]]+1):INDEX(Tasks[_LeafAC],Tasks[[#This Row],[_Row]]+Tasks[[#This Row],[_Descendants]])),Tasks[[#This Row],[_LeafAC]]))</f>
        <v/>
      </c>
      <c r="BS179" s="32" t="str">
        <f aca="false">IF(Tasks[[#This Row],[Task Name]]="","",MAX(1,N(Tasks[[#This Row],[Level]])))</f>
        <v/>
      </c>
      <c r="BT179" s="32" t="n">
        <f aca="false">ROW()-ROW(Tasks[[#Headers],[ID]])</f>
        <v>174</v>
      </c>
      <c r="BU179" s="32" t="n">
        <f aca="false">IF(OR(Tasks[[#This Row],[Task Name]]="",Tasks[[#This Row],[_Level]]&lt;=1),0,IFERROR(LOOKUP(2,1/(Tasks[[#Headers],[_Level]]:Tasks[[#This Row],[_Level]]=Tasks[[#This Row],[_Level]]-1),ROW(Tasks[[#Headers],[_Level]]:Tasks[[#This Row],[_Level]])),0))</f>
        <v>0</v>
      </c>
      <c r="BV179" s="32" t="n">
        <f aca="false">IFERROR(N(INDEX(Tasks[_Level],Tasks[[#This Row],[_Row]]+1)),0)</f>
        <v>0</v>
      </c>
      <c r="BW179" s="114" t="b">
        <f aca="false">AND(Tasks[[#This Row],[Task Name]]&lt;&gt;"",Tasks[[#This Row],[_NextLevel]]&gt;Tasks[[#This Row],[_Level]])</f>
        <v>0</v>
      </c>
      <c r="BX179" s="32" t="n">
        <f aca="false">IF(Tasks[[#This Row],[_IsSummary]],COUNTIF(Tasks[WBS],Tasks[[#This Row],[WBS]]&amp;".*"),0)</f>
        <v>0</v>
      </c>
      <c r="BY179" s="32" t="n">
        <f aca="false">IF(AND(Tasks[[#This Row],[Task Name]]&lt;&gt;"",NOT(Tasks[[#This Row],[_IsSummary]])),1,0)</f>
        <v>0</v>
      </c>
      <c r="BZ179" s="32" t="n">
        <f aca="false">IF(N(Tasks[[#This Row],[Pred1 UID]])=0,0,IFERROR(MATCH(Tasks[[#This Row],[Pred1 UID]],Tasks[UID],0),-1))</f>
        <v>0</v>
      </c>
      <c r="CA179" s="32" t="n">
        <f aca="false">IF(N(Tasks[[#This Row],[Pred2 UID]])=0,0,IFERROR(MATCH(Tasks[[#This Row],[Pred2 UID]],Tasks[UID],0),-1))</f>
        <v>0</v>
      </c>
      <c r="CB179" s="32" t="n">
        <f aca="false">IF(N(Tasks[[#This Row],[Pred3 UID]])=0,0,IFERROR(MATCH(Tasks[[#This Row],[Pred3 UID]],Tasks[UID],0),-1))</f>
        <v>0</v>
      </c>
      <c r="CC179" s="32" t="n">
        <f aca="false">IF(N(Tasks[[#This Row],[Pred4 UID]])=0,0,IFERROR(MATCH(Tasks[[#This Row],[Pred4 UID]],Tasks[UID],0),-1))</f>
        <v>0</v>
      </c>
      <c r="CD17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7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79" s="115" t="n">
        <f aca="false">IF(OR(Tasks[[#This Row],[_ConstraintCode]]=2,Tasks[[#This Row],[_ConstraintCode]]=3,Tasks[[#This Row],[_ConstraintCode]]=4,Tasks[[#This Row],[_ConstraintCode]]=6),Tasks[[#This Row],[_ConstraintStart]],0)</f>
        <v>0</v>
      </c>
      <c r="CG179" s="115" t="n">
        <f aca="false">IF(OR(Tasks[[#This Row],[_ConstraintCode]]=2,Tasks[[#This Row],[_ConstraintCode]]=3,Tasks[[#This Row],[_ConstraintCode]]=5,Tasks[[#This Row],[_ConstraintCode]]=7),Tasks[[#This Row],[_ConstraintStart]],2958465)</f>
        <v>2958465</v>
      </c>
      <c r="CH17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79" s="115" t="str">
        <f aca="false">IF(NOT(Tasks[[#This Row],[_IsLeaf]]=1),"",IF(N(Tasks[[#This Row],[Duration]])&lt;=0,Tasks[[#This Row],[_LeafCalcStart]],WORKDAY.INTL(Tasks[[#This Row],[_LeafCalcStart]],Tasks[[#This Row],[Duration]]-1,WorkWeek,Holidays)))</f>
        <v/>
      </c>
      <c r="CJ17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7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79" s="32" t="n">
        <f aca="false">IF(NOT(Tasks[[#This Row],[_IsLeaf]]=1),0,IF(N(Tasks[[#This Row],[Actual Finish]])&gt;0,1,MIN(1,N(Tasks[[#This Row],[% Complete]]))))</f>
        <v>0</v>
      </c>
      <c r="CM179" s="32" t="n">
        <f aca="false">IF(OR(NOT(Tasks[[#This Row],[_IsLeaf]]=1),Tasks[[#This Row],[Resource]]=""),0,N(Tasks[[#This Row],[Duration]])*HoursPerDay*IF(Tasks[[#This Row],[Units]]="",DefaultUnits,Tasks[[#This Row],[Units]]))</f>
        <v>0</v>
      </c>
      <c r="CN179" s="32" t="n">
        <f aca="false">IF(Tasks[[#This Row],[_LeafWork]]=0,0,Tasks[[#This Row],[_LeafWork]]*IFERROR(INDEX(res_Rate,MATCH(Tasks[[#This Row],[Resource]],res_Name,0)),0))</f>
        <v>0</v>
      </c>
      <c r="CO179" s="32" t="n">
        <f aca="false">Tasks[[#This Row],[_LeafWork]]+IF(Tasks[[#This Row],[_IsLeaf]]=1,SUMIFS(asg_Work,asg_TaskUID,Tasks[[#This Row],[UID]],asg_Valid,1),0)</f>
        <v>0</v>
      </c>
      <c r="CP179" s="32" t="n">
        <f aca="false">Tasks[[#This Row],[_LeafCost]]+IF(Tasks[[#This Row],[_IsLeaf]]=1,SUMIFS(asg_Cost,asg_TaskUID,Tasks[[#This Row],[UID]],asg_Valid,1),0)</f>
        <v>0</v>
      </c>
      <c r="CQ179" s="32" t="n">
        <f aca="false">IF(Tasks[[#This Row],[_LeafTotalCost]]=0,Tasks[[#This Row],[_LeafAC]],Tasks[[#This Row],[_LeafAC]]*Tasks[[#This Row],[_LeafCost]]/Tasks[[#This Row],[_LeafTotalCost]])</f>
        <v>0</v>
      </c>
      <c r="CR17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7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7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7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7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7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7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7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79" s="32" t="n">
        <f aca="false">IF(NOT(Tasks[[#This Row],[_IsLeaf]]=1),0,MAX(_xlfn.MAXIFS(Tasks[_Row],Tasks[Pred1 UID],Tasks[[#This Row],[UID]]),_xlfn.MAXIFS(Tasks[_Row],Tasks[Pred2 UID],Tasks[[#This Row],[UID]]),_xlfn.MAXIFS(Tasks[_Row],Tasks[Pred3 UID],Tasks[[#This Row],[UID]]),_xlfn.MAXIFS(Tasks[_Row],Tasks[Pred4 UID],Tasks[[#This Row],[UID]])))</f>
        <v>0</v>
      </c>
      <c r="DA17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7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79" s="115" t="str">
        <f aca="false">IF(NOT(Tasks[[#This Row],[_IsLeaf]]=1),"",IF(N(Tasks[[#This Row],[Duration]])&lt;=0,Tasks[[#This Row],[_LeafLateFinish]],WORKDAY.INTL(Tasks[[#This Row],[_LeafLateFinish]],-(Tasks[[#This Row],[Duration]]-1),WorkWeek,Holidays)))</f>
        <v/>
      </c>
      <c r="DD17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79" s="114" t="b">
        <f aca="false">AND(Tasks[[#This Row],[_IsLeaf]]=1,Tasks[[#This Row],[_LeafProgress]]&lt;1,N(Tasks[[#This Row],[_LeafTotalSlack]])&lt;=CriticalSlackDays)</f>
        <v>0</v>
      </c>
      <c r="DF179" s="32" t="n">
        <f aca="false">IF(AND(Tasks[[#This Row],[_IsLeaf]]=1,Tasks[[#This Row],[_ConstraintCode]]=1,Tasks[[#This Row],[Mode]]&lt;&gt;"Manual",N(Tasks[[#This Row],[Actual Start]])=0),MAX(0,N(Tasks[[#This Row],[Free Slack]])),0)</f>
        <v>0</v>
      </c>
      <c r="DG179" s="115" t="str">
        <f aca="false">IF(NOT(Tasks[[#This Row],[_IsLeaf]]=1),"",IF(Tasks[[#This Row],[_AlapShift]]=0,Tasks[[#This Row],[_LeafCalcStart]],WORKDAY.INTL(Tasks[[#This Row],[_LeafCalcStart]],Tasks[[#This Row],[_AlapShift]],WorkWeek,Holidays)))</f>
        <v/>
      </c>
      <c r="DH179" s="115" t="str">
        <f aca="false">IF(NOT(Tasks[[#This Row],[_IsLeaf]]=1),"",IF(Tasks[[#This Row],[_AlapShift]]=0,Tasks[[#This Row],[_LeafCalcFinish]],WORKDAY.INTL(Tasks[[#This Row],[_LeafCalcFinish]],Tasks[[#This Row],[_AlapShift]],WorkWeek,Holidays)))</f>
        <v/>
      </c>
      <c r="DI179" s="115" t="str">
        <f aca="false">IF(NOT(Tasks[[#This Row],[_IsLeaf]]=1),"",IF(Tasks[[#This Row],[_AlapShift]]=0,Tasks[[#This Row],[_LeafFcstStart]],WORKDAY.INTL(Tasks[[#This Row],[_LeafFcstStart]],Tasks[[#This Row],[_AlapShift]],WorkWeek,Holidays)))</f>
        <v/>
      </c>
      <c r="DJ179" s="115" t="str">
        <f aca="false">IF(NOT(Tasks[[#This Row],[_IsLeaf]]=1),"",IF(Tasks[[#This Row],[_AlapShift]]=0,Tasks[[#This Row],[_LeafFcstFinish]],WORKDAY.INTL(Tasks[[#This Row],[_LeafFcstFinish]],Tasks[[#This Row],[_AlapShift]],WorkWeek,Holidays)))</f>
        <v/>
      </c>
      <c r="DK179" s="115" t="str">
        <f aca="false">IF(Tasks[[#This Row],[Task Name]]="","",IF(Tasks[[#This Row],[_IsSummary]],MIN(INDEX(Tasks[_ShownCalcStart],Tasks[[#This Row],[_Row]]+1):INDEX(Tasks[_ShownCalcStart],Tasks[[#This Row],[_Row]]+Tasks[[#This Row],[_Descendants]])),Tasks[[#This Row],[_ShownCalcStart]]))</f>
        <v/>
      </c>
      <c r="DL179" s="115" t="str">
        <f aca="false">IF(Tasks[[#This Row],[Task Name]]="","",IF(Tasks[[#This Row],[_IsSummary]],MAX(INDEX(Tasks[_ShownCalcFinish],Tasks[[#This Row],[_Row]]+1):INDEX(Tasks[_ShownCalcFinish],Tasks[[#This Row],[_Row]]+Tasks[[#This Row],[_Descendants]])),Tasks[[#This Row],[_ShownCalcFinish]]))</f>
        <v/>
      </c>
      <c r="DM17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7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7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7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7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7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7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7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7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7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7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7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79" s="32" t="n">
        <f aca="false">IF(AND(Tasks[[#This Row],[_IsLeaf]]=1,Tasks[[#This Row],[_LeafTotalWork]]&gt;0),NETWORKDAYS.INTL(ProjectStart,Tasks[[#This Row],[_ShownFcstStart]],WorkWeek,Holidays),0)</f>
        <v>0</v>
      </c>
      <c r="DZ179" s="32" t="n">
        <f aca="false">IF(AND(Tasks[[#This Row],[_IsLeaf]]=1,Tasks[[#This Row],[_LeafTotalWork]]&gt;0),MAX(Tasks[[#This Row],[_StartWorkday]],NETWORKDAYS.INTL(ProjectStart,Tasks[[#This Row],[_ShownFcstFinish]],WorkWeek,Holidays)),0)</f>
        <v>0</v>
      </c>
      <c r="EA179" s="32" t="n">
        <f aca="false">IF(AND(Tasks[[#This Row],[_IsLeaf]]=1,Tasks[[#This Row],[_LeafTotalWork]]&gt;0),Tasks[[#This Row],[_LeafWork]]/(Tasks[[#This Row],[_FinishWorkday]]-Tasks[[#This Row],[_StartWorkday]]+1),0)</f>
        <v>0</v>
      </c>
      <c r="EB179" s="32" t="n">
        <f aca="false">Tasks[[#This Row],[_WorkPerWorkday]]*(Tasks[[#This Row],[_StartWorkday]]-1)</f>
        <v>-0</v>
      </c>
      <c r="EC179" s="32" t="n">
        <f aca="false">IF(Tasks[[#This Row],[_IsLeaf]]=1,MAX(N(Tasks[[#This Row],[Duration]]),0.1),0)</f>
        <v>0</v>
      </c>
      <c r="ED179" s="32" t="n">
        <f aca="false">Tasks[[#This Row],[_WeightDur]]*Tasks[[#This Row],[_LeafProgress]]</f>
        <v>0</v>
      </c>
      <c r="EE17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79" s="32" t="str">
        <f aca="false">IF(AND(Tasks[[#This Row],[_IsLeaf]]=1,N(Tasks[[#This Row],[Duration]])=0,Tasks[[#This Row],[_LeafProgress]]&lt;1),Tasks[[#This Row],[_ShownFcstFinish]]+Tasks[[#This Row],[_Row]]/100000,"")</f>
        <v/>
      </c>
      <c r="EG17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79" s="32" t="n">
        <f aca="false">IF(NOT(Tasks[[#This Row],[_IsLeaf]]=1),0,IF(Tasks[[#This Row],[Baseline Cost]]="",Tasks[[#This Row],[_LeafTotalCost]],N(Tasks[[#This Row],[Baseline Cost]])))</f>
        <v>0</v>
      </c>
      <c r="EI179" s="32" t="n">
        <f aca="false">Tasks[[#This Row],[_LeafBudget]]*Tasks[[#This Row],[_PlannedPct]]</f>
        <v>0</v>
      </c>
      <c r="EJ179" s="32" t="n">
        <f aca="false">Tasks[[#This Row],[_LeafBudget]]*Tasks[[#This Row],[_LeafProgress]]</f>
        <v>0</v>
      </c>
      <c r="EK179" s="32" t="n">
        <f aca="false">IF(NOT(Tasks[[#This Row],[_IsLeaf]]=1),0,IF(Tasks[[#This Row],[Actual Cost]]="",Tasks[[#This Row],[_LeafTotalCost]]*Tasks[[#This Row],[_LeafProgress]],N(Tasks[[#This Row],[Actual Cost]])))</f>
        <v>0</v>
      </c>
      <c r="EL179" s="32" t="str">
        <f aca="false">IF(Tasks[[#This Row],[Task Name]]="","",LEFT(Tasks[[#This Row],[WBS]],FIND(".",Tasks[[#This Row],[WBS]]&amp;".")-1))</f>
        <v/>
      </c>
      <c r="EM179" s="32" t="str">
        <f aca="false">IF(AND(Tasks[[#This Row],[Task Name]]&lt;&gt;"",Tasks[[#This Row],[_Level]]=1),Tasks[[#This Row],[_Row]],"")</f>
        <v/>
      </c>
      <c r="EN179" s="32" t="str">
        <f aca="false">IF(AND(Tasks[[#This Row],[_IsLeaf]]=1,N(Tasks[[#This Row],[Duration]])=0),Tasks[[#This Row],[Planned Finish]]+Tasks[[#This Row],[_Row]]/100000,"")</f>
        <v/>
      </c>
      <c r="EO179" s="32" t="str">
        <f aca="false">IF(AND(Tasks[[#This Row],[_IsLeaf]]=1,Tasks[[#This Row],[_LeafProgress]]&lt;1,OR(N(Tasks[[#This Row],[Finish Var]])&gt;0,Tasks[[#This Row],[Status]]="Late Start")),MAX(0,Tasks[[#This Row],[Finish Var]])+1-Tasks[[#This Row],[_Row]]/1000000,"")</f>
        <v/>
      </c>
      <c r="EP179" s="32" t="str">
        <f aca="false">IF(AND(Tasks[[#This Row],[_IsLeaf]]=1,N(Tasks[[#This Row],[Actual Start]])=0,Tasks[[#This Row],[_ShownFcstStart]]&gt;=StatusDate,Tasks[[#This Row],[_ShownFcstStart]]&lt;=LookaheadEnd),Tasks[[#This Row],[_ShownFcstStart]]+Tasks[[#This Row],[_Row]]/100000,"")</f>
        <v/>
      </c>
      <c r="EQ179" s="32" t="str">
        <f aca="false">IF(AND(Tasks[[#This Row],[_IsLeaf]]=1,Tasks[[#This Row],[_LeafProgress]]&lt;1,Tasks[[#This Row],[_ShownFcstFinish]]&gt;=StatusDate,Tasks[[#This Row],[_ShownFcstFinish]]&lt;=LookaheadEnd),Tasks[[#This Row],[_ShownFcstFinish]]+Tasks[[#This Row],[_Row]]/100000,"")</f>
        <v/>
      </c>
      <c r="ER179" s="32" t="str">
        <f aca="false">IF(Tasks[[#This Row],[_LeafCritical]],Tasks[[#This Row],[_ShownFcstStart]]+Tasks[[#This Row],[_Row]]/100000,"")</f>
        <v/>
      </c>
      <c r="ES179" s="32" t="n">
        <f aca="false">Tasks[[#This Row],[_LeafWork]]*Tasks[[#This Row],[_LeafProgress]]</f>
        <v>0</v>
      </c>
      <c r="ET179" s="115" t="str">
        <f aca="false">IF(AND(Tasks[[#This Row],[_IsLeaf]]=1,Tasks[[#This Row],[_LeafProgress]]&gt;=1),IF(N(Tasks[[#This Row],[Actual Finish]])&gt;0,Tasks[[#This Row],[Actual Finish]],Tasks[[#This Row],[_ShownFcstFinish]]),"")</f>
        <v/>
      </c>
      <c r="EU179" s="32" t="n">
        <f aca="false">IF(Tasks[[#This Row],[_IsLeaf]]=1,N(Tasks[[#This Row],[Story Points]]),0)</f>
        <v>0</v>
      </c>
      <c r="EV179" s="32" t="str">
        <f aca="false">IF(AND(Tasks[[#This Row],[_IsLeaf]]=1,CurrentSprint&lt;&gt;"",Tasks[[#This Row],[Sprint]]=CurrentSprint),Tasks[[#This Row],[_Row]],"")</f>
        <v/>
      </c>
    </row>
    <row r="180" customFormat="false" ht="15" hidden="false" customHeight="false" outlineLevel="0" collapsed="false">
      <c r="A180" s="45" t="str">
        <f aca="false">IF(Tasks[[#This Row],[Task Name]]="","",COUNTA(Tasks[[#Headers],[Task Name]]:Tasks[[#This Row],[Task Name]])-1)</f>
        <v/>
      </c>
      <c r="B180" s="46" t="n">
        <v>175</v>
      </c>
      <c r="C18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0" s="46"/>
      <c r="E180" s="45" t="str">
        <f aca="false">IF(Tasks[[#This Row],[Task Name]]="","",IF(Tasks[[#This Row],[_Level]]&lt;=OutlineShowLevel,"Yes","No"))</f>
        <v/>
      </c>
      <c r="F180" s="47"/>
      <c r="G180" s="46"/>
      <c r="H180" s="46"/>
      <c r="I180" s="46"/>
      <c r="J180" s="46"/>
      <c r="K180" s="46"/>
      <c r="L180" s="46"/>
      <c r="M180" s="46"/>
      <c r="N180" s="46"/>
      <c r="O180" s="46"/>
      <c r="P180" s="46"/>
      <c r="Q180" s="46"/>
      <c r="R180" s="46"/>
      <c r="S180" s="46"/>
      <c r="T180" s="46"/>
      <c r="U180" s="47"/>
      <c r="V180" s="88"/>
      <c r="W180" s="88"/>
      <c r="X180" s="25" t="str">
        <f aca="false">IF(Tasks[[#This Row],[Task Name]]="","",IF(N(Tasks[[#This Row],[Baseline Start]])&gt;0,Tasks[[#This Row],[Baseline Start]],Tasks[[#This Row],[_CalcStart]]))</f>
        <v/>
      </c>
      <c r="Y180" s="25" t="str">
        <f aca="false">IF(Tasks[[#This Row],[Task Name]]="","",IF(N(Tasks[[#This Row],[Baseline Finish]])&gt;0,Tasks[[#This Row],[Baseline Finish]],Tasks[[#This Row],[_CalcFinish]]))</f>
        <v/>
      </c>
      <c r="Z180" s="88"/>
      <c r="AA180" s="88"/>
      <c r="AB180" s="25" t="str">
        <f aca="false">IF(Tasks[[#This Row],[Task Name]]="","",IF(Tasks[[#This Row],[_IsSummary]],MIN(INDEX(Tasks[_ShownFcstStart],Tasks[[#This Row],[_Row]]+1):INDEX(Tasks[_ShownFcstStart],Tasks[[#This Row],[_Row]]+Tasks[[#This Row],[_Descendants]])),Tasks[[#This Row],[_ShownFcstStart]]))</f>
        <v/>
      </c>
      <c r="AC180" s="25" t="str">
        <f aca="false">IF(Tasks[[#This Row],[Task Name]]="","",IF(Tasks[[#This Row],[_IsSummary]],MAX(INDEX(Tasks[_ShownFcstFinish],Tasks[[#This Row],[_Row]]+1):INDEX(Tasks[_ShownFcstFinish],Tasks[[#This Row],[_Row]]+Tasks[[#This Row],[_Descendants]])),Tasks[[#This Row],[_ShownFcstFinish]]))</f>
        <v/>
      </c>
      <c r="AD18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0" s="25" t="str">
        <f aca="false">IF(Tasks[[#This Row],[Task Name]]="","",IF(Tasks[[#This Row],[_IsSummary]],MIN(INDEX(Tasks[_LeafLateStart],Tasks[[#This Row],[_Row]]+1):INDEX(Tasks[_LeafLateStart],Tasks[[#This Row],[_Row]]+Tasks[[#This Row],[_Descendants]])),Tasks[[#This Row],[_LeafLateStart]]))</f>
        <v/>
      </c>
      <c r="AG180" s="25" t="str">
        <f aca="false">IF(Tasks[[#This Row],[Task Name]]="","",IF(Tasks[[#This Row],[_IsSummary]],MAX(INDEX(Tasks[_LeafLateFinish],Tasks[[#This Row],[_Row]]+1):INDEX(Tasks[_LeafLateFinish],Tasks[[#This Row],[_Row]]+Tasks[[#This Row],[_Descendants]])),Tasks[[#This Row],[_LeafLateFinish]]))</f>
        <v/>
      </c>
      <c r="AH180" s="56" t="str">
        <f aca="false">IF(Tasks[[#This Row],[Task Name]]="","",IF(Tasks[[#This Row],[_IsSummary]],MIN(INDEX(Tasks[_LeafTotalSlack],Tasks[[#This Row],[_Row]]+1):INDEX(Tasks[_LeafTotalSlack],Tasks[[#This Row],[_Row]]+Tasks[[#This Row],[_Descendants]])),Tasks[[#This Row],[_LeafTotalSlack]]))</f>
        <v/>
      </c>
      <c r="AI18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0" s="45" t="str">
        <f aca="false">IF(Tasks[[#This Row],[Task Name]]="","",IF(IF(Tasks[[#This Row],[_IsSummary]],COUNTIF(INDEX(Tasks[_LeafCritical],Tasks[[#This Row],[_Row]]+1):INDEX(Tasks[_LeafCritical],Tasks[[#This Row],[_Row]]+Tasks[[#This Row],[_Descendants]]),TRUE())&gt;0,Tasks[[#This Row],[_LeafCritical]]),"Yes",""))</f>
        <v/>
      </c>
      <c r="AK18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0" s="102"/>
      <c r="AN18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0" s="45" t="str">
        <f aca="false">IF(Tasks[[#This Row],[Task Name]]="","",IF(Tasks[[#This Row],[Progress]]&gt;=1,"Complete",IF(OR(N(Tasks[[#This Row],[Actual Start]])&gt;0,Tasks[[#This Row],[Progress]]&gt;0),IF(Tasks[[#This Row],[Finish Var]]&gt;0,"Behind","In Progress"),IF(Tasks[[#This Row],[Planned Start]]&lt;StatusDate,"Late Start","Not Started"))))</f>
        <v/>
      </c>
      <c r="AP180" s="47"/>
      <c r="AQ180" s="102"/>
      <c r="AR18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0" s="110" t="str">
        <f aca="false">IF(Tasks[[#This Row],[Task Name]]="","",IF(Tasks[[#This Row],[_IsSummary]],SUM(INDEX(Tasks[_LeafTotalWork],Tasks[[#This Row],[_Row]]+1):INDEX(Tasks[_LeafTotalWork],Tasks[[#This Row],[_Row]]+Tasks[[#This Row],[_Descendants]])),Tasks[[#This Row],[_LeafTotalWork]]))</f>
        <v/>
      </c>
      <c r="AU180" s="111" t="str">
        <f aca="false">IF(Tasks[[#This Row],[Task Name]]="","",IF(Tasks[[#This Row],[_IsSummary]],SUM(INDEX(Tasks[_LeafTotalCost],Tasks[[#This Row],[_Row]]+1):INDEX(Tasks[_LeafTotalCost],Tasks[[#This Row],[_Row]]+Tasks[[#This Row],[_Descendants]])),Tasks[[#This Row],[_LeafTotalCost]]))</f>
        <v/>
      </c>
      <c r="AV180" s="112"/>
      <c r="AW180" s="46"/>
      <c r="AX18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0" s="96"/>
      <c r="AZ18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0" s="47"/>
      <c r="BB180" s="25" t="str">
        <f aca="false">IF(Tasks[[#This Row],[Task Name]]="","",Tasks[[#This Row],[Forecast Start]])</f>
        <v/>
      </c>
      <c r="BC180" s="25" t="str">
        <f aca="false">IF(Tasks[[#This Row],[Task Name]]="","",Tasks[[#This Row],[Forecast Finish]])</f>
        <v/>
      </c>
      <c r="BD180" s="45" t="str">
        <f aca="false">IF(Tasks[[#This Row],[Task Name]]="","",IF(Tasks[[#This Row],[_IsSummary]],NETWORKDAYS.INTL(Tasks[[#This Row],[Forecast Start]],Tasks[[#This Row],[Forecast Finish]],WorkWeek,Holidays),N(Tasks[[#This Row],[Duration]])))</f>
        <v/>
      </c>
      <c r="BE180" s="110" t="str">
        <f aca="false">IF(Tasks[[#This Row],[Task Name]]="","",Tasks[[#This Row],[Work]])</f>
        <v/>
      </c>
      <c r="BF180" s="111" t="str">
        <f aca="false">IF(Tasks[[#This Row],[Task Name]]="","",Tasks[[#This Row],[Cost]])</f>
        <v/>
      </c>
      <c r="BG180" s="88"/>
      <c r="BH180" s="88"/>
      <c r="BI180" s="46"/>
      <c r="BJ180" s="113"/>
      <c r="BK180" s="112"/>
      <c r="BL180" s="45" t="str">
        <f aca="false">IF(OR(Tasks[[#This Row],[Task Name]]="",Tasks[[#This Row],[Baseline Duration]]=""),"",Tasks[[#This Row],[BL Source Duration]]-N(Tasks[[#This Row],[Baseline Duration]]))</f>
        <v/>
      </c>
      <c r="BM180" s="110" t="str">
        <f aca="false">IF(OR(Tasks[[#This Row],[Task Name]]="",Tasks[[#This Row],[Baseline Work]]=""),"",Tasks[[#This Row],[Work]]-N(Tasks[[#This Row],[Baseline Work]]))</f>
        <v/>
      </c>
      <c r="BN180" s="111" t="str">
        <f aca="false">IF(OR(Tasks[[#This Row],[Task Name]]="",Tasks[[#This Row],[Baseline Cost]]=""),"",Tasks[[#This Row],[Cost]]-N(Tasks[[#This Row],[Baseline Cost]]))</f>
        <v/>
      </c>
      <c r="BO180" s="111" t="str">
        <f aca="false">IF(Tasks[[#This Row],[Task Name]]="","",IF(Tasks[[#This Row],[_IsSummary]],SUM(INDEX(Tasks[_LeafBudget],Tasks[[#This Row],[_Row]]+1):INDEX(Tasks[_LeafBudget],Tasks[[#This Row],[_Row]]+Tasks[[#This Row],[_Descendants]])),Tasks[[#This Row],[_LeafBudget]]))</f>
        <v/>
      </c>
      <c r="BP180" s="111" t="str">
        <f aca="false">IF(Tasks[[#This Row],[Task Name]]="","",IF(Tasks[[#This Row],[_IsSummary]],SUM(INDEX(Tasks[_LeafPV],Tasks[[#This Row],[_Row]]+1):INDEX(Tasks[_LeafPV],Tasks[[#This Row],[_Row]]+Tasks[[#This Row],[_Descendants]])),Tasks[[#This Row],[_LeafPV]]))</f>
        <v/>
      </c>
      <c r="BQ180" s="111" t="str">
        <f aca="false">IF(Tasks[[#This Row],[Task Name]]="","",IF(Tasks[[#This Row],[_IsSummary]],SUM(INDEX(Tasks[_LeafEV],Tasks[[#This Row],[_Row]]+1):INDEX(Tasks[_LeafEV],Tasks[[#This Row],[_Row]]+Tasks[[#This Row],[_Descendants]])),Tasks[[#This Row],[_LeafEV]]))</f>
        <v/>
      </c>
      <c r="BR180" s="111" t="str">
        <f aca="false">IF(Tasks[[#This Row],[Task Name]]="","",IF(Tasks[[#This Row],[_IsSummary]],SUM(INDEX(Tasks[_LeafAC],Tasks[[#This Row],[_Row]]+1):INDEX(Tasks[_LeafAC],Tasks[[#This Row],[_Row]]+Tasks[[#This Row],[_Descendants]])),Tasks[[#This Row],[_LeafAC]]))</f>
        <v/>
      </c>
      <c r="BS180" s="32" t="str">
        <f aca="false">IF(Tasks[[#This Row],[Task Name]]="","",MAX(1,N(Tasks[[#This Row],[Level]])))</f>
        <v/>
      </c>
      <c r="BT180" s="32" t="n">
        <f aca="false">ROW()-ROW(Tasks[[#Headers],[ID]])</f>
        <v>175</v>
      </c>
      <c r="BU180" s="32" t="n">
        <f aca="false">IF(OR(Tasks[[#This Row],[Task Name]]="",Tasks[[#This Row],[_Level]]&lt;=1),0,IFERROR(LOOKUP(2,1/(Tasks[[#Headers],[_Level]]:Tasks[[#This Row],[_Level]]=Tasks[[#This Row],[_Level]]-1),ROW(Tasks[[#Headers],[_Level]]:Tasks[[#This Row],[_Level]])),0))</f>
        <v>0</v>
      </c>
      <c r="BV180" s="32" t="n">
        <f aca="false">IFERROR(N(INDEX(Tasks[_Level],Tasks[[#This Row],[_Row]]+1)),0)</f>
        <v>0</v>
      </c>
      <c r="BW180" s="114" t="b">
        <f aca="false">AND(Tasks[[#This Row],[Task Name]]&lt;&gt;"",Tasks[[#This Row],[_NextLevel]]&gt;Tasks[[#This Row],[_Level]])</f>
        <v>0</v>
      </c>
      <c r="BX180" s="32" t="n">
        <f aca="false">IF(Tasks[[#This Row],[_IsSummary]],COUNTIF(Tasks[WBS],Tasks[[#This Row],[WBS]]&amp;".*"),0)</f>
        <v>0</v>
      </c>
      <c r="BY180" s="32" t="n">
        <f aca="false">IF(AND(Tasks[[#This Row],[Task Name]]&lt;&gt;"",NOT(Tasks[[#This Row],[_IsSummary]])),1,0)</f>
        <v>0</v>
      </c>
      <c r="BZ180" s="32" t="n">
        <f aca="false">IF(N(Tasks[[#This Row],[Pred1 UID]])=0,0,IFERROR(MATCH(Tasks[[#This Row],[Pred1 UID]],Tasks[UID],0),-1))</f>
        <v>0</v>
      </c>
      <c r="CA180" s="32" t="n">
        <f aca="false">IF(N(Tasks[[#This Row],[Pred2 UID]])=0,0,IFERROR(MATCH(Tasks[[#This Row],[Pred2 UID]],Tasks[UID],0),-1))</f>
        <v>0</v>
      </c>
      <c r="CB180" s="32" t="n">
        <f aca="false">IF(N(Tasks[[#This Row],[Pred3 UID]])=0,0,IFERROR(MATCH(Tasks[[#This Row],[Pred3 UID]],Tasks[UID],0),-1))</f>
        <v>0</v>
      </c>
      <c r="CC180" s="32" t="n">
        <f aca="false">IF(N(Tasks[[#This Row],[Pred4 UID]])=0,0,IFERROR(MATCH(Tasks[[#This Row],[Pred4 UID]],Tasks[UID],0),-1))</f>
        <v>0</v>
      </c>
      <c r="CD18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0" s="115" t="n">
        <f aca="false">IF(OR(Tasks[[#This Row],[_ConstraintCode]]=2,Tasks[[#This Row],[_ConstraintCode]]=3,Tasks[[#This Row],[_ConstraintCode]]=4,Tasks[[#This Row],[_ConstraintCode]]=6),Tasks[[#This Row],[_ConstraintStart]],0)</f>
        <v>0</v>
      </c>
      <c r="CG180" s="115" t="n">
        <f aca="false">IF(OR(Tasks[[#This Row],[_ConstraintCode]]=2,Tasks[[#This Row],[_ConstraintCode]]=3,Tasks[[#This Row],[_ConstraintCode]]=5,Tasks[[#This Row],[_ConstraintCode]]=7),Tasks[[#This Row],[_ConstraintStart]],2958465)</f>
        <v>2958465</v>
      </c>
      <c r="CH18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0" s="115" t="str">
        <f aca="false">IF(NOT(Tasks[[#This Row],[_IsLeaf]]=1),"",IF(N(Tasks[[#This Row],[Duration]])&lt;=0,Tasks[[#This Row],[_LeafCalcStart]],WORKDAY.INTL(Tasks[[#This Row],[_LeafCalcStart]],Tasks[[#This Row],[Duration]]-1,WorkWeek,Holidays)))</f>
        <v/>
      </c>
      <c r="CJ18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0" s="32" t="n">
        <f aca="false">IF(NOT(Tasks[[#This Row],[_IsLeaf]]=1),0,IF(N(Tasks[[#This Row],[Actual Finish]])&gt;0,1,MIN(1,N(Tasks[[#This Row],[% Complete]]))))</f>
        <v>0</v>
      </c>
      <c r="CM180" s="32" t="n">
        <f aca="false">IF(OR(NOT(Tasks[[#This Row],[_IsLeaf]]=1),Tasks[[#This Row],[Resource]]=""),0,N(Tasks[[#This Row],[Duration]])*HoursPerDay*IF(Tasks[[#This Row],[Units]]="",DefaultUnits,Tasks[[#This Row],[Units]]))</f>
        <v>0</v>
      </c>
      <c r="CN180" s="32" t="n">
        <f aca="false">IF(Tasks[[#This Row],[_LeafWork]]=0,0,Tasks[[#This Row],[_LeafWork]]*IFERROR(INDEX(res_Rate,MATCH(Tasks[[#This Row],[Resource]],res_Name,0)),0))</f>
        <v>0</v>
      </c>
      <c r="CO180" s="32" t="n">
        <f aca="false">Tasks[[#This Row],[_LeafWork]]+IF(Tasks[[#This Row],[_IsLeaf]]=1,SUMIFS(asg_Work,asg_TaskUID,Tasks[[#This Row],[UID]],asg_Valid,1),0)</f>
        <v>0</v>
      </c>
      <c r="CP180" s="32" t="n">
        <f aca="false">Tasks[[#This Row],[_LeafCost]]+IF(Tasks[[#This Row],[_IsLeaf]]=1,SUMIFS(asg_Cost,asg_TaskUID,Tasks[[#This Row],[UID]],asg_Valid,1),0)</f>
        <v>0</v>
      </c>
      <c r="CQ180" s="32" t="n">
        <f aca="false">IF(Tasks[[#This Row],[_LeafTotalCost]]=0,Tasks[[#This Row],[_LeafAC]],Tasks[[#This Row],[_LeafAC]]*Tasks[[#This Row],[_LeafCost]]/Tasks[[#This Row],[_LeafTotalCost]])</f>
        <v>0</v>
      </c>
      <c r="CR18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0" s="32" t="n">
        <f aca="false">IF(NOT(Tasks[[#This Row],[_IsLeaf]]=1),0,MAX(_xlfn.MAXIFS(Tasks[_Row],Tasks[Pred1 UID],Tasks[[#This Row],[UID]]),_xlfn.MAXIFS(Tasks[_Row],Tasks[Pred2 UID],Tasks[[#This Row],[UID]]),_xlfn.MAXIFS(Tasks[_Row],Tasks[Pred3 UID],Tasks[[#This Row],[UID]]),_xlfn.MAXIFS(Tasks[_Row],Tasks[Pred4 UID],Tasks[[#This Row],[UID]])))</f>
        <v>0</v>
      </c>
      <c r="DA18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0" s="115" t="str">
        <f aca="false">IF(NOT(Tasks[[#This Row],[_IsLeaf]]=1),"",IF(N(Tasks[[#This Row],[Duration]])&lt;=0,Tasks[[#This Row],[_LeafLateFinish]],WORKDAY.INTL(Tasks[[#This Row],[_LeafLateFinish]],-(Tasks[[#This Row],[Duration]]-1),WorkWeek,Holidays)))</f>
        <v/>
      </c>
      <c r="DD18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0" s="114" t="b">
        <f aca="false">AND(Tasks[[#This Row],[_IsLeaf]]=1,Tasks[[#This Row],[_LeafProgress]]&lt;1,N(Tasks[[#This Row],[_LeafTotalSlack]])&lt;=CriticalSlackDays)</f>
        <v>0</v>
      </c>
      <c r="DF180" s="32" t="n">
        <f aca="false">IF(AND(Tasks[[#This Row],[_IsLeaf]]=1,Tasks[[#This Row],[_ConstraintCode]]=1,Tasks[[#This Row],[Mode]]&lt;&gt;"Manual",N(Tasks[[#This Row],[Actual Start]])=0),MAX(0,N(Tasks[[#This Row],[Free Slack]])),0)</f>
        <v>0</v>
      </c>
      <c r="DG180" s="115" t="str">
        <f aca="false">IF(NOT(Tasks[[#This Row],[_IsLeaf]]=1),"",IF(Tasks[[#This Row],[_AlapShift]]=0,Tasks[[#This Row],[_LeafCalcStart]],WORKDAY.INTL(Tasks[[#This Row],[_LeafCalcStart]],Tasks[[#This Row],[_AlapShift]],WorkWeek,Holidays)))</f>
        <v/>
      </c>
      <c r="DH180" s="115" t="str">
        <f aca="false">IF(NOT(Tasks[[#This Row],[_IsLeaf]]=1),"",IF(Tasks[[#This Row],[_AlapShift]]=0,Tasks[[#This Row],[_LeafCalcFinish]],WORKDAY.INTL(Tasks[[#This Row],[_LeafCalcFinish]],Tasks[[#This Row],[_AlapShift]],WorkWeek,Holidays)))</f>
        <v/>
      </c>
      <c r="DI180" s="115" t="str">
        <f aca="false">IF(NOT(Tasks[[#This Row],[_IsLeaf]]=1),"",IF(Tasks[[#This Row],[_AlapShift]]=0,Tasks[[#This Row],[_LeafFcstStart]],WORKDAY.INTL(Tasks[[#This Row],[_LeafFcstStart]],Tasks[[#This Row],[_AlapShift]],WorkWeek,Holidays)))</f>
        <v/>
      </c>
      <c r="DJ180" s="115" t="str">
        <f aca="false">IF(NOT(Tasks[[#This Row],[_IsLeaf]]=1),"",IF(Tasks[[#This Row],[_AlapShift]]=0,Tasks[[#This Row],[_LeafFcstFinish]],WORKDAY.INTL(Tasks[[#This Row],[_LeafFcstFinish]],Tasks[[#This Row],[_AlapShift]],WorkWeek,Holidays)))</f>
        <v/>
      </c>
      <c r="DK180" s="115" t="str">
        <f aca="false">IF(Tasks[[#This Row],[Task Name]]="","",IF(Tasks[[#This Row],[_IsSummary]],MIN(INDEX(Tasks[_ShownCalcStart],Tasks[[#This Row],[_Row]]+1):INDEX(Tasks[_ShownCalcStart],Tasks[[#This Row],[_Row]]+Tasks[[#This Row],[_Descendants]])),Tasks[[#This Row],[_ShownCalcStart]]))</f>
        <v/>
      </c>
      <c r="DL180" s="115" t="str">
        <f aca="false">IF(Tasks[[#This Row],[Task Name]]="","",IF(Tasks[[#This Row],[_IsSummary]],MAX(INDEX(Tasks[_ShownCalcFinish],Tasks[[#This Row],[_Row]]+1):INDEX(Tasks[_ShownCalcFinish],Tasks[[#This Row],[_Row]]+Tasks[[#This Row],[_Descendants]])),Tasks[[#This Row],[_ShownCalcFinish]]))</f>
        <v/>
      </c>
      <c r="DM18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0" s="32" t="n">
        <f aca="false">IF(AND(Tasks[[#This Row],[_IsLeaf]]=1,Tasks[[#This Row],[_LeafTotalWork]]&gt;0),NETWORKDAYS.INTL(ProjectStart,Tasks[[#This Row],[_ShownFcstStart]],WorkWeek,Holidays),0)</f>
        <v>0</v>
      </c>
      <c r="DZ180" s="32" t="n">
        <f aca="false">IF(AND(Tasks[[#This Row],[_IsLeaf]]=1,Tasks[[#This Row],[_LeafTotalWork]]&gt;0),MAX(Tasks[[#This Row],[_StartWorkday]],NETWORKDAYS.INTL(ProjectStart,Tasks[[#This Row],[_ShownFcstFinish]],WorkWeek,Holidays)),0)</f>
        <v>0</v>
      </c>
      <c r="EA180" s="32" t="n">
        <f aca="false">IF(AND(Tasks[[#This Row],[_IsLeaf]]=1,Tasks[[#This Row],[_LeafTotalWork]]&gt;0),Tasks[[#This Row],[_LeafWork]]/(Tasks[[#This Row],[_FinishWorkday]]-Tasks[[#This Row],[_StartWorkday]]+1),0)</f>
        <v>0</v>
      </c>
      <c r="EB180" s="32" t="n">
        <f aca="false">Tasks[[#This Row],[_WorkPerWorkday]]*(Tasks[[#This Row],[_StartWorkday]]-1)</f>
        <v>-0</v>
      </c>
      <c r="EC180" s="32" t="n">
        <f aca="false">IF(Tasks[[#This Row],[_IsLeaf]]=1,MAX(N(Tasks[[#This Row],[Duration]]),0.1),0)</f>
        <v>0</v>
      </c>
      <c r="ED180" s="32" t="n">
        <f aca="false">Tasks[[#This Row],[_WeightDur]]*Tasks[[#This Row],[_LeafProgress]]</f>
        <v>0</v>
      </c>
      <c r="EE18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0" s="32" t="str">
        <f aca="false">IF(AND(Tasks[[#This Row],[_IsLeaf]]=1,N(Tasks[[#This Row],[Duration]])=0,Tasks[[#This Row],[_LeafProgress]]&lt;1),Tasks[[#This Row],[_ShownFcstFinish]]+Tasks[[#This Row],[_Row]]/100000,"")</f>
        <v/>
      </c>
      <c r="EG18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0" s="32" t="n">
        <f aca="false">IF(NOT(Tasks[[#This Row],[_IsLeaf]]=1),0,IF(Tasks[[#This Row],[Baseline Cost]]="",Tasks[[#This Row],[_LeafTotalCost]],N(Tasks[[#This Row],[Baseline Cost]])))</f>
        <v>0</v>
      </c>
      <c r="EI180" s="32" t="n">
        <f aca="false">Tasks[[#This Row],[_LeafBudget]]*Tasks[[#This Row],[_PlannedPct]]</f>
        <v>0</v>
      </c>
      <c r="EJ180" s="32" t="n">
        <f aca="false">Tasks[[#This Row],[_LeafBudget]]*Tasks[[#This Row],[_LeafProgress]]</f>
        <v>0</v>
      </c>
      <c r="EK180" s="32" t="n">
        <f aca="false">IF(NOT(Tasks[[#This Row],[_IsLeaf]]=1),0,IF(Tasks[[#This Row],[Actual Cost]]="",Tasks[[#This Row],[_LeafTotalCost]]*Tasks[[#This Row],[_LeafProgress]],N(Tasks[[#This Row],[Actual Cost]])))</f>
        <v>0</v>
      </c>
      <c r="EL180" s="32" t="str">
        <f aca="false">IF(Tasks[[#This Row],[Task Name]]="","",LEFT(Tasks[[#This Row],[WBS]],FIND(".",Tasks[[#This Row],[WBS]]&amp;".")-1))</f>
        <v/>
      </c>
      <c r="EM180" s="32" t="str">
        <f aca="false">IF(AND(Tasks[[#This Row],[Task Name]]&lt;&gt;"",Tasks[[#This Row],[_Level]]=1),Tasks[[#This Row],[_Row]],"")</f>
        <v/>
      </c>
      <c r="EN180" s="32" t="str">
        <f aca="false">IF(AND(Tasks[[#This Row],[_IsLeaf]]=1,N(Tasks[[#This Row],[Duration]])=0),Tasks[[#This Row],[Planned Finish]]+Tasks[[#This Row],[_Row]]/100000,"")</f>
        <v/>
      </c>
      <c r="EO180" s="32" t="str">
        <f aca="false">IF(AND(Tasks[[#This Row],[_IsLeaf]]=1,Tasks[[#This Row],[_LeafProgress]]&lt;1,OR(N(Tasks[[#This Row],[Finish Var]])&gt;0,Tasks[[#This Row],[Status]]="Late Start")),MAX(0,Tasks[[#This Row],[Finish Var]])+1-Tasks[[#This Row],[_Row]]/1000000,"")</f>
        <v/>
      </c>
      <c r="EP180" s="32" t="str">
        <f aca="false">IF(AND(Tasks[[#This Row],[_IsLeaf]]=1,N(Tasks[[#This Row],[Actual Start]])=0,Tasks[[#This Row],[_ShownFcstStart]]&gt;=StatusDate,Tasks[[#This Row],[_ShownFcstStart]]&lt;=LookaheadEnd),Tasks[[#This Row],[_ShownFcstStart]]+Tasks[[#This Row],[_Row]]/100000,"")</f>
        <v/>
      </c>
      <c r="EQ180" s="32" t="str">
        <f aca="false">IF(AND(Tasks[[#This Row],[_IsLeaf]]=1,Tasks[[#This Row],[_LeafProgress]]&lt;1,Tasks[[#This Row],[_ShownFcstFinish]]&gt;=StatusDate,Tasks[[#This Row],[_ShownFcstFinish]]&lt;=LookaheadEnd),Tasks[[#This Row],[_ShownFcstFinish]]+Tasks[[#This Row],[_Row]]/100000,"")</f>
        <v/>
      </c>
      <c r="ER180" s="32" t="str">
        <f aca="false">IF(Tasks[[#This Row],[_LeafCritical]],Tasks[[#This Row],[_ShownFcstStart]]+Tasks[[#This Row],[_Row]]/100000,"")</f>
        <v/>
      </c>
      <c r="ES180" s="32" t="n">
        <f aca="false">Tasks[[#This Row],[_LeafWork]]*Tasks[[#This Row],[_LeafProgress]]</f>
        <v>0</v>
      </c>
      <c r="ET180" s="115" t="str">
        <f aca="false">IF(AND(Tasks[[#This Row],[_IsLeaf]]=1,Tasks[[#This Row],[_LeafProgress]]&gt;=1),IF(N(Tasks[[#This Row],[Actual Finish]])&gt;0,Tasks[[#This Row],[Actual Finish]],Tasks[[#This Row],[_ShownFcstFinish]]),"")</f>
        <v/>
      </c>
      <c r="EU180" s="32" t="n">
        <f aca="false">IF(Tasks[[#This Row],[_IsLeaf]]=1,N(Tasks[[#This Row],[Story Points]]),0)</f>
        <v>0</v>
      </c>
      <c r="EV180" s="32" t="str">
        <f aca="false">IF(AND(Tasks[[#This Row],[_IsLeaf]]=1,CurrentSprint&lt;&gt;"",Tasks[[#This Row],[Sprint]]=CurrentSprint),Tasks[[#This Row],[_Row]],"")</f>
        <v/>
      </c>
    </row>
    <row r="181" customFormat="false" ht="15" hidden="false" customHeight="false" outlineLevel="0" collapsed="false">
      <c r="A181" s="45" t="str">
        <f aca="false">IF(Tasks[[#This Row],[Task Name]]="","",COUNTA(Tasks[[#Headers],[Task Name]]:Tasks[[#This Row],[Task Name]])-1)</f>
        <v/>
      </c>
      <c r="B181" s="46" t="n">
        <v>176</v>
      </c>
      <c r="C18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1" s="46"/>
      <c r="E181" s="45" t="str">
        <f aca="false">IF(Tasks[[#This Row],[Task Name]]="","",IF(Tasks[[#This Row],[_Level]]&lt;=OutlineShowLevel,"Yes","No"))</f>
        <v/>
      </c>
      <c r="F181" s="47"/>
      <c r="G181" s="46"/>
      <c r="H181" s="46"/>
      <c r="I181" s="46"/>
      <c r="J181" s="46"/>
      <c r="K181" s="46"/>
      <c r="L181" s="46"/>
      <c r="M181" s="46"/>
      <c r="N181" s="46"/>
      <c r="O181" s="46"/>
      <c r="P181" s="46"/>
      <c r="Q181" s="46"/>
      <c r="R181" s="46"/>
      <c r="S181" s="46"/>
      <c r="T181" s="46"/>
      <c r="U181" s="47"/>
      <c r="V181" s="88"/>
      <c r="W181" s="88"/>
      <c r="X181" s="25" t="str">
        <f aca="false">IF(Tasks[[#This Row],[Task Name]]="","",IF(N(Tasks[[#This Row],[Baseline Start]])&gt;0,Tasks[[#This Row],[Baseline Start]],Tasks[[#This Row],[_CalcStart]]))</f>
        <v/>
      </c>
      <c r="Y181" s="25" t="str">
        <f aca="false">IF(Tasks[[#This Row],[Task Name]]="","",IF(N(Tasks[[#This Row],[Baseline Finish]])&gt;0,Tasks[[#This Row],[Baseline Finish]],Tasks[[#This Row],[_CalcFinish]]))</f>
        <v/>
      </c>
      <c r="Z181" s="88"/>
      <c r="AA181" s="88"/>
      <c r="AB181" s="25" t="str">
        <f aca="false">IF(Tasks[[#This Row],[Task Name]]="","",IF(Tasks[[#This Row],[_IsSummary]],MIN(INDEX(Tasks[_ShownFcstStart],Tasks[[#This Row],[_Row]]+1):INDEX(Tasks[_ShownFcstStart],Tasks[[#This Row],[_Row]]+Tasks[[#This Row],[_Descendants]])),Tasks[[#This Row],[_ShownFcstStart]]))</f>
        <v/>
      </c>
      <c r="AC181" s="25" t="str">
        <f aca="false">IF(Tasks[[#This Row],[Task Name]]="","",IF(Tasks[[#This Row],[_IsSummary]],MAX(INDEX(Tasks[_ShownFcstFinish],Tasks[[#This Row],[_Row]]+1):INDEX(Tasks[_ShownFcstFinish],Tasks[[#This Row],[_Row]]+Tasks[[#This Row],[_Descendants]])),Tasks[[#This Row],[_ShownFcstFinish]]))</f>
        <v/>
      </c>
      <c r="AD18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1" s="25" t="str">
        <f aca="false">IF(Tasks[[#This Row],[Task Name]]="","",IF(Tasks[[#This Row],[_IsSummary]],MIN(INDEX(Tasks[_LeafLateStart],Tasks[[#This Row],[_Row]]+1):INDEX(Tasks[_LeafLateStart],Tasks[[#This Row],[_Row]]+Tasks[[#This Row],[_Descendants]])),Tasks[[#This Row],[_LeafLateStart]]))</f>
        <v/>
      </c>
      <c r="AG181" s="25" t="str">
        <f aca="false">IF(Tasks[[#This Row],[Task Name]]="","",IF(Tasks[[#This Row],[_IsSummary]],MAX(INDEX(Tasks[_LeafLateFinish],Tasks[[#This Row],[_Row]]+1):INDEX(Tasks[_LeafLateFinish],Tasks[[#This Row],[_Row]]+Tasks[[#This Row],[_Descendants]])),Tasks[[#This Row],[_LeafLateFinish]]))</f>
        <v/>
      </c>
      <c r="AH181" s="56" t="str">
        <f aca="false">IF(Tasks[[#This Row],[Task Name]]="","",IF(Tasks[[#This Row],[_IsSummary]],MIN(INDEX(Tasks[_LeafTotalSlack],Tasks[[#This Row],[_Row]]+1):INDEX(Tasks[_LeafTotalSlack],Tasks[[#This Row],[_Row]]+Tasks[[#This Row],[_Descendants]])),Tasks[[#This Row],[_LeafTotalSlack]]))</f>
        <v/>
      </c>
      <c r="AI18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1" s="45" t="str">
        <f aca="false">IF(Tasks[[#This Row],[Task Name]]="","",IF(IF(Tasks[[#This Row],[_IsSummary]],COUNTIF(INDEX(Tasks[_LeafCritical],Tasks[[#This Row],[_Row]]+1):INDEX(Tasks[_LeafCritical],Tasks[[#This Row],[_Row]]+Tasks[[#This Row],[_Descendants]]),TRUE())&gt;0,Tasks[[#This Row],[_LeafCritical]]),"Yes",""))</f>
        <v/>
      </c>
      <c r="AK18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1" s="102"/>
      <c r="AN18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1" s="45" t="str">
        <f aca="false">IF(Tasks[[#This Row],[Task Name]]="","",IF(Tasks[[#This Row],[Progress]]&gt;=1,"Complete",IF(OR(N(Tasks[[#This Row],[Actual Start]])&gt;0,Tasks[[#This Row],[Progress]]&gt;0),IF(Tasks[[#This Row],[Finish Var]]&gt;0,"Behind","In Progress"),IF(Tasks[[#This Row],[Planned Start]]&lt;StatusDate,"Late Start","Not Started"))))</f>
        <v/>
      </c>
      <c r="AP181" s="47"/>
      <c r="AQ181" s="102"/>
      <c r="AR18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1" s="110" t="str">
        <f aca="false">IF(Tasks[[#This Row],[Task Name]]="","",IF(Tasks[[#This Row],[_IsSummary]],SUM(INDEX(Tasks[_LeafTotalWork],Tasks[[#This Row],[_Row]]+1):INDEX(Tasks[_LeafTotalWork],Tasks[[#This Row],[_Row]]+Tasks[[#This Row],[_Descendants]])),Tasks[[#This Row],[_LeafTotalWork]]))</f>
        <v/>
      </c>
      <c r="AU181" s="111" t="str">
        <f aca="false">IF(Tasks[[#This Row],[Task Name]]="","",IF(Tasks[[#This Row],[_IsSummary]],SUM(INDEX(Tasks[_LeafTotalCost],Tasks[[#This Row],[_Row]]+1):INDEX(Tasks[_LeafTotalCost],Tasks[[#This Row],[_Row]]+Tasks[[#This Row],[_Descendants]])),Tasks[[#This Row],[_LeafTotalCost]]))</f>
        <v/>
      </c>
      <c r="AV181" s="112"/>
      <c r="AW181" s="46"/>
      <c r="AX18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1" s="96"/>
      <c r="AZ18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1" s="47"/>
      <c r="BB181" s="25" t="str">
        <f aca="false">IF(Tasks[[#This Row],[Task Name]]="","",Tasks[[#This Row],[Forecast Start]])</f>
        <v/>
      </c>
      <c r="BC181" s="25" t="str">
        <f aca="false">IF(Tasks[[#This Row],[Task Name]]="","",Tasks[[#This Row],[Forecast Finish]])</f>
        <v/>
      </c>
      <c r="BD181" s="45" t="str">
        <f aca="false">IF(Tasks[[#This Row],[Task Name]]="","",IF(Tasks[[#This Row],[_IsSummary]],NETWORKDAYS.INTL(Tasks[[#This Row],[Forecast Start]],Tasks[[#This Row],[Forecast Finish]],WorkWeek,Holidays),N(Tasks[[#This Row],[Duration]])))</f>
        <v/>
      </c>
      <c r="BE181" s="110" t="str">
        <f aca="false">IF(Tasks[[#This Row],[Task Name]]="","",Tasks[[#This Row],[Work]])</f>
        <v/>
      </c>
      <c r="BF181" s="111" t="str">
        <f aca="false">IF(Tasks[[#This Row],[Task Name]]="","",Tasks[[#This Row],[Cost]])</f>
        <v/>
      </c>
      <c r="BG181" s="88"/>
      <c r="BH181" s="88"/>
      <c r="BI181" s="46"/>
      <c r="BJ181" s="113"/>
      <c r="BK181" s="112"/>
      <c r="BL181" s="45" t="str">
        <f aca="false">IF(OR(Tasks[[#This Row],[Task Name]]="",Tasks[[#This Row],[Baseline Duration]]=""),"",Tasks[[#This Row],[BL Source Duration]]-N(Tasks[[#This Row],[Baseline Duration]]))</f>
        <v/>
      </c>
      <c r="BM181" s="110" t="str">
        <f aca="false">IF(OR(Tasks[[#This Row],[Task Name]]="",Tasks[[#This Row],[Baseline Work]]=""),"",Tasks[[#This Row],[Work]]-N(Tasks[[#This Row],[Baseline Work]]))</f>
        <v/>
      </c>
      <c r="BN181" s="111" t="str">
        <f aca="false">IF(OR(Tasks[[#This Row],[Task Name]]="",Tasks[[#This Row],[Baseline Cost]]=""),"",Tasks[[#This Row],[Cost]]-N(Tasks[[#This Row],[Baseline Cost]]))</f>
        <v/>
      </c>
      <c r="BO181" s="111" t="str">
        <f aca="false">IF(Tasks[[#This Row],[Task Name]]="","",IF(Tasks[[#This Row],[_IsSummary]],SUM(INDEX(Tasks[_LeafBudget],Tasks[[#This Row],[_Row]]+1):INDEX(Tasks[_LeafBudget],Tasks[[#This Row],[_Row]]+Tasks[[#This Row],[_Descendants]])),Tasks[[#This Row],[_LeafBudget]]))</f>
        <v/>
      </c>
      <c r="BP181" s="111" t="str">
        <f aca="false">IF(Tasks[[#This Row],[Task Name]]="","",IF(Tasks[[#This Row],[_IsSummary]],SUM(INDEX(Tasks[_LeafPV],Tasks[[#This Row],[_Row]]+1):INDEX(Tasks[_LeafPV],Tasks[[#This Row],[_Row]]+Tasks[[#This Row],[_Descendants]])),Tasks[[#This Row],[_LeafPV]]))</f>
        <v/>
      </c>
      <c r="BQ181" s="111" t="str">
        <f aca="false">IF(Tasks[[#This Row],[Task Name]]="","",IF(Tasks[[#This Row],[_IsSummary]],SUM(INDEX(Tasks[_LeafEV],Tasks[[#This Row],[_Row]]+1):INDEX(Tasks[_LeafEV],Tasks[[#This Row],[_Row]]+Tasks[[#This Row],[_Descendants]])),Tasks[[#This Row],[_LeafEV]]))</f>
        <v/>
      </c>
      <c r="BR181" s="111" t="str">
        <f aca="false">IF(Tasks[[#This Row],[Task Name]]="","",IF(Tasks[[#This Row],[_IsSummary]],SUM(INDEX(Tasks[_LeafAC],Tasks[[#This Row],[_Row]]+1):INDEX(Tasks[_LeafAC],Tasks[[#This Row],[_Row]]+Tasks[[#This Row],[_Descendants]])),Tasks[[#This Row],[_LeafAC]]))</f>
        <v/>
      </c>
      <c r="BS181" s="32" t="str">
        <f aca="false">IF(Tasks[[#This Row],[Task Name]]="","",MAX(1,N(Tasks[[#This Row],[Level]])))</f>
        <v/>
      </c>
      <c r="BT181" s="32" t="n">
        <f aca="false">ROW()-ROW(Tasks[[#Headers],[ID]])</f>
        <v>176</v>
      </c>
      <c r="BU181" s="32" t="n">
        <f aca="false">IF(OR(Tasks[[#This Row],[Task Name]]="",Tasks[[#This Row],[_Level]]&lt;=1),0,IFERROR(LOOKUP(2,1/(Tasks[[#Headers],[_Level]]:Tasks[[#This Row],[_Level]]=Tasks[[#This Row],[_Level]]-1),ROW(Tasks[[#Headers],[_Level]]:Tasks[[#This Row],[_Level]])),0))</f>
        <v>0</v>
      </c>
      <c r="BV181" s="32" t="n">
        <f aca="false">IFERROR(N(INDEX(Tasks[_Level],Tasks[[#This Row],[_Row]]+1)),0)</f>
        <v>0</v>
      </c>
      <c r="BW181" s="114" t="b">
        <f aca="false">AND(Tasks[[#This Row],[Task Name]]&lt;&gt;"",Tasks[[#This Row],[_NextLevel]]&gt;Tasks[[#This Row],[_Level]])</f>
        <v>0</v>
      </c>
      <c r="BX181" s="32" t="n">
        <f aca="false">IF(Tasks[[#This Row],[_IsSummary]],COUNTIF(Tasks[WBS],Tasks[[#This Row],[WBS]]&amp;".*"),0)</f>
        <v>0</v>
      </c>
      <c r="BY181" s="32" t="n">
        <f aca="false">IF(AND(Tasks[[#This Row],[Task Name]]&lt;&gt;"",NOT(Tasks[[#This Row],[_IsSummary]])),1,0)</f>
        <v>0</v>
      </c>
      <c r="BZ181" s="32" t="n">
        <f aca="false">IF(N(Tasks[[#This Row],[Pred1 UID]])=0,0,IFERROR(MATCH(Tasks[[#This Row],[Pred1 UID]],Tasks[UID],0),-1))</f>
        <v>0</v>
      </c>
      <c r="CA181" s="32" t="n">
        <f aca="false">IF(N(Tasks[[#This Row],[Pred2 UID]])=0,0,IFERROR(MATCH(Tasks[[#This Row],[Pred2 UID]],Tasks[UID],0),-1))</f>
        <v>0</v>
      </c>
      <c r="CB181" s="32" t="n">
        <f aca="false">IF(N(Tasks[[#This Row],[Pred3 UID]])=0,0,IFERROR(MATCH(Tasks[[#This Row],[Pred3 UID]],Tasks[UID],0),-1))</f>
        <v>0</v>
      </c>
      <c r="CC181" s="32" t="n">
        <f aca="false">IF(N(Tasks[[#This Row],[Pred4 UID]])=0,0,IFERROR(MATCH(Tasks[[#This Row],[Pred4 UID]],Tasks[UID],0),-1))</f>
        <v>0</v>
      </c>
      <c r="CD18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1" s="115" t="n">
        <f aca="false">IF(OR(Tasks[[#This Row],[_ConstraintCode]]=2,Tasks[[#This Row],[_ConstraintCode]]=3,Tasks[[#This Row],[_ConstraintCode]]=4,Tasks[[#This Row],[_ConstraintCode]]=6),Tasks[[#This Row],[_ConstraintStart]],0)</f>
        <v>0</v>
      </c>
      <c r="CG181" s="115" t="n">
        <f aca="false">IF(OR(Tasks[[#This Row],[_ConstraintCode]]=2,Tasks[[#This Row],[_ConstraintCode]]=3,Tasks[[#This Row],[_ConstraintCode]]=5,Tasks[[#This Row],[_ConstraintCode]]=7),Tasks[[#This Row],[_ConstraintStart]],2958465)</f>
        <v>2958465</v>
      </c>
      <c r="CH18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1" s="115" t="str">
        <f aca="false">IF(NOT(Tasks[[#This Row],[_IsLeaf]]=1),"",IF(N(Tasks[[#This Row],[Duration]])&lt;=0,Tasks[[#This Row],[_LeafCalcStart]],WORKDAY.INTL(Tasks[[#This Row],[_LeafCalcStart]],Tasks[[#This Row],[Duration]]-1,WorkWeek,Holidays)))</f>
        <v/>
      </c>
      <c r="CJ18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1" s="32" t="n">
        <f aca="false">IF(NOT(Tasks[[#This Row],[_IsLeaf]]=1),0,IF(N(Tasks[[#This Row],[Actual Finish]])&gt;0,1,MIN(1,N(Tasks[[#This Row],[% Complete]]))))</f>
        <v>0</v>
      </c>
      <c r="CM181" s="32" t="n">
        <f aca="false">IF(OR(NOT(Tasks[[#This Row],[_IsLeaf]]=1),Tasks[[#This Row],[Resource]]=""),0,N(Tasks[[#This Row],[Duration]])*HoursPerDay*IF(Tasks[[#This Row],[Units]]="",DefaultUnits,Tasks[[#This Row],[Units]]))</f>
        <v>0</v>
      </c>
      <c r="CN181" s="32" t="n">
        <f aca="false">IF(Tasks[[#This Row],[_LeafWork]]=0,0,Tasks[[#This Row],[_LeafWork]]*IFERROR(INDEX(res_Rate,MATCH(Tasks[[#This Row],[Resource]],res_Name,0)),0))</f>
        <v>0</v>
      </c>
      <c r="CO181" s="32" t="n">
        <f aca="false">Tasks[[#This Row],[_LeafWork]]+IF(Tasks[[#This Row],[_IsLeaf]]=1,SUMIFS(asg_Work,asg_TaskUID,Tasks[[#This Row],[UID]],asg_Valid,1),0)</f>
        <v>0</v>
      </c>
      <c r="CP181" s="32" t="n">
        <f aca="false">Tasks[[#This Row],[_LeafCost]]+IF(Tasks[[#This Row],[_IsLeaf]]=1,SUMIFS(asg_Cost,asg_TaskUID,Tasks[[#This Row],[UID]],asg_Valid,1),0)</f>
        <v>0</v>
      </c>
      <c r="CQ181" s="32" t="n">
        <f aca="false">IF(Tasks[[#This Row],[_LeafTotalCost]]=0,Tasks[[#This Row],[_LeafAC]],Tasks[[#This Row],[_LeafAC]]*Tasks[[#This Row],[_LeafCost]]/Tasks[[#This Row],[_LeafTotalCost]])</f>
        <v>0</v>
      </c>
      <c r="CR18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1" s="32" t="n">
        <f aca="false">IF(NOT(Tasks[[#This Row],[_IsLeaf]]=1),0,MAX(_xlfn.MAXIFS(Tasks[_Row],Tasks[Pred1 UID],Tasks[[#This Row],[UID]]),_xlfn.MAXIFS(Tasks[_Row],Tasks[Pred2 UID],Tasks[[#This Row],[UID]]),_xlfn.MAXIFS(Tasks[_Row],Tasks[Pred3 UID],Tasks[[#This Row],[UID]]),_xlfn.MAXIFS(Tasks[_Row],Tasks[Pred4 UID],Tasks[[#This Row],[UID]])))</f>
        <v>0</v>
      </c>
      <c r="DA18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1" s="115" t="str">
        <f aca="false">IF(NOT(Tasks[[#This Row],[_IsLeaf]]=1),"",IF(N(Tasks[[#This Row],[Duration]])&lt;=0,Tasks[[#This Row],[_LeafLateFinish]],WORKDAY.INTL(Tasks[[#This Row],[_LeafLateFinish]],-(Tasks[[#This Row],[Duration]]-1),WorkWeek,Holidays)))</f>
        <v/>
      </c>
      <c r="DD18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1" s="114" t="b">
        <f aca="false">AND(Tasks[[#This Row],[_IsLeaf]]=1,Tasks[[#This Row],[_LeafProgress]]&lt;1,N(Tasks[[#This Row],[_LeafTotalSlack]])&lt;=CriticalSlackDays)</f>
        <v>0</v>
      </c>
      <c r="DF181" s="32" t="n">
        <f aca="false">IF(AND(Tasks[[#This Row],[_IsLeaf]]=1,Tasks[[#This Row],[_ConstraintCode]]=1,Tasks[[#This Row],[Mode]]&lt;&gt;"Manual",N(Tasks[[#This Row],[Actual Start]])=0),MAX(0,N(Tasks[[#This Row],[Free Slack]])),0)</f>
        <v>0</v>
      </c>
      <c r="DG181" s="115" t="str">
        <f aca="false">IF(NOT(Tasks[[#This Row],[_IsLeaf]]=1),"",IF(Tasks[[#This Row],[_AlapShift]]=0,Tasks[[#This Row],[_LeafCalcStart]],WORKDAY.INTL(Tasks[[#This Row],[_LeafCalcStart]],Tasks[[#This Row],[_AlapShift]],WorkWeek,Holidays)))</f>
        <v/>
      </c>
      <c r="DH181" s="115" t="str">
        <f aca="false">IF(NOT(Tasks[[#This Row],[_IsLeaf]]=1),"",IF(Tasks[[#This Row],[_AlapShift]]=0,Tasks[[#This Row],[_LeafCalcFinish]],WORKDAY.INTL(Tasks[[#This Row],[_LeafCalcFinish]],Tasks[[#This Row],[_AlapShift]],WorkWeek,Holidays)))</f>
        <v/>
      </c>
      <c r="DI181" s="115" t="str">
        <f aca="false">IF(NOT(Tasks[[#This Row],[_IsLeaf]]=1),"",IF(Tasks[[#This Row],[_AlapShift]]=0,Tasks[[#This Row],[_LeafFcstStart]],WORKDAY.INTL(Tasks[[#This Row],[_LeafFcstStart]],Tasks[[#This Row],[_AlapShift]],WorkWeek,Holidays)))</f>
        <v/>
      </c>
      <c r="DJ181" s="115" t="str">
        <f aca="false">IF(NOT(Tasks[[#This Row],[_IsLeaf]]=1),"",IF(Tasks[[#This Row],[_AlapShift]]=0,Tasks[[#This Row],[_LeafFcstFinish]],WORKDAY.INTL(Tasks[[#This Row],[_LeafFcstFinish]],Tasks[[#This Row],[_AlapShift]],WorkWeek,Holidays)))</f>
        <v/>
      </c>
      <c r="DK181" s="115" t="str">
        <f aca="false">IF(Tasks[[#This Row],[Task Name]]="","",IF(Tasks[[#This Row],[_IsSummary]],MIN(INDEX(Tasks[_ShownCalcStart],Tasks[[#This Row],[_Row]]+1):INDEX(Tasks[_ShownCalcStart],Tasks[[#This Row],[_Row]]+Tasks[[#This Row],[_Descendants]])),Tasks[[#This Row],[_ShownCalcStart]]))</f>
        <v/>
      </c>
      <c r="DL181" s="115" t="str">
        <f aca="false">IF(Tasks[[#This Row],[Task Name]]="","",IF(Tasks[[#This Row],[_IsSummary]],MAX(INDEX(Tasks[_ShownCalcFinish],Tasks[[#This Row],[_Row]]+1):INDEX(Tasks[_ShownCalcFinish],Tasks[[#This Row],[_Row]]+Tasks[[#This Row],[_Descendants]])),Tasks[[#This Row],[_ShownCalcFinish]]))</f>
        <v/>
      </c>
      <c r="DM18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1" s="32" t="n">
        <f aca="false">IF(AND(Tasks[[#This Row],[_IsLeaf]]=1,Tasks[[#This Row],[_LeafTotalWork]]&gt;0),NETWORKDAYS.INTL(ProjectStart,Tasks[[#This Row],[_ShownFcstStart]],WorkWeek,Holidays),0)</f>
        <v>0</v>
      </c>
      <c r="DZ181" s="32" t="n">
        <f aca="false">IF(AND(Tasks[[#This Row],[_IsLeaf]]=1,Tasks[[#This Row],[_LeafTotalWork]]&gt;0),MAX(Tasks[[#This Row],[_StartWorkday]],NETWORKDAYS.INTL(ProjectStart,Tasks[[#This Row],[_ShownFcstFinish]],WorkWeek,Holidays)),0)</f>
        <v>0</v>
      </c>
      <c r="EA181" s="32" t="n">
        <f aca="false">IF(AND(Tasks[[#This Row],[_IsLeaf]]=1,Tasks[[#This Row],[_LeafTotalWork]]&gt;0),Tasks[[#This Row],[_LeafWork]]/(Tasks[[#This Row],[_FinishWorkday]]-Tasks[[#This Row],[_StartWorkday]]+1),0)</f>
        <v>0</v>
      </c>
      <c r="EB181" s="32" t="n">
        <f aca="false">Tasks[[#This Row],[_WorkPerWorkday]]*(Tasks[[#This Row],[_StartWorkday]]-1)</f>
        <v>-0</v>
      </c>
      <c r="EC181" s="32" t="n">
        <f aca="false">IF(Tasks[[#This Row],[_IsLeaf]]=1,MAX(N(Tasks[[#This Row],[Duration]]),0.1),0)</f>
        <v>0</v>
      </c>
      <c r="ED181" s="32" t="n">
        <f aca="false">Tasks[[#This Row],[_WeightDur]]*Tasks[[#This Row],[_LeafProgress]]</f>
        <v>0</v>
      </c>
      <c r="EE18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1" s="32" t="str">
        <f aca="false">IF(AND(Tasks[[#This Row],[_IsLeaf]]=1,N(Tasks[[#This Row],[Duration]])=0,Tasks[[#This Row],[_LeafProgress]]&lt;1),Tasks[[#This Row],[_ShownFcstFinish]]+Tasks[[#This Row],[_Row]]/100000,"")</f>
        <v/>
      </c>
      <c r="EG18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1" s="32" t="n">
        <f aca="false">IF(NOT(Tasks[[#This Row],[_IsLeaf]]=1),0,IF(Tasks[[#This Row],[Baseline Cost]]="",Tasks[[#This Row],[_LeafTotalCost]],N(Tasks[[#This Row],[Baseline Cost]])))</f>
        <v>0</v>
      </c>
      <c r="EI181" s="32" t="n">
        <f aca="false">Tasks[[#This Row],[_LeafBudget]]*Tasks[[#This Row],[_PlannedPct]]</f>
        <v>0</v>
      </c>
      <c r="EJ181" s="32" t="n">
        <f aca="false">Tasks[[#This Row],[_LeafBudget]]*Tasks[[#This Row],[_LeafProgress]]</f>
        <v>0</v>
      </c>
      <c r="EK181" s="32" t="n">
        <f aca="false">IF(NOT(Tasks[[#This Row],[_IsLeaf]]=1),0,IF(Tasks[[#This Row],[Actual Cost]]="",Tasks[[#This Row],[_LeafTotalCost]]*Tasks[[#This Row],[_LeafProgress]],N(Tasks[[#This Row],[Actual Cost]])))</f>
        <v>0</v>
      </c>
      <c r="EL181" s="32" t="str">
        <f aca="false">IF(Tasks[[#This Row],[Task Name]]="","",LEFT(Tasks[[#This Row],[WBS]],FIND(".",Tasks[[#This Row],[WBS]]&amp;".")-1))</f>
        <v/>
      </c>
      <c r="EM181" s="32" t="str">
        <f aca="false">IF(AND(Tasks[[#This Row],[Task Name]]&lt;&gt;"",Tasks[[#This Row],[_Level]]=1),Tasks[[#This Row],[_Row]],"")</f>
        <v/>
      </c>
      <c r="EN181" s="32" t="str">
        <f aca="false">IF(AND(Tasks[[#This Row],[_IsLeaf]]=1,N(Tasks[[#This Row],[Duration]])=0),Tasks[[#This Row],[Planned Finish]]+Tasks[[#This Row],[_Row]]/100000,"")</f>
        <v/>
      </c>
      <c r="EO181" s="32" t="str">
        <f aca="false">IF(AND(Tasks[[#This Row],[_IsLeaf]]=1,Tasks[[#This Row],[_LeafProgress]]&lt;1,OR(N(Tasks[[#This Row],[Finish Var]])&gt;0,Tasks[[#This Row],[Status]]="Late Start")),MAX(0,Tasks[[#This Row],[Finish Var]])+1-Tasks[[#This Row],[_Row]]/1000000,"")</f>
        <v/>
      </c>
      <c r="EP181" s="32" t="str">
        <f aca="false">IF(AND(Tasks[[#This Row],[_IsLeaf]]=1,N(Tasks[[#This Row],[Actual Start]])=0,Tasks[[#This Row],[_ShownFcstStart]]&gt;=StatusDate,Tasks[[#This Row],[_ShownFcstStart]]&lt;=LookaheadEnd),Tasks[[#This Row],[_ShownFcstStart]]+Tasks[[#This Row],[_Row]]/100000,"")</f>
        <v/>
      </c>
      <c r="EQ181" s="32" t="str">
        <f aca="false">IF(AND(Tasks[[#This Row],[_IsLeaf]]=1,Tasks[[#This Row],[_LeafProgress]]&lt;1,Tasks[[#This Row],[_ShownFcstFinish]]&gt;=StatusDate,Tasks[[#This Row],[_ShownFcstFinish]]&lt;=LookaheadEnd),Tasks[[#This Row],[_ShownFcstFinish]]+Tasks[[#This Row],[_Row]]/100000,"")</f>
        <v/>
      </c>
      <c r="ER181" s="32" t="str">
        <f aca="false">IF(Tasks[[#This Row],[_LeafCritical]],Tasks[[#This Row],[_ShownFcstStart]]+Tasks[[#This Row],[_Row]]/100000,"")</f>
        <v/>
      </c>
      <c r="ES181" s="32" t="n">
        <f aca="false">Tasks[[#This Row],[_LeafWork]]*Tasks[[#This Row],[_LeafProgress]]</f>
        <v>0</v>
      </c>
      <c r="ET181" s="115" t="str">
        <f aca="false">IF(AND(Tasks[[#This Row],[_IsLeaf]]=1,Tasks[[#This Row],[_LeafProgress]]&gt;=1),IF(N(Tasks[[#This Row],[Actual Finish]])&gt;0,Tasks[[#This Row],[Actual Finish]],Tasks[[#This Row],[_ShownFcstFinish]]),"")</f>
        <v/>
      </c>
      <c r="EU181" s="32" t="n">
        <f aca="false">IF(Tasks[[#This Row],[_IsLeaf]]=1,N(Tasks[[#This Row],[Story Points]]),0)</f>
        <v>0</v>
      </c>
      <c r="EV181" s="32" t="str">
        <f aca="false">IF(AND(Tasks[[#This Row],[_IsLeaf]]=1,CurrentSprint&lt;&gt;"",Tasks[[#This Row],[Sprint]]=CurrentSprint),Tasks[[#This Row],[_Row]],"")</f>
        <v/>
      </c>
    </row>
    <row r="182" customFormat="false" ht="15" hidden="false" customHeight="false" outlineLevel="0" collapsed="false">
      <c r="A182" s="45" t="str">
        <f aca="false">IF(Tasks[[#This Row],[Task Name]]="","",COUNTA(Tasks[[#Headers],[Task Name]]:Tasks[[#This Row],[Task Name]])-1)</f>
        <v/>
      </c>
      <c r="B182" s="46" t="n">
        <v>177</v>
      </c>
      <c r="C18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2" s="46"/>
      <c r="E182" s="45" t="str">
        <f aca="false">IF(Tasks[[#This Row],[Task Name]]="","",IF(Tasks[[#This Row],[_Level]]&lt;=OutlineShowLevel,"Yes","No"))</f>
        <v/>
      </c>
      <c r="F182" s="47"/>
      <c r="G182" s="46"/>
      <c r="H182" s="46"/>
      <c r="I182" s="46"/>
      <c r="J182" s="46"/>
      <c r="K182" s="46"/>
      <c r="L182" s="46"/>
      <c r="M182" s="46"/>
      <c r="N182" s="46"/>
      <c r="O182" s="46"/>
      <c r="P182" s="46"/>
      <c r="Q182" s="46"/>
      <c r="R182" s="46"/>
      <c r="S182" s="46"/>
      <c r="T182" s="46"/>
      <c r="U182" s="47"/>
      <c r="V182" s="88"/>
      <c r="W182" s="88"/>
      <c r="X182" s="25" t="str">
        <f aca="false">IF(Tasks[[#This Row],[Task Name]]="","",IF(N(Tasks[[#This Row],[Baseline Start]])&gt;0,Tasks[[#This Row],[Baseline Start]],Tasks[[#This Row],[_CalcStart]]))</f>
        <v/>
      </c>
      <c r="Y182" s="25" t="str">
        <f aca="false">IF(Tasks[[#This Row],[Task Name]]="","",IF(N(Tasks[[#This Row],[Baseline Finish]])&gt;0,Tasks[[#This Row],[Baseline Finish]],Tasks[[#This Row],[_CalcFinish]]))</f>
        <v/>
      </c>
      <c r="Z182" s="88"/>
      <c r="AA182" s="88"/>
      <c r="AB182" s="25" t="str">
        <f aca="false">IF(Tasks[[#This Row],[Task Name]]="","",IF(Tasks[[#This Row],[_IsSummary]],MIN(INDEX(Tasks[_ShownFcstStart],Tasks[[#This Row],[_Row]]+1):INDEX(Tasks[_ShownFcstStart],Tasks[[#This Row],[_Row]]+Tasks[[#This Row],[_Descendants]])),Tasks[[#This Row],[_ShownFcstStart]]))</f>
        <v/>
      </c>
      <c r="AC182" s="25" t="str">
        <f aca="false">IF(Tasks[[#This Row],[Task Name]]="","",IF(Tasks[[#This Row],[_IsSummary]],MAX(INDEX(Tasks[_ShownFcstFinish],Tasks[[#This Row],[_Row]]+1):INDEX(Tasks[_ShownFcstFinish],Tasks[[#This Row],[_Row]]+Tasks[[#This Row],[_Descendants]])),Tasks[[#This Row],[_ShownFcstFinish]]))</f>
        <v/>
      </c>
      <c r="AD18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2" s="25" t="str">
        <f aca="false">IF(Tasks[[#This Row],[Task Name]]="","",IF(Tasks[[#This Row],[_IsSummary]],MIN(INDEX(Tasks[_LeafLateStart],Tasks[[#This Row],[_Row]]+1):INDEX(Tasks[_LeafLateStart],Tasks[[#This Row],[_Row]]+Tasks[[#This Row],[_Descendants]])),Tasks[[#This Row],[_LeafLateStart]]))</f>
        <v/>
      </c>
      <c r="AG182" s="25" t="str">
        <f aca="false">IF(Tasks[[#This Row],[Task Name]]="","",IF(Tasks[[#This Row],[_IsSummary]],MAX(INDEX(Tasks[_LeafLateFinish],Tasks[[#This Row],[_Row]]+1):INDEX(Tasks[_LeafLateFinish],Tasks[[#This Row],[_Row]]+Tasks[[#This Row],[_Descendants]])),Tasks[[#This Row],[_LeafLateFinish]]))</f>
        <v/>
      </c>
      <c r="AH182" s="56" t="str">
        <f aca="false">IF(Tasks[[#This Row],[Task Name]]="","",IF(Tasks[[#This Row],[_IsSummary]],MIN(INDEX(Tasks[_LeafTotalSlack],Tasks[[#This Row],[_Row]]+1):INDEX(Tasks[_LeafTotalSlack],Tasks[[#This Row],[_Row]]+Tasks[[#This Row],[_Descendants]])),Tasks[[#This Row],[_LeafTotalSlack]]))</f>
        <v/>
      </c>
      <c r="AI18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2" s="45" t="str">
        <f aca="false">IF(Tasks[[#This Row],[Task Name]]="","",IF(IF(Tasks[[#This Row],[_IsSummary]],COUNTIF(INDEX(Tasks[_LeafCritical],Tasks[[#This Row],[_Row]]+1):INDEX(Tasks[_LeafCritical],Tasks[[#This Row],[_Row]]+Tasks[[#This Row],[_Descendants]]),TRUE())&gt;0,Tasks[[#This Row],[_LeafCritical]]),"Yes",""))</f>
        <v/>
      </c>
      <c r="AK18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2" s="102"/>
      <c r="AN18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2" s="45" t="str">
        <f aca="false">IF(Tasks[[#This Row],[Task Name]]="","",IF(Tasks[[#This Row],[Progress]]&gt;=1,"Complete",IF(OR(N(Tasks[[#This Row],[Actual Start]])&gt;0,Tasks[[#This Row],[Progress]]&gt;0),IF(Tasks[[#This Row],[Finish Var]]&gt;0,"Behind","In Progress"),IF(Tasks[[#This Row],[Planned Start]]&lt;StatusDate,"Late Start","Not Started"))))</f>
        <v/>
      </c>
      <c r="AP182" s="47"/>
      <c r="AQ182" s="102"/>
      <c r="AR18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2" s="110" t="str">
        <f aca="false">IF(Tasks[[#This Row],[Task Name]]="","",IF(Tasks[[#This Row],[_IsSummary]],SUM(INDEX(Tasks[_LeafTotalWork],Tasks[[#This Row],[_Row]]+1):INDEX(Tasks[_LeafTotalWork],Tasks[[#This Row],[_Row]]+Tasks[[#This Row],[_Descendants]])),Tasks[[#This Row],[_LeafTotalWork]]))</f>
        <v/>
      </c>
      <c r="AU182" s="111" t="str">
        <f aca="false">IF(Tasks[[#This Row],[Task Name]]="","",IF(Tasks[[#This Row],[_IsSummary]],SUM(INDEX(Tasks[_LeafTotalCost],Tasks[[#This Row],[_Row]]+1):INDEX(Tasks[_LeafTotalCost],Tasks[[#This Row],[_Row]]+Tasks[[#This Row],[_Descendants]])),Tasks[[#This Row],[_LeafTotalCost]]))</f>
        <v/>
      </c>
      <c r="AV182" s="112"/>
      <c r="AW182" s="46"/>
      <c r="AX18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2" s="96"/>
      <c r="AZ18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2" s="47"/>
      <c r="BB182" s="25" t="str">
        <f aca="false">IF(Tasks[[#This Row],[Task Name]]="","",Tasks[[#This Row],[Forecast Start]])</f>
        <v/>
      </c>
      <c r="BC182" s="25" t="str">
        <f aca="false">IF(Tasks[[#This Row],[Task Name]]="","",Tasks[[#This Row],[Forecast Finish]])</f>
        <v/>
      </c>
      <c r="BD182" s="45" t="str">
        <f aca="false">IF(Tasks[[#This Row],[Task Name]]="","",IF(Tasks[[#This Row],[_IsSummary]],NETWORKDAYS.INTL(Tasks[[#This Row],[Forecast Start]],Tasks[[#This Row],[Forecast Finish]],WorkWeek,Holidays),N(Tasks[[#This Row],[Duration]])))</f>
        <v/>
      </c>
      <c r="BE182" s="110" t="str">
        <f aca="false">IF(Tasks[[#This Row],[Task Name]]="","",Tasks[[#This Row],[Work]])</f>
        <v/>
      </c>
      <c r="BF182" s="111" t="str">
        <f aca="false">IF(Tasks[[#This Row],[Task Name]]="","",Tasks[[#This Row],[Cost]])</f>
        <v/>
      </c>
      <c r="BG182" s="88"/>
      <c r="BH182" s="88"/>
      <c r="BI182" s="46"/>
      <c r="BJ182" s="113"/>
      <c r="BK182" s="112"/>
      <c r="BL182" s="45" t="str">
        <f aca="false">IF(OR(Tasks[[#This Row],[Task Name]]="",Tasks[[#This Row],[Baseline Duration]]=""),"",Tasks[[#This Row],[BL Source Duration]]-N(Tasks[[#This Row],[Baseline Duration]]))</f>
        <v/>
      </c>
      <c r="BM182" s="110" t="str">
        <f aca="false">IF(OR(Tasks[[#This Row],[Task Name]]="",Tasks[[#This Row],[Baseline Work]]=""),"",Tasks[[#This Row],[Work]]-N(Tasks[[#This Row],[Baseline Work]]))</f>
        <v/>
      </c>
      <c r="BN182" s="111" t="str">
        <f aca="false">IF(OR(Tasks[[#This Row],[Task Name]]="",Tasks[[#This Row],[Baseline Cost]]=""),"",Tasks[[#This Row],[Cost]]-N(Tasks[[#This Row],[Baseline Cost]]))</f>
        <v/>
      </c>
      <c r="BO182" s="111" t="str">
        <f aca="false">IF(Tasks[[#This Row],[Task Name]]="","",IF(Tasks[[#This Row],[_IsSummary]],SUM(INDEX(Tasks[_LeafBudget],Tasks[[#This Row],[_Row]]+1):INDEX(Tasks[_LeafBudget],Tasks[[#This Row],[_Row]]+Tasks[[#This Row],[_Descendants]])),Tasks[[#This Row],[_LeafBudget]]))</f>
        <v/>
      </c>
      <c r="BP182" s="111" t="str">
        <f aca="false">IF(Tasks[[#This Row],[Task Name]]="","",IF(Tasks[[#This Row],[_IsSummary]],SUM(INDEX(Tasks[_LeafPV],Tasks[[#This Row],[_Row]]+1):INDEX(Tasks[_LeafPV],Tasks[[#This Row],[_Row]]+Tasks[[#This Row],[_Descendants]])),Tasks[[#This Row],[_LeafPV]]))</f>
        <v/>
      </c>
      <c r="BQ182" s="111" t="str">
        <f aca="false">IF(Tasks[[#This Row],[Task Name]]="","",IF(Tasks[[#This Row],[_IsSummary]],SUM(INDEX(Tasks[_LeafEV],Tasks[[#This Row],[_Row]]+1):INDEX(Tasks[_LeafEV],Tasks[[#This Row],[_Row]]+Tasks[[#This Row],[_Descendants]])),Tasks[[#This Row],[_LeafEV]]))</f>
        <v/>
      </c>
      <c r="BR182" s="111" t="str">
        <f aca="false">IF(Tasks[[#This Row],[Task Name]]="","",IF(Tasks[[#This Row],[_IsSummary]],SUM(INDEX(Tasks[_LeafAC],Tasks[[#This Row],[_Row]]+1):INDEX(Tasks[_LeafAC],Tasks[[#This Row],[_Row]]+Tasks[[#This Row],[_Descendants]])),Tasks[[#This Row],[_LeafAC]]))</f>
        <v/>
      </c>
      <c r="BS182" s="32" t="str">
        <f aca="false">IF(Tasks[[#This Row],[Task Name]]="","",MAX(1,N(Tasks[[#This Row],[Level]])))</f>
        <v/>
      </c>
      <c r="BT182" s="32" t="n">
        <f aca="false">ROW()-ROW(Tasks[[#Headers],[ID]])</f>
        <v>177</v>
      </c>
      <c r="BU182" s="32" t="n">
        <f aca="false">IF(OR(Tasks[[#This Row],[Task Name]]="",Tasks[[#This Row],[_Level]]&lt;=1),0,IFERROR(LOOKUP(2,1/(Tasks[[#Headers],[_Level]]:Tasks[[#This Row],[_Level]]=Tasks[[#This Row],[_Level]]-1),ROW(Tasks[[#Headers],[_Level]]:Tasks[[#This Row],[_Level]])),0))</f>
        <v>0</v>
      </c>
      <c r="BV182" s="32" t="n">
        <f aca="false">IFERROR(N(INDEX(Tasks[_Level],Tasks[[#This Row],[_Row]]+1)),0)</f>
        <v>0</v>
      </c>
      <c r="BW182" s="114" t="b">
        <f aca="false">AND(Tasks[[#This Row],[Task Name]]&lt;&gt;"",Tasks[[#This Row],[_NextLevel]]&gt;Tasks[[#This Row],[_Level]])</f>
        <v>0</v>
      </c>
      <c r="BX182" s="32" t="n">
        <f aca="false">IF(Tasks[[#This Row],[_IsSummary]],COUNTIF(Tasks[WBS],Tasks[[#This Row],[WBS]]&amp;".*"),0)</f>
        <v>0</v>
      </c>
      <c r="BY182" s="32" t="n">
        <f aca="false">IF(AND(Tasks[[#This Row],[Task Name]]&lt;&gt;"",NOT(Tasks[[#This Row],[_IsSummary]])),1,0)</f>
        <v>0</v>
      </c>
      <c r="BZ182" s="32" t="n">
        <f aca="false">IF(N(Tasks[[#This Row],[Pred1 UID]])=0,0,IFERROR(MATCH(Tasks[[#This Row],[Pred1 UID]],Tasks[UID],0),-1))</f>
        <v>0</v>
      </c>
      <c r="CA182" s="32" t="n">
        <f aca="false">IF(N(Tasks[[#This Row],[Pred2 UID]])=0,0,IFERROR(MATCH(Tasks[[#This Row],[Pred2 UID]],Tasks[UID],0),-1))</f>
        <v>0</v>
      </c>
      <c r="CB182" s="32" t="n">
        <f aca="false">IF(N(Tasks[[#This Row],[Pred3 UID]])=0,0,IFERROR(MATCH(Tasks[[#This Row],[Pred3 UID]],Tasks[UID],0),-1))</f>
        <v>0</v>
      </c>
      <c r="CC182" s="32" t="n">
        <f aca="false">IF(N(Tasks[[#This Row],[Pred4 UID]])=0,0,IFERROR(MATCH(Tasks[[#This Row],[Pred4 UID]],Tasks[UID],0),-1))</f>
        <v>0</v>
      </c>
      <c r="CD18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2" s="115" t="n">
        <f aca="false">IF(OR(Tasks[[#This Row],[_ConstraintCode]]=2,Tasks[[#This Row],[_ConstraintCode]]=3,Tasks[[#This Row],[_ConstraintCode]]=4,Tasks[[#This Row],[_ConstraintCode]]=6),Tasks[[#This Row],[_ConstraintStart]],0)</f>
        <v>0</v>
      </c>
      <c r="CG182" s="115" t="n">
        <f aca="false">IF(OR(Tasks[[#This Row],[_ConstraintCode]]=2,Tasks[[#This Row],[_ConstraintCode]]=3,Tasks[[#This Row],[_ConstraintCode]]=5,Tasks[[#This Row],[_ConstraintCode]]=7),Tasks[[#This Row],[_ConstraintStart]],2958465)</f>
        <v>2958465</v>
      </c>
      <c r="CH18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2" s="115" t="str">
        <f aca="false">IF(NOT(Tasks[[#This Row],[_IsLeaf]]=1),"",IF(N(Tasks[[#This Row],[Duration]])&lt;=0,Tasks[[#This Row],[_LeafCalcStart]],WORKDAY.INTL(Tasks[[#This Row],[_LeafCalcStart]],Tasks[[#This Row],[Duration]]-1,WorkWeek,Holidays)))</f>
        <v/>
      </c>
      <c r="CJ18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2" s="32" t="n">
        <f aca="false">IF(NOT(Tasks[[#This Row],[_IsLeaf]]=1),0,IF(N(Tasks[[#This Row],[Actual Finish]])&gt;0,1,MIN(1,N(Tasks[[#This Row],[% Complete]]))))</f>
        <v>0</v>
      </c>
      <c r="CM182" s="32" t="n">
        <f aca="false">IF(OR(NOT(Tasks[[#This Row],[_IsLeaf]]=1),Tasks[[#This Row],[Resource]]=""),0,N(Tasks[[#This Row],[Duration]])*HoursPerDay*IF(Tasks[[#This Row],[Units]]="",DefaultUnits,Tasks[[#This Row],[Units]]))</f>
        <v>0</v>
      </c>
      <c r="CN182" s="32" t="n">
        <f aca="false">IF(Tasks[[#This Row],[_LeafWork]]=0,0,Tasks[[#This Row],[_LeafWork]]*IFERROR(INDEX(res_Rate,MATCH(Tasks[[#This Row],[Resource]],res_Name,0)),0))</f>
        <v>0</v>
      </c>
      <c r="CO182" s="32" t="n">
        <f aca="false">Tasks[[#This Row],[_LeafWork]]+IF(Tasks[[#This Row],[_IsLeaf]]=1,SUMIFS(asg_Work,asg_TaskUID,Tasks[[#This Row],[UID]],asg_Valid,1),0)</f>
        <v>0</v>
      </c>
      <c r="CP182" s="32" t="n">
        <f aca="false">Tasks[[#This Row],[_LeafCost]]+IF(Tasks[[#This Row],[_IsLeaf]]=1,SUMIFS(asg_Cost,asg_TaskUID,Tasks[[#This Row],[UID]],asg_Valid,1),0)</f>
        <v>0</v>
      </c>
      <c r="CQ182" s="32" t="n">
        <f aca="false">IF(Tasks[[#This Row],[_LeafTotalCost]]=0,Tasks[[#This Row],[_LeafAC]],Tasks[[#This Row],[_LeafAC]]*Tasks[[#This Row],[_LeafCost]]/Tasks[[#This Row],[_LeafTotalCost]])</f>
        <v>0</v>
      </c>
      <c r="CR18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2" s="32" t="n">
        <f aca="false">IF(NOT(Tasks[[#This Row],[_IsLeaf]]=1),0,MAX(_xlfn.MAXIFS(Tasks[_Row],Tasks[Pred1 UID],Tasks[[#This Row],[UID]]),_xlfn.MAXIFS(Tasks[_Row],Tasks[Pred2 UID],Tasks[[#This Row],[UID]]),_xlfn.MAXIFS(Tasks[_Row],Tasks[Pred3 UID],Tasks[[#This Row],[UID]]),_xlfn.MAXIFS(Tasks[_Row],Tasks[Pred4 UID],Tasks[[#This Row],[UID]])))</f>
        <v>0</v>
      </c>
      <c r="DA18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2" s="115" t="str">
        <f aca="false">IF(NOT(Tasks[[#This Row],[_IsLeaf]]=1),"",IF(N(Tasks[[#This Row],[Duration]])&lt;=0,Tasks[[#This Row],[_LeafLateFinish]],WORKDAY.INTL(Tasks[[#This Row],[_LeafLateFinish]],-(Tasks[[#This Row],[Duration]]-1),WorkWeek,Holidays)))</f>
        <v/>
      </c>
      <c r="DD18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2" s="114" t="b">
        <f aca="false">AND(Tasks[[#This Row],[_IsLeaf]]=1,Tasks[[#This Row],[_LeafProgress]]&lt;1,N(Tasks[[#This Row],[_LeafTotalSlack]])&lt;=CriticalSlackDays)</f>
        <v>0</v>
      </c>
      <c r="DF182" s="32" t="n">
        <f aca="false">IF(AND(Tasks[[#This Row],[_IsLeaf]]=1,Tasks[[#This Row],[_ConstraintCode]]=1,Tasks[[#This Row],[Mode]]&lt;&gt;"Manual",N(Tasks[[#This Row],[Actual Start]])=0),MAX(0,N(Tasks[[#This Row],[Free Slack]])),0)</f>
        <v>0</v>
      </c>
      <c r="DG182" s="115" t="str">
        <f aca="false">IF(NOT(Tasks[[#This Row],[_IsLeaf]]=1),"",IF(Tasks[[#This Row],[_AlapShift]]=0,Tasks[[#This Row],[_LeafCalcStart]],WORKDAY.INTL(Tasks[[#This Row],[_LeafCalcStart]],Tasks[[#This Row],[_AlapShift]],WorkWeek,Holidays)))</f>
        <v/>
      </c>
      <c r="DH182" s="115" t="str">
        <f aca="false">IF(NOT(Tasks[[#This Row],[_IsLeaf]]=1),"",IF(Tasks[[#This Row],[_AlapShift]]=0,Tasks[[#This Row],[_LeafCalcFinish]],WORKDAY.INTL(Tasks[[#This Row],[_LeafCalcFinish]],Tasks[[#This Row],[_AlapShift]],WorkWeek,Holidays)))</f>
        <v/>
      </c>
      <c r="DI182" s="115" t="str">
        <f aca="false">IF(NOT(Tasks[[#This Row],[_IsLeaf]]=1),"",IF(Tasks[[#This Row],[_AlapShift]]=0,Tasks[[#This Row],[_LeafFcstStart]],WORKDAY.INTL(Tasks[[#This Row],[_LeafFcstStart]],Tasks[[#This Row],[_AlapShift]],WorkWeek,Holidays)))</f>
        <v/>
      </c>
      <c r="DJ182" s="115" t="str">
        <f aca="false">IF(NOT(Tasks[[#This Row],[_IsLeaf]]=1),"",IF(Tasks[[#This Row],[_AlapShift]]=0,Tasks[[#This Row],[_LeafFcstFinish]],WORKDAY.INTL(Tasks[[#This Row],[_LeafFcstFinish]],Tasks[[#This Row],[_AlapShift]],WorkWeek,Holidays)))</f>
        <v/>
      </c>
      <c r="DK182" s="115" t="str">
        <f aca="false">IF(Tasks[[#This Row],[Task Name]]="","",IF(Tasks[[#This Row],[_IsSummary]],MIN(INDEX(Tasks[_ShownCalcStart],Tasks[[#This Row],[_Row]]+1):INDEX(Tasks[_ShownCalcStart],Tasks[[#This Row],[_Row]]+Tasks[[#This Row],[_Descendants]])),Tasks[[#This Row],[_ShownCalcStart]]))</f>
        <v/>
      </c>
      <c r="DL182" s="115" t="str">
        <f aca="false">IF(Tasks[[#This Row],[Task Name]]="","",IF(Tasks[[#This Row],[_IsSummary]],MAX(INDEX(Tasks[_ShownCalcFinish],Tasks[[#This Row],[_Row]]+1):INDEX(Tasks[_ShownCalcFinish],Tasks[[#This Row],[_Row]]+Tasks[[#This Row],[_Descendants]])),Tasks[[#This Row],[_ShownCalcFinish]]))</f>
        <v/>
      </c>
      <c r="DM18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2" s="32" t="n">
        <f aca="false">IF(AND(Tasks[[#This Row],[_IsLeaf]]=1,Tasks[[#This Row],[_LeafTotalWork]]&gt;0),NETWORKDAYS.INTL(ProjectStart,Tasks[[#This Row],[_ShownFcstStart]],WorkWeek,Holidays),0)</f>
        <v>0</v>
      </c>
      <c r="DZ182" s="32" t="n">
        <f aca="false">IF(AND(Tasks[[#This Row],[_IsLeaf]]=1,Tasks[[#This Row],[_LeafTotalWork]]&gt;0),MAX(Tasks[[#This Row],[_StartWorkday]],NETWORKDAYS.INTL(ProjectStart,Tasks[[#This Row],[_ShownFcstFinish]],WorkWeek,Holidays)),0)</f>
        <v>0</v>
      </c>
      <c r="EA182" s="32" t="n">
        <f aca="false">IF(AND(Tasks[[#This Row],[_IsLeaf]]=1,Tasks[[#This Row],[_LeafTotalWork]]&gt;0),Tasks[[#This Row],[_LeafWork]]/(Tasks[[#This Row],[_FinishWorkday]]-Tasks[[#This Row],[_StartWorkday]]+1),0)</f>
        <v>0</v>
      </c>
      <c r="EB182" s="32" t="n">
        <f aca="false">Tasks[[#This Row],[_WorkPerWorkday]]*(Tasks[[#This Row],[_StartWorkday]]-1)</f>
        <v>-0</v>
      </c>
      <c r="EC182" s="32" t="n">
        <f aca="false">IF(Tasks[[#This Row],[_IsLeaf]]=1,MAX(N(Tasks[[#This Row],[Duration]]),0.1),0)</f>
        <v>0</v>
      </c>
      <c r="ED182" s="32" t="n">
        <f aca="false">Tasks[[#This Row],[_WeightDur]]*Tasks[[#This Row],[_LeafProgress]]</f>
        <v>0</v>
      </c>
      <c r="EE18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2" s="32" t="str">
        <f aca="false">IF(AND(Tasks[[#This Row],[_IsLeaf]]=1,N(Tasks[[#This Row],[Duration]])=0,Tasks[[#This Row],[_LeafProgress]]&lt;1),Tasks[[#This Row],[_ShownFcstFinish]]+Tasks[[#This Row],[_Row]]/100000,"")</f>
        <v/>
      </c>
      <c r="EG18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2" s="32" t="n">
        <f aca="false">IF(NOT(Tasks[[#This Row],[_IsLeaf]]=1),0,IF(Tasks[[#This Row],[Baseline Cost]]="",Tasks[[#This Row],[_LeafTotalCost]],N(Tasks[[#This Row],[Baseline Cost]])))</f>
        <v>0</v>
      </c>
      <c r="EI182" s="32" t="n">
        <f aca="false">Tasks[[#This Row],[_LeafBudget]]*Tasks[[#This Row],[_PlannedPct]]</f>
        <v>0</v>
      </c>
      <c r="EJ182" s="32" t="n">
        <f aca="false">Tasks[[#This Row],[_LeafBudget]]*Tasks[[#This Row],[_LeafProgress]]</f>
        <v>0</v>
      </c>
      <c r="EK182" s="32" t="n">
        <f aca="false">IF(NOT(Tasks[[#This Row],[_IsLeaf]]=1),0,IF(Tasks[[#This Row],[Actual Cost]]="",Tasks[[#This Row],[_LeafTotalCost]]*Tasks[[#This Row],[_LeafProgress]],N(Tasks[[#This Row],[Actual Cost]])))</f>
        <v>0</v>
      </c>
      <c r="EL182" s="32" t="str">
        <f aca="false">IF(Tasks[[#This Row],[Task Name]]="","",LEFT(Tasks[[#This Row],[WBS]],FIND(".",Tasks[[#This Row],[WBS]]&amp;".")-1))</f>
        <v/>
      </c>
      <c r="EM182" s="32" t="str">
        <f aca="false">IF(AND(Tasks[[#This Row],[Task Name]]&lt;&gt;"",Tasks[[#This Row],[_Level]]=1),Tasks[[#This Row],[_Row]],"")</f>
        <v/>
      </c>
      <c r="EN182" s="32" t="str">
        <f aca="false">IF(AND(Tasks[[#This Row],[_IsLeaf]]=1,N(Tasks[[#This Row],[Duration]])=0),Tasks[[#This Row],[Planned Finish]]+Tasks[[#This Row],[_Row]]/100000,"")</f>
        <v/>
      </c>
      <c r="EO182" s="32" t="str">
        <f aca="false">IF(AND(Tasks[[#This Row],[_IsLeaf]]=1,Tasks[[#This Row],[_LeafProgress]]&lt;1,OR(N(Tasks[[#This Row],[Finish Var]])&gt;0,Tasks[[#This Row],[Status]]="Late Start")),MAX(0,Tasks[[#This Row],[Finish Var]])+1-Tasks[[#This Row],[_Row]]/1000000,"")</f>
        <v/>
      </c>
      <c r="EP182" s="32" t="str">
        <f aca="false">IF(AND(Tasks[[#This Row],[_IsLeaf]]=1,N(Tasks[[#This Row],[Actual Start]])=0,Tasks[[#This Row],[_ShownFcstStart]]&gt;=StatusDate,Tasks[[#This Row],[_ShownFcstStart]]&lt;=LookaheadEnd),Tasks[[#This Row],[_ShownFcstStart]]+Tasks[[#This Row],[_Row]]/100000,"")</f>
        <v/>
      </c>
      <c r="EQ182" s="32" t="str">
        <f aca="false">IF(AND(Tasks[[#This Row],[_IsLeaf]]=1,Tasks[[#This Row],[_LeafProgress]]&lt;1,Tasks[[#This Row],[_ShownFcstFinish]]&gt;=StatusDate,Tasks[[#This Row],[_ShownFcstFinish]]&lt;=LookaheadEnd),Tasks[[#This Row],[_ShownFcstFinish]]+Tasks[[#This Row],[_Row]]/100000,"")</f>
        <v/>
      </c>
      <c r="ER182" s="32" t="str">
        <f aca="false">IF(Tasks[[#This Row],[_LeafCritical]],Tasks[[#This Row],[_ShownFcstStart]]+Tasks[[#This Row],[_Row]]/100000,"")</f>
        <v/>
      </c>
      <c r="ES182" s="32" t="n">
        <f aca="false">Tasks[[#This Row],[_LeafWork]]*Tasks[[#This Row],[_LeafProgress]]</f>
        <v>0</v>
      </c>
      <c r="ET182" s="115" t="str">
        <f aca="false">IF(AND(Tasks[[#This Row],[_IsLeaf]]=1,Tasks[[#This Row],[_LeafProgress]]&gt;=1),IF(N(Tasks[[#This Row],[Actual Finish]])&gt;0,Tasks[[#This Row],[Actual Finish]],Tasks[[#This Row],[_ShownFcstFinish]]),"")</f>
        <v/>
      </c>
      <c r="EU182" s="32" t="n">
        <f aca="false">IF(Tasks[[#This Row],[_IsLeaf]]=1,N(Tasks[[#This Row],[Story Points]]),0)</f>
        <v>0</v>
      </c>
      <c r="EV182" s="32" t="str">
        <f aca="false">IF(AND(Tasks[[#This Row],[_IsLeaf]]=1,CurrentSprint&lt;&gt;"",Tasks[[#This Row],[Sprint]]=CurrentSprint),Tasks[[#This Row],[_Row]],"")</f>
        <v/>
      </c>
    </row>
    <row r="183" customFormat="false" ht="15" hidden="false" customHeight="false" outlineLevel="0" collapsed="false">
      <c r="A183" s="45" t="str">
        <f aca="false">IF(Tasks[[#This Row],[Task Name]]="","",COUNTA(Tasks[[#Headers],[Task Name]]:Tasks[[#This Row],[Task Name]])-1)</f>
        <v/>
      </c>
      <c r="B183" s="46" t="n">
        <v>178</v>
      </c>
      <c r="C18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3" s="46"/>
      <c r="E183" s="45" t="str">
        <f aca="false">IF(Tasks[[#This Row],[Task Name]]="","",IF(Tasks[[#This Row],[_Level]]&lt;=OutlineShowLevel,"Yes","No"))</f>
        <v/>
      </c>
      <c r="F183" s="47"/>
      <c r="G183" s="46"/>
      <c r="H183" s="46"/>
      <c r="I183" s="46"/>
      <c r="J183" s="46"/>
      <c r="K183" s="46"/>
      <c r="L183" s="46"/>
      <c r="M183" s="46"/>
      <c r="N183" s="46"/>
      <c r="O183" s="46"/>
      <c r="P183" s="46"/>
      <c r="Q183" s="46"/>
      <c r="R183" s="46"/>
      <c r="S183" s="46"/>
      <c r="T183" s="46"/>
      <c r="U183" s="47"/>
      <c r="V183" s="88"/>
      <c r="W183" s="88"/>
      <c r="X183" s="25" t="str">
        <f aca="false">IF(Tasks[[#This Row],[Task Name]]="","",IF(N(Tasks[[#This Row],[Baseline Start]])&gt;0,Tasks[[#This Row],[Baseline Start]],Tasks[[#This Row],[_CalcStart]]))</f>
        <v/>
      </c>
      <c r="Y183" s="25" t="str">
        <f aca="false">IF(Tasks[[#This Row],[Task Name]]="","",IF(N(Tasks[[#This Row],[Baseline Finish]])&gt;0,Tasks[[#This Row],[Baseline Finish]],Tasks[[#This Row],[_CalcFinish]]))</f>
        <v/>
      </c>
      <c r="Z183" s="88"/>
      <c r="AA183" s="88"/>
      <c r="AB183" s="25" t="str">
        <f aca="false">IF(Tasks[[#This Row],[Task Name]]="","",IF(Tasks[[#This Row],[_IsSummary]],MIN(INDEX(Tasks[_ShownFcstStart],Tasks[[#This Row],[_Row]]+1):INDEX(Tasks[_ShownFcstStart],Tasks[[#This Row],[_Row]]+Tasks[[#This Row],[_Descendants]])),Tasks[[#This Row],[_ShownFcstStart]]))</f>
        <v/>
      </c>
      <c r="AC183" s="25" t="str">
        <f aca="false">IF(Tasks[[#This Row],[Task Name]]="","",IF(Tasks[[#This Row],[_IsSummary]],MAX(INDEX(Tasks[_ShownFcstFinish],Tasks[[#This Row],[_Row]]+1):INDEX(Tasks[_ShownFcstFinish],Tasks[[#This Row],[_Row]]+Tasks[[#This Row],[_Descendants]])),Tasks[[#This Row],[_ShownFcstFinish]]))</f>
        <v/>
      </c>
      <c r="AD18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3" s="25" t="str">
        <f aca="false">IF(Tasks[[#This Row],[Task Name]]="","",IF(Tasks[[#This Row],[_IsSummary]],MIN(INDEX(Tasks[_LeafLateStart],Tasks[[#This Row],[_Row]]+1):INDEX(Tasks[_LeafLateStart],Tasks[[#This Row],[_Row]]+Tasks[[#This Row],[_Descendants]])),Tasks[[#This Row],[_LeafLateStart]]))</f>
        <v/>
      </c>
      <c r="AG183" s="25" t="str">
        <f aca="false">IF(Tasks[[#This Row],[Task Name]]="","",IF(Tasks[[#This Row],[_IsSummary]],MAX(INDEX(Tasks[_LeafLateFinish],Tasks[[#This Row],[_Row]]+1):INDEX(Tasks[_LeafLateFinish],Tasks[[#This Row],[_Row]]+Tasks[[#This Row],[_Descendants]])),Tasks[[#This Row],[_LeafLateFinish]]))</f>
        <v/>
      </c>
      <c r="AH183" s="56" t="str">
        <f aca="false">IF(Tasks[[#This Row],[Task Name]]="","",IF(Tasks[[#This Row],[_IsSummary]],MIN(INDEX(Tasks[_LeafTotalSlack],Tasks[[#This Row],[_Row]]+1):INDEX(Tasks[_LeafTotalSlack],Tasks[[#This Row],[_Row]]+Tasks[[#This Row],[_Descendants]])),Tasks[[#This Row],[_LeafTotalSlack]]))</f>
        <v/>
      </c>
      <c r="AI18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3" s="45" t="str">
        <f aca="false">IF(Tasks[[#This Row],[Task Name]]="","",IF(IF(Tasks[[#This Row],[_IsSummary]],COUNTIF(INDEX(Tasks[_LeafCritical],Tasks[[#This Row],[_Row]]+1):INDEX(Tasks[_LeafCritical],Tasks[[#This Row],[_Row]]+Tasks[[#This Row],[_Descendants]]),TRUE())&gt;0,Tasks[[#This Row],[_LeafCritical]]),"Yes",""))</f>
        <v/>
      </c>
      <c r="AK18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3" s="102"/>
      <c r="AN18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3" s="45" t="str">
        <f aca="false">IF(Tasks[[#This Row],[Task Name]]="","",IF(Tasks[[#This Row],[Progress]]&gt;=1,"Complete",IF(OR(N(Tasks[[#This Row],[Actual Start]])&gt;0,Tasks[[#This Row],[Progress]]&gt;0),IF(Tasks[[#This Row],[Finish Var]]&gt;0,"Behind","In Progress"),IF(Tasks[[#This Row],[Planned Start]]&lt;StatusDate,"Late Start","Not Started"))))</f>
        <v/>
      </c>
      <c r="AP183" s="47"/>
      <c r="AQ183" s="102"/>
      <c r="AR18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3" s="110" t="str">
        <f aca="false">IF(Tasks[[#This Row],[Task Name]]="","",IF(Tasks[[#This Row],[_IsSummary]],SUM(INDEX(Tasks[_LeafTotalWork],Tasks[[#This Row],[_Row]]+1):INDEX(Tasks[_LeafTotalWork],Tasks[[#This Row],[_Row]]+Tasks[[#This Row],[_Descendants]])),Tasks[[#This Row],[_LeafTotalWork]]))</f>
        <v/>
      </c>
      <c r="AU183" s="111" t="str">
        <f aca="false">IF(Tasks[[#This Row],[Task Name]]="","",IF(Tasks[[#This Row],[_IsSummary]],SUM(INDEX(Tasks[_LeafTotalCost],Tasks[[#This Row],[_Row]]+1):INDEX(Tasks[_LeafTotalCost],Tasks[[#This Row],[_Row]]+Tasks[[#This Row],[_Descendants]])),Tasks[[#This Row],[_LeafTotalCost]]))</f>
        <v/>
      </c>
      <c r="AV183" s="112"/>
      <c r="AW183" s="46"/>
      <c r="AX18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3" s="96"/>
      <c r="AZ18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3" s="47"/>
      <c r="BB183" s="25" t="str">
        <f aca="false">IF(Tasks[[#This Row],[Task Name]]="","",Tasks[[#This Row],[Forecast Start]])</f>
        <v/>
      </c>
      <c r="BC183" s="25" t="str">
        <f aca="false">IF(Tasks[[#This Row],[Task Name]]="","",Tasks[[#This Row],[Forecast Finish]])</f>
        <v/>
      </c>
      <c r="BD183" s="45" t="str">
        <f aca="false">IF(Tasks[[#This Row],[Task Name]]="","",IF(Tasks[[#This Row],[_IsSummary]],NETWORKDAYS.INTL(Tasks[[#This Row],[Forecast Start]],Tasks[[#This Row],[Forecast Finish]],WorkWeek,Holidays),N(Tasks[[#This Row],[Duration]])))</f>
        <v/>
      </c>
      <c r="BE183" s="110" t="str">
        <f aca="false">IF(Tasks[[#This Row],[Task Name]]="","",Tasks[[#This Row],[Work]])</f>
        <v/>
      </c>
      <c r="BF183" s="111" t="str">
        <f aca="false">IF(Tasks[[#This Row],[Task Name]]="","",Tasks[[#This Row],[Cost]])</f>
        <v/>
      </c>
      <c r="BG183" s="88"/>
      <c r="BH183" s="88"/>
      <c r="BI183" s="46"/>
      <c r="BJ183" s="113"/>
      <c r="BK183" s="112"/>
      <c r="BL183" s="45" t="str">
        <f aca="false">IF(OR(Tasks[[#This Row],[Task Name]]="",Tasks[[#This Row],[Baseline Duration]]=""),"",Tasks[[#This Row],[BL Source Duration]]-N(Tasks[[#This Row],[Baseline Duration]]))</f>
        <v/>
      </c>
      <c r="BM183" s="110" t="str">
        <f aca="false">IF(OR(Tasks[[#This Row],[Task Name]]="",Tasks[[#This Row],[Baseline Work]]=""),"",Tasks[[#This Row],[Work]]-N(Tasks[[#This Row],[Baseline Work]]))</f>
        <v/>
      </c>
      <c r="BN183" s="111" t="str">
        <f aca="false">IF(OR(Tasks[[#This Row],[Task Name]]="",Tasks[[#This Row],[Baseline Cost]]=""),"",Tasks[[#This Row],[Cost]]-N(Tasks[[#This Row],[Baseline Cost]]))</f>
        <v/>
      </c>
      <c r="BO183" s="111" t="str">
        <f aca="false">IF(Tasks[[#This Row],[Task Name]]="","",IF(Tasks[[#This Row],[_IsSummary]],SUM(INDEX(Tasks[_LeafBudget],Tasks[[#This Row],[_Row]]+1):INDEX(Tasks[_LeafBudget],Tasks[[#This Row],[_Row]]+Tasks[[#This Row],[_Descendants]])),Tasks[[#This Row],[_LeafBudget]]))</f>
        <v/>
      </c>
      <c r="BP183" s="111" t="str">
        <f aca="false">IF(Tasks[[#This Row],[Task Name]]="","",IF(Tasks[[#This Row],[_IsSummary]],SUM(INDEX(Tasks[_LeafPV],Tasks[[#This Row],[_Row]]+1):INDEX(Tasks[_LeafPV],Tasks[[#This Row],[_Row]]+Tasks[[#This Row],[_Descendants]])),Tasks[[#This Row],[_LeafPV]]))</f>
        <v/>
      </c>
      <c r="BQ183" s="111" t="str">
        <f aca="false">IF(Tasks[[#This Row],[Task Name]]="","",IF(Tasks[[#This Row],[_IsSummary]],SUM(INDEX(Tasks[_LeafEV],Tasks[[#This Row],[_Row]]+1):INDEX(Tasks[_LeafEV],Tasks[[#This Row],[_Row]]+Tasks[[#This Row],[_Descendants]])),Tasks[[#This Row],[_LeafEV]]))</f>
        <v/>
      </c>
      <c r="BR183" s="111" t="str">
        <f aca="false">IF(Tasks[[#This Row],[Task Name]]="","",IF(Tasks[[#This Row],[_IsSummary]],SUM(INDEX(Tasks[_LeafAC],Tasks[[#This Row],[_Row]]+1):INDEX(Tasks[_LeafAC],Tasks[[#This Row],[_Row]]+Tasks[[#This Row],[_Descendants]])),Tasks[[#This Row],[_LeafAC]]))</f>
        <v/>
      </c>
      <c r="BS183" s="32" t="str">
        <f aca="false">IF(Tasks[[#This Row],[Task Name]]="","",MAX(1,N(Tasks[[#This Row],[Level]])))</f>
        <v/>
      </c>
      <c r="BT183" s="32" t="n">
        <f aca="false">ROW()-ROW(Tasks[[#Headers],[ID]])</f>
        <v>178</v>
      </c>
      <c r="BU183" s="32" t="n">
        <f aca="false">IF(OR(Tasks[[#This Row],[Task Name]]="",Tasks[[#This Row],[_Level]]&lt;=1),0,IFERROR(LOOKUP(2,1/(Tasks[[#Headers],[_Level]]:Tasks[[#This Row],[_Level]]=Tasks[[#This Row],[_Level]]-1),ROW(Tasks[[#Headers],[_Level]]:Tasks[[#This Row],[_Level]])),0))</f>
        <v>0</v>
      </c>
      <c r="BV183" s="32" t="n">
        <f aca="false">IFERROR(N(INDEX(Tasks[_Level],Tasks[[#This Row],[_Row]]+1)),0)</f>
        <v>0</v>
      </c>
      <c r="BW183" s="114" t="b">
        <f aca="false">AND(Tasks[[#This Row],[Task Name]]&lt;&gt;"",Tasks[[#This Row],[_NextLevel]]&gt;Tasks[[#This Row],[_Level]])</f>
        <v>0</v>
      </c>
      <c r="BX183" s="32" t="n">
        <f aca="false">IF(Tasks[[#This Row],[_IsSummary]],COUNTIF(Tasks[WBS],Tasks[[#This Row],[WBS]]&amp;".*"),0)</f>
        <v>0</v>
      </c>
      <c r="BY183" s="32" t="n">
        <f aca="false">IF(AND(Tasks[[#This Row],[Task Name]]&lt;&gt;"",NOT(Tasks[[#This Row],[_IsSummary]])),1,0)</f>
        <v>0</v>
      </c>
      <c r="BZ183" s="32" t="n">
        <f aca="false">IF(N(Tasks[[#This Row],[Pred1 UID]])=0,0,IFERROR(MATCH(Tasks[[#This Row],[Pred1 UID]],Tasks[UID],0),-1))</f>
        <v>0</v>
      </c>
      <c r="CA183" s="32" t="n">
        <f aca="false">IF(N(Tasks[[#This Row],[Pred2 UID]])=0,0,IFERROR(MATCH(Tasks[[#This Row],[Pred2 UID]],Tasks[UID],0),-1))</f>
        <v>0</v>
      </c>
      <c r="CB183" s="32" t="n">
        <f aca="false">IF(N(Tasks[[#This Row],[Pred3 UID]])=0,0,IFERROR(MATCH(Tasks[[#This Row],[Pred3 UID]],Tasks[UID],0),-1))</f>
        <v>0</v>
      </c>
      <c r="CC183" s="32" t="n">
        <f aca="false">IF(N(Tasks[[#This Row],[Pred4 UID]])=0,0,IFERROR(MATCH(Tasks[[#This Row],[Pred4 UID]],Tasks[UID],0),-1))</f>
        <v>0</v>
      </c>
      <c r="CD18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3" s="115" t="n">
        <f aca="false">IF(OR(Tasks[[#This Row],[_ConstraintCode]]=2,Tasks[[#This Row],[_ConstraintCode]]=3,Tasks[[#This Row],[_ConstraintCode]]=4,Tasks[[#This Row],[_ConstraintCode]]=6),Tasks[[#This Row],[_ConstraintStart]],0)</f>
        <v>0</v>
      </c>
      <c r="CG183" s="115" t="n">
        <f aca="false">IF(OR(Tasks[[#This Row],[_ConstraintCode]]=2,Tasks[[#This Row],[_ConstraintCode]]=3,Tasks[[#This Row],[_ConstraintCode]]=5,Tasks[[#This Row],[_ConstraintCode]]=7),Tasks[[#This Row],[_ConstraintStart]],2958465)</f>
        <v>2958465</v>
      </c>
      <c r="CH18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3" s="115" t="str">
        <f aca="false">IF(NOT(Tasks[[#This Row],[_IsLeaf]]=1),"",IF(N(Tasks[[#This Row],[Duration]])&lt;=0,Tasks[[#This Row],[_LeafCalcStart]],WORKDAY.INTL(Tasks[[#This Row],[_LeafCalcStart]],Tasks[[#This Row],[Duration]]-1,WorkWeek,Holidays)))</f>
        <v/>
      </c>
      <c r="CJ18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3" s="32" t="n">
        <f aca="false">IF(NOT(Tasks[[#This Row],[_IsLeaf]]=1),0,IF(N(Tasks[[#This Row],[Actual Finish]])&gt;0,1,MIN(1,N(Tasks[[#This Row],[% Complete]]))))</f>
        <v>0</v>
      </c>
      <c r="CM183" s="32" t="n">
        <f aca="false">IF(OR(NOT(Tasks[[#This Row],[_IsLeaf]]=1),Tasks[[#This Row],[Resource]]=""),0,N(Tasks[[#This Row],[Duration]])*HoursPerDay*IF(Tasks[[#This Row],[Units]]="",DefaultUnits,Tasks[[#This Row],[Units]]))</f>
        <v>0</v>
      </c>
      <c r="CN183" s="32" t="n">
        <f aca="false">IF(Tasks[[#This Row],[_LeafWork]]=0,0,Tasks[[#This Row],[_LeafWork]]*IFERROR(INDEX(res_Rate,MATCH(Tasks[[#This Row],[Resource]],res_Name,0)),0))</f>
        <v>0</v>
      </c>
      <c r="CO183" s="32" t="n">
        <f aca="false">Tasks[[#This Row],[_LeafWork]]+IF(Tasks[[#This Row],[_IsLeaf]]=1,SUMIFS(asg_Work,asg_TaskUID,Tasks[[#This Row],[UID]],asg_Valid,1),0)</f>
        <v>0</v>
      </c>
      <c r="CP183" s="32" t="n">
        <f aca="false">Tasks[[#This Row],[_LeafCost]]+IF(Tasks[[#This Row],[_IsLeaf]]=1,SUMIFS(asg_Cost,asg_TaskUID,Tasks[[#This Row],[UID]],asg_Valid,1),0)</f>
        <v>0</v>
      </c>
      <c r="CQ183" s="32" t="n">
        <f aca="false">IF(Tasks[[#This Row],[_LeafTotalCost]]=0,Tasks[[#This Row],[_LeafAC]],Tasks[[#This Row],[_LeafAC]]*Tasks[[#This Row],[_LeafCost]]/Tasks[[#This Row],[_LeafTotalCost]])</f>
        <v>0</v>
      </c>
      <c r="CR18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3" s="32" t="n">
        <f aca="false">IF(NOT(Tasks[[#This Row],[_IsLeaf]]=1),0,MAX(_xlfn.MAXIFS(Tasks[_Row],Tasks[Pred1 UID],Tasks[[#This Row],[UID]]),_xlfn.MAXIFS(Tasks[_Row],Tasks[Pred2 UID],Tasks[[#This Row],[UID]]),_xlfn.MAXIFS(Tasks[_Row],Tasks[Pred3 UID],Tasks[[#This Row],[UID]]),_xlfn.MAXIFS(Tasks[_Row],Tasks[Pred4 UID],Tasks[[#This Row],[UID]])))</f>
        <v>0</v>
      </c>
      <c r="DA18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3" s="115" t="str">
        <f aca="false">IF(NOT(Tasks[[#This Row],[_IsLeaf]]=1),"",IF(N(Tasks[[#This Row],[Duration]])&lt;=0,Tasks[[#This Row],[_LeafLateFinish]],WORKDAY.INTL(Tasks[[#This Row],[_LeafLateFinish]],-(Tasks[[#This Row],[Duration]]-1),WorkWeek,Holidays)))</f>
        <v/>
      </c>
      <c r="DD18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3" s="114" t="b">
        <f aca="false">AND(Tasks[[#This Row],[_IsLeaf]]=1,Tasks[[#This Row],[_LeafProgress]]&lt;1,N(Tasks[[#This Row],[_LeafTotalSlack]])&lt;=CriticalSlackDays)</f>
        <v>0</v>
      </c>
      <c r="DF183" s="32" t="n">
        <f aca="false">IF(AND(Tasks[[#This Row],[_IsLeaf]]=1,Tasks[[#This Row],[_ConstraintCode]]=1,Tasks[[#This Row],[Mode]]&lt;&gt;"Manual",N(Tasks[[#This Row],[Actual Start]])=0),MAX(0,N(Tasks[[#This Row],[Free Slack]])),0)</f>
        <v>0</v>
      </c>
      <c r="DG183" s="115" t="str">
        <f aca="false">IF(NOT(Tasks[[#This Row],[_IsLeaf]]=1),"",IF(Tasks[[#This Row],[_AlapShift]]=0,Tasks[[#This Row],[_LeafCalcStart]],WORKDAY.INTL(Tasks[[#This Row],[_LeafCalcStart]],Tasks[[#This Row],[_AlapShift]],WorkWeek,Holidays)))</f>
        <v/>
      </c>
      <c r="DH183" s="115" t="str">
        <f aca="false">IF(NOT(Tasks[[#This Row],[_IsLeaf]]=1),"",IF(Tasks[[#This Row],[_AlapShift]]=0,Tasks[[#This Row],[_LeafCalcFinish]],WORKDAY.INTL(Tasks[[#This Row],[_LeafCalcFinish]],Tasks[[#This Row],[_AlapShift]],WorkWeek,Holidays)))</f>
        <v/>
      </c>
      <c r="DI183" s="115" t="str">
        <f aca="false">IF(NOT(Tasks[[#This Row],[_IsLeaf]]=1),"",IF(Tasks[[#This Row],[_AlapShift]]=0,Tasks[[#This Row],[_LeafFcstStart]],WORKDAY.INTL(Tasks[[#This Row],[_LeafFcstStart]],Tasks[[#This Row],[_AlapShift]],WorkWeek,Holidays)))</f>
        <v/>
      </c>
      <c r="DJ183" s="115" t="str">
        <f aca="false">IF(NOT(Tasks[[#This Row],[_IsLeaf]]=1),"",IF(Tasks[[#This Row],[_AlapShift]]=0,Tasks[[#This Row],[_LeafFcstFinish]],WORKDAY.INTL(Tasks[[#This Row],[_LeafFcstFinish]],Tasks[[#This Row],[_AlapShift]],WorkWeek,Holidays)))</f>
        <v/>
      </c>
      <c r="DK183" s="115" t="str">
        <f aca="false">IF(Tasks[[#This Row],[Task Name]]="","",IF(Tasks[[#This Row],[_IsSummary]],MIN(INDEX(Tasks[_ShownCalcStart],Tasks[[#This Row],[_Row]]+1):INDEX(Tasks[_ShownCalcStart],Tasks[[#This Row],[_Row]]+Tasks[[#This Row],[_Descendants]])),Tasks[[#This Row],[_ShownCalcStart]]))</f>
        <v/>
      </c>
      <c r="DL183" s="115" t="str">
        <f aca="false">IF(Tasks[[#This Row],[Task Name]]="","",IF(Tasks[[#This Row],[_IsSummary]],MAX(INDEX(Tasks[_ShownCalcFinish],Tasks[[#This Row],[_Row]]+1):INDEX(Tasks[_ShownCalcFinish],Tasks[[#This Row],[_Row]]+Tasks[[#This Row],[_Descendants]])),Tasks[[#This Row],[_ShownCalcFinish]]))</f>
        <v/>
      </c>
      <c r="DM18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3" s="32" t="n">
        <f aca="false">IF(AND(Tasks[[#This Row],[_IsLeaf]]=1,Tasks[[#This Row],[_LeafTotalWork]]&gt;0),NETWORKDAYS.INTL(ProjectStart,Tasks[[#This Row],[_ShownFcstStart]],WorkWeek,Holidays),0)</f>
        <v>0</v>
      </c>
      <c r="DZ183" s="32" t="n">
        <f aca="false">IF(AND(Tasks[[#This Row],[_IsLeaf]]=1,Tasks[[#This Row],[_LeafTotalWork]]&gt;0),MAX(Tasks[[#This Row],[_StartWorkday]],NETWORKDAYS.INTL(ProjectStart,Tasks[[#This Row],[_ShownFcstFinish]],WorkWeek,Holidays)),0)</f>
        <v>0</v>
      </c>
      <c r="EA183" s="32" t="n">
        <f aca="false">IF(AND(Tasks[[#This Row],[_IsLeaf]]=1,Tasks[[#This Row],[_LeafTotalWork]]&gt;0),Tasks[[#This Row],[_LeafWork]]/(Tasks[[#This Row],[_FinishWorkday]]-Tasks[[#This Row],[_StartWorkday]]+1),0)</f>
        <v>0</v>
      </c>
      <c r="EB183" s="32" t="n">
        <f aca="false">Tasks[[#This Row],[_WorkPerWorkday]]*(Tasks[[#This Row],[_StartWorkday]]-1)</f>
        <v>-0</v>
      </c>
      <c r="EC183" s="32" t="n">
        <f aca="false">IF(Tasks[[#This Row],[_IsLeaf]]=1,MAX(N(Tasks[[#This Row],[Duration]]),0.1),0)</f>
        <v>0</v>
      </c>
      <c r="ED183" s="32" t="n">
        <f aca="false">Tasks[[#This Row],[_WeightDur]]*Tasks[[#This Row],[_LeafProgress]]</f>
        <v>0</v>
      </c>
      <c r="EE18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3" s="32" t="str">
        <f aca="false">IF(AND(Tasks[[#This Row],[_IsLeaf]]=1,N(Tasks[[#This Row],[Duration]])=0,Tasks[[#This Row],[_LeafProgress]]&lt;1),Tasks[[#This Row],[_ShownFcstFinish]]+Tasks[[#This Row],[_Row]]/100000,"")</f>
        <v/>
      </c>
      <c r="EG18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3" s="32" t="n">
        <f aca="false">IF(NOT(Tasks[[#This Row],[_IsLeaf]]=1),0,IF(Tasks[[#This Row],[Baseline Cost]]="",Tasks[[#This Row],[_LeafTotalCost]],N(Tasks[[#This Row],[Baseline Cost]])))</f>
        <v>0</v>
      </c>
      <c r="EI183" s="32" t="n">
        <f aca="false">Tasks[[#This Row],[_LeafBudget]]*Tasks[[#This Row],[_PlannedPct]]</f>
        <v>0</v>
      </c>
      <c r="EJ183" s="32" t="n">
        <f aca="false">Tasks[[#This Row],[_LeafBudget]]*Tasks[[#This Row],[_LeafProgress]]</f>
        <v>0</v>
      </c>
      <c r="EK183" s="32" t="n">
        <f aca="false">IF(NOT(Tasks[[#This Row],[_IsLeaf]]=1),0,IF(Tasks[[#This Row],[Actual Cost]]="",Tasks[[#This Row],[_LeafTotalCost]]*Tasks[[#This Row],[_LeafProgress]],N(Tasks[[#This Row],[Actual Cost]])))</f>
        <v>0</v>
      </c>
      <c r="EL183" s="32" t="str">
        <f aca="false">IF(Tasks[[#This Row],[Task Name]]="","",LEFT(Tasks[[#This Row],[WBS]],FIND(".",Tasks[[#This Row],[WBS]]&amp;".")-1))</f>
        <v/>
      </c>
      <c r="EM183" s="32" t="str">
        <f aca="false">IF(AND(Tasks[[#This Row],[Task Name]]&lt;&gt;"",Tasks[[#This Row],[_Level]]=1),Tasks[[#This Row],[_Row]],"")</f>
        <v/>
      </c>
      <c r="EN183" s="32" t="str">
        <f aca="false">IF(AND(Tasks[[#This Row],[_IsLeaf]]=1,N(Tasks[[#This Row],[Duration]])=0),Tasks[[#This Row],[Planned Finish]]+Tasks[[#This Row],[_Row]]/100000,"")</f>
        <v/>
      </c>
      <c r="EO183" s="32" t="str">
        <f aca="false">IF(AND(Tasks[[#This Row],[_IsLeaf]]=1,Tasks[[#This Row],[_LeafProgress]]&lt;1,OR(N(Tasks[[#This Row],[Finish Var]])&gt;0,Tasks[[#This Row],[Status]]="Late Start")),MAX(0,Tasks[[#This Row],[Finish Var]])+1-Tasks[[#This Row],[_Row]]/1000000,"")</f>
        <v/>
      </c>
      <c r="EP183" s="32" t="str">
        <f aca="false">IF(AND(Tasks[[#This Row],[_IsLeaf]]=1,N(Tasks[[#This Row],[Actual Start]])=0,Tasks[[#This Row],[_ShownFcstStart]]&gt;=StatusDate,Tasks[[#This Row],[_ShownFcstStart]]&lt;=LookaheadEnd),Tasks[[#This Row],[_ShownFcstStart]]+Tasks[[#This Row],[_Row]]/100000,"")</f>
        <v/>
      </c>
      <c r="EQ183" s="32" t="str">
        <f aca="false">IF(AND(Tasks[[#This Row],[_IsLeaf]]=1,Tasks[[#This Row],[_LeafProgress]]&lt;1,Tasks[[#This Row],[_ShownFcstFinish]]&gt;=StatusDate,Tasks[[#This Row],[_ShownFcstFinish]]&lt;=LookaheadEnd),Tasks[[#This Row],[_ShownFcstFinish]]+Tasks[[#This Row],[_Row]]/100000,"")</f>
        <v/>
      </c>
      <c r="ER183" s="32" t="str">
        <f aca="false">IF(Tasks[[#This Row],[_LeafCritical]],Tasks[[#This Row],[_ShownFcstStart]]+Tasks[[#This Row],[_Row]]/100000,"")</f>
        <v/>
      </c>
      <c r="ES183" s="32" t="n">
        <f aca="false">Tasks[[#This Row],[_LeafWork]]*Tasks[[#This Row],[_LeafProgress]]</f>
        <v>0</v>
      </c>
      <c r="ET183" s="115" t="str">
        <f aca="false">IF(AND(Tasks[[#This Row],[_IsLeaf]]=1,Tasks[[#This Row],[_LeafProgress]]&gt;=1),IF(N(Tasks[[#This Row],[Actual Finish]])&gt;0,Tasks[[#This Row],[Actual Finish]],Tasks[[#This Row],[_ShownFcstFinish]]),"")</f>
        <v/>
      </c>
      <c r="EU183" s="32" t="n">
        <f aca="false">IF(Tasks[[#This Row],[_IsLeaf]]=1,N(Tasks[[#This Row],[Story Points]]),0)</f>
        <v>0</v>
      </c>
      <c r="EV183" s="32" t="str">
        <f aca="false">IF(AND(Tasks[[#This Row],[_IsLeaf]]=1,CurrentSprint&lt;&gt;"",Tasks[[#This Row],[Sprint]]=CurrentSprint),Tasks[[#This Row],[_Row]],"")</f>
        <v/>
      </c>
    </row>
    <row r="184" customFormat="false" ht="15" hidden="false" customHeight="false" outlineLevel="0" collapsed="false">
      <c r="A184" s="45" t="str">
        <f aca="false">IF(Tasks[[#This Row],[Task Name]]="","",COUNTA(Tasks[[#Headers],[Task Name]]:Tasks[[#This Row],[Task Name]])-1)</f>
        <v/>
      </c>
      <c r="B184" s="46" t="n">
        <v>179</v>
      </c>
      <c r="C18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4" s="46"/>
      <c r="E184" s="45" t="str">
        <f aca="false">IF(Tasks[[#This Row],[Task Name]]="","",IF(Tasks[[#This Row],[_Level]]&lt;=OutlineShowLevel,"Yes","No"))</f>
        <v/>
      </c>
      <c r="F184" s="47"/>
      <c r="G184" s="46"/>
      <c r="H184" s="46"/>
      <c r="I184" s="46"/>
      <c r="J184" s="46"/>
      <c r="K184" s="46"/>
      <c r="L184" s="46"/>
      <c r="M184" s="46"/>
      <c r="N184" s="46"/>
      <c r="O184" s="46"/>
      <c r="P184" s="46"/>
      <c r="Q184" s="46"/>
      <c r="R184" s="46"/>
      <c r="S184" s="46"/>
      <c r="T184" s="46"/>
      <c r="U184" s="47"/>
      <c r="V184" s="88"/>
      <c r="W184" s="88"/>
      <c r="X184" s="25" t="str">
        <f aca="false">IF(Tasks[[#This Row],[Task Name]]="","",IF(N(Tasks[[#This Row],[Baseline Start]])&gt;0,Tasks[[#This Row],[Baseline Start]],Tasks[[#This Row],[_CalcStart]]))</f>
        <v/>
      </c>
      <c r="Y184" s="25" t="str">
        <f aca="false">IF(Tasks[[#This Row],[Task Name]]="","",IF(N(Tasks[[#This Row],[Baseline Finish]])&gt;0,Tasks[[#This Row],[Baseline Finish]],Tasks[[#This Row],[_CalcFinish]]))</f>
        <v/>
      </c>
      <c r="Z184" s="88"/>
      <c r="AA184" s="88"/>
      <c r="AB184" s="25" t="str">
        <f aca="false">IF(Tasks[[#This Row],[Task Name]]="","",IF(Tasks[[#This Row],[_IsSummary]],MIN(INDEX(Tasks[_ShownFcstStart],Tasks[[#This Row],[_Row]]+1):INDEX(Tasks[_ShownFcstStart],Tasks[[#This Row],[_Row]]+Tasks[[#This Row],[_Descendants]])),Tasks[[#This Row],[_ShownFcstStart]]))</f>
        <v/>
      </c>
      <c r="AC184" s="25" t="str">
        <f aca="false">IF(Tasks[[#This Row],[Task Name]]="","",IF(Tasks[[#This Row],[_IsSummary]],MAX(INDEX(Tasks[_ShownFcstFinish],Tasks[[#This Row],[_Row]]+1):INDEX(Tasks[_ShownFcstFinish],Tasks[[#This Row],[_Row]]+Tasks[[#This Row],[_Descendants]])),Tasks[[#This Row],[_ShownFcstFinish]]))</f>
        <v/>
      </c>
      <c r="AD18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4" s="25" t="str">
        <f aca="false">IF(Tasks[[#This Row],[Task Name]]="","",IF(Tasks[[#This Row],[_IsSummary]],MIN(INDEX(Tasks[_LeafLateStart],Tasks[[#This Row],[_Row]]+1):INDEX(Tasks[_LeafLateStart],Tasks[[#This Row],[_Row]]+Tasks[[#This Row],[_Descendants]])),Tasks[[#This Row],[_LeafLateStart]]))</f>
        <v/>
      </c>
      <c r="AG184" s="25" t="str">
        <f aca="false">IF(Tasks[[#This Row],[Task Name]]="","",IF(Tasks[[#This Row],[_IsSummary]],MAX(INDEX(Tasks[_LeafLateFinish],Tasks[[#This Row],[_Row]]+1):INDEX(Tasks[_LeafLateFinish],Tasks[[#This Row],[_Row]]+Tasks[[#This Row],[_Descendants]])),Tasks[[#This Row],[_LeafLateFinish]]))</f>
        <v/>
      </c>
      <c r="AH184" s="56" t="str">
        <f aca="false">IF(Tasks[[#This Row],[Task Name]]="","",IF(Tasks[[#This Row],[_IsSummary]],MIN(INDEX(Tasks[_LeafTotalSlack],Tasks[[#This Row],[_Row]]+1):INDEX(Tasks[_LeafTotalSlack],Tasks[[#This Row],[_Row]]+Tasks[[#This Row],[_Descendants]])),Tasks[[#This Row],[_LeafTotalSlack]]))</f>
        <v/>
      </c>
      <c r="AI18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4" s="45" t="str">
        <f aca="false">IF(Tasks[[#This Row],[Task Name]]="","",IF(IF(Tasks[[#This Row],[_IsSummary]],COUNTIF(INDEX(Tasks[_LeafCritical],Tasks[[#This Row],[_Row]]+1):INDEX(Tasks[_LeafCritical],Tasks[[#This Row],[_Row]]+Tasks[[#This Row],[_Descendants]]),TRUE())&gt;0,Tasks[[#This Row],[_LeafCritical]]),"Yes",""))</f>
        <v/>
      </c>
      <c r="AK18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4" s="102"/>
      <c r="AN18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4" s="45" t="str">
        <f aca="false">IF(Tasks[[#This Row],[Task Name]]="","",IF(Tasks[[#This Row],[Progress]]&gt;=1,"Complete",IF(OR(N(Tasks[[#This Row],[Actual Start]])&gt;0,Tasks[[#This Row],[Progress]]&gt;0),IF(Tasks[[#This Row],[Finish Var]]&gt;0,"Behind","In Progress"),IF(Tasks[[#This Row],[Planned Start]]&lt;StatusDate,"Late Start","Not Started"))))</f>
        <v/>
      </c>
      <c r="AP184" s="47"/>
      <c r="AQ184" s="102"/>
      <c r="AR18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4" s="110" t="str">
        <f aca="false">IF(Tasks[[#This Row],[Task Name]]="","",IF(Tasks[[#This Row],[_IsSummary]],SUM(INDEX(Tasks[_LeafTotalWork],Tasks[[#This Row],[_Row]]+1):INDEX(Tasks[_LeafTotalWork],Tasks[[#This Row],[_Row]]+Tasks[[#This Row],[_Descendants]])),Tasks[[#This Row],[_LeafTotalWork]]))</f>
        <v/>
      </c>
      <c r="AU184" s="111" t="str">
        <f aca="false">IF(Tasks[[#This Row],[Task Name]]="","",IF(Tasks[[#This Row],[_IsSummary]],SUM(INDEX(Tasks[_LeafTotalCost],Tasks[[#This Row],[_Row]]+1):INDEX(Tasks[_LeafTotalCost],Tasks[[#This Row],[_Row]]+Tasks[[#This Row],[_Descendants]])),Tasks[[#This Row],[_LeafTotalCost]]))</f>
        <v/>
      </c>
      <c r="AV184" s="112"/>
      <c r="AW184" s="46"/>
      <c r="AX18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4" s="96"/>
      <c r="AZ18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4" s="47"/>
      <c r="BB184" s="25" t="str">
        <f aca="false">IF(Tasks[[#This Row],[Task Name]]="","",Tasks[[#This Row],[Forecast Start]])</f>
        <v/>
      </c>
      <c r="BC184" s="25" t="str">
        <f aca="false">IF(Tasks[[#This Row],[Task Name]]="","",Tasks[[#This Row],[Forecast Finish]])</f>
        <v/>
      </c>
      <c r="BD184" s="45" t="str">
        <f aca="false">IF(Tasks[[#This Row],[Task Name]]="","",IF(Tasks[[#This Row],[_IsSummary]],NETWORKDAYS.INTL(Tasks[[#This Row],[Forecast Start]],Tasks[[#This Row],[Forecast Finish]],WorkWeek,Holidays),N(Tasks[[#This Row],[Duration]])))</f>
        <v/>
      </c>
      <c r="BE184" s="110" t="str">
        <f aca="false">IF(Tasks[[#This Row],[Task Name]]="","",Tasks[[#This Row],[Work]])</f>
        <v/>
      </c>
      <c r="BF184" s="111" t="str">
        <f aca="false">IF(Tasks[[#This Row],[Task Name]]="","",Tasks[[#This Row],[Cost]])</f>
        <v/>
      </c>
      <c r="BG184" s="88"/>
      <c r="BH184" s="88"/>
      <c r="BI184" s="46"/>
      <c r="BJ184" s="113"/>
      <c r="BK184" s="112"/>
      <c r="BL184" s="45" t="str">
        <f aca="false">IF(OR(Tasks[[#This Row],[Task Name]]="",Tasks[[#This Row],[Baseline Duration]]=""),"",Tasks[[#This Row],[BL Source Duration]]-N(Tasks[[#This Row],[Baseline Duration]]))</f>
        <v/>
      </c>
      <c r="BM184" s="110" t="str">
        <f aca="false">IF(OR(Tasks[[#This Row],[Task Name]]="",Tasks[[#This Row],[Baseline Work]]=""),"",Tasks[[#This Row],[Work]]-N(Tasks[[#This Row],[Baseline Work]]))</f>
        <v/>
      </c>
      <c r="BN184" s="111" t="str">
        <f aca="false">IF(OR(Tasks[[#This Row],[Task Name]]="",Tasks[[#This Row],[Baseline Cost]]=""),"",Tasks[[#This Row],[Cost]]-N(Tasks[[#This Row],[Baseline Cost]]))</f>
        <v/>
      </c>
      <c r="BO184" s="111" t="str">
        <f aca="false">IF(Tasks[[#This Row],[Task Name]]="","",IF(Tasks[[#This Row],[_IsSummary]],SUM(INDEX(Tasks[_LeafBudget],Tasks[[#This Row],[_Row]]+1):INDEX(Tasks[_LeafBudget],Tasks[[#This Row],[_Row]]+Tasks[[#This Row],[_Descendants]])),Tasks[[#This Row],[_LeafBudget]]))</f>
        <v/>
      </c>
      <c r="BP184" s="111" t="str">
        <f aca="false">IF(Tasks[[#This Row],[Task Name]]="","",IF(Tasks[[#This Row],[_IsSummary]],SUM(INDEX(Tasks[_LeafPV],Tasks[[#This Row],[_Row]]+1):INDEX(Tasks[_LeafPV],Tasks[[#This Row],[_Row]]+Tasks[[#This Row],[_Descendants]])),Tasks[[#This Row],[_LeafPV]]))</f>
        <v/>
      </c>
      <c r="BQ184" s="111" t="str">
        <f aca="false">IF(Tasks[[#This Row],[Task Name]]="","",IF(Tasks[[#This Row],[_IsSummary]],SUM(INDEX(Tasks[_LeafEV],Tasks[[#This Row],[_Row]]+1):INDEX(Tasks[_LeafEV],Tasks[[#This Row],[_Row]]+Tasks[[#This Row],[_Descendants]])),Tasks[[#This Row],[_LeafEV]]))</f>
        <v/>
      </c>
      <c r="BR184" s="111" t="str">
        <f aca="false">IF(Tasks[[#This Row],[Task Name]]="","",IF(Tasks[[#This Row],[_IsSummary]],SUM(INDEX(Tasks[_LeafAC],Tasks[[#This Row],[_Row]]+1):INDEX(Tasks[_LeafAC],Tasks[[#This Row],[_Row]]+Tasks[[#This Row],[_Descendants]])),Tasks[[#This Row],[_LeafAC]]))</f>
        <v/>
      </c>
      <c r="BS184" s="32" t="str">
        <f aca="false">IF(Tasks[[#This Row],[Task Name]]="","",MAX(1,N(Tasks[[#This Row],[Level]])))</f>
        <v/>
      </c>
      <c r="BT184" s="32" t="n">
        <f aca="false">ROW()-ROW(Tasks[[#Headers],[ID]])</f>
        <v>179</v>
      </c>
      <c r="BU184" s="32" t="n">
        <f aca="false">IF(OR(Tasks[[#This Row],[Task Name]]="",Tasks[[#This Row],[_Level]]&lt;=1),0,IFERROR(LOOKUP(2,1/(Tasks[[#Headers],[_Level]]:Tasks[[#This Row],[_Level]]=Tasks[[#This Row],[_Level]]-1),ROW(Tasks[[#Headers],[_Level]]:Tasks[[#This Row],[_Level]])),0))</f>
        <v>0</v>
      </c>
      <c r="BV184" s="32" t="n">
        <f aca="false">IFERROR(N(INDEX(Tasks[_Level],Tasks[[#This Row],[_Row]]+1)),0)</f>
        <v>0</v>
      </c>
      <c r="BW184" s="114" t="b">
        <f aca="false">AND(Tasks[[#This Row],[Task Name]]&lt;&gt;"",Tasks[[#This Row],[_NextLevel]]&gt;Tasks[[#This Row],[_Level]])</f>
        <v>0</v>
      </c>
      <c r="BX184" s="32" t="n">
        <f aca="false">IF(Tasks[[#This Row],[_IsSummary]],COUNTIF(Tasks[WBS],Tasks[[#This Row],[WBS]]&amp;".*"),0)</f>
        <v>0</v>
      </c>
      <c r="BY184" s="32" t="n">
        <f aca="false">IF(AND(Tasks[[#This Row],[Task Name]]&lt;&gt;"",NOT(Tasks[[#This Row],[_IsSummary]])),1,0)</f>
        <v>0</v>
      </c>
      <c r="BZ184" s="32" t="n">
        <f aca="false">IF(N(Tasks[[#This Row],[Pred1 UID]])=0,0,IFERROR(MATCH(Tasks[[#This Row],[Pred1 UID]],Tasks[UID],0),-1))</f>
        <v>0</v>
      </c>
      <c r="CA184" s="32" t="n">
        <f aca="false">IF(N(Tasks[[#This Row],[Pred2 UID]])=0,0,IFERROR(MATCH(Tasks[[#This Row],[Pred2 UID]],Tasks[UID],0),-1))</f>
        <v>0</v>
      </c>
      <c r="CB184" s="32" t="n">
        <f aca="false">IF(N(Tasks[[#This Row],[Pred3 UID]])=0,0,IFERROR(MATCH(Tasks[[#This Row],[Pred3 UID]],Tasks[UID],0),-1))</f>
        <v>0</v>
      </c>
      <c r="CC184" s="32" t="n">
        <f aca="false">IF(N(Tasks[[#This Row],[Pred4 UID]])=0,0,IFERROR(MATCH(Tasks[[#This Row],[Pred4 UID]],Tasks[UID],0),-1))</f>
        <v>0</v>
      </c>
      <c r="CD18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4" s="115" t="n">
        <f aca="false">IF(OR(Tasks[[#This Row],[_ConstraintCode]]=2,Tasks[[#This Row],[_ConstraintCode]]=3,Tasks[[#This Row],[_ConstraintCode]]=4,Tasks[[#This Row],[_ConstraintCode]]=6),Tasks[[#This Row],[_ConstraintStart]],0)</f>
        <v>0</v>
      </c>
      <c r="CG184" s="115" t="n">
        <f aca="false">IF(OR(Tasks[[#This Row],[_ConstraintCode]]=2,Tasks[[#This Row],[_ConstraintCode]]=3,Tasks[[#This Row],[_ConstraintCode]]=5,Tasks[[#This Row],[_ConstraintCode]]=7),Tasks[[#This Row],[_ConstraintStart]],2958465)</f>
        <v>2958465</v>
      </c>
      <c r="CH18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4" s="115" t="str">
        <f aca="false">IF(NOT(Tasks[[#This Row],[_IsLeaf]]=1),"",IF(N(Tasks[[#This Row],[Duration]])&lt;=0,Tasks[[#This Row],[_LeafCalcStart]],WORKDAY.INTL(Tasks[[#This Row],[_LeafCalcStart]],Tasks[[#This Row],[Duration]]-1,WorkWeek,Holidays)))</f>
        <v/>
      </c>
      <c r="CJ18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4" s="32" t="n">
        <f aca="false">IF(NOT(Tasks[[#This Row],[_IsLeaf]]=1),0,IF(N(Tasks[[#This Row],[Actual Finish]])&gt;0,1,MIN(1,N(Tasks[[#This Row],[% Complete]]))))</f>
        <v>0</v>
      </c>
      <c r="CM184" s="32" t="n">
        <f aca="false">IF(OR(NOT(Tasks[[#This Row],[_IsLeaf]]=1),Tasks[[#This Row],[Resource]]=""),0,N(Tasks[[#This Row],[Duration]])*HoursPerDay*IF(Tasks[[#This Row],[Units]]="",DefaultUnits,Tasks[[#This Row],[Units]]))</f>
        <v>0</v>
      </c>
      <c r="CN184" s="32" t="n">
        <f aca="false">IF(Tasks[[#This Row],[_LeafWork]]=0,0,Tasks[[#This Row],[_LeafWork]]*IFERROR(INDEX(res_Rate,MATCH(Tasks[[#This Row],[Resource]],res_Name,0)),0))</f>
        <v>0</v>
      </c>
      <c r="CO184" s="32" t="n">
        <f aca="false">Tasks[[#This Row],[_LeafWork]]+IF(Tasks[[#This Row],[_IsLeaf]]=1,SUMIFS(asg_Work,asg_TaskUID,Tasks[[#This Row],[UID]],asg_Valid,1),0)</f>
        <v>0</v>
      </c>
      <c r="CP184" s="32" t="n">
        <f aca="false">Tasks[[#This Row],[_LeafCost]]+IF(Tasks[[#This Row],[_IsLeaf]]=1,SUMIFS(asg_Cost,asg_TaskUID,Tasks[[#This Row],[UID]],asg_Valid,1),0)</f>
        <v>0</v>
      </c>
      <c r="CQ184" s="32" t="n">
        <f aca="false">IF(Tasks[[#This Row],[_LeafTotalCost]]=0,Tasks[[#This Row],[_LeafAC]],Tasks[[#This Row],[_LeafAC]]*Tasks[[#This Row],[_LeafCost]]/Tasks[[#This Row],[_LeafTotalCost]])</f>
        <v>0</v>
      </c>
      <c r="CR18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4" s="32" t="n">
        <f aca="false">IF(NOT(Tasks[[#This Row],[_IsLeaf]]=1),0,MAX(_xlfn.MAXIFS(Tasks[_Row],Tasks[Pred1 UID],Tasks[[#This Row],[UID]]),_xlfn.MAXIFS(Tasks[_Row],Tasks[Pred2 UID],Tasks[[#This Row],[UID]]),_xlfn.MAXIFS(Tasks[_Row],Tasks[Pred3 UID],Tasks[[#This Row],[UID]]),_xlfn.MAXIFS(Tasks[_Row],Tasks[Pred4 UID],Tasks[[#This Row],[UID]])))</f>
        <v>0</v>
      </c>
      <c r="DA18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4" s="115" t="str">
        <f aca="false">IF(NOT(Tasks[[#This Row],[_IsLeaf]]=1),"",IF(N(Tasks[[#This Row],[Duration]])&lt;=0,Tasks[[#This Row],[_LeafLateFinish]],WORKDAY.INTL(Tasks[[#This Row],[_LeafLateFinish]],-(Tasks[[#This Row],[Duration]]-1),WorkWeek,Holidays)))</f>
        <v/>
      </c>
      <c r="DD18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4" s="114" t="b">
        <f aca="false">AND(Tasks[[#This Row],[_IsLeaf]]=1,Tasks[[#This Row],[_LeafProgress]]&lt;1,N(Tasks[[#This Row],[_LeafTotalSlack]])&lt;=CriticalSlackDays)</f>
        <v>0</v>
      </c>
      <c r="DF184" s="32" t="n">
        <f aca="false">IF(AND(Tasks[[#This Row],[_IsLeaf]]=1,Tasks[[#This Row],[_ConstraintCode]]=1,Tasks[[#This Row],[Mode]]&lt;&gt;"Manual",N(Tasks[[#This Row],[Actual Start]])=0),MAX(0,N(Tasks[[#This Row],[Free Slack]])),0)</f>
        <v>0</v>
      </c>
      <c r="DG184" s="115" t="str">
        <f aca="false">IF(NOT(Tasks[[#This Row],[_IsLeaf]]=1),"",IF(Tasks[[#This Row],[_AlapShift]]=0,Tasks[[#This Row],[_LeafCalcStart]],WORKDAY.INTL(Tasks[[#This Row],[_LeafCalcStart]],Tasks[[#This Row],[_AlapShift]],WorkWeek,Holidays)))</f>
        <v/>
      </c>
      <c r="DH184" s="115" t="str">
        <f aca="false">IF(NOT(Tasks[[#This Row],[_IsLeaf]]=1),"",IF(Tasks[[#This Row],[_AlapShift]]=0,Tasks[[#This Row],[_LeafCalcFinish]],WORKDAY.INTL(Tasks[[#This Row],[_LeafCalcFinish]],Tasks[[#This Row],[_AlapShift]],WorkWeek,Holidays)))</f>
        <v/>
      </c>
      <c r="DI184" s="115" t="str">
        <f aca="false">IF(NOT(Tasks[[#This Row],[_IsLeaf]]=1),"",IF(Tasks[[#This Row],[_AlapShift]]=0,Tasks[[#This Row],[_LeafFcstStart]],WORKDAY.INTL(Tasks[[#This Row],[_LeafFcstStart]],Tasks[[#This Row],[_AlapShift]],WorkWeek,Holidays)))</f>
        <v/>
      </c>
      <c r="DJ184" s="115" t="str">
        <f aca="false">IF(NOT(Tasks[[#This Row],[_IsLeaf]]=1),"",IF(Tasks[[#This Row],[_AlapShift]]=0,Tasks[[#This Row],[_LeafFcstFinish]],WORKDAY.INTL(Tasks[[#This Row],[_LeafFcstFinish]],Tasks[[#This Row],[_AlapShift]],WorkWeek,Holidays)))</f>
        <v/>
      </c>
      <c r="DK184" s="115" t="str">
        <f aca="false">IF(Tasks[[#This Row],[Task Name]]="","",IF(Tasks[[#This Row],[_IsSummary]],MIN(INDEX(Tasks[_ShownCalcStart],Tasks[[#This Row],[_Row]]+1):INDEX(Tasks[_ShownCalcStart],Tasks[[#This Row],[_Row]]+Tasks[[#This Row],[_Descendants]])),Tasks[[#This Row],[_ShownCalcStart]]))</f>
        <v/>
      </c>
      <c r="DL184" s="115" t="str">
        <f aca="false">IF(Tasks[[#This Row],[Task Name]]="","",IF(Tasks[[#This Row],[_IsSummary]],MAX(INDEX(Tasks[_ShownCalcFinish],Tasks[[#This Row],[_Row]]+1):INDEX(Tasks[_ShownCalcFinish],Tasks[[#This Row],[_Row]]+Tasks[[#This Row],[_Descendants]])),Tasks[[#This Row],[_ShownCalcFinish]]))</f>
        <v/>
      </c>
      <c r="DM18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4" s="32" t="n">
        <f aca="false">IF(AND(Tasks[[#This Row],[_IsLeaf]]=1,Tasks[[#This Row],[_LeafTotalWork]]&gt;0),NETWORKDAYS.INTL(ProjectStart,Tasks[[#This Row],[_ShownFcstStart]],WorkWeek,Holidays),0)</f>
        <v>0</v>
      </c>
      <c r="DZ184" s="32" t="n">
        <f aca="false">IF(AND(Tasks[[#This Row],[_IsLeaf]]=1,Tasks[[#This Row],[_LeafTotalWork]]&gt;0),MAX(Tasks[[#This Row],[_StartWorkday]],NETWORKDAYS.INTL(ProjectStart,Tasks[[#This Row],[_ShownFcstFinish]],WorkWeek,Holidays)),0)</f>
        <v>0</v>
      </c>
      <c r="EA184" s="32" t="n">
        <f aca="false">IF(AND(Tasks[[#This Row],[_IsLeaf]]=1,Tasks[[#This Row],[_LeafTotalWork]]&gt;0),Tasks[[#This Row],[_LeafWork]]/(Tasks[[#This Row],[_FinishWorkday]]-Tasks[[#This Row],[_StartWorkday]]+1),0)</f>
        <v>0</v>
      </c>
      <c r="EB184" s="32" t="n">
        <f aca="false">Tasks[[#This Row],[_WorkPerWorkday]]*(Tasks[[#This Row],[_StartWorkday]]-1)</f>
        <v>-0</v>
      </c>
      <c r="EC184" s="32" t="n">
        <f aca="false">IF(Tasks[[#This Row],[_IsLeaf]]=1,MAX(N(Tasks[[#This Row],[Duration]]),0.1),0)</f>
        <v>0</v>
      </c>
      <c r="ED184" s="32" t="n">
        <f aca="false">Tasks[[#This Row],[_WeightDur]]*Tasks[[#This Row],[_LeafProgress]]</f>
        <v>0</v>
      </c>
      <c r="EE18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4" s="32" t="str">
        <f aca="false">IF(AND(Tasks[[#This Row],[_IsLeaf]]=1,N(Tasks[[#This Row],[Duration]])=0,Tasks[[#This Row],[_LeafProgress]]&lt;1),Tasks[[#This Row],[_ShownFcstFinish]]+Tasks[[#This Row],[_Row]]/100000,"")</f>
        <v/>
      </c>
      <c r="EG18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4" s="32" t="n">
        <f aca="false">IF(NOT(Tasks[[#This Row],[_IsLeaf]]=1),0,IF(Tasks[[#This Row],[Baseline Cost]]="",Tasks[[#This Row],[_LeafTotalCost]],N(Tasks[[#This Row],[Baseline Cost]])))</f>
        <v>0</v>
      </c>
      <c r="EI184" s="32" t="n">
        <f aca="false">Tasks[[#This Row],[_LeafBudget]]*Tasks[[#This Row],[_PlannedPct]]</f>
        <v>0</v>
      </c>
      <c r="EJ184" s="32" t="n">
        <f aca="false">Tasks[[#This Row],[_LeafBudget]]*Tasks[[#This Row],[_LeafProgress]]</f>
        <v>0</v>
      </c>
      <c r="EK184" s="32" t="n">
        <f aca="false">IF(NOT(Tasks[[#This Row],[_IsLeaf]]=1),0,IF(Tasks[[#This Row],[Actual Cost]]="",Tasks[[#This Row],[_LeafTotalCost]]*Tasks[[#This Row],[_LeafProgress]],N(Tasks[[#This Row],[Actual Cost]])))</f>
        <v>0</v>
      </c>
      <c r="EL184" s="32" t="str">
        <f aca="false">IF(Tasks[[#This Row],[Task Name]]="","",LEFT(Tasks[[#This Row],[WBS]],FIND(".",Tasks[[#This Row],[WBS]]&amp;".")-1))</f>
        <v/>
      </c>
      <c r="EM184" s="32" t="str">
        <f aca="false">IF(AND(Tasks[[#This Row],[Task Name]]&lt;&gt;"",Tasks[[#This Row],[_Level]]=1),Tasks[[#This Row],[_Row]],"")</f>
        <v/>
      </c>
      <c r="EN184" s="32" t="str">
        <f aca="false">IF(AND(Tasks[[#This Row],[_IsLeaf]]=1,N(Tasks[[#This Row],[Duration]])=0),Tasks[[#This Row],[Planned Finish]]+Tasks[[#This Row],[_Row]]/100000,"")</f>
        <v/>
      </c>
      <c r="EO184" s="32" t="str">
        <f aca="false">IF(AND(Tasks[[#This Row],[_IsLeaf]]=1,Tasks[[#This Row],[_LeafProgress]]&lt;1,OR(N(Tasks[[#This Row],[Finish Var]])&gt;0,Tasks[[#This Row],[Status]]="Late Start")),MAX(0,Tasks[[#This Row],[Finish Var]])+1-Tasks[[#This Row],[_Row]]/1000000,"")</f>
        <v/>
      </c>
      <c r="EP184" s="32" t="str">
        <f aca="false">IF(AND(Tasks[[#This Row],[_IsLeaf]]=1,N(Tasks[[#This Row],[Actual Start]])=0,Tasks[[#This Row],[_ShownFcstStart]]&gt;=StatusDate,Tasks[[#This Row],[_ShownFcstStart]]&lt;=LookaheadEnd),Tasks[[#This Row],[_ShownFcstStart]]+Tasks[[#This Row],[_Row]]/100000,"")</f>
        <v/>
      </c>
      <c r="EQ184" s="32" t="str">
        <f aca="false">IF(AND(Tasks[[#This Row],[_IsLeaf]]=1,Tasks[[#This Row],[_LeafProgress]]&lt;1,Tasks[[#This Row],[_ShownFcstFinish]]&gt;=StatusDate,Tasks[[#This Row],[_ShownFcstFinish]]&lt;=LookaheadEnd),Tasks[[#This Row],[_ShownFcstFinish]]+Tasks[[#This Row],[_Row]]/100000,"")</f>
        <v/>
      </c>
      <c r="ER184" s="32" t="str">
        <f aca="false">IF(Tasks[[#This Row],[_LeafCritical]],Tasks[[#This Row],[_ShownFcstStart]]+Tasks[[#This Row],[_Row]]/100000,"")</f>
        <v/>
      </c>
      <c r="ES184" s="32" t="n">
        <f aca="false">Tasks[[#This Row],[_LeafWork]]*Tasks[[#This Row],[_LeafProgress]]</f>
        <v>0</v>
      </c>
      <c r="ET184" s="115" t="str">
        <f aca="false">IF(AND(Tasks[[#This Row],[_IsLeaf]]=1,Tasks[[#This Row],[_LeafProgress]]&gt;=1),IF(N(Tasks[[#This Row],[Actual Finish]])&gt;0,Tasks[[#This Row],[Actual Finish]],Tasks[[#This Row],[_ShownFcstFinish]]),"")</f>
        <v/>
      </c>
      <c r="EU184" s="32" t="n">
        <f aca="false">IF(Tasks[[#This Row],[_IsLeaf]]=1,N(Tasks[[#This Row],[Story Points]]),0)</f>
        <v>0</v>
      </c>
      <c r="EV184" s="32" t="str">
        <f aca="false">IF(AND(Tasks[[#This Row],[_IsLeaf]]=1,CurrentSprint&lt;&gt;"",Tasks[[#This Row],[Sprint]]=CurrentSprint),Tasks[[#This Row],[_Row]],"")</f>
        <v/>
      </c>
    </row>
    <row r="185" customFormat="false" ht="15" hidden="false" customHeight="false" outlineLevel="0" collapsed="false">
      <c r="A185" s="45" t="str">
        <f aca="false">IF(Tasks[[#This Row],[Task Name]]="","",COUNTA(Tasks[[#Headers],[Task Name]]:Tasks[[#This Row],[Task Name]])-1)</f>
        <v/>
      </c>
      <c r="B185" s="46" t="n">
        <v>180</v>
      </c>
      <c r="C18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5" s="46"/>
      <c r="E185" s="45" t="str">
        <f aca="false">IF(Tasks[[#This Row],[Task Name]]="","",IF(Tasks[[#This Row],[_Level]]&lt;=OutlineShowLevel,"Yes","No"))</f>
        <v/>
      </c>
      <c r="F185" s="47"/>
      <c r="G185" s="46"/>
      <c r="H185" s="46"/>
      <c r="I185" s="46"/>
      <c r="J185" s="46"/>
      <c r="K185" s="46"/>
      <c r="L185" s="46"/>
      <c r="M185" s="46"/>
      <c r="N185" s="46"/>
      <c r="O185" s="46"/>
      <c r="P185" s="46"/>
      <c r="Q185" s="46"/>
      <c r="R185" s="46"/>
      <c r="S185" s="46"/>
      <c r="T185" s="46"/>
      <c r="U185" s="47"/>
      <c r="V185" s="88"/>
      <c r="W185" s="88"/>
      <c r="X185" s="25" t="str">
        <f aca="false">IF(Tasks[[#This Row],[Task Name]]="","",IF(N(Tasks[[#This Row],[Baseline Start]])&gt;0,Tasks[[#This Row],[Baseline Start]],Tasks[[#This Row],[_CalcStart]]))</f>
        <v/>
      </c>
      <c r="Y185" s="25" t="str">
        <f aca="false">IF(Tasks[[#This Row],[Task Name]]="","",IF(N(Tasks[[#This Row],[Baseline Finish]])&gt;0,Tasks[[#This Row],[Baseline Finish]],Tasks[[#This Row],[_CalcFinish]]))</f>
        <v/>
      </c>
      <c r="Z185" s="88"/>
      <c r="AA185" s="88"/>
      <c r="AB185" s="25" t="str">
        <f aca="false">IF(Tasks[[#This Row],[Task Name]]="","",IF(Tasks[[#This Row],[_IsSummary]],MIN(INDEX(Tasks[_ShownFcstStart],Tasks[[#This Row],[_Row]]+1):INDEX(Tasks[_ShownFcstStart],Tasks[[#This Row],[_Row]]+Tasks[[#This Row],[_Descendants]])),Tasks[[#This Row],[_ShownFcstStart]]))</f>
        <v/>
      </c>
      <c r="AC185" s="25" t="str">
        <f aca="false">IF(Tasks[[#This Row],[Task Name]]="","",IF(Tasks[[#This Row],[_IsSummary]],MAX(INDEX(Tasks[_ShownFcstFinish],Tasks[[#This Row],[_Row]]+1):INDEX(Tasks[_ShownFcstFinish],Tasks[[#This Row],[_Row]]+Tasks[[#This Row],[_Descendants]])),Tasks[[#This Row],[_ShownFcstFinish]]))</f>
        <v/>
      </c>
      <c r="AD18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5" s="25" t="str">
        <f aca="false">IF(Tasks[[#This Row],[Task Name]]="","",IF(Tasks[[#This Row],[_IsSummary]],MIN(INDEX(Tasks[_LeafLateStart],Tasks[[#This Row],[_Row]]+1):INDEX(Tasks[_LeafLateStart],Tasks[[#This Row],[_Row]]+Tasks[[#This Row],[_Descendants]])),Tasks[[#This Row],[_LeafLateStart]]))</f>
        <v/>
      </c>
      <c r="AG185" s="25" t="str">
        <f aca="false">IF(Tasks[[#This Row],[Task Name]]="","",IF(Tasks[[#This Row],[_IsSummary]],MAX(INDEX(Tasks[_LeafLateFinish],Tasks[[#This Row],[_Row]]+1):INDEX(Tasks[_LeafLateFinish],Tasks[[#This Row],[_Row]]+Tasks[[#This Row],[_Descendants]])),Tasks[[#This Row],[_LeafLateFinish]]))</f>
        <v/>
      </c>
      <c r="AH185" s="56" t="str">
        <f aca="false">IF(Tasks[[#This Row],[Task Name]]="","",IF(Tasks[[#This Row],[_IsSummary]],MIN(INDEX(Tasks[_LeafTotalSlack],Tasks[[#This Row],[_Row]]+1):INDEX(Tasks[_LeafTotalSlack],Tasks[[#This Row],[_Row]]+Tasks[[#This Row],[_Descendants]])),Tasks[[#This Row],[_LeafTotalSlack]]))</f>
        <v/>
      </c>
      <c r="AI18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5" s="45" t="str">
        <f aca="false">IF(Tasks[[#This Row],[Task Name]]="","",IF(IF(Tasks[[#This Row],[_IsSummary]],COUNTIF(INDEX(Tasks[_LeafCritical],Tasks[[#This Row],[_Row]]+1):INDEX(Tasks[_LeafCritical],Tasks[[#This Row],[_Row]]+Tasks[[#This Row],[_Descendants]]),TRUE())&gt;0,Tasks[[#This Row],[_LeafCritical]]),"Yes",""))</f>
        <v/>
      </c>
      <c r="AK18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5" s="102"/>
      <c r="AN18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5" s="45" t="str">
        <f aca="false">IF(Tasks[[#This Row],[Task Name]]="","",IF(Tasks[[#This Row],[Progress]]&gt;=1,"Complete",IF(OR(N(Tasks[[#This Row],[Actual Start]])&gt;0,Tasks[[#This Row],[Progress]]&gt;0),IF(Tasks[[#This Row],[Finish Var]]&gt;0,"Behind","In Progress"),IF(Tasks[[#This Row],[Planned Start]]&lt;StatusDate,"Late Start","Not Started"))))</f>
        <v/>
      </c>
      <c r="AP185" s="47"/>
      <c r="AQ185" s="102"/>
      <c r="AR18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5" s="110" t="str">
        <f aca="false">IF(Tasks[[#This Row],[Task Name]]="","",IF(Tasks[[#This Row],[_IsSummary]],SUM(INDEX(Tasks[_LeafTotalWork],Tasks[[#This Row],[_Row]]+1):INDEX(Tasks[_LeafTotalWork],Tasks[[#This Row],[_Row]]+Tasks[[#This Row],[_Descendants]])),Tasks[[#This Row],[_LeafTotalWork]]))</f>
        <v/>
      </c>
      <c r="AU185" s="111" t="str">
        <f aca="false">IF(Tasks[[#This Row],[Task Name]]="","",IF(Tasks[[#This Row],[_IsSummary]],SUM(INDEX(Tasks[_LeafTotalCost],Tasks[[#This Row],[_Row]]+1):INDEX(Tasks[_LeafTotalCost],Tasks[[#This Row],[_Row]]+Tasks[[#This Row],[_Descendants]])),Tasks[[#This Row],[_LeafTotalCost]]))</f>
        <v/>
      </c>
      <c r="AV185" s="112"/>
      <c r="AW185" s="46"/>
      <c r="AX18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5" s="96"/>
      <c r="AZ18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5" s="47"/>
      <c r="BB185" s="25" t="str">
        <f aca="false">IF(Tasks[[#This Row],[Task Name]]="","",Tasks[[#This Row],[Forecast Start]])</f>
        <v/>
      </c>
      <c r="BC185" s="25" t="str">
        <f aca="false">IF(Tasks[[#This Row],[Task Name]]="","",Tasks[[#This Row],[Forecast Finish]])</f>
        <v/>
      </c>
      <c r="BD185" s="45" t="str">
        <f aca="false">IF(Tasks[[#This Row],[Task Name]]="","",IF(Tasks[[#This Row],[_IsSummary]],NETWORKDAYS.INTL(Tasks[[#This Row],[Forecast Start]],Tasks[[#This Row],[Forecast Finish]],WorkWeek,Holidays),N(Tasks[[#This Row],[Duration]])))</f>
        <v/>
      </c>
      <c r="BE185" s="110" t="str">
        <f aca="false">IF(Tasks[[#This Row],[Task Name]]="","",Tasks[[#This Row],[Work]])</f>
        <v/>
      </c>
      <c r="BF185" s="111" t="str">
        <f aca="false">IF(Tasks[[#This Row],[Task Name]]="","",Tasks[[#This Row],[Cost]])</f>
        <v/>
      </c>
      <c r="BG185" s="88"/>
      <c r="BH185" s="88"/>
      <c r="BI185" s="46"/>
      <c r="BJ185" s="113"/>
      <c r="BK185" s="112"/>
      <c r="BL185" s="45" t="str">
        <f aca="false">IF(OR(Tasks[[#This Row],[Task Name]]="",Tasks[[#This Row],[Baseline Duration]]=""),"",Tasks[[#This Row],[BL Source Duration]]-N(Tasks[[#This Row],[Baseline Duration]]))</f>
        <v/>
      </c>
      <c r="BM185" s="110" t="str">
        <f aca="false">IF(OR(Tasks[[#This Row],[Task Name]]="",Tasks[[#This Row],[Baseline Work]]=""),"",Tasks[[#This Row],[Work]]-N(Tasks[[#This Row],[Baseline Work]]))</f>
        <v/>
      </c>
      <c r="BN185" s="111" t="str">
        <f aca="false">IF(OR(Tasks[[#This Row],[Task Name]]="",Tasks[[#This Row],[Baseline Cost]]=""),"",Tasks[[#This Row],[Cost]]-N(Tasks[[#This Row],[Baseline Cost]]))</f>
        <v/>
      </c>
      <c r="BO185" s="111" t="str">
        <f aca="false">IF(Tasks[[#This Row],[Task Name]]="","",IF(Tasks[[#This Row],[_IsSummary]],SUM(INDEX(Tasks[_LeafBudget],Tasks[[#This Row],[_Row]]+1):INDEX(Tasks[_LeafBudget],Tasks[[#This Row],[_Row]]+Tasks[[#This Row],[_Descendants]])),Tasks[[#This Row],[_LeafBudget]]))</f>
        <v/>
      </c>
      <c r="BP185" s="111" t="str">
        <f aca="false">IF(Tasks[[#This Row],[Task Name]]="","",IF(Tasks[[#This Row],[_IsSummary]],SUM(INDEX(Tasks[_LeafPV],Tasks[[#This Row],[_Row]]+1):INDEX(Tasks[_LeafPV],Tasks[[#This Row],[_Row]]+Tasks[[#This Row],[_Descendants]])),Tasks[[#This Row],[_LeafPV]]))</f>
        <v/>
      </c>
      <c r="BQ185" s="111" t="str">
        <f aca="false">IF(Tasks[[#This Row],[Task Name]]="","",IF(Tasks[[#This Row],[_IsSummary]],SUM(INDEX(Tasks[_LeafEV],Tasks[[#This Row],[_Row]]+1):INDEX(Tasks[_LeafEV],Tasks[[#This Row],[_Row]]+Tasks[[#This Row],[_Descendants]])),Tasks[[#This Row],[_LeafEV]]))</f>
        <v/>
      </c>
      <c r="BR185" s="111" t="str">
        <f aca="false">IF(Tasks[[#This Row],[Task Name]]="","",IF(Tasks[[#This Row],[_IsSummary]],SUM(INDEX(Tasks[_LeafAC],Tasks[[#This Row],[_Row]]+1):INDEX(Tasks[_LeafAC],Tasks[[#This Row],[_Row]]+Tasks[[#This Row],[_Descendants]])),Tasks[[#This Row],[_LeafAC]]))</f>
        <v/>
      </c>
      <c r="BS185" s="32" t="str">
        <f aca="false">IF(Tasks[[#This Row],[Task Name]]="","",MAX(1,N(Tasks[[#This Row],[Level]])))</f>
        <v/>
      </c>
      <c r="BT185" s="32" t="n">
        <f aca="false">ROW()-ROW(Tasks[[#Headers],[ID]])</f>
        <v>180</v>
      </c>
      <c r="BU185" s="32" t="n">
        <f aca="false">IF(OR(Tasks[[#This Row],[Task Name]]="",Tasks[[#This Row],[_Level]]&lt;=1),0,IFERROR(LOOKUP(2,1/(Tasks[[#Headers],[_Level]]:Tasks[[#This Row],[_Level]]=Tasks[[#This Row],[_Level]]-1),ROW(Tasks[[#Headers],[_Level]]:Tasks[[#This Row],[_Level]])),0))</f>
        <v>0</v>
      </c>
      <c r="BV185" s="32" t="n">
        <f aca="false">IFERROR(N(INDEX(Tasks[_Level],Tasks[[#This Row],[_Row]]+1)),0)</f>
        <v>0</v>
      </c>
      <c r="BW185" s="114" t="b">
        <f aca="false">AND(Tasks[[#This Row],[Task Name]]&lt;&gt;"",Tasks[[#This Row],[_NextLevel]]&gt;Tasks[[#This Row],[_Level]])</f>
        <v>0</v>
      </c>
      <c r="BX185" s="32" t="n">
        <f aca="false">IF(Tasks[[#This Row],[_IsSummary]],COUNTIF(Tasks[WBS],Tasks[[#This Row],[WBS]]&amp;".*"),0)</f>
        <v>0</v>
      </c>
      <c r="BY185" s="32" t="n">
        <f aca="false">IF(AND(Tasks[[#This Row],[Task Name]]&lt;&gt;"",NOT(Tasks[[#This Row],[_IsSummary]])),1,0)</f>
        <v>0</v>
      </c>
      <c r="BZ185" s="32" t="n">
        <f aca="false">IF(N(Tasks[[#This Row],[Pred1 UID]])=0,0,IFERROR(MATCH(Tasks[[#This Row],[Pred1 UID]],Tasks[UID],0),-1))</f>
        <v>0</v>
      </c>
      <c r="CA185" s="32" t="n">
        <f aca="false">IF(N(Tasks[[#This Row],[Pred2 UID]])=0,0,IFERROR(MATCH(Tasks[[#This Row],[Pred2 UID]],Tasks[UID],0),-1))</f>
        <v>0</v>
      </c>
      <c r="CB185" s="32" t="n">
        <f aca="false">IF(N(Tasks[[#This Row],[Pred3 UID]])=0,0,IFERROR(MATCH(Tasks[[#This Row],[Pred3 UID]],Tasks[UID],0),-1))</f>
        <v>0</v>
      </c>
      <c r="CC185" s="32" t="n">
        <f aca="false">IF(N(Tasks[[#This Row],[Pred4 UID]])=0,0,IFERROR(MATCH(Tasks[[#This Row],[Pred4 UID]],Tasks[UID],0),-1))</f>
        <v>0</v>
      </c>
      <c r="CD18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5" s="115" t="n">
        <f aca="false">IF(OR(Tasks[[#This Row],[_ConstraintCode]]=2,Tasks[[#This Row],[_ConstraintCode]]=3,Tasks[[#This Row],[_ConstraintCode]]=4,Tasks[[#This Row],[_ConstraintCode]]=6),Tasks[[#This Row],[_ConstraintStart]],0)</f>
        <v>0</v>
      </c>
      <c r="CG185" s="115" t="n">
        <f aca="false">IF(OR(Tasks[[#This Row],[_ConstraintCode]]=2,Tasks[[#This Row],[_ConstraintCode]]=3,Tasks[[#This Row],[_ConstraintCode]]=5,Tasks[[#This Row],[_ConstraintCode]]=7),Tasks[[#This Row],[_ConstraintStart]],2958465)</f>
        <v>2958465</v>
      </c>
      <c r="CH18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5" s="115" t="str">
        <f aca="false">IF(NOT(Tasks[[#This Row],[_IsLeaf]]=1),"",IF(N(Tasks[[#This Row],[Duration]])&lt;=0,Tasks[[#This Row],[_LeafCalcStart]],WORKDAY.INTL(Tasks[[#This Row],[_LeafCalcStart]],Tasks[[#This Row],[Duration]]-1,WorkWeek,Holidays)))</f>
        <v/>
      </c>
      <c r="CJ18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5" s="32" t="n">
        <f aca="false">IF(NOT(Tasks[[#This Row],[_IsLeaf]]=1),0,IF(N(Tasks[[#This Row],[Actual Finish]])&gt;0,1,MIN(1,N(Tasks[[#This Row],[% Complete]]))))</f>
        <v>0</v>
      </c>
      <c r="CM185" s="32" t="n">
        <f aca="false">IF(OR(NOT(Tasks[[#This Row],[_IsLeaf]]=1),Tasks[[#This Row],[Resource]]=""),0,N(Tasks[[#This Row],[Duration]])*HoursPerDay*IF(Tasks[[#This Row],[Units]]="",DefaultUnits,Tasks[[#This Row],[Units]]))</f>
        <v>0</v>
      </c>
      <c r="CN185" s="32" t="n">
        <f aca="false">IF(Tasks[[#This Row],[_LeafWork]]=0,0,Tasks[[#This Row],[_LeafWork]]*IFERROR(INDEX(res_Rate,MATCH(Tasks[[#This Row],[Resource]],res_Name,0)),0))</f>
        <v>0</v>
      </c>
      <c r="CO185" s="32" t="n">
        <f aca="false">Tasks[[#This Row],[_LeafWork]]+IF(Tasks[[#This Row],[_IsLeaf]]=1,SUMIFS(asg_Work,asg_TaskUID,Tasks[[#This Row],[UID]],asg_Valid,1),0)</f>
        <v>0</v>
      </c>
      <c r="CP185" s="32" t="n">
        <f aca="false">Tasks[[#This Row],[_LeafCost]]+IF(Tasks[[#This Row],[_IsLeaf]]=1,SUMIFS(asg_Cost,asg_TaskUID,Tasks[[#This Row],[UID]],asg_Valid,1),0)</f>
        <v>0</v>
      </c>
      <c r="CQ185" s="32" t="n">
        <f aca="false">IF(Tasks[[#This Row],[_LeafTotalCost]]=0,Tasks[[#This Row],[_LeafAC]],Tasks[[#This Row],[_LeafAC]]*Tasks[[#This Row],[_LeafCost]]/Tasks[[#This Row],[_LeafTotalCost]])</f>
        <v>0</v>
      </c>
      <c r="CR18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5" s="32" t="n">
        <f aca="false">IF(NOT(Tasks[[#This Row],[_IsLeaf]]=1),0,MAX(_xlfn.MAXIFS(Tasks[_Row],Tasks[Pred1 UID],Tasks[[#This Row],[UID]]),_xlfn.MAXIFS(Tasks[_Row],Tasks[Pred2 UID],Tasks[[#This Row],[UID]]),_xlfn.MAXIFS(Tasks[_Row],Tasks[Pred3 UID],Tasks[[#This Row],[UID]]),_xlfn.MAXIFS(Tasks[_Row],Tasks[Pred4 UID],Tasks[[#This Row],[UID]])))</f>
        <v>0</v>
      </c>
      <c r="DA18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5" s="115" t="str">
        <f aca="false">IF(NOT(Tasks[[#This Row],[_IsLeaf]]=1),"",IF(N(Tasks[[#This Row],[Duration]])&lt;=0,Tasks[[#This Row],[_LeafLateFinish]],WORKDAY.INTL(Tasks[[#This Row],[_LeafLateFinish]],-(Tasks[[#This Row],[Duration]]-1),WorkWeek,Holidays)))</f>
        <v/>
      </c>
      <c r="DD18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5" s="114" t="b">
        <f aca="false">AND(Tasks[[#This Row],[_IsLeaf]]=1,Tasks[[#This Row],[_LeafProgress]]&lt;1,N(Tasks[[#This Row],[_LeafTotalSlack]])&lt;=CriticalSlackDays)</f>
        <v>0</v>
      </c>
      <c r="DF185" s="32" t="n">
        <f aca="false">IF(AND(Tasks[[#This Row],[_IsLeaf]]=1,Tasks[[#This Row],[_ConstraintCode]]=1,Tasks[[#This Row],[Mode]]&lt;&gt;"Manual",N(Tasks[[#This Row],[Actual Start]])=0),MAX(0,N(Tasks[[#This Row],[Free Slack]])),0)</f>
        <v>0</v>
      </c>
      <c r="DG185" s="115" t="str">
        <f aca="false">IF(NOT(Tasks[[#This Row],[_IsLeaf]]=1),"",IF(Tasks[[#This Row],[_AlapShift]]=0,Tasks[[#This Row],[_LeafCalcStart]],WORKDAY.INTL(Tasks[[#This Row],[_LeafCalcStart]],Tasks[[#This Row],[_AlapShift]],WorkWeek,Holidays)))</f>
        <v/>
      </c>
      <c r="DH185" s="115" t="str">
        <f aca="false">IF(NOT(Tasks[[#This Row],[_IsLeaf]]=1),"",IF(Tasks[[#This Row],[_AlapShift]]=0,Tasks[[#This Row],[_LeafCalcFinish]],WORKDAY.INTL(Tasks[[#This Row],[_LeafCalcFinish]],Tasks[[#This Row],[_AlapShift]],WorkWeek,Holidays)))</f>
        <v/>
      </c>
      <c r="DI185" s="115" t="str">
        <f aca="false">IF(NOT(Tasks[[#This Row],[_IsLeaf]]=1),"",IF(Tasks[[#This Row],[_AlapShift]]=0,Tasks[[#This Row],[_LeafFcstStart]],WORKDAY.INTL(Tasks[[#This Row],[_LeafFcstStart]],Tasks[[#This Row],[_AlapShift]],WorkWeek,Holidays)))</f>
        <v/>
      </c>
      <c r="DJ185" s="115" t="str">
        <f aca="false">IF(NOT(Tasks[[#This Row],[_IsLeaf]]=1),"",IF(Tasks[[#This Row],[_AlapShift]]=0,Tasks[[#This Row],[_LeafFcstFinish]],WORKDAY.INTL(Tasks[[#This Row],[_LeafFcstFinish]],Tasks[[#This Row],[_AlapShift]],WorkWeek,Holidays)))</f>
        <v/>
      </c>
      <c r="DK185" s="115" t="str">
        <f aca="false">IF(Tasks[[#This Row],[Task Name]]="","",IF(Tasks[[#This Row],[_IsSummary]],MIN(INDEX(Tasks[_ShownCalcStart],Tasks[[#This Row],[_Row]]+1):INDEX(Tasks[_ShownCalcStart],Tasks[[#This Row],[_Row]]+Tasks[[#This Row],[_Descendants]])),Tasks[[#This Row],[_ShownCalcStart]]))</f>
        <v/>
      </c>
      <c r="DL185" s="115" t="str">
        <f aca="false">IF(Tasks[[#This Row],[Task Name]]="","",IF(Tasks[[#This Row],[_IsSummary]],MAX(INDEX(Tasks[_ShownCalcFinish],Tasks[[#This Row],[_Row]]+1):INDEX(Tasks[_ShownCalcFinish],Tasks[[#This Row],[_Row]]+Tasks[[#This Row],[_Descendants]])),Tasks[[#This Row],[_ShownCalcFinish]]))</f>
        <v/>
      </c>
      <c r="DM18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5" s="32" t="n">
        <f aca="false">IF(AND(Tasks[[#This Row],[_IsLeaf]]=1,Tasks[[#This Row],[_LeafTotalWork]]&gt;0),NETWORKDAYS.INTL(ProjectStart,Tasks[[#This Row],[_ShownFcstStart]],WorkWeek,Holidays),0)</f>
        <v>0</v>
      </c>
      <c r="DZ185" s="32" t="n">
        <f aca="false">IF(AND(Tasks[[#This Row],[_IsLeaf]]=1,Tasks[[#This Row],[_LeafTotalWork]]&gt;0),MAX(Tasks[[#This Row],[_StartWorkday]],NETWORKDAYS.INTL(ProjectStart,Tasks[[#This Row],[_ShownFcstFinish]],WorkWeek,Holidays)),0)</f>
        <v>0</v>
      </c>
      <c r="EA185" s="32" t="n">
        <f aca="false">IF(AND(Tasks[[#This Row],[_IsLeaf]]=1,Tasks[[#This Row],[_LeafTotalWork]]&gt;0),Tasks[[#This Row],[_LeafWork]]/(Tasks[[#This Row],[_FinishWorkday]]-Tasks[[#This Row],[_StartWorkday]]+1),0)</f>
        <v>0</v>
      </c>
      <c r="EB185" s="32" t="n">
        <f aca="false">Tasks[[#This Row],[_WorkPerWorkday]]*(Tasks[[#This Row],[_StartWorkday]]-1)</f>
        <v>-0</v>
      </c>
      <c r="EC185" s="32" t="n">
        <f aca="false">IF(Tasks[[#This Row],[_IsLeaf]]=1,MAX(N(Tasks[[#This Row],[Duration]]),0.1),0)</f>
        <v>0</v>
      </c>
      <c r="ED185" s="32" t="n">
        <f aca="false">Tasks[[#This Row],[_WeightDur]]*Tasks[[#This Row],[_LeafProgress]]</f>
        <v>0</v>
      </c>
      <c r="EE18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5" s="32" t="str">
        <f aca="false">IF(AND(Tasks[[#This Row],[_IsLeaf]]=1,N(Tasks[[#This Row],[Duration]])=0,Tasks[[#This Row],[_LeafProgress]]&lt;1),Tasks[[#This Row],[_ShownFcstFinish]]+Tasks[[#This Row],[_Row]]/100000,"")</f>
        <v/>
      </c>
      <c r="EG18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5" s="32" t="n">
        <f aca="false">IF(NOT(Tasks[[#This Row],[_IsLeaf]]=1),0,IF(Tasks[[#This Row],[Baseline Cost]]="",Tasks[[#This Row],[_LeafTotalCost]],N(Tasks[[#This Row],[Baseline Cost]])))</f>
        <v>0</v>
      </c>
      <c r="EI185" s="32" t="n">
        <f aca="false">Tasks[[#This Row],[_LeafBudget]]*Tasks[[#This Row],[_PlannedPct]]</f>
        <v>0</v>
      </c>
      <c r="EJ185" s="32" t="n">
        <f aca="false">Tasks[[#This Row],[_LeafBudget]]*Tasks[[#This Row],[_LeafProgress]]</f>
        <v>0</v>
      </c>
      <c r="EK185" s="32" t="n">
        <f aca="false">IF(NOT(Tasks[[#This Row],[_IsLeaf]]=1),0,IF(Tasks[[#This Row],[Actual Cost]]="",Tasks[[#This Row],[_LeafTotalCost]]*Tasks[[#This Row],[_LeafProgress]],N(Tasks[[#This Row],[Actual Cost]])))</f>
        <v>0</v>
      </c>
      <c r="EL185" s="32" t="str">
        <f aca="false">IF(Tasks[[#This Row],[Task Name]]="","",LEFT(Tasks[[#This Row],[WBS]],FIND(".",Tasks[[#This Row],[WBS]]&amp;".")-1))</f>
        <v/>
      </c>
      <c r="EM185" s="32" t="str">
        <f aca="false">IF(AND(Tasks[[#This Row],[Task Name]]&lt;&gt;"",Tasks[[#This Row],[_Level]]=1),Tasks[[#This Row],[_Row]],"")</f>
        <v/>
      </c>
      <c r="EN185" s="32" t="str">
        <f aca="false">IF(AND(Tasks[[#This Row],[_IsLeaf]]=1,N(Tasks[[#This Row],[Duration]])=0),Tasks[[#This Row],[Planned Finish]]+Tasks[[#This Row],[_Row]]/100000,"")</f>
        <v/>
      </c>
      <c r="EO185" s="32" t="str">
        <f aca="false">IF(AND(Tasks[[#This Row],[_IsLeaf]]=1,Tasks[[#This Row],[_LeafProgress]]&lt;1,OR(N(Tasks[[#This Row],[Finish Var]])&gt;0,Tasks[[#This Row],[Status]]="Late Start")),MAX(0,Tasks[[#This Row],[Finish Var]])+1-Tasks[[#This Row],[_Row]]/1000000,"")</f>
        <v/>
      </c>
      <c r="EP185" s="32" t="str">
        <f aca="false">IF(AND(Tasks[[#This Row],[_IsLeaf]]=1,N(Tasks[[#This Row],[Actual Start]])=0,Tasks[[#This Row],[_ShownFcstStart]]&gt;=StatusDate,Tasks[[#This Row],[_ShownFcstStart]]&lt;=LookaheadEnd),Tasks[[#This Row],[_ShownFcstStart]]+Tasks[[#This Row],[_Row]]/100000,"")</f>
        <v/>
      </c>
      <c r="EQ185" s="32" t="str">
        <f aca="false">IF(AND(Tasks[[#This Row],[_IsLeaf]]=1,Tasks[[#This Row],[_LeafProgress]]&lt;1,Tasks[[#This Row],[_ShownFcstFinish]]&gt;=StatusDate,Tasks[[#This Row],[_ShownFcstFinish]]&lt;=LookaheadEnd),Tasks[[#This Row],[_ShownFcstFinish]]+Tasks[[#This Row],[_Row]]/100000,"")</f>
        <v/>
      </c>
      <c r="ER185" s="32" t="str">
        <f aca="false">IF(Tasks[[#This Row],[_LeafCritical]],Tasks[[#This Row],[_ShownFcstStart]]+Tasks[[#This Row],[_Row]]/100000,"")</f>
        <v/>
      </c>
      <c r="ES185" s="32" t="n">
        <f aca="false">Tasks[[#This Row],[_LeafWork]]*Tasks[[#This Row],[_LeafProgress]]</f>
        <v>0</v>
      </c>
      <c r="ET185" s="115" t="str">
        <f aca="false">IF(AND(Tasks[[#This Row],[_IsLeaf]]=1,Tasks[[#This Row],[_LeafProgress]]&gt;=1),IF(N(Tasks[[#This Row],[Actual Finish]])&gt;0,Tasks[[#This Row],[Actual Finish]],Tasks[[#This Row],[_ShownFcstFinish]]),"")</f>
        <v/>
      </c>
      <c r="EU185" s="32" t="n">
        <f aca="false">IF(Tasks[[#This Row],[_IsLeaf]]=1,N(Tasks[[#This Row],[Story Points]]),0)</f>
        <v>0</v>
      </c>
      <c r="EV185" s="32" t="str">
        <f aca="false">IF(AND(Tasks[[#This Row],[_IsLeaf]]=1,CurrentSprint&lt;&gt;"",Tasks[[#This Row],[Sprint]]=CurrentSprint),Tasks[[#This Row],[_Row]],"")</f>
        <v/>
      </c>
    </row>
    <row r="186" customFormat="false" ht="15" hidden="false" customHeight="false" outlineLevel="0" collapsed="false">
      <c r="A186" s="45" t="str">
        <f aca="false">IF(Tasks[[#This Row],[Task Name]]="","",COUNTA(Tasks[[#Headers],[Task Name]]:Tasks[[#This Row],[Task Name]])-1)</f>
        <v/>
      </c>
      <c r="B186" s="46" t="n">
        <v>181</v>
      </c>
      <c r="C18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6" s="46"/>
      <c r="E186" s="45" t="str">
        <f aca="false">IF(Tasks[[#This Row],[Task Name]]="","",IF(Tasks[[#This Row],[_Level]]&lt;=OutlineShowLevel,"Yes","No"))</f>
        <v/>
      </c>
      <c r="F186" s="47"/>
      <c r="G186" s="46"/>
      <c r="H186" s="46"/>
      <c r="I186" s="46"/>
      <c r="J186" s="46"/>
      <c r="K186" s="46"/>
      <c r="L186" s="46"/>
      <c r="M186" s="46"/>
      <c r="N186" s="46"/>
      <c r="O186" s="46"/>
      <c r="P186" s="46"/>
      <c r="Q186" s="46"/>
      <c r="R186" s="46"/>
      <c r="S186" s="46"/>
      <c r="T186" s="46"/>
      <c r="U186" s="47"/>
      <c r="V186" s="88"/>
      <c r="W186" s="88"/>
      <c r="X186" s="25" t="str">
        <f aca="false">IF(Tasks[[#This Row],[Task Name]]="","",IF(N(Tasks[[#This Row],[Baseline Start]])&gt;0,Tasks[[#This Row],[Baseline Start]],Tasks[[#This Row],[_CalcStart]]))</f>
        <v/>
      </c>
      <c r="Y186" s="25" t="str">
        <f aca="false">IF(Tasks[[#This Row],[Task Name]]="","",IF(N(Tasks[[#This Row],[Baseline Finish]])&gt;0,Tasks[[#This Row],[Baseline Finish]],Tasks[[#This Row],[_CalcFinish]]))</f>
        <v/>
      </c>
      <c r="Z186" s="88"/>
      <c r="AA186" s="88"/>
      <c r="AB186" s="25" t="str">
        <f aca="false">IF(Tasks[[#This Row],[Task Name]]="","",IF(Tasks[[#This Row],[_IsSummary]],MIN(INDEX(Tasks[_ShownFcstStart],Tasks[[#This Row],[_Row]]+1):INDEX(Tasks[_ShownFcstStart],Tasks[[#This Row],[_Row]]+Tasks[[#This Row],[_Descendants]])),Tasks[[#This Row],[_ShownFcstStart]]))</f>
        <v/>
      </c>
      <c r="AC186" s="25" t="str">
        <f aca="false">IF(Tasks[[#This Row],[Task Name]]="","",IF(Tasks[[#This Row],[_IsSummary]],MAX(INDEX(Tasks[_ShownFcstFinish],Tasks[[#This Row],[_Row]]+1):INDEX(Tasks[_ShownFcstFinish],Tasks[[#This Row],[_Row]]+Tasks[[#This Row],[_Descendants]])),Tasks[[#This Row],[_ShownFcstFinish]]))</f>
        <v/>
      </c>
      <c r="AD18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6" s="25" t="str">
        <f aca="false">IF(Tasks[[#This Row],[Task Name]]="","",IF(Tasks[[#This Row],[_IsSummary]],MIN(INDEX(Tasks[_LeafLateStart],Tasks[[#This Row],[_Row]]+1):INDEX(Tasks[_LeafLateStart],Tasks[[#This Row],[_Row]]+Tasks[[#This Row],[_Descendants]])),Tasks[[#This Row],[_LeafLateStart]]))</f>
        <v/>
      </c>
      <c r="AG186" s="25" t="str">
        <f aca="false">IF(Tasks[[#This Row],[Task Name]]="","",IF(Tasks[[#This Row],[_IsSummary]],MAX(INDEX(Tasks[_LeafLateFinish],Tasks[[#This Row],[_Row]]+1):INDEX(Tasks[_LeafLateFinish],Tasks[[#This Row],[_Row]]+Tasks[[#This Row],[_Descendants]])),Tasks[[#This Row],[_LeafLateFinish]]))</f>
        <v/>
      </c>
      <c r="AH186" s="56" t="str">
        <f aca="false">IF(Tasks[[#This Row],[Task Name]]="","",IF(Tasks[[#This Row],[_IsSummary]],MIN(INDEX(Tasks[_LeafTotalSlack],Tasks[[#This Row],[_Row]]+1):INDEX(Tasks[_LeafTotalSlack],Tasks[[#This Row],[_Row]]+Tasks[[#This Row],[_Descendants]])),Tasks[[#This Row],[_LeafTotalSlack]]))</f>
        <v/>
      </c>
      <c r="AI18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6" s="45" t="str">
        <f aca="false">IF(Tasks[[#This Row],[Task Name]]="","",IF(IF(Tasks[[#This Row],[_IsSummary]],COUNTIF(INDEX(Tasks[_LeafCritical],Tasks[[#This Row],[_Row]]+1):INDEX(Tasks[_LeafCritical],Tasks[[#This Row],[_Row]]+Tasks[[#This Row],[_Descendants]]),TRUE())&gt;0,Tasks[[#This Row],[_LeafCritical]]),"Yes",""))</f>
        <v/>
      </c>
      <c r="AK18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6" s="102"/>
      <c r="AN18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6" s="45" t="str">
        <f aca="false">IF(Tasks[[#This Row],[Task Name]]="","",IF(Tasks[[#This Row],[Progress]]&gt;=1,"Complete",IF(OR(N(Tasks[[#This Row],[Actual Start]])&gt;0,Tasks[[#This Row],[Progress]]&gt;0),IF(Tasks[[#This Row],[Finish Var]]&gt;0,"Behind","In Progress"),IF(Tasks[[#This Row],[Planned Start]]&lt;StatusDate,"Late Start","Not Started"))))</f>
        <v/>
      </c>
      <c r="AP186" s="47"/>
      <c r="AQ186" s="102"/>
      <c r="AR18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6" s="110" t="str">
        <f aca="false">IF(Tasks[[#This Row],[Task Name]]="","",IF(Tasks[[#This Row],[_IsSummary]],SUM(INDEX(Tasks[_LeafTotalWork],Tasks[[#This Row],[_Row]]+1):INDEX(Tasks[_LeafTotalWork],Tasks[[#This Row],[_Row]]+Tasks[[#This Row],[_Descendants]])),Tasks[[#This Row],[_LeafTotalWork]]))</f>
        <v/>
      </c>
      <c r="AU186" s="111" t="str">
        <f aca="false">IF(Tasks[[#This Row],[Task Name]]="","",IF(Tasks[[#This Row],[_IsSummary]],SUM(INDEX(Tasks[_LeafTotalCost],Tasks[[#This Row],[_Row]]+1):INDEX(Tasks[_LeafTotalCost],Tasks[[#This Row],[_Row]]+Tasks[[#This Row],[_Descendants]])),Tasks[[#This Row],[_LeafTotalCost]]))</f>
        <v/>
      </c>
      <c r="AV186" s="112"/>
      <c r="AW186" s="46"/>
      <c r="AX18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6" s="96"/>
      <c r="AZ18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6" s="47"/>
      <c r="BB186" s="25" t="str">
        <f aca="false">IF(Tasks[[#This Row],[Task Name]]="","",Tasks[[#This Row],[Forecast Start]])</f>
        <v/>
      </c>
      <c r="BC186" s="25" t="str">
        <f aca="false">IF(Tasks[[#This Row],[Task Name]]="","",Tasks[[#This Row],[Forecast Finish]])</f>
        <v/>
      </c>
      <c r="BD186" s="45" t="str">
        <f aca="false">IF(Tasks[[#This Row],[Task Name]]="","",IF(Tasks[[#This Row],[_IsSummary]],NETWORKDAYS.INTL(Tasks[[#This Row],[Forecast Start]],Tasks[[#This Row],[Forecast Finish]],WorkWeek,Holidays),N(Tasks[[#This Row],[Duration]])))</f>
        <v/>
      </c>
      <c r="BE186" s="110" t="str">
        <f aca="false">IF(Tasks[[#This Row],[Task Name]]="","",Tasks[[#This Row],[Work]])</f>
        <v/>
      </c>
      <c r="BF186" s="111" t="str">
        <f aca="false">IF(Tasks[[#This Row],[Task Name]]="","",Tasks[[#This Row],[Cost]])</f>
        <v/>
      </c>
      <c r="BG186" s="88"/>
      <c r="BH186" s="88"/>
      <c r="BI186" s="46"/>
      <c r="BJ186" s="113"/>
      <c r="BK186" s="112"/>
      <c r="BL186" s="45" t="str">
        <f aca="false">IF(OR(Tasks[[#This Row],[Task Name]]="",Tasks[[#This Row],[Baseline Duration]]=""),"",Tasks[[#This Row],[BL Source Duration]]-N(Tasks[[#This Row],[Baseline Duration]]))</f>
        <v/>
      </c>
      <c r="BM186" s="110" t="str">
        <f aca="false">IF(OR(Tasks[[#This Row],[Task Name]]="",Tasks[[#This Row],[Baseline Work]]=""),"",Tasks[[#This Row],[Work]]-N(Tasks[[#This Row],[Baseline Work]]))</f>
        <v/>
      </c>
      <c r="BN186" s="111" t="str">
        <f aca="false">IF(OR(Tasks[[#This Row],[Task Name]]="",Tasks[[#This Row],[Baseline Cost]]=""),"",Tasks[[#This Row],[Cost]]-N(Tasks[[#This Row],[Baseline Cost]]))</f>
        <v/>
      </c>
      <c r="BO186" s="111" t="str">
        <f aca="false">IF(Tasks[[#This Row],[Task Name]]="","",IF(Tasks[[#This Row],[_IsSummary]],SUM(INDEX(Tasks[_LeafBudget],Tasks[[#This Row],[_Row]]+1):INDEX(Tasks[_LeafBudget],Tasks[[#This Row],[_Row]]+Tasks[[#This Row],[_Descendants]])),Tasks[[#This Row],[_LeafBudget]]))</f>
        <v/>
      </c>
      <c r="BP186" s="111" t="str">
        <f aca="false">IF(Tasks[[#This Row],[Task Name]]="","",IF(Tasks[[#This Row],[_IsSummary]],SUM(INDEX(Tasks[_LeafPV],Tasks[[#This Row],[_Row]]+1):INDEX(Tasks[_LeafPV],Tasks[[#This Row],[_Row]]+Tasks[[#This Row],[_Descendants]])),Tasks[[#This Row],[_LeafPV]]))</f>
        <v/>
      </c>
      <c r="BQ186" s="111" t="str">
        <f aca="false">IF(Tasks[[#This Row],[Task Name]]="","",IF(Tasks[[#This Row],[_IsSummary]],SUM(INDEX(Tasks[_LeafEV],Tasks[[#This Row],[_Row]]+1):INDEX(Tasks[_LeafEV],Tasks[[#This Row],[_Row]]+Tasks[[#This Row],[_Descendants]])),Tasks[[#This Row],[_LeafEV]]))</f>
        <v/>
      </c>
      <c r="BR186" s="111" t="str">
        <f aca="false">IF(Tasks[[#This Row],[Task Name]]="","",IF(Tasks[[#This Row],[_IsSummary]],SUM(INDEX(Tasks[_LeafAC],Tasks[[#This Row],[_Row]]+1):INDEX(Tasks[_LeafAC],Tasks[[#This Row],[_Row]]+Tasks[[#This Row],[_Descendants]])),Tasks[[#This Row],[_LeafAC]]))</f>
        <v/>
      </c>
      <c r="BS186" s="32" t="str">
        <f aca="false">IF(Tasks[[#This Row],[Task Name]]="","",MAX(1,N(Tasks[[#This Row],[Level]])))</f>
        <v/>
      </c>
      <c r="BT186" s="32" t="n">
        <f aca="false">ROW()-ROW(Tasks[[#Headers],[ID]])</f>
        <v>181</v>
      </c>
      <c r="BU186" s="32" t="n">
        <f aca="false">IF(OR(Tasks[[#This Row],[Task Name]]="",Tasks[[#This Row],[_Level]]&lt;=1),0,IFERROR(LOOKUP(2,1/(Tasks[[#Headers],[_Level]]:Tasks[[#This Row],[_Level]]=Tasks[[#This Row],[_Level]]-1),ROW(Tasks[[#Headers],[_Level]]:Tasks[[#This Row],[_Level]])),0))</f>
        <v>0</v>
      </c>
      <c r="BV186" s="32" t="n">
        <f aca="false">IFERROR(N(INDEX(Tasks[_Level],Tasks[[#This Row],[_Row]]+1)),0)</f>
        <v>0</v>
      </c>
      <c r="BW186" s="114" t="b">
        <f aca="false">AND(Tasks[[#This Row],[Task Name]]&lt;&gt;"",Tasks[[#This Row],[_NextLevel]]&gt;Tasks[[#This Row],[_Level]])</f>
        <v>0</v>
      </c>
      <c r="BX186" s="32" t="n">
        <f aca="false">IF(Tasks[[#This Row],[_IsSummary]],COUNTIF(Tasks[WBS],Tasks[[#This Row],[WBS]]&amp;".*"),0)</f>
        <v>0</v>
      </c>
      <c r="BY186" s="32" t="n">
        <f aca="false">IF(AND(Tasks[[#This Row],[Task Name]]&lt;&gt;"",NOT(Tasks[[#This Row],[_IsSummary]])),1,0)</f>
        <v>0</v>
      </c>
      <c r="BZ186" s="32" t="n">
        <f aca="false">IF(N(Tasks[[#This Row],[Pred1 UID]])=0,0,IFERROR(MATCH(Tasks[[#This Row],[Pred1 UID]],Tasks[UID],0),-1))</f>
        <v>0</v>
      </c>
      <c r="CA186" s="32" t="n">
        <f aca="false">IF(N(Tasks[[#This Row],[Pred2 UID]])=0,0,IFERROR(MATCH(Tasks[[#This Row],[Pred2 UID]],Tasks[UID],0),-1))</f>
        <v>0</v>
      </c>
      <c r="CB186" s="32" t="n">
        <f aca="false">IF(N(Tasks[[#This Row],[Pred3 UID]])=0,0,IFERROR(MATCH(Tasks[[#This Row],[Pred3 UID]],Tasks[UID],0),-1))</f>
        <v>0</v>
      </c>
      <c r="CC186" s="32" t="n">
        <f aca="false">IF(N(Tasks[[#This Row],[Pred4 UID]])=0,0,IFERROR(MATCH(Tasks[[#This Row],[Pred4 UID]],Tasks[UID],0),-1))</f>
        <v>0</v>
      </c>
      <c r="CD18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6" s="115" t="n">
        <f aca="false">IF(OR(Tasks[[#This Row],[_ConstraintCode]]=2,Tasks[[#This Row],[_ConstraintCode]]=3,Tasks[[#This Row],[_ConstraintCode]]=4,Tasks[[#This Row],[_ConstraintCode]]=6),Tasks[[#This Row],[_ConstraintStart]],0)</f>
        <v>0</v>
      </c>
      <c r="CG186" s="115" t="n">
        <f aca="false">IF(OR(Tasks[[#This Row],[_ConstraintCode]]=2,Tasks[[#This Row],[_ConstraintCode]]=3,Tasks[[#This Row],[_ConstraintCode]]=5,Tasks[[#This Row],[_ConstraintCode]]=7),Tasks[[#This Row],[_ConstraintStart]],2958465)</f>
        <v>2958465</v>
      </c>
      <c r="CH18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6" s="115" t="str">
        <f aca="false">IF(NOT(Tasks[[#This Row],[_IsLeaf]]=1),"",IF(N(Tasks[[#This Row],[Duration]])&lt;=0,Tasks[[#This Row],[_LeafCalcStart]],WORKDAY.INTL(Tasks[[#This Row],[_LeafCalcStart]],Tasks[[#This Row],[Duration]]-1,WorkWeek,Holidays)))</f>
        <v/>
      </c>
      <c r="CJ18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6" s="32" t="n">
        <f aca="false">IF(NOT(Tasks[[#This Row],[_IsLeaf]]=1),0,IF(N(Tasks[[#This Row],[Actual Finish]])&gt;0,1,MIN(1,N(Tasks[[#This Row],[% Complete]]))))</f>
        <v>0</v>
      </c>
      <c r="CM186" s="32" t="n">
        <f aca="false">IF(OR(NOT(Tasks[[#This Row],[_IsLeaf]]=1),Tasks[[#This Row],[Resource]]=""),0,N(Tasks[[#This Row],[Duration]])*HoursPerDay*IF(Tasks[[#This Row],[Units]]="",DefaultUnits,Tasks[[#This Row],[Units]]))</f>
        <v>0</v>
      </c>
      <c r="CN186" s="32" t="n">
        <f aca="false">IF(Tasks[[#This Row],[_LeafWork]]=0,0,Tasks[[#This Row],[_LeafWork]]*IFERROR(INDEX(res_Rate,MATCH(Tasks[[#This Row],[Resource]],res_Name,0)),0))</f>
        <v>0</v>
      </c>
      <c r="CO186" s="32" t="n">
        <f aca="false">Tasks[[#This Row],[_LeafWork]]+IF(Tasks[[#This Row],[_IsLeaf]]=1,SUMIFS(asg_Work,asg_TaskUID,Tasks[[#This Row],[UID]],asg_Valid,1),0)</f>
        <v>0</v>
      </c>
      <c r="CP186" s="32" t="n">
        <f aca="false">Tasks[[#This Row],[_LeafCost]]+IF(Tasks[[#This Row],[_IsLeaf]]=1,SUMIFS(asg_Cost,asg_TaskUID,Tasks[[#This Row],[UID]],asg_Valid,1),0)</f>
        <v>0</v>
      </c>
      <c r="CQ186" s="32" t="n">
        <f aca="false">IF(Tasks[[#This Row],[_LeafTotalCost]]=0,Tasks[[#This Row],[_LeafAC]],Tasks[[#This Row],[_LeafAC]]*Tasks[[#This Row],[_LeafCost]]/Tasks[[#This Row],[_LeafTotalCost]])</f>
        <v>0</v>
      </c>
      <c r="CR18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6" s="32" t="n">
        <f aca="false">IF(NOT(Tasks[[#This Row],[_IsLeaf]]=1),0,MAX(_xlfn.MAXIFS(Tasks[_Row],Tasks[Pred1 UID],Tasks[[#This Row],[UID]]),_xlfn.MAXIFS(Tasks[_Row],Tasks[Pred2 UID],Tasks[[#This Row],[UID]]),_xlfn.MAXIFS(Tasks[_Row],Tasks[Pred3 UID],Tasks[[#This Row],[UID]]),_xlfn.MAXIFS(Tasks[_Row],Tasks[Pred4 UID],Tasks[[#This Row],[UID]])))</f>
        <v>0</v>
      </c>
      <c r="DA18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6" s="115" t="str">
        <f aca="false">IF(NOT(Tasks[[#This Row],[_IsLeaf]]=1),"",IF(N(Tasks[[#This Row],[Duration]])&lt;=0,Tasks[[#This Row],[_LeafLateFinish]],WORKDAY.INTL(Tasks[[#This Row],[_LeafLateFinish]],-(Tasks[[#This Row],[Duration]]-1),WorkWeek,Holidays)))</f>
        <v/>
      </c>
      <c r="DD18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6" s="114" t="b">
        <f aca="false">AND(Tasks[[#This Row],[_IsLeaf]]=1,Tasks[[#This Row],[_LeafProgress]]&lt;1,N(Tasks[[#This Row],[_LeafTotalSlack]])&lt;=CriticalSlackDays)</f>
        <v>0</v>
      </c>
      <c r="DF186" s="32" t="n">
        <f aca="false">IF(AND(Tasks[[#This Row],[_IsLeaf]]=1,Tasks[[#This Row],[_ConstraintCode]]=1,Tasks[[#This Row],[Mode]]&lt;&gt;"Manual",N(Tasks[[#This Row],[Actual Start]])=0),MAX(0,N(Tasks[[#This Row],[Free Slack]])),0)</f>
        <v>0</v>
      </c>
      <c r="DG186" s="115" t="str">
        <f aca="false">IF(NOT(Tasks[[#This Row],[_IsLeaf]]=1),"",IF(Tasks[[#This Row],[_AlapShift]]=0,Tasks[[#This Row],[_LeafCalcStart]],WORKDAY.INTL(Tasks[[#This Row],[_LeafCalcStart]],Tasks[[#This Row],[_AlapShift]],WorkWeek,Holidays)))</f>
        <v/>
      </c>
      <c r="DH186" s="115" t="str">
        <f aca="false">IF(NOT(Tasks[[#This Row],[_IsLeaf]]=1),"",IF(Tasks[[#This Row],[_AlapShift]]=0,Tasks[[#This Row],[_LeafCalcFinish]],WORKDAY.INTL(Tasks[[#This Row],[_LeafCalcFinish]],Tasks[[#This Row],[_AlapShift]],WorkWeek,Holidays)))</f>
        <v/>
      </c>
      <c r="DI186" s="115" t="str">
        <f aca="false">IF(NOT(Tasks[[#This Row],[_IsLeaf]]=1),"",IF(Tasks[[#This Row],[_AlapShift]]=0,Tasks[[#This Row],[_LeafFcstStart]],WORKDAY.INTL(Tasks[[#This Row],[_LeafFcstStart]],Tasks[[#This Row],[_AlapShift]],WorkWeek,Holidays)))</f>
        <v/>
      </c>
      <c r="DJ186" s="115" t="str">
        <f aca="false">IF(NOT(Tasks[[#This Row],[_IsLeaf]]=1),"",IF(Tasks[[#This Row],[_AlapShift]]=0,Tasks[[#This Row],[_LeafFcstFinish]],WORKDAY.INTL(Tasks[[#This Row],[_LeafFcstFinish]],Tasks[[#This Row],[_AlapShift]],WorkWeek,Holidays)))</f>
        <v/>
      </c>
      <c r="DK186" s="115" t="str">
        <f aca="false">IF(Tasks[[#This Row],[Task Name]]="","",IF(Tasks[[#This Row],[_IsSummary]],MIN(INDEX(Tasks[_ShownCalcStart],Tasks[[#This Row],[_Row]]+1):INDEX(Tasks[_ShownCalcStart],Tasks[[#This Row],[_Row]]+Tasks[[#This Row],[_Descendants]])),Tasks[[#This Row],[_ShownCalcStart]]))</f>
        <v/>
      </c>
      <c r="DL186" s="115" t="str">
        <f aca="false">IF(Tasks[[#This Row],[Task Name]]="","",IF(Tasks[[#This Row],[_IsSummary]],MAX(INDEX(Tasks[_ShownCalcFinish],Tasks[[#This Row],[_Row]]+1):INDEX(Tasks[_ShownCalcFinish],Tasks[[#This Row],[_Row]]+Tasks[[#This Row],[_Descendants]])),Tasks[[#This Row],[_ShownCalcFinish]]))</f>
        <v/>
      </c>
      <c r="DM18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6" s="32" t="n">
        <f aca="false">IF(AND(Tasks[[#This Row],[_IsLeaf]]=1,Tasks[[#This Row],[_LeafTotalWork]]&gt;0),NETWORKDAYS.INTL(ProjectStart,Tasks[[#This Row],[_ShownFcstStart]],WorkWeek,Holidays),0)</f>
        <v>0</v>
      </c>
      <c r="DZ186" s="32" t="n">
        <f aca="false">IF(AND(Tasks[[#This Row],[_IsLeaf]]=1,Tasks[[#This Row],[_LeafTotalWork]]&gt;0),MAX(Tasks[[#This Row],[_StartWorkday]],NETWORKDAYS.INTL(ProjectStart,Tasks[[#This Row],[_ShownFcstFinish]],WorkWeek,Holidays)),0)</f>
        <v>0</v>
      </c>
      <c r="EA186" s="32" t="n">
        <f aca="false">IF(AND(Tasks[[#This Row],[_IsLeaf]]=1,Tasks[[#This Row],[_LeafTotalWork]]&gt;0),Tasks[[#This Row],[_LeafWork]]/(Tasks[[#This Row],[_FinishWorkday]]-Tasks[[#This Row],[_StartWorkday]]+1),0)</f>
        <v>0</v>
      </c>
      <c r="EB186" s="32" t="n">
        <f aca="false">Tasks[[#This Row],[_WorkPerWorkday]]*(Tasks[[#This Row],[_StartWorkday]]-1)</f>
        <v>-0</v>
      </c>
      <c r="EC186" s="32" t="n">
        <f aca="false">IF(Tasks[[#This Row],[_IsLeaf]]=1,MAX(N(Tasks[[#This Row],[Duration]]),0.1),0)</f>
        <v>0</v>
      </c>
      <c r="ED186" s="32" t="n">
        <f aca="false">Tasks[[#This Row],[_WeightDur]]*Tasks[[#This Row],[_LeafProgress]]</f>
        <v>0</v>
      </c>
      <c r="EE18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6" s="32" t="str">
        <f aca="false">IF(AND(Tasks[[#This Row],[_IsLeaf]]=1,N(Tasks[[#This Row],[Duration]])=0,Tasks[[#This Row],[_LeafProgress]]&lt;1),Tasks[[#This Row],[_ShownFcstFinish]]+Tasks[[#This Row],[_Row]]/100000,"")</f>
        <v/>
      </c>
      <c r="EG18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6" s="32" t="n">
        <f aca="false">IF(NOT(Tasks[[#This Row],[_IsLeaf]]=1),0,IF(Tasks[[#This Row],[Baseline Cost]]="",Tasks[[#This Row],[_LeafTotalCost]],N(Tasks[[#This Row],[Baseline Cost]])))</f>
        <v>0</v>
      </c>
      <c r="EI186" s="32" t="n">
        <f aca="false">Tasks[[#This Row],[_LeafBudget]]*Tasks[[#This Row],[_PlannedPct]]</f>
        <v>0</v>
      </c>
      <c r="EJ186" s="32" t="n">
        <f aca="false">Tasks[[#This Row],[_LeafBudget]]*Tasks[[#This Row],[_LeafProgress]]</f>
        <v>0</v>
      </c>
      <c r="EK186" s="32" t="n">
        <f aca="false">IF(NOT(Tasks[[#This Row],[_IsLeaf]]=1),0,IF(Tasks[[#This Row],[Actual Cost]]="",Tasks[[#This Row],[_LeafTotalCost]]*Tasks[[#This Row],[_LeafProgress]],N(Tasks[[#This Row],[Actual Cost]])))</f>
        <v>0</v>
      </c>
      <c r="EL186" s="32" t="str">
        <f aca="false">IF(Tasks[[#This Row],[Task Name]]="","",LEFT(Tasks[[#This Row],[WBS]],FIND(".",Tasks[[#This Row],[WBS]]&amp;".")-1))</f>
        <v/>
      </c>
      <c r="EM186" s="32" t="str">
        <f aca="false">IF(AND(Tasks[[#This Row],[Task Name]]&lt;&gt;"",Tasks[[#This Row],[_Level]]=1),Tasks[[#This Row],[_Row]],"")</f>
        <v/>
      </c>
      <c r="EN186" s="32" t="str">
        <f aca="false">IF(AND(Tasks[[#This Row],[_IsLeaf]]=1,N(Tasks[[#This Row],[Duration]])=0),Tasks[[#This Row],[Planned Finish]]+Tasks[[#This Row],[_Row]]/100000,"")</f>
        <v/>
      </c>
      <c r="EO186" s="32" t="str">
        <f aca="false">IF(AND(Tasks[[#This Row],[_IsLeaf]]=1,Tasks[[#This Row],[_LeafProgress]]&lt;1,OR(N(Tasks[[#This Row],[Finish Var]])&gt;0,Tasks[[#This Row],[Status]]="Late Start")),MAX(0,Tasks[[#This Row],[Finish Var]])+1-Tasks[[#This Row],[_Row]]/1000000,"")</f>
        <v/>
      </c>
      <c r="EP186" s="32" t="str">
        <f aca="false">IF(AND(Tasks[[#This Row],[_IsLeaf]]=1,N(Tasks[[#This Row],[Actual Start]])=0,Tasks[[#This Row],[_ShownFcstStart]]&gt;=StatusDate,Tasks[[#This Row],[_ShownFcstStart]]&lt;=LookaheadEnd),Tasks[[#This Row],[_ShownFcstStart]]+Tasks[[#This Row],[_Row]]/100000,"")</f>
        <v/>
      </c>
      <c r="EQ186" s="32" t="str">
        <f aca="false">IF(AND(Tasks[[#This Row],[_IsLeaf]]=1,Tasks[[#This Row],[_LeafProgress]]&lt;1,Tasks[[#This Row],[_ShownFcstFinish]]&gt;=StatusDate,Tasks[[#This Row],[_ShownFcstFinish]]&lt;=LookaheadEnd),Tasks[[#This Row],[_ShownFcstFinish]]+Tasks[[#This Row],[_Row]]/100000,"")</f>
        <v/>
      </c>
      <c r="ER186" s="32" t="str">
        <f aca="false">IF(Tasks[[#This Row],[_LeafCritical]],Tasks[[#This Row],[_ShownFcstStart]]+Tasks[[#This Row],[_Row]]/100000,"")</f>
        <v/>
      </c>
      <c r="ES186" s="32" t="n">
        <f aca="false">Tasks[[#This Row],[_LeafWork]]*Tasks[[#This Row],[_LeafProgress]]</f>
        <v>0</v>
      </c>
      <c r="ET186" s="115" t="str">
        <f aca="false">IF(AND(Tasks[[#This Row],[_IsLeaf]]=1,Tasks[[#This Row],[_LeafProgress]]&gt;=1),IF(N(Tasks[[#This Row],[Actual Finish]])&gt;0,Tasks[[#This Row],[Actual Finish]],Tasks[[#This Row],[_ShownFcstFinish]]),"")</f>
        <v/>
      </c>
      <c r="EU186" s="32" t="n">
        <f aca="false">IF(Tasks[[#This Row],[_IsLeaf]]=1,N(Tasks[[#This Row],[Story Points]]),0)</f>
        <v>0</v>
      </c>
      <c r="EV186" s="32" t="str">
        <f aca="false">IF(AND(Tasks[[#This Row],[_IsLeaf]]=1,CurrentSprint&lt;&gt;"",Tasks[[#This Row],[Sprint]]=CurrentSprint),Tasks[[#This Row],[_Row]],"")</f>
        <v/>
      </c>
    </row>
    <row r="187" customFormat="false" ht="15" hidden="false" customHeight="false" outlineLevel="0" collapsed="false">
      <c r="A187" s="45" t="str">
        <f aca="false">IF(Tasks[[#This Row],[Task Name]]="","",COUNTA(Tasks[[#Headers],[Task Name]]:Tasks[[#This Row],[Task Name]])-1)</f>
        <v/>
      </c>
      <c r="B187" s="46" t="n">
        <v>182</v>
      </c>
      <c r="C18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7" s="46"/>
      <c r="E187" s="45" t="str">
        <f aca="false">IF(Tasks[[#This Row],[Task Name]]="","",IF(Tasks[[#This Row],[_Level]]&lt;=OutlineShowLevel,"Yes","No"))</f>
        <v/>
      </c>
      <c r="F187" s="47"/>
      <c r="G187" s="46"/>
      <c r="H187" s="46"/>
      <c r="I187" s="46"/>
      <c r="J187" s="46"/>
      <c r="K187" s="46"/>
      <c r="L187" s="46"/>
      <c r="M187" s="46"/>
      <c r="N187" s="46"/>
      <c r="O187" s="46"/>
      <c r="P187" s="46"/>
      <c r="Q187" s="46"/>
      <c r="R187" s="46"/>
      <c r="S187" s="46"/>
      <c r="T187" s="46"/>
      <c r="U187" s="47"/>
      <c r="V187" s="88"/>
      <c r="W187" s="88"/>
      <c r="X187" s="25" t="str">
        <f aca="false">IF(Tasks[[#This Row],[Task Name]]="","",IF(N(Tasks[[#This Row],[Baseline Start]])&gt;0,Tasks[[#This Row],[Baseline Start]],Tasks[[#This Row],[_CalcStart]]))</f>
        <v/>
      </c>
      <c r="Y187" s="25" t="str">
        <f aca="false">IF(Tasks[[#This Row],[Task Name]]="","",IF(N(Tasks[[#This Row],[Baseline Finish]])&gt;0,Tasks[[#This Row],[Baseline Finish]],Tasks[[#This Row],[_CalcFinish]]))</f>
        <v/>
      </c>
      <c r="Z187" s="88"/>
      <c r="AA187" s="88"/>
      <c r="AB187" s="25" t="str">
        <f aca="false">IF(Tasks[[#This Row],[Task Name]]="","",IF(Tasks[[#This Row],[_IsSummary]],MIN(INDEX(Tasks[_ShownFcstStart],Tasks[[#This Row],[_Row]]+1):INDEX(Tasks[_ShownFcstStart],Tasks[[#This Row],[_Row]]+Tasks[[#This Row],[_Descendants]])),Tasks[[#This Row],[_ShownFcstStart]]))</f>
        <v/>
      </c>
      <c r="AC187" s="25" t="str">
        <f aca="false">IF(Tasks[[#This Row],[Task Name]]="","",IF(Tasks[[#This Row],[_IsSummary]],MAX(INDEX(Tasks[_ShownFcstFinish],Tasks[[#This Row],[_Row]]+1):INDEX(Tasks[_ShownFcstFinish],Tasks[[#This Row],[_Row]]+Tasks[[#This Row],[_Descendants]])),Tasks[[#This Row],[_ShownFcstFinish]]))</f>
        <v/>
      </c>
      <c r="AD18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7" s="25" t="str">
        <f aca="false">IF(Tasks[[#This Row],[Task Name]]="","",IF(Tasks[[#This Row],[_IsSummary]],MIN(INDEX(Tasks[_LeafLateStart],Tasks[[#This Row],[_Row]]+1):INDEX(Tasks[_LeafLateStart],Tasks[[#This Row],[_Row]]+Tasks[[#This Row],[_Descendants]])),Tasks[[#This Row],[_LeafLateStart]]))</f>
        <v/>
      </c>
      <c r="AG187" s="25" t="str">
        <f aca="false">IF(Tasks[[#This Row],[Task Name]]="","",IF(Tasks[[#This Row],[_IsSummary]],MAX(INDEX(Tasks[_LeafLateFinish],Tasks[[#This Row],[_Row]]+1):INDEX(Tasks[_LeafLateFinish],Tasks[[#This Row],[_Row]]+Tasks[[#This Row],[_Descendants]])),Tasks[[#This Row],[_LeafLateFinish]]))</f>
        <v/>
      </c>
      <c r="AH187" s="56" t="str">
        <f aca="false">IF(Tasks[[#This Row],[Task Name]]="","",IF(Tasks[[#This Row],[_IsSummary]],MIN(INDEX(Tasks[_LeafTotalSlack],Tasks[[#This Row],[_Row]]+1):INDEX(Tasks[_LeafTotalSlack],Tasks[[#This Row],[_Row]]+Tasks[[#This Row],[_Descendants]])),Tasks[[#This Row],[_LeafTotalSlack]]))</f>
        <v/>
      </c>
      <c r="AI18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7" s="45" t="str">
        <f aca="false">IF(Tasks[[#This Row],[Task Name]]="","",IF(IF(Tasks[[#This Row],[_IsSummary]],COUNTIF(INDEX(Tasks[_LeafCritical],Tasks[[#This Row],[_Row]]+1):INDEX(Tasks[_LeafCritical],Tasks[[#This Row],[_Row]]+Tasks[[#This Row],[_Descendants]]),TRUE())&gt;0,Tasks[[#This Row],[_LeafCritical]]),"Yes",""))</f>
        <v/>
      </c>
      <c r="AK18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7" s="102"/>
      <c r="AN18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7" s="45" t="str">
        <f aca="false">IF(Tasks[[#This Row],[Task Name]]="","",IF(Tasks[[#This Row],[Progress]]&gt;=1,"Complete",IF(OR(N(Tasks[[#This Row],[Actual Start]])&gt;0,Tasks[[#This Row],[Progress]]&gt;0),IF(Tasks[[#This Row],[Finish Var]]&gt;0,"Behind","In Progress"),IF(Tasks[[#This Row],[Planned Start]]&lt;StatusDate,"Late Start","Not Started"))))</f>
        <v/>
      </c>
      <c r="AP187" s="47"/>
      <c r="AQ187" s="102"/>
      <c r="AR18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7" s="110" t="str">
        <f aca="false">IF(Tasks[[#This Row],[Task Name]]="","",IF(Tasks[[#This Row],[_IsSummary]],SUM(INDEX(Tasks[_LeafTotalWork],Tasks[[#This Row],[_Row]]+1):INDEX(Tasks[_LeafTotalWork],Tasks[[#This Row],[_Row]]+Tasks[[#This Row],[_Descendants]])),Tasks[[#This Row],[_LeafTotalWork]]))</f>
        <v/>
      </c>
      <c r="AU187" s="111" t="str">
        <f aca="false">IF(Tasks[[#This Row],[Task Name]]="","",IF(Tasks[[#This Row],[_IsSummary]],SUM(INDEX(Tasks[_LeafTotalCost],Tasks[[#This Row],[_Row]]+1):INDEX(Tasks[_LeafTotalCost],Tasks[[#This Row],[_Row]]+Tasks[[#This Row],[_Descendants]])),Tasks[[#This Row],[_LeafTotalCost]]))</f>
        <v/>
      </c>
      <c r="AV187" s="112"/>
      <c r="AW187" s="46"/>
      <c r="AX18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7" s="96"/>
      <c r="AZ18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7" s="47"/>
      <c r="BB187" s="25" t="str">
        <f aca="false">IF(Tasks[[#This Row],[Task Name]]="","",Tasks[[#This Row],[Forecast Start]])</f>
        <v/>
      </c>
      <c r="BC187" s="25" t="str">
        <f aca="false">IF(Tasks[[#This Row],[Task Name]]="","",Tasks[[#This Row],[Forecast Finish]])</f>
        <v/>
      </c>
      <c r="BD187" s="45" t="str">
        <f aca="false">IF(Tasks[[#This Row],[Task Name]]="","",IF(Tasks[[#This Row],[_IsSummary]],NETWORKDAYS.INTL(Tasks[[#This Row],[Forecast Start]],Tasks[[#This Row],[Forecast Finish]],WorkWeek,Holidays),N(Tasks[[#This Row],[Duration]])))</f>
        <v/>
      </c>
      <c r="BE187" s="110" t="str">
        <f aca="false">IF(Tasks[[#This Row],[Task Name]]="","",Tasks[[#This Row],[Work]])</f>
        <v/>
      </c>
      <c r="BF187" s="111" t="str">
        <f aca="false">IF(Tasks[[#This Row],[Task Name]]="","",Tasks[[#This Row],[Cost]])</f>
        <v/>
      </c>
      <c r="BG187" s="88"/>
      <c r="BH187" s="88"/>
      <c r="BI187" s="46"/>
      <c r="BJ187" s="113"/>
      <c r="BK187" s="112"/>
      <c r="BL187" s="45" t="str">
        <f aca="false">IF(OR(Tasks[[#This Row],[Task Name]]="",Tasks[[#This Row],[Baseline Duration]]=""),"",Tasks[[#This Row],[BL Source Duration]]-N(Tasks[[#This Row],[Baseline Duration]]))</f>
        <v/>
      </c>
      <c r="BM187" s="110" t="str">
        <f aca="false">IF(OR(Tasks[[#This Row],[Task Name]]="",Tasks[[#This Row],[Baseline Work]]=""),"",Tasks[[#This Row],[Work]]-N(Tasks[[#This Row],[Baseline Work]]))</f>
        <v/>
      </c>
      <c r="BN187" s="111" t="str">
        <f aca="false">IF(OR(Tasks[[#This Row],[Task Name]]="",Tasks[[#This Row],[Baseline Cost]]=""),"",Tasks[[#This Row],[Cost]]-N(Tasks[[#This Row],[Baseline Cost]]))</f>
        <v/>
      </c>
      <c r="BO187" s="111" t="str">
        <f aca="false">IF(Tasks[[#This Row],[Task Name]]="","",IF(Tasks[[#This Row],[_IsSummary]],SUM(INDEX(Tasks[_LeafBudget],Tasks[[#This Row],[_Row]]+1):INDEX(Tasks[_LeafBudget],Tasks[[#This Row],[_Row]]+Tasks[[#This Row],[_Descendants]])),Tasks[[#This Row],[_LeafBudget]]))</f>
        <v/>
      </c>
      <c r="BP187" s="111" t="str">
        <f aca="false">IF(Tasks[[#This Row],[Task Name]]="","",IF(Tasks[[#This Row],[_IsSummary]],SUM(INDEX(Tasks[_LeafPV],Tasks[[#This Row],[_Row]]+1):INDEX(Tasks[_LeafPV],Tasks[[#This Row],[_Row]]+Tasks[[#This Row],[_Descendants]])),Tasks[[#This Row],[_LeafPV]]))</f>
        <v/>
      </c>
      <c r="BQ187" s="111" t="str">
        <f aca="false">IF(Tasks[[#This Row],[Task Name]]="","",IF(Tasks[[#This Row],[_IsSummary]],SUM(INDEX(Tasks[_LeafEV],Tasks[[#This Row],[_Row]]+1):INDEX(Tasks[_LeafEV],Tasks[[#This Row],[_Row]]+Tasks[[#This Row],[_Descendants]])),Tasks[[#This Row],[_LeafEV]]))</f>
        <v/>
      </c>
      <c r="BR187" s="111" t="str">
        <f aca="false">IF(Tasks[[#This Row],[Task Name]]="","",IF(Tasks[[#This Row],[_IsSummary]],SUM(INDEX(Tasks[_LeafAC],Tasks[[#This Row],[_Row]]+1):INDEX(Tasks[_LeafAC],Tasks[[#This Row],[_Row]]+Tasks[[#This Row],[_Descendants]])),Tasks[[#This Row],[_LeafAC]]))</f>
        <v/>
      </c>
      <c r="BS187" s="32" t="str">
        <f aca="false">IF(Tasks[[#This Row],[Task Name]]="","",MAX(1,N(Tasks[[#This Row],[Level]])))</f>
        <v/>
      </c>
      <c r="BT187" s="32" t="n">
        <f aca="false">ROW()-ROW(Tasks[[#Headers],[ID]])</f>
        <v>182</v>
      </c>
      <c r="BU187" s="32" t="n">
        <f aca="false">IF(OR(Tasks[[#This Row],[Task Name]]="",Tasks[[#This Row],[_Level]]&lt;=1),0,IFERROR(LOOKUP(2,1/(Tasks[[#Headers],[_Level]]:Tasks[[#This Row],[_Level]]=Tasks[[#This Row],[_Level]]-1),ROW(Tasks[[#Headers],[_Level]]:Tasks[[#This Row],[_Level]])),0))</f>
        <v>0</v>
      </c>
      <c r="BV187" s="32" t="n">
        <f aca="false">IFERROR(N(INDEX(Tasks[_Level],Tasks[[#This Row],[_Row]]+1)),0)</f>
        <v>0</v>
      </c>
      <c r="BW187" s="114" t="b">
        <f aca="false">AND(Tasks[[#This Row],[Task Name]]&lt;&gt;"",Tasks[[#This Row],[_NextLevel]]&gt;Tasks[[#This Row],[_Level]])</f>
        <v>0</v>
      </c>
      <c r="BX187" s="32" t="n">
        <f aca="false">IF(Tasks[[#This Row],[_IsSummary]],COUNTIF(Tasks[WBS],Tasks[[#This Row],[WBS]]&amp;".*"),0)</f>
        <v>0</v>
      </c>
      <c r="BY187" s="32" t="n">
        <f aca="false">IF(AND(Tasks[[#This Row],[Task Name]]&lt;&gt;"",NOT(Tasks[[#This Row],[_IsSummary]])),1,0)</f>
        <v>0</v>
      </c>
      <c r="BZ187" s="32" t="n">
        <f aca="false">IF(N(Tasks[[#This Row],[Pred1 UID]])=0,0,IFERROR(MATCH(Tasks[[#This Row],[Pred1 UID]],Tasks[UID],0),-1))</f>
        <v>0</v>
      </c>
      <c r="CA187" s="32" t="n">
        <f aca="false">IF(N(Tasks[[#This Row],[Pred2 UID]])=0,0,IFERROR(MATCH(Tasks[[#This Row],[Pred2 UID]],Tasks[UID],0),-1))</f>
        <v>0</v>
      </c>
      <c r="CB187" s="32" t="n">
        <f aca="false">IF(N(Tasks[[#This Row],[Pred3 UID]])=0,0,IFERROR(MATCH(Tasks[[#This Row],[Pred3 UID]],Tasks[UID],0),-1))</f>
        <v>0</v>
      </c>
      <c r="CC187" s="32" t="n">
        <f aca="false">IF(N(Tasks[[#This Row],[Pred4 UID]])=0,0,IFERROR(MATCH(Tasks[[#This Row],[Pred4 UID]],Tasks[UID],0),-1))</f>
        <v>0</v>
      </c>
      <c r="CD18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7" s="115" t="n">
        <f aca="false">IF(OR(Tasks[[#This Row],[_ConstraintCode]]=2,Tasks[[#This Row],[_ConstraintCode]]=3,Tasks[[#This Row],[_ConstraintCode]]=4,Tasks[[#This Row],[_ConstraintCode]]=6),Tasks[[#This Row],[_ConstraintStart]],0)</f>
        <v>0</v>
      </c>
      <c r="CG187" s="115" t="n">
        <f aca="false">IF(OR(Tasks[[#This Row],[_ConstraintCode]]=2,Tasks[[#This Row],[_ConstraintCode]]=3,Tasks[[#This Row],[_ConstraintCode]]=5,Tasks[[#This Row],[_ConstraintCode]]=7),Tasks[[#This Row],[_ConstraintStart]],2958465)</f>
        <v>2958465</v>
      </c>
      <c r="CH18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7" s="115" t="str">
        <f aca="false">IF(NOT(Tasks[[#This Row],[_IsLeaf]]=1),"",IF(N(Tasks[[#This Row],[Duration]])&lt;=0,Tasks[[#This Row],[_LeafCalcStart]],WORKDAY.INTL(Tasks[[#This Row],[_LeafCalcStart]],Tasks[[#This Row],[Duration]]-1,WorkWeek,Holidays)))</f>
        <v/>
      </c>
      <c r="CJ18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7" s="32" t="n">
        <f aca="false">IF(NOT(Tasks[[#This Row],[_IsLeaf]]=1),0,IF(N(Tasks[[#This Row],[Actual Finish]])&gt;0,1,MIN(1,N(Tasks[[#This Row],[% Complete]]))))</f>
        <v>0</v>
      </c>
      <c r="CM187" s="32" t="n">
        <f aca="false">IF(OR(NOT(Tasks[[#This Row],[_IsLeaf]]=1),Tasks[[#This Row],[Resource]]=""),0,N(Tasks[[#This Row],[Duration]])*HoursPerDay*IF(Tasks[[#This Row],[Units]]="",DefaultUnits,Tasks[[#This Row],[Units]]))</f>
        <v>0</v>
      </c>
      <c r="CN187" s="32" t="n">
        <f aca="false">IF(Tasks[[#This Row],[_LeafWork]]=0,0,Tasks[[#This Row],[_LeafWork]]*IFERROR(INDEX(res_Rate,MATCH(Tasks[[#This Row],[Resource]],res_Name,0)),0))</f>
        <v>0</v>
      </c>
      <c r="CO187" s="32" t="n">
        <f aca="false">Tasks[[#This Row],[_LeafWork]]+IF(Tasks[[#This Row],[_IsLeaf]]=1,SUMIFS(asg_Work,asg_TaskUID,Tasks[[#This Row],[UID]],asg_Valid,1),0)</f>
        <v>0</v>
      </c>
      <c r="CP187" s="32" t="n">
        <f aca="false">Tasks[[#This Row],[_LeafCost]]+IF(Tasks[[#This Row],[_IsLeaf]]=1,SUMIFS(asg_Cost,asg_TaskUID,Tasks[[#This Row],[UID]],asg_Valid,1),0)</f>
        <v>0</v>
      </c>
      <c r="CQ187" s="32" t="n">
        <f aca="false">IF(Tasks[[#This Row],[_LeafTotalCost]]=0,Tasks[[#This Row],[_LeafAC]],Tasks[[#This Row],[_LeafAC]]*Tasks[[#This Row],[_LeafCost]]/Tasks[[#This Row],[_LeafTotalCost]])</f>
        <v>0</v>
      </c>
      <c r="CR18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7" s="32" t="n">
        <f aca="false">IF(NOT(Tasks[[#This Row],[_IsLeaf]]=1),0,MAX(_xlfn.MAXIFS(Tasks[_Row],Tasks[Pred1 UID],Tasks[[#This Row],[UID]]),_xlfn.MAXIFS(Tasks[_Row],Tasks[Pred2 UID],Tasks[[#This Row],[UID]]),_xlfn.MAXIFS(Tasks[_Row],Tasks[Pred3 UID],Tasks[[#This Row],[UID]]),_xlfn.MAXIFS(Tasks[_Row],Tasks[Pred4 UID],Tasks[[#This Row],[UID]])))</f>
        <v>0</v>
      </c>
      <c r="DA18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7" s="115" t="str">
        <f aca="false">IF(NOT(Tasks[[#This Row],[_IsLeaf]]=1),"",IF(N(Tasks[[#This Row],[Duration]])&lt;=0,Tasks[[#This Row],[_LeafLateFinish]],WORKDAY.INTL(Tasks[[#This Row],[_LeafLateFinish]],-(Tasks[[#This Row],[Duration]]-1),WorkWeek,Holidays)))</f>
        <v/>
      </c>
      <c r="DD18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7" s="114" t="b">
        <f aca="false">AND(Tasks[[#This Row],[_IsLeaf]]=1,Tasks[[#This Row],[_LeafProgress]]&lt;1,N(Tasks[[#This Row],[_LeafTotalSlack]])&lt;=CriticalSlackDays)</f>
        <v>0</v>
      </c>
      <c r="DF187" s="32" t="n">
        <f aca="false">IF(AND(Tasks[[#This Row],[_IsLeaf]]=1,Tasks[[#This Row],[_ConstraintCode]]=1,Tasks[[#This Row],[Mode]]&lt;&gt;"Manual",N(Tasks[[#This Row],[Actual Start]])=0),MAX(0,N(Tasks[[#This Row],[Free Slack]])),0)</f>
        <v>0</v>
      </c>
      <c r="DG187" s="115" t="str">
        <f aca="false">IF(NOT(Tasks[[#This Row],[_IsLeaf]]=1),"",IF(Tasks[[#This Row],[_AlapShift]]=0,Tasks[[#This Row],[_LeafCalcStart]],WORKDAY.INTL(Tasks[[#This Row],[_LeafCalcStart]],Tasks[[#This Row],[_AlapShift]],WorkWeek,Holidays)))</f>
        <v/>
      </c>
      <c r="DH187" s="115" t="str">
        <f aca="false">IF(NOT(Tasks[[#This Row],[_IsLeaf]]=1),"",IF(Tasks[[#This Row],[_AlapShift]]=0,Tasks[[#This Row],[_LeafCalcFinish]],WORKDAY.INTL(Tasks[[#This Row],[_LeafCalcFinish]],Tasks[[#This Row],[_AlapShift]],WorkWeek,Holidays)))</f>
        <v/>
      </c>
      <c r="DI187" s="115" t="str">
        <f aca="false">IF(NOT(Tasks[[#This Row],[_IsLeaf]]=1),"",IF(Tasks[[#This Row],[_AlapShift]]=0,Tasks[[#This Row],[_LeafFcstStart]],WORKDAY.INTL(Tasks[[#This Row],[_LeafFcstStart]],Tasks[[#This Row],[_AlapShift]],WorkWeek,Holidays)))</f>
        <v/>
      </c>
      <c r="DJ187" s="115" t="str">
        <f aca="false">IF(NOT(Tasks[[#This Row],[_IsLeaf]]=1),"",IF(Tasks[[#This Row],[_AlapShift]]=0,Tasks[[#This Row],[_LeafFcstFinish]],WORKDAY.INTL(Tasks[[#This Row],[_LeafFcstFinish]],Tasks[[#This Row],[_AlapShift]],WorkWeek,Holidays)))</f>
        <v/>
      </c>
      <c r="DK187" s="115" t="str">
        <f aca="false">IF(Tasks[[#This Row],[Task Name]]="","",IF(Tasks[[#This Row],[_IsSummary]],MIN(INDEX(Tasks[_ShownCalcStart],Tasks[[#This Row],[_Row]]+1):INDEX(Tasks[_ShownCalcStart],Tasks[[#This Row],[_Row]]+Tasks[[#This Row],[_Descendants]])),Tasks[[#This Row],[_ShownCalcStart]]))</f>
        <v/>
      </c>
      <c r="DL187" s="115" t="str">
        <f aca="false">IF(Tasks[[#This Row],[Task Name]]="","",IF(Tasks[[#This Row],[_IsSummary]],MAX(INDEX(Tasks[_ShownCalcFinish],Tasks[[#This Row],[_Row]]+1):INDEX(Tasks[_ShownCalcFinish],Tasks[[#This Row],[_Row]]+Tasks[[#This Row],[_Descendants]])),Tasks[[#This Row],[_ShownCalcFinish]]))</f>
        <v/>
      </c>
      <c r="DM18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7" s="32" t="n">
        <f aca="false">IF(AND(Tasks[[#This Row],[_IsLeaf]]=1,Tasks[[#This Row],[_LeafTotalWork]]&gt;0),NETWORKDAYS.INTL(ProjectStart,Tasks[[#This Row],[_ShownFcstStart]],WorkWeek,Holidays),0)</f>
        <v>0</v>
      </c>
      <c r="DZ187" s="32" t="n">
        <f aca="false">IF(AND(Tasks[[#This Row],[_IsLeaf]]=1,Tasks[[#This Row],[_LeafTotalWork]]&gt;0),MAX(Tasks[[#This Row],[_StartWorkday]],NETWORKDAYS.INTL(ProjectStart,Tasks[[#This Row],[_ShownFcstFinish]],WorkWeek,Holidays)),0)</f>
        <v>0</v>
      </c>
      <c r="EA187" s="32" t="n">
        <f aca="false">IF(AND(Tasks[[#This Row],[_IsLeaf]]=1,Tasks[[#This Row],[_LeafTotalWork]]&gt;0),Tasks[[#This Row],[_LeafWork]]/(Tasks[[#This Row],[_FinishWorkday]]-Tasks[[#This Row],[_StartWorkday]]+1),0)</f>
        <v>0</v>
      </c>
      <c r="EB187" s="32" t="n">
        <f aca="false">Tasks[[#This Row],[_WorkPerWorkday]]*(Tasks[[#This Row],[_StartWorkday]]-1)</f>
        <v>-0</v>
      </c>
      <c r="EC187" s="32" t="n">
        <f aca="false">IF(Tasks[[#This Row],[_IsLeaf]]=1,MAX(N(Tasks[[#This Row],[Duration]]),0.1),0)</f>
        <v>0</v>
      </c>
      <c r="ED187" s="32" t="n">
        <f aca="false">Tasks[[#This Row],[_WeightDur]]*Tasks[[#This Row],[_LeafProgress]]</f>
        <v>0</v>
      </c>
      <c r="EE18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7" s="32" t="str">
        <f aca="false">IF(AND(Tasks[[#This Row],[_IsLeaf]]=1,N(Tasks[[#This Row],[Duration]])=0,Tasks[[#This Row],[_LeafProgress]]&lt;1),Tasks[[#This Row],[_ShownFcstFinish]]+Tasks[[#This Row],[_Row]]/100000,"")</f>
        <v/>
      </c>
      <c r="EG18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7" s="32" t="n">
        <f aca="false">IF(NOT(Tasks[[#This Row],[_IsLeaf]]=1),0,IF(Tasks[[#This Row],[Baseline Cost]]="",Tasks[[#This Row],[_LeafTotalCost]],N(Tasks[[#This Row],[Baseline Cost]])))</f>
        <v>0</v>
      </c>
      <c r="EI187" s="32" t="n">
        <f aca="false">Tasks[[#This Row],[_LeafBudget]]*Tasks[[#This Row],[_PlannedPct]]</f>
        <v>0</v>
      </c>
      <c r="EJ187" s="32" t="n">
        <f aca="false">Tasks[[#This Row],[_LeafBudget]]*Tasks[[#This Row],[_LeafProgress]]</f>
        <v>0</v>
      </c>
      <c r="EK187" s="32" t="n">
        <f aca="false">IF(NOT(Tasks[[#This Row],[_IsLeaf]]=1),0,IF(Tasks[[#This Row],[Actual Cost]]="",Tasks[[#This Row],[_LeafTotalCost]]*Tasks[[#This Row],[_LeafProgress]],N(Tasks[[#This Row],[Actual Cost]])))</f>
        <v>0</v>
      </c>
      <c r="EL187" s="32" t="str">
        <f aca="false">IF(Tasks[[#This Row],[Task Name]]="","",LEFT(Tasks[[#This Row],[WBS]],FIND(".",Tasks[[#This Row],[WBS]]&amp;".")-1))</f>
        <v/>
      </c>
      <c r="EM187" s="32" t="str">
        <f aca="false">IF(AND(Tasks[[#This Row],[Task Name]]&lt;&gt;"",Tasks[[#This Row],[_Level]]=1),Tasks[[#This Row],[_Row]],"")</f>
        <v/>
      </c>
      <c r="EN187" s="32" t="str">
        <f aca="false">IF(AND(Tasks[[#This Row],[_IsLeaf]]=1,N(Tasks[[#This Row],[Duration]])=0),Tasks[[#This Row],[Planned Finish]]+Tasks[[#This Row],[_Row]]/100000,"")</f>
        <v/>
      </c>
      <c r="EO187" s="32" t="str">
        <f aca="false">IF(AND(Tasks[[#This Row],[_IsLeaf]]=1,Tasks[[#This Row],[_LeafProgress]]&lt;1,OR(N(Tasks[[#This Row],[Finish Var]])&gt;0,Tasks[[#This Row],[Status]]="Late Start")),MAX(0,Tasks[[#This Row],[Finish Var]])+1-Tasks[[#This Row],[_Row]]/1000000,"")</f>
        <v/>
      </c>
      <c r="EP187" s="32" t="str">
        <f aca="false">IF(AND(Tasks[[#This Row],[_IsLeaf]]=1,N(Tasks[[#This Row],[Actual Start]])=0,Tasks[[#This Row],[_ShownFcstStart]]&gt;=StatusDate,Tasks[[#This Row],[_ShownFcstStart]]&lt;=LookaheadEnd),Tasks[[#This Row],[_ShownFcstStart]]+Tasks[[#This Row],[_Row]]/100000,"")</f>
        <v/>
      </c>
      <c r="EQ187" s="32" t="str">
        <f aca="false">IF(AND(Tasks[[#This Row],[_IsLeaf]]=1,Tasks[[#This Row],[_LeafProgress]]&lt;1,Tasks[[#This Row],[_ShownFcstFinish]]&gt;=StatusDate,Tasks[[#This Row],[_ShownFcstFinish]]&lt;=LookaheadEnd),Tasks[[#This Row],[_ShownFcstFinish]]+Tasks[[#This Row],[_Row]]/100000,"")</f>
        <v/>
      </c>
      <c r="ER187" s="32" t="str">
        <f aca="false">IF(Tasks[[#This Row],[_LeafCritical]],Tasks[[#This Row],[_ShownFcstStart]]+Tasks[[#This Row],[_Row]]/100000,"")</f>
        <v/>
      </c>
      <c r="ES187" s="32" t="n">
        <f aca="false">Tasks[[#This Row],[_LeafWork]]*Tasks[[#This Row],[_LeafProgress]]</f>
        <v>0</v>
      </c>
      <c r="ET187" s="115" t="str">
        <f aca="false">IF(AND(Tasks[[#This Row],[_IsLeaf]]=1,Tasks[[#This Row],[_LeafProgress]]&gt;=1),IF(N(Tasks[[#This Row],[Actual Finish]])&gt;0,Tasks[[#This Row],[Actual Finish]],Tasks[[#This Row],[_ShownFcstFinish]]),"")</f>
        <v/>
      </c>
      <c r="EU187" s="32" t="n">
        <f aca="false">IF(Tasks[[#This Row],[_IsLeaf]]=1,N(Tasks[[#This Row],[Story Points]]),0)</f>
        <v>0</v>
      </c>
      <c r="EV187" s="32" t="str">
        <f aca="false">IF(AND(Tasks[[#This Row],[_IsLeaf]]=1,CurrentSprint&lt;&gt;"",Tasks[[#This Row],[Sprint]]=CurrentSprint),Tasks[[#This Row],[_Row]],"")</f>
        <v/>
      </c>
    </row>
    <row r="188" customFormat="false" ht="15" hidden="false" customHeight="false" outlineLevel="0" collapsed="false">
      <c r="A188" s="45" t="str">
        <f aca="false">IF(Tasks[[#This Row],[Task Name]]="","",COUNTA(Tasks[[#Headers],[Task Name]]:Tasks[[#This Row],[Task Name]])-1)</f>
        <v/>
      </c>
      <c r="B188" s="46" t="n">
        <v>183</v>
      </c>
      <c r="C18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8" s="46"/>
      <c r="E188" s="45" t="str">
        <f aca="false">IF(Tasks[[#This Row],[Task Name]]="","",IF(Tasks[[#This Row],[_Level]]&lt;=OutlineShowLevel,"Yes","No"))</f>
        <v/>
      </c>
      <c r="F188" s="47"/>
      <c r="G188" s="46"/>
      <c r="H188" s="46"/>
      <c r="I188" s="46"/>
      <c r="J188" s="46"/>
      <c r="K188" s="46"/>
      <c r="L188" s="46"/>
      <c r="M188" s="46"/>
      <c r="N188" s="46"/>
      <c r="O188" s="46"/>
      <c r="P188" s="46"/>
      <c r="Q188" s="46"/>
      <c r="R188" s="46"/>
      <c r="S188" s="46"/>
      <c r="T188" s="46"/>
      <c r="U188" s="47"/>
      <c r="V188" s="88"/>
      <c r="W188" s="88"/>
      <c r="X188" s="25" t="str">
        <f aca="false">IF(Tasks[[#This Row],[Task Name]]="","",IF(N(Tasks[[#This Row],[Baseline Start]])&gt;0,Tasks[[#This Row],[Baseline Start]],Tasks[[#This Row],[_CalcStart]]))</f>
        <v/>
      </c>
      <c r="Y188" s="25" t="str">
        <f aca="false">IF(Tasks[[#This Row],[Task Name]]="","",IF(N(Tasks[[#This Row],[Baseline Finish]])&gt;0,Tasks[[#This Row],[Baseline Finish]],Tasks[[#This Row],[_CalcFinish]]))</f>
        <v/>
      </c>
      <c r="Z188" s="88"/>
      <c r="AA188" s="88"/>
      <c r="AB188" s="25" t="str">
        <f aca="false">IF(Tasks[[#This Row],[Task Name]]="","",IF(Tasks[[#This Row],[_IsSummary]],MIN(INDEX(Tasks[_ShownFcstStart],Tasks[[#This Row],[_Row]]+1):INDEX(Tasks[_ShownFcstStart],Tasks[[#This Row],[_Row]]+Tasks[[#This Row],[_Descendants]])),Tasks[[#This Row],[_ShownFcstStart]]))</f>
        <v/>
      </c>
      <c r="AC188" s="25" t="str">
        <f aca="false">IF(Tasks[[#This Row],[Task Name]]="","",IF(Tasks[[#This Row],[_IsSummary]],MAX(INDEX(Tasks[_ShownFcstFinish],Tasks[[#This Row],[_Row]]+1):INDEX(Tasks[_ShownFcstFinish],Tasks[[#This Row],[_Row]]+Tasks[[#This Row],[_Descendants]])),Tasks[[#This Row],[_ShownFcstFinish]]))</f>
        <v/>
      </c>
      <c r="AD18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8" s="25" t="str">
        <f aca="false">IF(Tasks[[#This Row],[Task Name]]="","",IF(Tasks[[#This Row],[_IsSummary]],MIN(INDEX(Tasks[_LeafLateStart],Tasks[[#This Row],[_Row]]+1):INDEX(Tasks[_LeafLateStart],Tasks[[#This Row],[_Row]]+Tasks[[#This Row],[_Descendants]])),Tasks[[#This Row],[_LeafLateStart]]))</f>
        <v/>
      </c>
      <c r="AG188" s="25" t="str">
        <f aca="false">IF(Tasks[[#This Row],[Task Name]]="","",IF(Tasks[[#This Row],[_IsSummary]],MAX(INDEX(Tasks[_LeafLateFinish],Tasks[[#This Row],[_Row]]+1):INDEX(Tasks[_LeafLateFinish],Tasks[[#This Row],[_Row]]+Tasks[[#This Row],[_Descendants]])),Tasks[[#This Row],[_LeafLateFinish]]))</f>
        <v/>
      </c>
      <c r="AH188" s="56" t="str">
        <f aca="false">IF(Tasks[[#This Row],[Task Name]]="","",IF(Tasks[[#This Row],[_IsSummary]],MIN(INDEX(Tasks[_LeafTotalSlack],Tasks[[#This Row],[_Row]]+1):INDEX(Tasks[_LeafTotalSlack],Tasks[[#This Row],[_Row]]+Tasks[[#This Row],[_Descendants]])),Tasks[[#This Row],[_LeafTotalSlack]]))</f>
        <v/>
      </c>
      <c r="AI18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8" s="45" t="str">
        <f aca="false">IF(Tasks[[#This Row],[Task Name]]="","",IF(IF(Tasks[[#This Row],[_IsSummary]],COUNTIF(INDEX(Tasks[_LeafCritical],Tasks[[#This Row],[_Row]]+1):INDEX(Tasks[_LeafCritical],Tasks[[#This Row],[_Row]]+Tasks[[#This Row],[_Descendants]]),TRUE())&gt;0,Tasks[[#This Row],[_LeafCritical]]),"Yes",""))</f>
        <v/>
      </c>
      <c r="AK18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8" s="102"/>
      <c r="AN18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8" s="45" t="str">
        <f aca="false">IF(Tasks[[#This Row],[Task Name]]="","",IF(Tasks[[#This Row],[Progress]]&gt;=1,"Complete",IF(OR(N(Tasks[[#This Row],[Actual Start]])&gt;0,Tasks[[#This Row],[Progress]]&gt;0),IF(Tasks[[#This Row],[Finish Var]]&gt;0,"Behind","In Progress"),IF(Tasks[[#This Row],[Planned Start]]&lt;StatusDate,"Late Start","Not Started"))))</f>
        <v/>
      </c>
      <c r="AP188" s="47"/>
      <c r="AQ188" s="102"/>
      <c r="AR18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8" s="110" t="str">
        <f aca="false">IF(Tasks[[#This Row],[Task Name]]="","",IF(Tasks[[#This Row],[_IsSummary]],SUM(INDEX(Tasks[_LeafTotalWork],Tasks[[#This Row],[_Row]]+1):INDEX(Tasks[_LeafTotalWork],Tasks[[#This Row],[_Row]]+Tasks[[#This Row],[_Descendants]])),Tasks[[#This Row],[_LeafTotalWork]]))</f>
        <v/>
      </c>
      <c r="AU188" s="111" t="str">
        <f aca="false">IF(Tasks[[#This Row],[Task Name]]="","",IF(Tasks[[#This Row],[_IsSummary]],SUM(INDEX(Tasks[_LeafTotalCost],Tasks[[#This Row],[_Row]]+1):INDEX(Tasks[_LeafTotalCost],Tasks[[#This Row],[_Row]]+Tasks[[#This Row],[_Descendants]])),Tasks[[#This Row],[_LeafTotalCost]]))</f>
        <v/>
      </c>
      <c r="AV188" s="112"/>
      <c r="AW188" s="46"/>
      <c r="AX18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8" s="96"/>
      <c r="AZ18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8" s="47"/>
      <c r="BB188" s="25" t="str">
        <f aca="false">IF(Tasks[[#This Row],[Task Name]]="","",Tasks[[#This Row],[Forecast Start]])</f>
        <v/>
      </c>
      <c r="BC188" s="25" t="str">
        <f aca="false">IF(Tasks[[#This Row],[Task Name]]="","",Tasks[[#This Row],[Forecast Finish]])</f>
        <v/>
      </c>
      <c r="BD188" s="45" t="str">
        <f aca="false">IF(Tasks[[#This Row],[Task Name]]="","",IF(Tasks[[#This Row],[_IsSummary]],NETWORKDAYS.INTL(Tasks[[#This Row],[Forecast Start]],Tasks[[#This Row],[Forecast Finish]],WorkWeek,Holidays),N(Tasks[[#This Row],[Duration]])))</f>
        <v/>
      </c>
      <c r="BE188" s="110" t="str">
        <f aca="false">IF(Tasks[[#This Row],[Task Name]]="","",Tasks[[#This Row],[Work]])</f>
        <v/>
      </c>
      <c r="BF188" s="111" t="str">
        <f aca="false">IF(Tasks[[#This Row],[Task Name]]="","",Tasks[[#This Row],[Cost]])</f>
        <v/>
      </c>
      <c r="BG188" s="88"/>
      <c r="BH188" s="88"/>
      <c r="BI188" s="46"/>
      <c r="BJ188" s="113"/>
      <c r="BK188" s="112"/>
      <c r="BL188" s="45" t="str">
        <f aca="false">IF(OR(Tasks[[#This Row],[Task Name]]="",Tasks[[#This Row],[Baseline Duration]]=""),"",Tasks[[#This Row],[BL Source Duration]]-N(Tasks[[#This Row],[Baseline Duration]]))</f>
        <v/>
      </c>
      <c r="BM188" s="110" t="str">
        <f aca="false">IF(OR(Tasks[[#This Row],[Task Name]]="",Tasks[[#This Row],[Baseline Work]]=""),"",Tasks[[#This Row],[Work]]-N(Tasks[[#This Row],[Baseline Work]]))</f>
        <v/>
      </c>
      <c r="BN188" s="111" t="str">
        <f aca="false">IF(OR(Tasks[[#This Row],[Task Name]]="",Tasks[[#This Row],[Baseline Cost]]=""),"",Tasks[[#This Row],[Cost]]-N(Tasks[[#This Row],[Baseline Cost]]))</f>
        <v/>
      </c>
      <c r="BO188" s="111" t="str">
        <f aca="false">IF(Tasks[[#This Row],[Task Name]]="","",IF(Tasks[[#This Row],[_IsSummary]],SUM(INDEX(Tasks[_LeafBudget],Tasks[[#This Row],[_Row]]+1):INDEX(Tasks[_LeafBudget],Tasks[[#This Row],[_Row]]+Tasks[[#This Row],[_Descendants]])),Tasks[[#This Row],[_LeafBudget]]))</f>
        <v/>
      </c>
      <c r="BP188" s="111" t="str">
        <f aca="false">IF(Tasks[[#This Row],[Task Name]]="","",IF(Tasks[[#This Row],[_IsSummary]],SUM(INDEX(Tasks[_LeafPV],Tasks[[#This Row],[_Row]]+1):INDEX(Tasks[_LeafPV],Tasks[[#This Row],[_Row]]+Tasks[[#This Row],[_Descendants]])),Tasks[[#This Row],[_LeafPV]]))</f>
        <v/>
      </c>
      <c r="BQ188" s="111" t="str">
        <f aca="false">IF(Tasks[[#This Row],[Task Name]]="","",IF(Tasks[[#This Row],[_IsSummary]],SUM(INDEX(Tasks[_LeafEV],Tasks[[#This Row],[_Row]]+1):INDEX(Tasks[_LeafEV],Tasks[[#This Row],[_Row]]+Tasks[[#This Row],[_Descendants]])),Tasks[[#This Row],[_LeafEV]]))</f>
        <v/>
      </c>
      <c r="BR188" s="111" t="str">
        <f aca="false">IF(Tasks[[#This Row],[Task Name]]="","",IF(Tasks[[#This Row],[_IsSummary]],SUM(INDEX(Tasks[_LeafAC],Tasks[[#This Row],[_Row]]+1):INDEX(Tasks[_LeafAC],Tasks[[#This Row],[_Row]]+Tasks[[#This Row],[_Descendants]])),Tasks[[#This Row],[_LeafAC]]))</f>
        <v/>
      </c>
      <c r="BS188" s="32" t="str">
        <f aca="false">IF(Tasks[[#This Row],[Task Name]]="","",MAX(1,N(Tasks[[#This Row],[Level]])))</f>
        <v/>
      </c>
      <c r="BT188" s="32" t="n">
        <f aca="false">ROW()-ROW(Tasks[[#Headers],[ID]])</f>
        <v>183</v>
      </c>
      <c r="BU188" s="32" t="n">
        <f aca="false">IF(OR(Tasks[[#This Row],[Task Name]]="",Tasks[[#This Row],[_Level]]&lt;=1),0,IFERROR(LOOKUP(2,1/(Tasks[[#Headers],[_Level]]:Tasks[[#This Row],[_Level]]=Tasks[[#This Row],[_Level]]-1),ROW(Tasks[[#Headers],[_Level]]:Tasks[[#This Row],[_Level]])),0))</f>
        <v>0</v>
      </c>
      <c r="BV188" s="32" t="n">
        <f aca="false">IFERROR(N(INDEX(Tasks[_Level],Tasks[[#This Row],[_Row]]+1)),0)</f>
        <v>0</v>
      </c>
      <c r="BW188" s="114" t="b">
        <f aca="false">AND(Tasks[[#This Row],[Task Name]]&lt;&gt;"",Tasks[[#This Row],[_NextLevel]]&gt;Tasks[[#This Row],[_Level]])</f>
        <v>0</v>
      </c>
      <c r="BX188" s="32" t="n">
        <f aca="false">IF(Tasks[[#This Row],[_IsSummary]],COUNTIF(Tasks[WBS],Tasks[[#This Row],[WBS]]&amp;".*"),0)</f>
        <v>0</v>
      </c>
      <c r="BY188" s="32" t="n">
        <f aca="false">IF(AND(Tasks[[#This Row],[Task Name]]&lt;&gt;"",NOT(Tasks[[#This Row],[_IsSummary]])),1,0)</f>
        <v>0</v>
      </c>
      <c r="BZ188" s="32" t="n">
        <f aca="false">IF(N(Tasks[[#This Row],[Pred1 UID]])=0,0,IFERROR(MATCH(Tasks[[#This Row],[Pred1 UID]],Tasks[UID],0),-1))</f>
        <v>0</v>
      </c>
      <c r="CA188" s="32" t="n">
        <f aca="false">IF(N(Tasks[[#This Row],[Pred2 UID]])=0,0,IFERROR(MATCH(Tasks[[#This Row],[Pred2 UID]],Tasks[UID],0),-1))</f>
        <v>0</v>
      </c>
      <c r="CB188" s="32" t="n">
        <f aca="false">IF(N(Tasks[[#This Row],[Pred3 UID]])=0,0,IFERROR(MATCH(Tasks[[#This Row],[Pred3 UID]],Tasks[UID],0),-1))</f>
        <v>0</v>
      </c>
      <c r="CC188" s="32" t="n">
        <f aca="false">IF(N(Tasks[[#This Row],[Pred4 UID]])=0,0,IFERROR(MATCH(Tasks[[#This Row],[Pred4 UID]],Tasks[UID],0),-1))</f>
        <v>0</v>
      </c>
      <c r="CD18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8" s="115" t="n">
        <f aca="false">IF(OR(Tasks[[#This Row],[_ConstraintCode]]=2,Tasks[[#This Row],[_ConstraintCode]]=3,Tasks[[#This Row],[_ConstraintCode]]=4,Tasks[[#This Row],[_ConstraintCode]]=6),Tasks[[#This Row],[_ConstraintStart]],0)</f>
        <v>0</v>
      </c>
      <c r="CG188" s="115" t="n">
        <f aca="false">IF(OR(Tasks[[#This Row],[_ConstraintCode]]=2,Tasks[[#This Row],[_ConstraintCode]]=3,Tasks[[#This Row],[_ConstraintCode]]=5,Tasks[[#This Row],[_ConstraintCode]]=7),Tasks[[#This Row],[_ConstraintStart]],2958465)</f>
        <v>2958465</v>
      </c>
      <c r="CH18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8" s="115" t="str">
        <f aca="false">IF(NOT(Tasks[[#This Row],[_IsLeaf]]=1),"",IF(N(Tasks[[#This Row],[Duration]])&lt;=0,Tasks[[#This Row],[_LeafCalcStart]],WORKDAY.INTL(Tasks[[#This Row],[_LeafCalcStart]],Tasks[[#This Row],[Duration]]-1,WorkWeek,Holidays)))</f>
        <v/>
      </c>
      <c r="CJ18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8" s="32" t="n">
        <f aca="false">IF(NOT(Tasks[[#This Row],[_IsLeaf]]=1),0,IF(N(Tasks[[#This Row],[Actual Finish]])&gt;0,1,MIN(1,N(Tasks[[#This Row],[% Complete]]))))</f>
        <v>0</v>
      </c>
      <c r="CM188" s="32" t="n">
        <f aca="false">IF(OR(NOT(Tasks[[#This Row],[_IsLeaf]]=1),Tasks[[#This Row],[Resource]]=""),0,N(Tasks[[#This Row],[Duration]])*HoursPerDay*IF(Tasks[[#This Row],[Units]]="",DefaultUnits,Tasks[[#This Row],[Units]]))</f>
        <v>0</v>
      </c>
      <c r="CN188" s="32" t="n">
        <f aca="false">IF(Tasks[[#This Row],[_LeafWork]]=0,0,Tasks[[#This Row],[_LeafWork]]*IFERROR(INDEX(res_Rate,MATCH(Tasks[[#This Row],[Resource]],res_Name,0)),0))</f>
        <v>0</v>
      </c>
      <c r="CO188" s="32" t="n">
        <f aca="false">Tasks[[#This Row],[_LeafWork]]+IF(Tasks[[#This Row],[_IsLeaf]]=1,SUMIFS(asg_Work,asg_TaskUID,Tasks[[#This Row],[UID]],asg_Valid,1),0)</f>
        <v>0</v>
      </c>
      <c r="CP188" s="32" t="n">
        <f aca="false">Tasks[[#This Row],[_LeafCost]]+IF(Tasks[[#This Row],[_IsLeaf]]=1,SUMIFS(asg_Cost,asg_TaskUID,Tasks[[#This Row],[UID]],asg_Valid,1),0)</f>
        <v>0</v>
      </c>
      <c r="CQ188" s="32" t="n">
        <f aca="false">IF(Tasks[[#This Row],[_LeafTotalCost]]=0,Tasks[[#This Row],[_LeafAC]],Tasks[[#This Row],[_LeafAC]]*Tasks[[#This Row],[_LeafCost]]/Tasks[[#This Row],[_LeafTotalCost]])</f>
        <v>0</v>
      </c>
      <c r="CR18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8" s="32" t="n">
        <f aca="false">IF(NOT(Tasks[[#This Row],[_IsLeaf]]=1),0,MAX(_xlfn.MAXIFS(Tasks[_Row],Tasks[Pred1 UID],Tasks[[#This Row],[UID]]),_xlfn.MAXIFS(Tasks[_Row],Tasks[Pred2 UID],Tasks[[#This Row],[UID]]),_xlfn.MAXIFS(Tasks[_Row],Tasks[Pred3 UID],Tasks[[#This Row],[UID]]),_xlfn.MAXIFS(Tasks[_Row],Tasks[Pred4 UID],Tasks[[#This Row],[UID]])))</f>
        <v>0</v>
      </c>
      <c r="DA18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8" s="115" t="str">
        <f aca="false">IF(NOT(Tasks[[#This Row],[_IsLeaf]]=1),"",IF(N(Tasks[[#This Row],[Duration]])&lt;=0,Tasks[[#This Row],[_LeafLateFinish]],WORKDAY.INTL(Tasks[[#This Row],[_LeafLateFinish]],-(Tasks[[#This Row],[Duration]]-1),WorkWeek,Holidays)))</f>
        <v/>
      </c>
      <c r="DD18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8" s="114" t="b">
        <f aca="false">AND(Tasks[[#This Row],[_IsLeaf]]=1,Tasks[[#This Row],[_LeafProgress]]&lt;1,N(Tasks[[#This Row],[_LeafTotalSlack]])&lt;=CriticalSlackDays)</f>
        <v>0</v>
      </c>
      <c r="DF188" s="32" t="n">
        <f aca="false">IF(AND(Tasks[[#This Row],[_IsLeaf]]=1,Tasks[[#This Row],[_ConstraintCode]]=1,Tasks[[#This Row],[Mode]]&lt;&gt;"Manual",N(Tasks[[#This Row],[Actual Start]])=0),MAX(0,N(Tasks[[#This Row],[Free Slack]])),0)</f>
        <v>0</v>
      </c>
      <c r="DG188" s="115" t="str">
        <f aca="false">IF(NOT(Tasks[[#This Row],[_IsLeaf]]=1),"",IF(Tasks[[#This Row],[_AlapShift]]=0,Tasks[[#This Row],[_LeafCalcStart]],WORKDAY.INTL(Tasks[[#This Row],[_LeafCalcStart]],Tasks[[#This Row],[_AlapShift]],WorkWeek,Holidays)))</f>
        <v/>
      </c>
      <c r="DH188" s="115" t="str">
        <f aca="false">IF(NOT(Tasks[[#This Row],[_IsLeaf]]=1),"",IF(Tasks[[#This Row],[_AlapShift]]=0,Tasks[[#This Row],[_LeafCalcFinish]],WORKDAY.INTL(Tasks[[#This Row],[_LeafCalcFinish]],Tasks[[#This Row],[_AlapShift]],WorkWeek,Holidays)))</f>
        <v/>
      </c>
      <c r="DI188" s="115" t="str">
        <f aca="false">IF(NOT(Tasks[[#This Row],[_IsLeaf]]=1),"",IF(Tasks[[#This Row],[_AlapShift]]=0,Tasks[[#This Row],[_LeafFcstStart]],WORKDAY.INTL(Tasks[[#This Row],[_LeafFcstStart]],Tasks[[#This Row],[_AlapShift]],WorkWeek,Holidays)))</f>
        <v/>
      </c>
      <c r="DJ188" s="115" t="str">
        <f aca="false">IF(NOT(Tasks[[#This Row],[_IsLeaf]]=1),"",IF(Tasks[[#This Row],[_AlapShift]]=0,Tasks[[#This Row],[_LeafFcstFinish]],WORKDAY.INTL(Tasks[[#This Row],[_LeafFcstFinish]],Tasks[[#This Row],[_AlapShift]],WorkWeek,Holidays)))</f>
        <v/>
      </c>
      <c r="DK188" s="115" t="str">
        <f aca="false">IF(Tasks[[#This Row],[Task Name]]="","",IF(Tasks[[#This Row],[_IsSummary]],MIN(INDEX(Tasks[_ShownCalcStart],Tasks[[#This Row],[_Row]]+1):INDEX(Tasks[_ShownCalcStart],Tasks[[#This Row],[_Row]]+Tasks[[#This Row],[_Descendants]])),Tasks[[#This Row],[_ShownCalcStart]]))</f>
        <v/>
      </c>
      <c r="DL188" s="115" t="str">
        <f aca="false">IF(Tasks[[#This Row],[Task Name]]="","",IF(Tasks[[#This Row],[_IsSummary]],MAX(INDEX(Tasks[_ShownCalcFinish],Tasks[[#This Row],[_Row]]+1):INDEX(Tasks[_ShownCalcFinish],Tasks[[#This Row],[_Row]]+Tasks[[#This Row],[_Descendants]])),Tasks[[#This Row],[_ShownCalcFinish]]))</f>
        <v/>
      </c>
      <c r="DM18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8" s="32" t="n">
        <f aca="false">IF(AND(Tasks[[#This Row],[_IsLeaf]]=1,Tasks[[#This Row],[_LeafTotalWork]]&gt;0),NETWORKDAYS.INTL(ProjectStart,Tasks[[#This Row],[_ShownFcstStart]],WorkWeek,Holidays),0)</f>
        <v>0</v>
      </c>
      <c r="DZ188" s="32" t="n">
        <f aca="false">IF(AND(Tasks[[#This Row],[_IsLeaf]]=1,Tasks[[#This Row],[_LeafTotalWork]]&gt;0),MAX(Tasks[[#This Row],[_StartWorkday]],NETWORKDAYS.INTL(ProjectStart,Tasks[[#This Row],[_ShownFcstFinish]],WorkWeek,Holidays)),0)</f>
        <v>0</v>
      </c>
      <c r="EA188" s="32" t="n">
        <f aca="false">IF(AND(Tasks[[#This Row],[_IsLeaf]]=1,Tasks[[#This Row],[_LeafTotalWork]]&gt;0),Tasks[[#This Row],[_LeafWork]]/(Tasks[[#This Row],[_FinishWorkday]]-Tasks[[#This Row],[_StartWorkday]]+1),0)</f>
        <v>0</v>
      </c>
      <c r="EB188" s="32" t="n">
        <f aca="false">Tasks[[#This Row],[_WorkPerWorkday]]*(Tasks[[#This Row],[_StartWorkday]]-1)</f>
        <v>-0</v>
      </c>
      <c r="EC188" s="32" t="n">
        <f aca="false">IF(Tasks[[#This Row],[_IsLeaf]]=1,MAX(N(Tasks[[#This Row],[Duration]]),0.1),0)</f>
        <v>0</v>
      </c>
      <c r="ED188" s="32" t="n">
        <f aca="false">Tasks[[#This Row],[_WeightDur]]*Tasks[[#This Row],[_LeafProgress]]</f>
        <v>0</v>
      </c>
      <c r="EE18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8" s="32" t="str">
        <f aca="false">IF(AND(Tasks[[#This Row],[_IsLeaf]]=1,N(Tasks[[#This Row],[Duration]])=0,Tasks[[#This Row],[_LeafProgress]]&lt;1),Tasks[[#This Row],[_ShownFcstFinish]]+Tasks[[#This Row],[_Row]]/100000,"")</f>
        <v/>
      </c>
      <c r="EG18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8" s="32" t="n">
        <f aca="false">IF(NOT(Tasks[[#This Row],[_IsLeaf]]=1),0,IF(Tasks[[#This Row],[Baseline Cost]]="",Tasks[[#This Row],[_LeafTotalCost]],N(Tasks[[#This Row],[Baseline Cost]])))</f>
        <v>0</v>
      </c>
      <c r="EI188" s="32" t="n">
        <f aca="false">Tasks[[#This Row],[_LeafBudget]]*Tasks[[#This Row],[_PlannedPct]]</f>
        <v>0</v>
      </c>
      <c r="EJ188" s="32" t="n">
        <f aca="false">Tasks[[#This Row],[_LeafBudget]]*Tasks[[#This Row],[_LeafProgress]]</f>
        <v>0</v>
      </c>
      <c r="EK188" s="32" t="n">
        <f aca="false">IF(NOT(Tasks[[#This Row],[_IsLeaf]]=1),0,IF(Tasks[[#This Row],[Actual Cost]]="",Tasks[[#This Row],[_LeafTotalCost]]*Tasks[[#This Row],[_LeafProgress]],N(Tasks[[#This Row],[Actual Cost]])))</f>
        <v>0</v>
      </c>
      <c r="EL188" s="32" t="str">
        <f aca="false">IF(Tasks[[#This Row],[Task Name]]="","",LEFT(Tasks[[#This Row],[WBS]],FIND(".",Tasks[[#This Row],[WBS]]&amp;".")-1))</f>
        <v/>
      </c>
      <c r="EM188" s="32" t="str">
        <f aca="false">IF(AND(Tasks[[#This Row],[Task Name]]&lt;&gt;"",Tasks[[#This Row],[_Level]]=1),Tasks[[#This Row],[_Row]],"")</f>
        <v/>
      </c>
      <c r="EN188" s="32" t="str">
        <f aca="false">IF(AND(Tasks[[#This Row],[_IsLeaf]]=1,N(Tasks[[#This Row],[Duration]])=0),Tasks[[#This Row],[Planned Finish]]+Tasks[[#This Row],[_Row]]/100000,"")</f>
        <v/>
      </c>
      <c r="EO188" s="32" t="str">
        <f aca="false">IF(AND(Tasks[[#This Row],[_IsLeaf]]=1,Tasks[[#This Row],[_LeafProgress]]&lt;1,OR(N(Tasks[[#This Row],[Finish Var]])&gt;0,Tasks[[#This Row],[Status]]="Late Start")),MAX(0,Tasks[[#This Row],[Finish Var]])+1-Tasks[[#This Row],[_Row]]/1000000,"")</f>
        <v/>
      </c>
      <c r="EP188" s="32" t="str">
        <f aca="false">IF(AND(Tasks[[#This Row],[_IsLeaf]]=1,N(Tasks[[#This Row],[Actual Start]])=0,Tasks[[#This Row],[_ShownFcstStart]]&gt;=StatusDate,Tasks[[#This Row],[_ShownFcstStart]]&lt;=LookaheadEnd),Tasks[[#This Row],[_ShownFcstStart]]+Tasks[[#This Row],[_Row]]/100000,"")</f>
        <v/>
      </c>
      <c r="EQ188" s="32" t="str">
        <f aca="false">IF(AND(Tasks[[#This Row],[_IsLeaf]]=1,Tasks[[#This Row],[_LeafProgress]]&lt;1,Tasks[[#This Row],[_ShownFcstFinish]]&gt;=StatusDate,Tasks[[#This Row],[_ShownFcstFinish]]&lt;=LookaheadEnd),Tasks[[#This Row],[_ShownFcstFinish]]+Tasks[[#This Row],[_Row]]/100000,"")</f>
        <v/>
      </c>
      <c r="ER188" s="32" t="str">
        <f aca="false">IF(Tasks[[#This Row],[_LeafCritical]],Tasks[[#This Row],[_ShownFcstStart]]+Tasks[[#This Row],[_Row]]/100000,"")</f>
        <v/>
      </c>
      <c r="ES188" s="32" t="n">
        <f aca="false">Tasks[[#This Row],[_LeafWork]]*Tasks[[#This Row],[_LeafProgress]]</f>
        <v>0</v>
      </c>
      <c r="ET188" s="115" t="str">
        <f aca="false">IF(AND(Tasks[[#This Row],[_IsLeaf]]=1,Tasks[[#This Row],[_LeafProgress]]&gt;=1),IF(N(Tasks[[#This Row],[Actual Finish]])&gt;0,Tasks[[#This Row],[Actual Finish]],Tasks[[#This Row],[_ShownFcstFinish]]),"")</f>
        <v/>
      </c>
      <c r="EU188" s="32" t="n">
        <f aca="false">IF(Tasks[[#This Row],[_IsLeaf]]=1,N(Tasks[[#This Row],[Story Points]]),0)</f>
        <v>0</v>
      </c>
      <c r="EV188" s="32" t="str">
        <f aca="false">IF(AND(Tasks[[#This Row],[_IsLeaf]]=1,CurrentSprint&lt;&gt;"",Tasks[[#This Row],[Sprint]]=CurrentSprint),Tasks[[#This Row],[_Row]],"")</f>
        <v/>
      </c>
    </row>
    <row r="189" customFormat="false" ht="15" hidden="false" customHeight="false" outlineLevel="0" collapsed="false">
      <c r="A189" s="45" t="str">
        <f aca="false">IF(Tasks[[#This Row],[Task Name]]="","",COUNTA(Tasks[[#Headers],[Task Name]]:Tasks[[#This Row],[Task Name]])-1)</f>
        <v/>
      </c>
      <c r="B189" s="46" t="n">
        <v>184</v>
      </c>
      <c r="C18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89" s="46"/>
      <c r="E189" s="45" t="str">
        <f aca="false">IF(Tasks[[#This Row],[Task Name]]="","",IF(Tasks[[#This Row],[_Level]]&lt;=OutlineShowLevel,"Yes","No"))</f>
        <v/>
      </c>
      <c r="F189" s="47"/>
      <c r="G189" s="46"/>
      <c r="H189" s="46"/>
      <c r="I189" s="46"/>
      <c r="J189" s="46"/>
      <c r="K189" s="46"/>
      <c r="L189" s="46"/>
      <c r="M189" s="46"/>
      <c r="N189" s="46"/>
      <c r="O189" s="46"/>
      <c r="P189" s="46"/>
      <c r="Q189" s="46"/>
      <c r="R189" s="46"/>
      <c r="S189" s="46"/>
      <c r="T189" s="46"/>
      <c r="U189" s="47"/>
      <c r="V189" s="88"/>
      <c r="W189" s="88"/>
      <c r="X189" s="25" t="str">
        <f aca="false">IF(Tasks[[#This Row],[Task Name]]="","",IF(N(Tasks[[#This Row],[Baseline Start]])&gt;0,Tasks[[#This Row],[Baseline Start]],Tasks[[#This Row],[_CalcStart]]))</f>
        <v/>
      </c>
      <c r="Y189" s="25" t="str">
        <f aca="false">IF(Tasks[[#This Row],[Task Name]]="","",IF(N(Tasks[[#This Row],[Baseline Finish]])&gt;0,Tasks[[#This Row],[Baseline Finish]],Tasks[[#This Row],[_CalcFinish]]))</f>
        <v/>
      </c>
      <c r="Z189" s="88"/>
      <c r="AA189" s="88"/>
      <c r="AB189" s="25" t="str">
        <f aca="false">IF(Tasks[[#This Row],[Task Name]]="","",IF(Tasks[[#This Row],[_IsSummary]],MIN(INDEX(Tasks[_ShownFcstStart],Tasks[[#This Row],[_Row]]+1):INDEX(Tasks[_ShownFcstStart],Tasks[[#This Row],[_Row]]+Tasks[[#This Row],[_Descendants]])),Tasks[[#This Row],[_ShownFcstStart]]))</f>
        <v/>
      </c>
      <c r="AC189" s="25" t="str">
        <f aca="false">IF(Tasks[[#This Row],[Task Name]]="","",IF(Tasks[[#This Row],[_IsSummary]],MAX(INDEX(Tasks[_ShownFcstFinish],Tasks[[#This Row],[_Row]]+1):INDEX(Tasks[_ShownFcstFinish],Tasks[[#This Row],[_Row]]+Tasks[[#This Row],[_Descendants]])),Tasks[[#This Row],[_ShownFcstFinish]]))</f>
        <v/>
      </c>
      <c r="AD18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8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89" s="25" t="str">
        <f aca="false">IF(Tasks[[#This Row],[Task Name]]="","",IF(Tasks[[#This Row],[_IsSummary]],MIN(INDEX(Tasks[_LeafLateStart],Tasks[[#This Row],[_Row]]+1):INDEX(Tasks[_LeafLateStart],Tasks[[#This Row],[_Row]]+Tasks[[#This Row],[_Descendants]])),Tasks[[#This Row],[_LeafLateStart]]))</f>
        <v/>
      </c>
      <c r="AG189" s="25" t="str">
        <f aca="false">IF(Tasks[[#This Row],[Task Name]]="","",IF(Tasks[[#This Row],[_IsSummary]],MAX(INDEX(Tasks[_LeafLateFinish],Tasks[[#This Row],[_Row]]+1):INDEX(Tasks[_LeafLateFinish],Tasks[[#This Row],[_Row]]+Tasks[[#This Row],[_Descendants]])),Tasks[[#This Row],[_LeafLateFinish]]))</f>
        <v/>
      </c>
      <c r="AH189" s="56" t="str">
        <f aca="false">IF(Tasks[[#This Row],[Task Name]]="","",IF(Tasks[[#This Row],[_IsSummary]],MIN(INDEX(Tasks[_LeafTotalSlack],Tasks[[#This Row],[_Row]]+1):INDEX(Tasks[_LeafTotalSlack],Tasks[[#This Row],[_Row]]+Tasks[[#This Row],[_Descendants]])),Tasks[[#This Row],[_LeafTotalSlack]]))</f>
        <v/>
      </c>
      <c r="AI18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89" s="45" t="str">
        <f aca="false">IF(Tasks[[#This Row],[Task Name]]="","",IF(IF(Tasks[[#This Row],[_IsSummary]],COUNTIF(INDEX(Tasks[_LeafCritical],Tasks[[#This Row],[_Row]]+1):INDEX(Tasks[_LeafCritical],Tasks[[#This Row],[_Row]]+Tasks[[#This Row],[_Descendants]]),TRUE())&gt;0,Tasks[[#This Row],[_LeafCritical]]),"Yes",""))</f>
        <v/>
      </c>
      <c r="AK18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8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89" s="102"/>
      <c r="AN18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89" s="45" t="str">
        <f aca="false">IF(Tasks[[#This Row],[Task Name]]="","",IF(Tasks[[#This Row],[Progress]]&gt;=1,"Complete",IF(OR(N(Tasks[[#This Row],[Actual Start]])&gt;0,Tasks[[#This Row],[Progress]]&gt;0),IF(Tasks[[#This Row],[Finish Var]]&gt;0,"Behind","In Progress"),IF(Tasks[[#This Row],[Planned Start]]&lt;StatusDate,"Late Start","Not Started"))))</f>
        <v/>
      </c>
      <c r="AP189" s="47"/>
      <c r="AQ189" s="102"/>
      <c r="AR18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8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89" s="110" t="str">
        <f aca="false">IF(Tasks[[#This Row],[Task Name]]="","",IF(Tasks[[#This Row],[_IsSummary]],SUM(INDEX(Tasks[_LeafTotalWork],Tasks[[#This Row],[_Row]]+1):INDEX(Tasks[_LeafTotalWork],Tasks[[#This Row],[_Row]]+Tasks[[#This Row],[_Descendants]])),Tasks[[#This Row],[_LeafTotalWork]]))</f>
        <v/>
      </c>
      <c r="AU189" s="111" t="str">
        <f aca="false">IF(Tasks[[#This Row],[Task Name]]="","",IF(Tasks[[#This Row],[_IsSummary]],SUM(INDEX(Tasks[_LeafTotalCost],Tasks[[#This Row],[_Row]]+1):INDEX(Tasks[_LeafTotalCost],Tasks[[#This Row],[_Row]]+Tasks[[#This Row],[_Descendants]])),Tasks[[#This Row],[_LeafTotalCost]]))</f>
        <v/>
      </c>
      <c r="AV189" s="112"/>
      <c r="AW189" s="46"/>
      <c r="AX18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89" s="96"/>
      <c r="AZ18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89" s="47"/>
      <c r="BB189" s="25" t="str">
        <f aca="false">IF(Tasks[[#This Row],[Task Name]]="","",Tasks[[#This Row],[Forecast Start]])</f>
        <v/>
      </c>
      <c r="BC189" s="25" t="str">
        <f aca="false">IF(Tasks[[#This Row],[Task Name]]="","",Tasks[[#This Row],[Forecast Finish]])</f>
        <v/>
      </c>
      <c r="BD189" s="45" t="str">
        <f aca="false">IF(Tasks[[#This Row],[Task Name]]="","",IF(Tasks[[#This Row],[_IsSummary]],NETWORKDAYS.INTL(Tasks[[#This Row],[Forecast Start]],Tasks[[#This Row],[Forecast Finish]],WorkWeek,Holidays),N(Tasks[[#This Row],[Duration]])))</f>
        <v/>
      </c>
      <c r="BE189" s="110" t="str">
        <f aca="false">IF(Tasks[[#This Row],[Task Name]]="","",Tasks[[#This Row],[Work]])</f>
        <v/>
      </c>
      <c r="BF189" s="111" t="str">
        <f aca="false">IF(Tasks[[#This Row],[Task Name]]="","",Tasks[[#This Row],[Cost]])</f>
        <v/>
      </c>
      <c r="BG189" s="88"/>
      <c r="BH189" s="88"/>
      <c r="BI189" s="46"/>
      <c r="BJ189" s="113"/>
      <c r="BK189" s="112"/>
      <c r="BL189" s="45" t="str">
        <f aca="false">IF(OR(Tasks[[#This Row],[Task Name]]="",Tasks[[#This Row],[Baseline Duration]]=""),"",Tasks[[#This Row],[BL Source Duration]]-N(Tasks[[#This Row],[Baseline Duration]]))</f>
        <v/>
      </c>
      <c r="BM189" s="110" t="str">
        <f aca="false">IF(OR(Tasks[[#This Row],[Task Name]]="",Tasks[[#This Row],[Baseline Work]]=""),"",Tasks[[#This Row],[Work]]-N(Tasks[[#This Row],[Baseline Work]]))</f>
        <v/>
      </c>
      <c r="BN189" s="111" t="str">
        <f aca="false">IF(OR(Tasks[[#This Row],[Task Name]]="",Tasks[[#This Row],[Baseline Cost]]=""),"",Tasks[[#This Row],[Cost]]-N(Tasks[[#This Row],[Baseline Cost]]))</f>
        <v/>
      </c>
      <c r="BO189" s="111" t="str">
        <f aca="false">IF(Tasks[[#This Row],[Task Name]]="","",IF(Tasks[[#This Row],[_IsSummary]],SUM(INDEX(Tasks[_LeafBudget],Tasks[[#This Row],[_Row]]+1):INDEX(Tasks[_LeafBudget],Tasks[[#This Row],[_Row]]+Tasks[[#This Row],[_Descendants]])),Tasks[[#This Row],[_LeafBudget]]))</f>
        <v/>
      </c>
      <c r="BP189" s="111" t="str">
        <f aca="false">IF(Tasks[[#This Row],[Task Name]]="","",IF(Tasks[[#This Row],[_IsSummary]],SUM(INDEX(Tasks[_LeafPV],Tasks[[#This Row],[_Row]]+1):INDEX(Tasks[_LeafPV],Tasks[[#This Row],[_Row]]+Tasks[[#This Row],[_Descendants]])),Tasks[[#This Row],[_LeafPV]]))</f>
        <v/>
      </c>
      <c r="BQ189" s="111" t="str">
        <f aca="false">IF(Tasks[[#This Row],[Task Name]]="","",IF(Tasks[[#This Row],[_IsSummary]],SUM(INDEX(Tasks[_LeafEV],Tasks[[#This Row],[_Row]]+1):INDEX(Tasks[_LeafEV],Tasks[[#This Row],[_Row]]+Tasks[[#This Row],[_Descendants]])),Tasks[[#This Row],[_LeafEV]]))</f>
        <v/>
      </c>
      <c r="BR189" s="111" t="str">
        <f aca="false">IF(Tasks[[#This Row],[Task Name]]="","",IF(Tasks[[#This Row],[_IsSummary]],SUM(INDEX(Tasks[_LeafAC],Tasks[[#This Row],[_Row]]+1):INDEX(Tasks[_LeafAC],Tasks[[#This Row],[_Row]]+Tasks[[#This Row],[_Descendants]])),Tasks[[#This Row],[_LeafAC]]))</f>
        <v/>
      </c>
      <c r="BS189" s="32" t="str">
        <f aca="false">IF(Tasks[[#This Row],[Task Name]]="","",MAX(1,N(Tasks[[#This Row],[Level]])))</f>
        <v/>
      </c>
      <c r="BT189" s="32" t="n">
        <f aca="false">ROW()-ROW(Tasks[[#Headers],[ID]])</f>
        <v>184</v>
      </c>
      <c r="BU189" s="32" t="n">
        <f aca="false">IF(OR(Tasks[[#This Row],[Task Name]]="",Tasks[[#This Row],[_Level]]&lt;=1),0,IFERROR(LOOKUP(2,1/(Tasks[[#Headers],[_Level]]:Tasks[[#This Row],[_Level]]=Tasks[[#This Row],[_Level]]-1),ROW(Tasks[[#Headers],[_Level]]:Tasks[[#This Row],[_Level]])),0))</f>
        <v>0</v>
      </c>
      <c r="BV189" s="32" t="n">
        <f aca="false">IFERROR(N(INDEX(Tasks[_Level],Tasks[[#This Row],[_Row]]+1)),0)</f>
        <v>0</v>
      </c>
      <c r="BW189" s="114" t="b">
        <f aca="false">AND(Tasks[[#This Row],[Task Name]]&lt;&gt;"",Tasks[[#This Row],[_NextLevel]]&gt;Tasks[[#This Row],[_Level]])</f>
        <v>0</v>
      </c>
      <c r="BX189" s="32" t="n">
        <f aca="false">IF(Tasks[[#This Row],[_IsSummary]],COUNTIF(Tasks[WBS],Tasks[[#This Row],[WBS]]&amp;".*"),0)</f>
        <v>0</v>
      </c>
      <c r="BY189" s="32" t="n">
        <f aca="false">IF(AND(Tasks[[#This Row],[Task Name]]&lt;&gt;"",NOT(Tasks[[#This Row],[_IsSummary]])),1,0)</f>
        <v>0</v>
      </c>
      <c r="BZ189" s="32" t="n">
        <f aca="false">IF(N(Tasks[[#This Row],[Pred1 UID]])=0,0,IFERROR(MATCH(Tasks[[#This Row],[Pred1 UID]],Tasks[UID],0),-1))</f>
        <v>0</v>
      </c>
      <c r="CA189" s="32" t="n">
        <f aca="false">IF(N(Tasks[[#This Row],[Pred2 UID]])=0,0,IFERROR(MATCH(Tasks[[#This Row],[Pred2 UID]],Tasks[UID],0),-1))</f>
        <v>0</v>
      </c>
      <c r="CB189" s="32" t="n">
        <f aca="false">IF(N(Tasks[[#This Row],[Pred3 UID]])=0,0,IFERROR(MATCH(Tasks[[#This Row],[Pred3 UID]],Tasks[UID],0),-1))</f>
        <v>0</v>
      </c>
      <c r="CC189" s="32" t="n">
        <f aca="false">IF(N(Tasks[[#This Row],[Pred4 UID]])=0,0,IFERROR(MATCH(Tasks[[#This Row],[Pred4 UID]],Tasks[UID],0),-1))</f>
        <v>0</v>
      </c>
      <c r="CD18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8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89" s="115" t="n">
        <f aca="false">IF(OR(Tasks[[#This Row],[_ConstraintCode]]=2,Tasks[[#This Row],[_ConstraintCode]]=3,Tasks[[#This Row],[_ConstraintCode]]=4,Tasks[[#This Row],[_ConstraintCode]]=6),Tasks[[#This Row],[_ConstraintStart]],0)</f>
        <v>0</v>
      </c>
      <c r="CG189" s="115" t="n">
        <f aca="false">IF(OR(Tasks[[#This Row],[_ConstraintCode]]=2,Tasks[[#This Row],[_ConstraintCode]]=3,Tasks[[#This Row],[_ConstraintCode]]=5,Tasks[[#This Row],[_ConstraintCode]]=7),Tasks[[#This Row],[_ConstraintStart]],2958465)</f>
        <v>2958465</v>
      </c>
      <c r="CH18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89" s="115" t="str">
        <f aca="false">IF(NOT(Tasks[[#This Row],[_IsLeaf]]=1),"",IF(N(Tasks[[#This Row],[Duration]])&lt;=0,Tasks[[#This Row],[_LeafCalcStart]],WORKDAY.INTL(Tasks[[#This Row],[_LeafCalcStart]],Tasks[[#This Row],[Duration]]-1,WorkWeek,Holidays)))</f>
        <v/>
      </c>
      <c r="CJ18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8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89" s="32" t="n">
        <f aca="false">IF(NOT(Tasks[[#This Row],[_IsLeaf]]=1),0,IF(N(Tasks[[#This Row],[Actual Finish]])&gt;0,1,MIN(1,N(Tasks[[#This Row],[% Complete]]))))</f>
        <v>0</v>
      </c>
      <c r="CM189" s="32" t="n">
        <f aca="false">IF(OR(NOT(Tasks[[#This Row],[_IsLeaf]]=1),Tasks[[#This Row],[Resource]]=""),0,N(Tasks[[#This Row],[Duration]])*HoursPerDay*IF(Tasks[[#This Row],[Units]]="",DefaultUnits,Tasks[[#This Row],[Units]]))</f>
        <v>0</v>
      </c>
      <c r="CN189" s="32" t="n">
        <f aca="false">IF(Tasks[[#This Row],[_LeafWork]]=0,0,Tasks[[#This Row],[_LeafWork]]*IFERROR(INDEX(res_Rate,MATCH(Tasks[[#This Row],[Resource]],res_Name,0)),0))</f>
        <v>0</v>
      </c>
      <c r="CO189" s="32" t="n">
        <f aca="false">Tasks[[#This Row],[_LeafWork]]+IF(Tasks[[#This Row],[_IsLeaf]]=1,SUMIFS(asg_Work,asg_TaskUID,Tasks[[#This Row],[UID]],asg_Valid,1),0)</f>
        <v>0</v>
      </c>
      <c r="CP189" s="32" t="n">
        <f aca="false">Tasks[[#This Row],[_LeafCost]]+IF(Tasks[[#This Row],[_IsLeaf]]=1,SUMIFS(asg_Cost,asg_TaskUID,Tasks[[#This Row],[UID]],asg_Valid,1),0)</f>
        <v>0</v>
      </c>
      <c r="CQ189" s="32" t="n">
        <f aca="false">IF(Tasks[[#This Row],[_LeafTotalCost]]=0,Tasks[[#This Row],[_LeafAC]],Tasks[[#This Row],[_LeafAC]]*Tasks[[#This Row],[_LeafCost]]/Tasks[[#This Row],[_LeafTotalCost]])</f>
        <v>0</v>
      </c>
      <c r="CR18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8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8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8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8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8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8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8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89" s="32" t="n">
        <f aca="false">IF(NOT(Tasks[[#This Row],[_IsLeaf]]=1),0,MAX(_xlfn.MAXIFS(Tasks[_Row],Tasks[Pred1 UID],Tasks[[#This Row],[UID]]),_xlfn.MAXIFS(Tasks[_Row],Tasks[Pred2 UID],Tasks[[#This Row],[UID]]),_xlfn.MAXIFS(Tasks[_Row],Tasks[Pred3 UID],Tasks[[#This Row],[UID]]),_xlfn.MAXIFS(Tasks[_Row],Tasks[Pred4 UID],Tasks[[#This Row],[UID]])))</f>
        <v>0</v>
      </c>
      <c r="DA18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8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89" s="115" t="str">
        <f aca="false">IF(NOT(Tasks[[#This Row],[_IsLeaf]]=1),"",IF(N(Tasks[[#This Row],[Duration]])&lt;=0,Tasks[[#This Row],[_LeafLateFinish]],WORKDAY.INTL(Tasks[[#This Row],[_LeafLateFinish]],-(Tasks[[#This Row],[Duration]]-1),WorkWeek,Holidays)))</f>
        <v/>
      </c>
      <c r="DD18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89" s="114" t="b">
        <f aca="false">AND(Tasks[[#This Row],[_IsLeaf]]=1,Tasks[[#This Row],[_LeafProgress]]&lt;1,N(Tasks[[#This Row],[_LeafTotalSlack]])&lt;=CriticalSlackDays)</f>
        <v>0</v>
      </c>
      <c r="DF189" s="32" t="n">
        <f aca="false">IF(AND(Tasks[[#This Row],[_IsLeaf]]=1,Tasks[[#This Row],[_ConstraintCode]]=1,Tasks[[#This Row],[Mode]]&lt;&gt;"Manual",N(Tasks[[#This Row],[Actual Start]])=0),MAX(0,N(Tasks[[#This Row],[Free Slack]])),0)</f>
        <v>0</v>
      </c>
      <c r="DG189" s="115" t="str">
        <f aca="false">IF(NOT(Tasks[[#This Row],[_IsLeaf]]=1),"",IF(Tasks[[#This Row],[_AlapShift]]=0,Tasks[[#This Row],[_LeafCalcStart]],WORKDAY.INTL(Tasks[[#This Row],[_LeafCalcStart]],Tasks[[#This Row],[_AlapShift]],WorkWeek,Holidays)))</f>
        <v/>
      </c>
      <c r="DH189" s="115" t="str">
        <f aca="false">IF(NOT(Tasks[[#This Row],[_IsLeaf]]=1),"",IF(Tasks[[#This Row],[_AlapShift]]=0,Tasks[[#This Row],[_LeafCalcFinish]],WORKDAY.INTL(Tasks[[#This Row],[_LeafCalcFinish]],Tasks[[#This Row],[_AlapShift]],WorkWeek,Holidays)))</f>
        <v/>
      </c>
      <c r="DI189" s="115" t="str">
        <f aca="false">IF(NOT(Tasks[[#This Row],[_IsLeaf]]=1),"",IF(Tasks[[#This Row],[_AlapShift]]=0,Tasks[[#This Row],[_LeafFcstStart]],WORKDAY.INTL(Tasks[[#This Row],[_LeafFcstStart]],Tasks[[#This Row],[_AlapShift]],WorkWeek,Holidays)))</f>
        <v/>
      </c>
      <c r="DJ189" s="115" t="str">
        <f aca="false">IF(NOT(Tasks[[#This Row],[_IsLeaf]]=1),"",IF(Tasks[[#This Row],[_AlapShift]]=0,Tasks[[#This Row],[_LeafFcstFinish]],WORKDAY.INTL(Tasks[[#This Row],[_LeafFcstFinish]],Tasks[[#This Row],[_AlapShift]],WorkWeek,Holidays)))</f>
        <v/>
      </c>
      <c r="DK189" s="115" t="str">
        <f aca="false">IF(Tasks[[#This Row],[Task Name]]="","",IF(Tasks[[#This Row],[_IsSummary]],MIN(INDEX(Tasks[_ShownCalcStart],Tasks[[#This Row],[_Row]]+1):INDEX(Tasks[_ShownCalcStart],Tasks[[#This Row],[_Row]]+Tasks[[#This Row],[_Descendants]])),Tasks[[#This Row],[_ShownCalcStart]]))</f>
        <v/>
      </c>
      <c r="DL189" s="115" t="str">
        <f aca="false">IF(Tasks[[#This Row],[Task Name]]="","",IF(Tasks[[#This Row],[_IsSummary]],MAX(INDEX(Tasks[_ShownCalcFinish],Tasks[[#This Row],[_Row]]+1):INDEX(Tasks[_ShownCalcFinish],Tasks[[#This Row],[_Row]]+Tasks[[#This Row],[_Descendants]])),Tasks[[#This Row],[_ShownCalcFinish]]))</f>
        <v/>
      </c>
      <c r="DM18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8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8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8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8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8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8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8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8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8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8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8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89" s="32" t="n">
        <f aca="false">IF(AND(Tasks[[#This Row],[_IsLeaf]]=1,Tasks[[#This Row],[_LeafTotalWork]]&gt;0),NETWORKDAYS.INTL(ProjectStart,Tasks[[#This Row],[_ShownFcstStart]],WorkWeek,Holidays),0)</f>
        <v>0</v>
      </c>
      <c r="DZ189" s="32" t="n">
        <f aca="false">IF(AND(Tasks[[#This Row],[_IsLeaf]]=1,Tasks[[#This Row],[_LeafTotalWork]]&gt;0),MAX(Tasks[[#This Row],[_StartWorkday]],NETWORKDAYS.INTL(ProjectStart,Tasks[[#This Row],[_ShownFcstFinish]],WorkWeek,Holidays)),0)</f>
        <v>0</v>
      </c>
      <c r="EA189" s="32" t="n">
        <f aca="false">IF(AND(Tasks[[#This Row],[_IsLeaf]]=1,Tasks[[#This Row],[_LeafTotalWork]]&gt;0),Tasks[[#This Row],[_LeafWork]]/(Tasks[[#This Row],[_FinishWorkday]]-Tasks[[#This Row],[_StartWorkday]]+1),0)</f>
        <v>0</v>
      </c>
      <c r="EB189" s="32" t="n">
        <f aca="false">Tasks[[#This Row],[_WorkPerWorkday]]*(Tasks[[#This Row],[_StartWorkday]]-1)</f>
        <v>-0</v>
      </c>
      <c r="EC189" s="32" t="n">
        <f aca="false">IF(Tasks[[#This Row],[_IsLeaf]]=1,MAX(N(Tasks[[#This Row],[Duration]]),0.1),0)</f>
        <v>0</v>
      </c>
      <c r="ED189" s="32" t="n">
        <f aca="false">Tasks[[#This Row],[_WeightDur]]*Tasks[[#This Row],[_LeafProgress]]</f>
        <v>0</v>
      </c>
      <c r="EE18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89" s="32" t="str">
        <f aca="false">IF(AND(Tasks[[#This Row],[_IsLeaf]]=1,N(Tasks[[#This Row],[Duration]])=0,Tasks[[#This Row],[_LeafProgress]]&lt;1),Tasks[[#This Row],[_ShownFcstFinish]]+Tasks[[#This Row],[_Row]]/100000,"")</f>
        <v/>
      </c>
      <c r="EG18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89" s="32" t="n">
        <f aca="false">IF(NOT(Tasks[[#This Row],[_IsLeaf]]=1),0,IF(Tasks[[#This Row],[Baseline Cost]]="",Tasks[[#This Row],[_LeafTotalCost]],N(Tasks[[#This Row],[Baseline Cost]])))</f>
        <v>0</v>
      </c>
      <c r="EI189" s="32" t="n">
        <f aca="false">Tasks[[#This Row],[_LeafBudget]]*Tasks[[#This Row],[_PlannedPct]]</f>
        <v>0</v>
      </c>
      <c r="EJ189" s="32" t="n">
        <f aca="false">Tasks[[#This Row],[_LeafBudget]]*Tasks[[#This Row],[_LeafProgress]]</f>
        <v>0</v>
      </c>
      <c r="EK189" s="32" t="n">
        <f aca="false">IF(NOT(Tasks[[#This Row],[_IsLeaf]]=1),0,IF(Tasks[[#This Row],[Actual Cost]]="",Tasks[[#This Row],[_LeafTotalCost]]*Tasks[[#This Row],[_LeafProgress]],N(Tasks[[#This Row],[Actual Cost]])))</f>
        <v>0</v>
      </c>
      <c r="EL189" s="32" t="str">
        <f aca="false">IF(Tasks[[#This Row],[Task Name]]="","",LEFT(Tasks[[#This Row],[WBS]],FIND(".",Tasks[[#This Row],[WBS]]&amp;".")-1))</f>
        <v/>
      </c>
      <c r="EM189" s="32" t="str">
        <f aca="false">IF(AND(Tasks[[#This Row],[Task Name]]&lt;&gt;"",Tasks[[#This Row],[_Level]]=1),Tasks[[#This Row],[_Row]],"")</f>
        <v/>
      </c>
      <c r="EN189" s="32" t="str">
        <f aca="false">IF(AND(Tasks[[#This Row],[_IsLeaf]]=1,N(Tasks[[#This Row],[Duration]])=0),Tasks[[#This Row],[Planned Finish]]+Tasks[[#This Row],[_Row]]/100000,"")</f>
        <v/>
      </c>
      <c r="EO189" s="32" t="str">
        <f aca="false">IF(AND(Tasks[[#This Row],[_IsLeaf]]=1,Tasks[[#This Row],[_LeafProgress]]&lt;1,OR(N(Tasks[[#This Row],[Finish Var]])&gt;0,Tasks[[#This Row],[Status]]="Late Start")),MAX(0,Tasks[[#This Row],[Finish Var]])+1-Tasks[[#This Row],[_Row]]/1000000,"")</f>
        <v/>
      </c>
      <c r="EP189" s="32" t="str">
        <f aca="false">IF(AND(Tasks[[#This Row],[_IsLeaf]]=1,N(Tasks[[#This Row],[Actual Start]])=0,Tasks[[#This Row],[_ShownFcstStart]]&gt;=StatusDate,Tasks[[#This Row],[_ShownFcstStart]]&lt;=LookaheadEnd),Tasks[[#This Row],[_ShownFcstStart]]+Tasks[[#This Row],[_Row]]/100000,"")</f>
        <v/>
      </c>
      <c r="EQ189" s="32" t="str">
        <f aca="false">IF(AND(Tasks[[#This Row],[_IsLeaf]]=1,Tasks[[#This Row],[_LeafProgress]]&lt;1,Tasks[[#This Row],[_ShownFcstFinish]]&gt;=StatusDate,Tasks[[#This Row],[_ShownFcstFinish]]&lt;=LookaheadEnd),Tasks[[#This Row],[_ShownFcstFinish]]+Tasks[[#This Row],[_Row]]/100000,"")</f>
        <v/>
      </c>
      <c r="ER189" s="32" t="str">
        <f aca="false">IF(Tasks[[#This Row],[_LeafCritical]],Tasks[[#This Row],[_ShownFcstStart]]+Tasks[[#This Row],[_Row]]/100000,"")</f>
        <v/>
      </c>
      <c r="ES189" s="32" t="n">
        <f aca="false">Tasks[[#This Row],[_LeafWork]]*Tasks[[#This Row],[_LeafProgress]]</f>
        <v>0</v>
      </c>
      <c r="ET189" s="115" t="str">
        <f aca="false">IF(AND(Tasks[[#This Row],[_IsLeaf]]=1,Tasks[[#This Row],[_LeafProgress]]&gt;=1),IF(N(Tasks[[#This Row],[Actual Finish]])&gt;0,Tasks[[#This Row],[Actual Finish]],Tasks[[#This Row],[_ShownFcstFinish]]),"")</f>
        <v/>
      </c>
      <c r="EU189" s="32" t="n">
        <f aca="false">IF(Tasks[[#This Row],[_IsLeaf]]=1,N(Tasks[[#This Row],[Story Points]]),0)</f>
        <v>0</v>
      </c>
      <c r="EV189" s="32" t="str">
        <f aca="false">IF(AND(Tasks[[#This Row],[_IsLeaf]]=1,CurrentSprint&lt;&gt;"",Tasks[[#This Row],[Sprint]]=CurrentSprint),Tasks[[#This Row],[_Row]],"")</f>
        <v/>
      </c>
    </row>
    <row r="190" customFormat="false" ht="15" hidden="false" customHeight="false" outlineLevel="0" collapsed="false">
      <c r="A190" s="45" t="str">
        <f aca="false">IF(Tasks[[#This Row],[Task Name]]="","",COUNTA(Tasks[[#Headers],[Task Name]]:Tasks[[#This Row],[Task Name]])-1)</f>
        <v/>
      </c>
      <c r="B190" s="46" t="n">
        <v>185</v>
      </c>
      <c r="C19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0" s="46"/>
      <c r="E190" s="45" t="str">
        <f aca="false">IF(Tasks[[#This Row],[Task Name]]="","",IF(Tasks[[#This Row],[_Level]]&lt;=OutlineShowLevel,"Yes","No"))</f>
        <v/>
      </c>
      <c r="F190" s="47"/>
      <c r="G190" s="46"/>
      <c r="H190" s="46"/>
      <c r="I190" s="46"/>
      <c r="J190" s="46"/>
      <c r="K190" s="46"/>
      <c r="L190" s="46"/>
      <c r="M190" s="46"/>
      <c r="N190" s="46"/>
      <c r="O190" s="46"/>
      <c r="P190" s="46"/>
      <c r="Q190" s="46"/>
      <c r="R190" s="46"/>
      <c r="S190" s="46"/>
      <c r="T190" s="46"/>
      <c r="U190" s="47"/>
      <c r="V190" s="88"/>
      <c r="W190" s="88"/>
      <c r="X190" s="25" t="str">
        <f aca="false">IF(Tasks[[#This Row],[Task Name]]="","",IF(N(Tasks[[#This Row],[Baseline Start]])&gt;0,Tasks[[#This Row],[Baseline Start]],Tasks[[#This Row],[_CalcStart]]))</f>
        <v/>
      </c>
      <c r="Y190" s="25" t="str">
        <f aca="false">IF(Tasks[[#This Row],[Task Name]]="","",IF(N(Tasks[[#This Row],[Baseline Finish]])&gt;0,Tasks[[#This Row],[Baseline Finish]],Tasks[[#This Row],[_CalcFinish]]))</f>
        <v/>
      </c>
      <c r="Z190" s="88"/>
      <c r="AA190" s="88"/>
      <c r="AB190" s="25" t="str">
        <f aca="false">IF(Tasks[[#This Row],[Task Name]]="","",IF(Tasks[[#This Row],[_IsSummary]],MIN(INDEX(Tasks[_ShownFcstStart],Tasks[[#This Row],[_Row]]+1):INDEX(Tasks[_ShownFcstStart],Tasks[[#This Row],[_Row]]+Tasks[[#This Row],[_Descendants]])),Tasks[[#This Row],[_ShownFcstStart]]))</f>
        <v/>
      </c>
      <c r="AC190" s="25" t="str">
        <f aca="false">IF(Tasks[[#This Row],[Task Name]]="","",IF(Tasks[[#This Row],[_IsSummary]],MAX(INDEX(Tasks[_ShownFcstFinish],Tasks[[#This Row],[_Row]]+1):INDEX(Tasks[_ShownFcstFinish],Tasks[[#This Row],[_Row]]+Tasks[[#This Row],[_Descendants]])),Tasks[[#This Row],[_ShownFcstFinish]]))</f>
        <v/>
      </c>
      <c r="AD19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0" s="25" t="str">
        <f aca="false">IF(Tasks[[#This Row],[Task Name]]="","",IF(Tasks[[#This Row],[_IsSummary]],MIN(INDEX(Tasks[_LeafLateStart],Tasks[[#This Row],[_Row]]+1):INDEX(Tasks[_LeafLateStart],Tasks[[#This Row],[_Row]]+Tasks[[#This Row],[_Descendants]])),Tasks[[#This Row],[_LeafLateStart]]))</f>
        <v/>
      </c>
      <c r="AG190" s="25" t="str">
        <f aca="false">IF(Tasks[[#This Row],[Task Name]]="","",IF(Tasks[[#This Row],[_IsSummary]],MAX(INDEX(Tasks[_LeafLateFinish],Tasks[[#This Row],[_Row]]+1):INDEX(Tasks[_LeafLateFinish],Tasks[[#This Row],[_Row]]+Tasks[[#This Row],[_Descendants]])),Tasks[[#This Row],[_LeafLateFinish]]))</f>
        <v/>
      </c>
      <c r="AH190" s="56" t="str">
        <f aca="false">IF(Tasks[[#This Row],[Task Name]]="","",IF(Tasks[[#This Row],[_IsSummary]],MIN(INDEX(Tasks[_LeafTotalSlack],Tasks[[#This Row],[_Row]]+1):INDEX(Tasks[_LeafTotalSlack],Tasks[[#This Row],[_Row]]+Tasks[[#This Row],[_Descendants]])),Tasks[[#This Row],[_LeafTotalSlack]]))</f>
        <v/>
      </c>
      <c r="AI19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0" s="45" t="str">
        <f aca="false">IF(Tasks[[#This Row],[Task Name]]="","",IF(IF(Tasks[[#This Row],[_IsSummary]],COUNTIF(INDEX(Tasks[_LeafCritical],Tasks[[#This Row],[_Row]]+1):INDEX(Tasks[_LeafCritical],Tasks[[#This Row],[_Row]]+Tasks[[#This Row],[_Descendants]]),TRUE())&gt;0,Tasks[[#This Row],[_LeafCritical]]),"Yes",""))</f>
        <v/>
      </c>
      <c r="AK19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0" s="102"/>
      <c r="AN19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0" s="45" t="str">
        <f aca="false">IF(Tasks[[#This Row],[Task Name]]="","",IF(Tasks[[#This Row],[Progress]]&gt;=1,"Complete",IF(OR(N(Tasks[[#This Row],[Actual Start]])&gt;0,Tasks[[#This Row],[Progress]]&gt;0),IF(Tasks[[#This Row],[Finish Var]]&gt;0,"Behind","In Progress"),IF(Tasks[[#This Row],[Planned Start]]&lt;StatusDate,"Late Start","Not Started"))))</f>
        <v/>
      </c>
      <c r="AP190" s="47"/>
      <c r="AQ190" s="102"/>
      <c r="AR19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0" s="110" t="str">
        <f aca="false">IF(Tasks[[#This Row],[Task Name]]="","",IF(Tasks[[#This Row],[_IsSummary]],SUM(INDEX(Tasks[_LeafTotalWork],Tasks[[#This Row],[_Row]]+1):INDEX(Tasks[_LeafTotalWork],Tasks[[#This Row],[_Row]]+Tasks[[#This Row],[_Descendants]])),Tasks[[#This Row],[_LeafTotalWork]]))</f>
        <v/>
      </c>
      <c r="AU190" s="111" t="str">
        <f aca="false">IF(Tasks[[#This Row],[Task Name]]="","",IF(Tasks[[#This Row],[_IsSummary]],SUM(INDEX(Tasks[_LeafTotalCost],Tasks[[#This Row],[_Row]]+1):INDEX(Tasks[_LeafTotalCost],Tasks[[#This Row],[_Row]]+Tasks[[#This Row],[_Descendants]])),Tasks[[#This Row],[_LeafTotalCost]]))</f>
        <v/>
      </c>
      <c r="AV190" s="112"/>
      <c r="AW190" s="46"/>
      <c r="AX19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0" s="96"/>
      <c r="AZ19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0" s="47"/>
      <c r="BB190" s="25" t="str">
        <f aca="false">IF(Tasks[[#This Row],[Task Name]]="","",Tasks[[#This Row],[Forecast Start]])</f>
        <v/>
      </c>
      <c r="BC190" s="25" t="str">
        <f aca="false">IF(Tasks[[#This Row],[Task Name]]="","",Tasks[[#This Row],[Forecast Finish]])</f>
        <v/>
      </c>
      <c r="BD190" s="45" t="str">
        <f aca="false">IF(Tasks[[#This Row],[Task Name]]="","",IF(Tasks[[#This Row],[_IsSummary]],NETWORKDAYS.INTL(Tasks[[#This Row],[Forecast Start]],Tasks[[#This Row],[Forecast Finish]],WorkWeek,Holidays),N(Tasks[[#This Row],[Duration]])))</f>
        <v/>
      </c>
      <c r="BE190" s="110" t="str">
        <f aca="false">IF(Tasks[[#This Row],[Task Name]]="","",Tasks[[#This Row],[Work]])</f>
        <v/>
      </c>
      <c r="BF190" s="111" t="str">
        <f aca="false">IF(Tasks[[#This Row],[Task Name]]="","",Tasks[[#This Row],[Cost]])</f>
        <v/>
      </c>
      <c r="BG190" s="88"/>
      <c r="BH190" s="88"/>
      <c r="BI190" s="46"/>
      <c r="BJ190" s="113"/>
      <c r="BK190" s="112"/>
      <c r="BL190" s="45" t="str">
        <f aca="false">IF(OR(Tasks[[#This Row],[Task Name]]="",Tasks[[#This Row],[Baseline Duration]]=""),"",Tasks[[#This Row],[BL Source Duration]]-N(Tasks[[#This Row],[Baseline Duration]]))</f>
        <v/>
      </c>
      <c r="BM190" s="110" t="str">
        <f aca="false">IF(OR(Tasks[[#This Row],[Task Name]]="",Tasks[[#This Row],[Baseline Work]]=""),"",Tasks[[#This Row],[Work]]-N(Tasks[[#This Row],[Baseline Work]]))</f>
        <v/>
      </c>
      <c r="BN190" s="111" t="str">
        <f aca="false">IF(OR(Tasks[[#This Row],[Task Name]]="",Tasks[[#This Row],[Baseline Cost]]=""),"",Tasks[[#This Row],[Cost]]-N(Tasks[[#This Row],[Baseline Cost]]))</f>
        <v/>
      </c>
      <c r="BO190" s="111" t="str">
        <f aca="false">IF(Tasks[[#This Row],[Task Name]]="","",IF(Tasks[[#This Row],[_IsSummary]],SUM(INDEX(Tasks[_LeafBudget],Tasks[[#This Row],[_Row]]+1):INDEX(Tasks[_LeafBudget],Tasks[[#This Row],[_Row]]+Tasks[[#This Row],[_Descendants]])),Tasks[[#This Row],[_LeafBudget]]))</f>
        <v/>
      </c>
      <c r="BP190" s="111" t="str">
        <f aca="false">IF(Tasks[[#This Row],[Task Name]]="","",IF(Tasks[[#This Row],[_IsSummary]],SUM(INDEX(Tasks[_LeafPV],Tasks[[#This Row],[_Row]]+1):INDEX(Tasks[_LeafPV],Tasks[[#This Row],[_Row]]+Tasks[[#This Row],[_Descendants]])),Tasks[[#This Row],[_LeafPV]]))</f>
        <v/>
      </c>
      <c r="BQ190" s="111" t="str">
        <f aca="false">IF(Tasks[[#This Row],[Task Name]]="","",IF(Tasks[[#This Row],[_IsSummary]],SUM(INDEX(Tasks[_LeafEV],Tasks[[#This Row],[_Row]]+1):INDEX(Tasks[_LeafEV],Tasks[[#This Row],[_Row]]+Tasks[[#This Row],[_Descendants]])),Tasks[[#This Row],[_LeafEV]]))</f>
        <v/>
      </c>
      <c r="BR190" s="111" t="str">
        <f aca="false">IF(Tasks[[#This Row],[Task Name]]="","",IF(Tasks[[#This Row],[_IsSummary]],SUM(INDEX(Tasks[_LeafAC],Tasks[[#This Row],[_Row]]+1):INDEX(Tasks[_LeafAC],Tasks[[#This Row],[_Row]]+Tasks[[#This Row],[_Descendants]])),Tasks[[#This Row],[_LeafAC]]))</f>
        <v/>
      </c>
      <c r="BS190" s="32" t="str">
        <f aca="false">IF(Tasks[[#This Row],[Task Name]]="","",MAX(1,N(Tasks[[#This Row],[Level]])))</f>
        <v/>
      </c>
      <c r="BT190" s="32" t="n">
        <f aca="false">ROW()-ROW(Tasks[[#Headers],[ID]])</f>
        <v>185</v>
      </c>
      <c r="BU190" s="32" t="n">
        <f aca="false">IF(OR(Tasks[[#This Row],[Task Name]]="",Tasks[[#This Row],[_Level]]&lt;=1),0,IFERROR(LOOKUP(2,1/(Tasks[[#Headers],[_Level]]:Tasks[[#This Row],[_Level]]=Tasks[[#This Row],[_Level]]-1),ROW(Tasks[[#Headers],[_Level]]:Tasks[[#This Row],[_Level]])),0))</f>
        <v>0</v>
      </c>
      <c r="BV190" s="32" t="n">
        <f aca="false">IFERROR(N(INDEX(Tasks[_Level],Tasks[[#This Row],[_Row]]+1)),0)</f>
        <v>0</v>
      </c>
      <c r="BW190" s="114" t="b">
        <f aca="false">AND(Tasks[[#This Row],[Task Name]]&lt;&gt;"",Tasks[[#This Row],[_NextLevel]]&gt;Tasks[[#This Row],[_Level]])</f>
        <v>0</v>
      </c>
      <c r="BX190" s="32" t="n">
        <f aca="false">IF(Tasks[[#This Row],[_IsSummary]],COUNTIF(Tasks[WBS],Tasks[[#This Row],[WBS]]&amp;".*"),0)</f>
        <v>0</v>
      </c>
      <c r="BY190" s="32" t="n">
        <f aca="false">IF(AND(Tasks[[#This Row],[Task Name]]&lt;&gt;"",NOT(Tasks[[#This Row],[_IsSummary]])),1,0)</f>
        <v>0</v>
      </c>
      <c r="BZ190" s="32" t="n">
        <f aca="false">IF(N(Tasks[[#This Row],[Pred1 UID]])=0,0,IFERROR(MATCH(Tasks[[#This Row],[Pred1 UID]],Tasks[UID],0),-1))</f>
        <v>0</v>
      </c>
      <c r="CA190" s="32" t="n">
        <f aca="false">IF(N(Tasks[[#This Row],[Pred2 UID]])=0,0,IFERROR(MATCH(Tasks[[#This Row],[Pred2 UID]],Tasks[UID],0),-1))</f>
        <v>0</v>
      </c>
      <c r="CB190" s="32" t="n">
        <f aca="false">IF(N(Tasks[[#This Row],[Pred3 UID]])=0,0,IFERROR(MATCH(Tasks[[#This Row],[Pred3 UID]],Tasks[UID],0),-1))</f>
        <v>0</v>
      </c>
      <c r="CC190" s="32" t="n">
        <f aca="false">IF(N(Tasks[[#This Row],[Pred4 UID]])=0,0,IFERROR(MATCH(Tasks[[#This Row],[Pred4 UID]],Tasks[UID],0),-1))</f>
        <v>0</v>
      </c>
      <c r="CD19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0" s="115" t="n">
        <f aca="false">IF(OR(Tasks[[#This Row],[_ConstraintCode]]=2,Tasks[[#This Row],[_ConstraintCode]]=3,Tasks[[#This Row],[_ConstraintCode]]=4,Tasks[[#This Row],[_ConstraintCode]]=6),Tasks[[#This Row],[_ConstraintStart]],0)</f>
        <v>0</v>
      </c>
      <c r="CG190" s="115" t="n">
        <f aca="false">IF(OR(Tasks[[#This Row],[_ConstraintCode]]=2,Tasks[[#This Row],[_ConstraintCode]]=3,Tasks[[#This Row],[_ConstraintCode]]=5,Tasks[[#This Row],[_ConstraintCode]]=7),Tasks[[#This Row],[_ConstraintStart]],2958465)</f>
        <v>2958465</v>
      </c>
      <c r="CH19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0" s="115" t="str">
        <f aca="false">IF(NOT(Tasks[[#This Row],[_IsLeaf]]=1),"",IF(N(Tasks[[#This Row],[Duration]])&lt;=0,Tasks[[#This Row],[_LeafCalcStart]],WORKDAY.INTL(Tasks[[#This Row],[_LeafCalcStart]],Tasks[[#This Row],[Duration]]-1,WorkWeek,Holidays)))</f>
        <v/>
      </c>
      <c r="CJ19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0" s="32" t="n">
        <f aca="false">IF(NOT(Tasks[[#This Row],[_IsLeaf]]=1),0,IF(N(Tasks[[#This Row],[Actual Finish]])&gt;0,1,MIN(1,N(Tasks[[#This Row],[% Complete]]))))</f>
        <v>0</v>
      </c>
      <c r="CM190" s="32" t="n">
        <f aca="false">IF(OR(NOT(Tasks[[#This Row],[_IsLeaf]]=1),Tasks[[#This Row],[Resource]]=""),0,N(Tasks[[#This Row],[Duration]])*HoursPerDay*IF(Tasks[[#This Row],[Units]]="",DefaultUnits,Tasks[[#This Row],[Units]]))</f>
        <v>0</v>
      </c>
      <c r="CN190" s="32" t="n">
        <f aca="false">IF(Tasks[[#This Row],[_LeafWork]]=0,0,Tasks[[#This Row],[_LeafWork]]*IFERROR(INDEX(res_Rate,MATCH(Tasks[[#This Row],[Resource]],res_Name,0)),0))</f>
        <v>0</v>
      </c>
      <c r="CO190" s="32" t="n">
        <f aca="false">Tasks[[#This Row],[_LeafWork]]+IF(Tasks[[#This Row],[_IsLeaf]]=1,SUMIFS(asg_Work,asg_TaskUID,Tasks[[#This Row],[UID]],asg_Valid,1),0)</f>
        <v>0</v>
      </c>
      <c r="CP190" s="32" t="n">
        <f aca="false">Tasks[[#This Row],[_LeafCost]]+IF(Tasks[[#This Row],[_IsLeaf]]=1,SUMIFS(asg_Cost,asg_TaskUID,Tasks[[#This Row],[UID]],asg_Valid,1),0)</f>
        <v>0</v>
      </c>
      <c r="CQ190" s="32" t="n">
        <f aca="false">IF(Tasks[[#This Row],[_LeafTotalCost]]=0,Tasks[[#This Row],[_LeafAC]],Tasks[[#This Row],[_LeafAC]]*Tasks[[#This Row],[_LeafCost]]/Tasks[[#This Row],[_LeafTotalCost]])</f>
        <v>0</v>
      </c>
      <c r="CR19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0" s="32" t="n">
        <f aca="false">IF(NOT(Tasks[[#This Row],[_IsLeaf]]=1),0,MAX(_xlfn.MAXIFS(Tasks[_Row],Tasks[Pred1 UID],Tasks[[#This Row],[UID]]),_xlfn.MAXIFS(Tasks[_Row],Tasks[Pred2 UID],Tasks[[#This Row],[UID]]),_xlfn.MAXIFS(Tasks[_Row],Tasks[Pred3 UID],Tasks[[#This Row],[UID]]),_xlfn.MAXIFS(Tasks[_Row],Tasks[Pred4 UID],Tasks[[#This Row],[UID]])))</f>
        <v>0</v>
      </c>
      <c r="DA19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0" s="115" t="str">
        <f aca="false">IF(NOT(Tasks[[#This Row],[_IsLeaf]]=1),"",IF(N(Tasks[[#This Row],[Duration]])&lt;=0,Tasks[[#This Row],[_LeafLateFinish]],WORKDAY.INTL(Tasks[[#This Row],[_LeafLateFinish]],-(Tasks[[#This Row],[Duration]]-1),WorkWeek,Holidays)))</f>
        <v/>
      </c>
      <c r="DD19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0" s="114" t="b">
        <f aca="false">AND(Tasks[[#This Row],[_IsLeaf]]=1,Tasks[[#This Row],[_LeafProgress]]&lt;1,N(Tasks[[#This Row],[_LeafTotalSlack]])&lt;=CriticalSlackDays)</f>
        <v>0</v>
      </c>
      <c r="DF190" s="32" t="n">
        <f aca="false">IF(AND(Tasks[[#This Row],[_IsLeaf]]=1,Tasks[[#This Row],[_ConstraintCode]]=1,Tasks[[#This Row],[Mode]]&lt;&gt;"Manual",N(Tasks[[#This Row],[Actual Start]])=0),MAX(0,N(Tasks[[#This Row],[Free Slack]])),0)</f>
        <v>0</v>
      </c>
      <c r="DG190" s="115" t="str">
        <f aca="false">IF(NOT(Tasks[[#This Row],[_IsLeaf]]=1),"",IF(Tasks[[#This Row],[_AlapShift]]=0,Tasks[[#This Row],[_LeafCalcStart]],WORKDAY.INTL(Tasks[[#This Row],[_LeafCalcStart]],Tasks[[#This Row],[_AlapShift]],WorkWeek,Holidays)))</f>
        <v/>
      </c>
      <c r="DH190" s="115" t="str">
        <f aca="false">IF(NOT(Tasks[[#This Row],[_IsLeaf]]=1),"",IF(Tasks[[#This Row],[_AlapShift]]=0,Tasks[[#This Row],[_LeafCalcFinish]],WORKDAY.INTL(Tasks[[#This Row],[_LeafCalcFinish]],Tasks[[#This Row],[_AlapShift]],WorkWeek,Holidays)))</f>
        <v/>
      </c>
      <c r="DI190" s="115" t="str">
        <f aca="false">IF(NOT(Tasks[[#This Row],[_IsLeaf]]=1),"",IF(Tasks[[#This Row],[_AlapShift]]=0,Tasks[[#This Row],[_LeafFcstStart]],WORKDAY.INTL(Tasks[[#This Row],[_LeafFcstStart]],Tasks[[#This Row],[_AlapShift]],WorkWeek,Holidays)))</f>
        <v/>
      </c>
      <c r="DJ190" s="115" t="str">
        <f aca="false">IF(NOT(Tasks[[#This Row],[_IsLeaf]]=1),"",IF(Tasks[[#This Row],[_AlapShift]]=0,Tasks[[#This Row],[_LeafFcstFinish]],WORKDAY.INTL(Tasks[[#This Row],[_LeafFcstFinish]],Tasks[[#This Row],[_AlapShift]],WorkWeek,Holidays)))</f>
        <v/>
      </c>
      <c r="DK190" s="115" t="str">
        <f aca="false">IF(Tasks[[#This Row],[Task Name]]="","",IF(Tasks[[#This Row],[_IsSummary]],MIN(INDEX(Tasks[_ShownCalcStart],Tasks[[#This Row],[_Row]]+1):INDEX(Tasks[_ShownCalcStart],Tasks[[#This Row],[_Row]]+Tasks[[#This Row],[_Descendants]])),Tasks[[#This Row],[_ShownCalcStart]]))</f>
        <v/>
      </c>
      <c r="DL190" s="115" t="str">
        <f aca="false">IF(Tasks[[#This Row],[Task Name]]="","",IF(Tasks[[#This Row],[_IsSummary]],MAX(INDEX(Tasks[_ShownCalcFinish],Tasks[[#This Row],[_Row]]+1):INDEX(Tasks[_ShownCalcFinish],Tasks[[#This Row],[_Row]]+Tasks[[#This Row],[_Descendants]])),Tasks[[#This Row],[_ShownCalcFinish]]))</f>
        <v/>
      </c>
      <c r="DM19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0" s="32" t="n">
        <f aca="false">IF(AND(Tasks[[#This Row],[_IsLeaf]]=1,Tasks[[#This Row],[_LeafTotalWork]]&gt;0),NETWORKDAYS.INTL(ProjectStart,Tasks[[#This Row],[_ShownFcstStart]],WorkWeek,Holidays),0)</f>
        <v>0</v>
      </c>
      <c r="DZ190" s="32" t="n">
        <f aca="false">IF(AND(Tasks[[#This Row],[_IsLeaf]]=1,Tasks[[#This Row],[_LeafTotalWork]]&gt;0),MAX(Tasks[[#This Row],[_StartWorkday]],NETWORKDAYS.INTL(ProjectStart,Tasks[[#This Row],[_ShownFcstFinish]],WorkWeek,Holidays)),0)</f>
        <v>0</v>
      </c>
      <c r="EA190" s="32" t="n">
        <f aca="false">IF(AND(Tasks[[#This Row],[_IsLeaf]]=1,Tasks[[#This Row],[_LeafTotalWork]]&gt;0),Tasks[[#This Row],[_LeafWork]]/(Tasks[[#This Row],[_FinishWorkday]]-Tasks[[#This Row],[_StartWorkday]]+1),0)</f>
        <v>0</v>
      </c>
      <c r="EB190" s="32" t="n">
        <f aca="false">Tasks[[#This Row],[_WorkPerWorkday]]*(Tasks[[#This Row],[_StartWorkday]]-1)</f>
        <v>-0</v>
      </c>
      <c r="EC190" s="32" t="n">
        <f aca="false">IF(Tasks[[#This Row],[_IsLeaf]]=1,MAX(N(Tasks[[#This Row],[Duration]]),0.1),0)</f>
        <v>0</v>
      </c>
      <c r="ED190" s="32" t="n">
        <f aca="false">Tasks[[#This Row],[_WeightDur]]*Tasks[[#This Row],[_LeafProgress]]</f>
        <v>0</v>
      </c>
      <c r="EE19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0" s="32" t="str">
        <f aca="false">IF(AND(Tasks[[#This Row],[_IsLeaf]]=1,N(Tasks[[#This Row],[Duration]])=0,Tasks[[#This Row],[_LeafProgress]]&lt;1),Tasks[[#This Row],[_ShownFcstFinish]]+Tasks[[#This Row],[_Row]]/100000,"")</f>
        <v/>
      </c>
      <c r="EG19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0" s="32" t="n">
        <f aca="false">IF(NOT(Tasks[[#This Row],[_IsLeaf]]=1),0,IF(Tasks[[#This Row],[Baseline Cost]]="",Tasks[[#This Row],[_LeafTotalCost]],N(Tasks[[#This Row],[Baseline Cost]])))</f>
        <v>0</v>
      </c>
      <c r="EI190" s="32" t="n">
        <f aca="false">Tasks[[#This Row],[_LeafBudget]]*Tasks[[#This Row],[_PlannedPct]]</f>
        <v>0</v>
      </c>
      <c r="EJ190" s="32" t="n">
        <f aca="false">Tasks[[#This Row],[_LeafBudget]]*Tasks[[#This Row],[_LeafProgress]]</f>
        <v>0</v>
      </c>
      <c r="EK190" s="32" t="n">
        <f aca="false">IF(NOT(Tasks[[#This Row],[_IsLeaf]]=1),0,IF(Tasks[[#This Row],[Actual Cost]]="",Tasks[[#This Row],[_LeafTotalCost]]*Tasks[[#This Row],[_LeafProgress]],N(Tasks[[#This Row],[Actual Cost]])))</f>
        <v>0</v>
      </c>
      <c r="EL190" s="32" t="str">
        <f aca="false">IF(Tasks[[#This Row],[Task Name]]="","",LEFT(Tasks[[#This Row],[WBS]],FIND(".",Tasks[[#This Row],[WBS]]&amp;".")-1))</f>
        <v/>
      </c>
      <c r="EM190" s="32" t="str">
        <f aca="false">IF(AND(Tasks[[#This Row],[Task Name]]&lt;&gt;"",Tasks[[#This Row],[_Level]]=1),Tasks[[#This Row],[_Row]],"")</f>
        <v/>
      </c>
      <c r="EN190" s="32" t="str">
        <f aca="false">IF(AND(Tasks[[#This Row],[_IsLeaf]]=1,N(Tasks[[#This Row],[Duration]])=0),Tasks[[#This Row],[Planned Finish]]+Tasks[[#This Row],[_Row]]/100000,"")</f>
        <v/>
      </c>
      <c r="EO190" s="32" t="str">
        <f aca="false">IF(AND(Tasks[[#This Row],[_IsLeaf]]=1,Tasks[[#This Row],[_LeafProgress]]&lt;1,OR(N(Tasks[[#This Row],[Finish Var]])&gt;0,Tasks[[#This Row],[Status]]="Late Start")),MAX(0,Tasks[[#This Row],[Finish Var]])+1-Tasks[[#This Row],[_Row]]/1000000,"")</f>
        <v/>
      </c>
      <c r="EP190" s="32" t="str">
        <f aca="false">IF(AND(Tasks[[#This Row],[_IsLeaf]]=1,N(Tasks[[#This Row],[Actual Start]])=0,Tasks[[#This Row],[_ShownFcstStart]]&gt;=StatusDate,Tasks[[#This Row],[_ShownFcstStart]]&lt;=LookaheadEnd),Tasks[[#This Row],[_ShownFcstStart]]+Tasks[[#This Row],[_Row]]/100000,"")</f>
        <v/>
      </c>
      <c r="EQ190" s="32" t="str">
        <f aca="false">IF(AND(Tasks[[#This Row],[_IsLeaf]]=1,Tasks[[#This Row],[_LeafProgress]]&lt;1,Tasks[[#This Row],[_ShownFcstFinish]]&gt;=StatusDate,Tasks[[#This Row],[_ShownFcstFinish]]&lt;=LookaheadEnd),Tasks[[#This Row],[_ShownFcstFinish]]+Tasks[[#This Row],[_Row]]/100000,"")</f>
        <v/>
      </c>
      <c r="ER190" s="32" t="str">
        <f aca="false">IF(Tasks[[#This Row],[_LeafCritical]],Tasks[[#This Row],[_ShownFcstStart]]+Tasks[[#This Row],[_Row]]/100000,"")</f>
        <v/>
      </c>
      <c r="ES190" s="32" t="n">
        <f aca="false">Tasks[[#This Row],[_LeafWork]]*Tasks[[#This Row],[_LeafProgress]]</f>
        <v>0</v>
      </c>
      <c r="ET190" s="115" t="str">
        <f aca="false">IF(AND(Tasks[[#This Row],[_IsLeaf]]=1,Tasks[[#This Row],[_LeafProgress]]&gt;=1),IF(N(Tasks[[#This Row],[Actual Finish]])&gt;0,Tasks[[#This Row],[Actual Finish]],Tasks[[#This Row],[_ShownFcstFinish]]),"")</f>
        <v/>
      </c>
      <c r="EU190" s="32" t="n">
        <f aca="false">IF(Tasks[[#This Row],[_IsLeaf]]=1,N(Tasks[[#This Row],[Story Points]]),0)</f>
        <v>0</v>
      </c>
      <c r="EV190" s="32" t="str">
        <f aca="false">IF(AND(Tasks[[#This Row],[_IsLeaf]]=1,CurrentSprint&lt;&gt;"",Tasks[[#This Row],[Sprint]]=CurrentSprint),Tasks[[#This Row],[_Row]],"")</f>
        <v/>
      </c>
    </row>
    <row r="191" customFormat="false" ht="15" hidden="false" customHeight="false" outlineLevel="0" collapsed="false">
      <c r="A191" s="45" t="str">
        <f aca="false">IF(Tasks[[#This Row],[Task Name]]="","",COUNTA(Tasks[[#Headers],[Task Name]]:Tasks[[#This Row],[Task Name]])-1)</f>
        <v/>
      </c>
      <c r="B191" s="46" t="n">
        <v>186</v>
      </c>
      <c r="C19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1" s="46"/>
      <c r="E191" s="45" t="str">
        <f aca="false">IF(Tasks[[#This Row],[Task Name]]="","",IF(Tasks[[#This Row],[_Level]]&lt;=OutlineShowLevel,"Yes","No"))</f>
        <v/>
      </c>
      <c r="F191" s="47"/>
      <c r="G191" s="46"/>
      <c r="H191" s="46"/>
      <c r="I191" s="46"/>
      <c r="J191" s="46"/>
      <c r="K191" s="46"/>
      <c r="L191" s="46"/>
      <c r="M191" s="46"/>
      <c r="N191" s="46"/>
      <c r="O191" s="46"/>
      <c r="P191" s="46"/>
      <c r="Q191" s="46"/>
      <c r="R191" s="46"/>
      <c r="S191" s="46"/>
      <c r="T191" s="46"/>
      <c r="U191" s="47"/>
      <c r="V191" s="88"/>
      <c r="W191" s="88"/>
      <c r="X191" s="25" t="str">
        <f aca="false">IF(Tasks[[#This Row],[Task Name]]="","",IF(N(Tasks[[#This Row],[Baseline Start]])&gt;0,Tasks[[#This Row],[Baseline Start]],Tasks[[#This Row],[_CalcStart]]))</f>
        <v/>
      </c>
      <c r="Y191" s="25" t="str">
        <f aca="false">IF(Tasks[[#This Row],[Task Name]]="","",IF(N(Tasks[[#This Row],[Baseline Finish]])&gt;0,Tasks[[#This Row],[Baseline Finish]],Tasks[[#This Row],[_CalcFinish]]))</f>
        <v/>
      </c>
      <c r="Z191" s="88"/>
      <c r="AA191" s="88"/>
      <c r="AB191" s="25" t="str">
        <f aca="false">IF(Tasks[[#This Row],[Task Name]]="","",IF(Tasks[[#This Row],[_IsSummary]],MIN(INDEX(Tasks[_ShownFcstStart],Tasks[[#This Row],[_Row]]+1):INDEX(Tasks[_ShownFcstStart],Tasks[[#This Row],[_Row]]+Tasks[[#This Row],[_Descendants]])),Tasks[[#This Row],[_ShownFcstStart]]))</f>
        <v/>
      </c>
      <c r="AC191" s="25" t="str">
        <f aca="false">IF(Tasks[[#This Row],[Task Name]]="","",IF(Tasks[[#This Row],[_IsSummary]],MAX(INDEX(Tasks[_ShownFcstFinish],Tasks[[#This Row],[_Row]]+1):INDEX(Tasks[_ShownFcstFinish],Tasks[[#This Row],[_Row]]+Tasks[[#This Row],[_Descendants]])),Tasks[[#This Row],[_ShownFcstFinish]]))</f>
        <v/>
      </c>
      <c r="AD19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1" s="25" t="str">
        <f aca="false">IF(Tasks[[#This Row],[Task Name]]="","",IF(Tasks[[#This Row],[_IsSummary]],MIN(INDEX(Tasks[_LeafLateStart],Tasks[[#This Row],[_Row]]+1):INDEX(Tasks[_LeafLateStart],Tasks[[#This Row],[_Row]]+Tasks[[#This Row],[_Descendants]])),Tasks[[#This Row],[_LeafLateStart]]))</f>
        <v/>
      </c>
      <c r="AG191" s="25" t="str">
        <f aca="false">IF(Tasks[[#This Row],[Task Name]]="","",IF(Tasks[[#This Row],[_IsSummary]],MAX(INDEX(Tasks[_LeafLateFinish],Tasks[[#This Row],[_Row]]+1):INDEX(Tasks[_LeafLateFinish],Tasks[[#This Row],[_Row]]+Tasks[[#This Row],[_Descendants]])),Tasks[[#This Row],[_LeafLateFinish]]))</f>
        <v/>
      </c>
      <c r="AH191" s="56" t="str">
        <f aca="false">IF(Tasks[[#This Row],[Task Name]]="","",IF(Tasks[[#This Row],[_IsSummary]],MIN(INDEX(Tasks[_LeafTotalSlack],Tasks[[#This Row],[_Row]]+1):INDEX(Tasks[_LeafTotalSlack],Tasks[[#This Row],[_Row]]+Tasks[[#This Row],[_Descendants]])),Tasks[[#This Row],[_LeafTotalSlack]]))</f>
        <v/>
      </c>
      <c r="AI19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1" s="45" t="str">
        <f aca="false">IF(Tasks[[#This Row],[Task Name]]="","",IF(IF(Tasks[[#This Row],[_IsSummary]],COUNTIF(INDEX(Tasks[_LeafCritical],Tasks[[#This Row],[_Row]]+1):INDEX(Tasks[_LeafCritical],Tasks[[#This Row],[_Row]]+Tasks[[#This Row],[_Descendants]]),TRUE())&gt;0,Tasks[[#This Row],[_LeafCritical]]),"Yes",""))</f>
        <v/>
      </c>
      <c r="AK19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1" s="102"/>
      <c r="AN19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1" s="45" t="str">
        <f aca="false">IF(Tasks[[#This Row],[Task Name]]="","",IF(Tasks[[#This Row],[Progress]]&gt;=1,"Complete",IF(OR(N(Tasks[[#This Row],[Actual Start]])&gt;0,Tasks[[#This Row],[Progress]]&gt;0),IF(Tasks[[#This Row],[Finish Var]]&gt;0,"Behind","In Progress"),IF(Tasks[[#This Row],[Planned Start]]&lt;StatusDate,"Late Start","Not Started"))))</f>
        <v/>
      </c>
      <c r="AP191" s="47"/>
      <c r="AQ191" s="102"/>
      <c r="AR19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1" s="110" t="str">
        <f aca="false">IF(Tasks[[#This Row],[Task Name]]="","",IF(Tasks[[#This Row],[_IsSummary]],SUM(INDEX(Tasks[_LeafTotalWork],Tasks[[#This Row],[_Row]]+1):INDEX(Tasks[_LeafTotalWork],Tasks[[#This Row],[_Row]]+Tasks[[#This Row],[_Descendants]])),Tasks[[#This Row],[_LeafTotalWork]]))</f>
        <v/>
      </c>
      <c r="AU191" s="111" t="str">
        <f aca="false">IF(Tasks[[#This Row],[Task Name]]="","",IF(Tasks[[#This Row],[_IsSummary]],SUM(INDEX(Tasks[_LeafTotalCost],Tasks[[#This Row],[_Row]]+1):INDEX(Tasks[_LeafTotalCost],Tasks[[#This Row],[_Row]]+Tasks[[#This Row],[_Descendants]])),Tasks[[#This Row],[_LeafTotalCost]]))</f>
        <v/>
      </c>
      <c r="AV191" s="112"/>
      <c r="AW191" s="46"/>
      <c r="AX19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1" s="96"/>
      <c r="AZ19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1" s="47"/>
      <c r="BB191" s="25" t="str">
        <f aca="false">IF(Tasks[[#This Row],[Task Name]]="","",Tasks[[#This Row],[Forecast Start]])</f>
        <v/>
      </c>
      <c r="BC191" s="25" t="str">
        <f aca="false">IF(Tasks[[#This Row],[Task Name]]="","",Tasks[[#This Row],[Forecast Finish]])</f>
        <v/>
      </c>
      <c r="BD191" s="45" t="str">
        <f aca="false">IF(Tasks[[#This Row],[Task Name]]="","",IF(Tasks[[#This Row],[_IsSummary]],NETWORKDAYS.INTL(Tasks[[#This Row],[Forecast Start]],Tasks[[#This Row],[Forecast Finish]],WorkWeek,Holidays),N(Tasks[[#This Row],[Duration]])))</f>
        <v/>
      </c>
      <c r="BE191" s="110" t="str">
        <f aca="false">IF(Tasks[[#This Row],[Task Name]]="","",Tasks[[#This Row],[Work]])</f>
        <v/>
      </c>
      <c r="BF191" s="111" t="str">
        <f aca="false">IF(Tasks[[#This Row],[Task Name]]="","",Tasks[[#This Row],[Cost]])</f>
        <v/>
      </c>
      <c r="BG191" s="88"/>
      <c r="BH191" s="88"/>
      <c r="BI191" s="46"/>
      <c r="BJ191" s="113"/>
      <c r="BK191" s="112"/>
      <c r="BL191" s="45" t="str">
        <f aca="false">IF(OR(Tasks[[#This Row],[Task Name]]="",Tasks[[#This Row],[Baseline Duration]]=""),"",Tasks[[#This Row],[BL Source Duration]]-N(Tasks[[#This Row],[Baseline Duration]]))</f>
        <v/>
      </c>
      <c r="BM191" s="110" t="str">
        <f aca="false">IF(OR(Tasks[[#This Row],[Task Name]]="",Tasks[[#This Row],[Baseline Work]]=""),"",Tasks[[#This Row],[Work]]-N(Tasks[[#This Row],[Baseline Work]]))</f>
        <v/>
      </c>
      <c r="BN191" s="111" t="str">
        <f aca="false">IF(OR(Tasks[[#This Row],[Task Name]]="",Tasks[[#This Row],[Baseline Cost]]=""),"",Tasks[[#This Row],[Cost]]-N(Tasks[[#This Row],[Baseline Cost]]))</f>
        <v/>
      </c>
      <c r="BO191" s="111" t="str">
        <f aca="false">IF(Tasks[[#This Row],[Task Name]]="","",IF(Tasks[[#This Row],[_IsSummary]],SUM(INDEX(Tasks[_LeafBudget],Tasks[[#This Row],[_Row]]+1):INDEX(Tasks[_LeafBudget],Tasks[[#This Row],[_Row]]+Tasks[[#This Row],[_Descendants]])),Tasks[[#This Row],[_LeafBudget]]))</f>
        <v/>
      </c>
      <c r="BP191" s="111" t="str">
        <f aca="false">IF(Tasks[[#This Row],[Task Name]]="","",IF(Tasks[[#This Row],[_IsSummary]],SUM(INDEX(Tasks[_LeafPV],Tasks[[#This Row],[_Row]]+1):INDEX(Tasks[_LeafPV],Tasks[[#This Row],[_Row]]+Tasks[[#This Row],[_Descendants]])),Tasks[[#This Row],[_LeafPV]]))</f>
        <v/>
      </c>
      <c r="BQ191" s="111" t="str">
        <f aca="false">IF(Tasks[[#This Row],[Task Name]]="","",IF(Tasks[[#This Row],[_IsSummary]],SUM(INDEX(Tasks[_LeafEV],Tasks[[#This Row],[_Row]]+1):INDEX(Tasks[_LeafEV],Tasks[[#This Row],[_Row]]+Tasks[[#This Row],[_Descendants]])),Tasks[[#This Row],[_LeafEV]]))</f>
        <v/>
      </c>
      <c r="BR191" s="111" t="str">
        <f aca="false">IF(Tasks[[#This Row],[Task Name]]="","",IF(Tasks[[#This Row],[_IsSummary]],SUM(INDEX(Tasks[_LeafAC],Tasks[[#This Row],[_Row]]+1):INDEX(Tasks[_LeafAC],Tasks[[#This Row],[_Row]]+Tasks[[#This Row],[_Descendants]])),Tasks[[#This Row],[_LeafAC]]))</f>
        <v/>
      </c>
      <c r="BS191" s="32" t="str">
        <f aca="false">IF(Tasks[[#This Row],[Task Name]]="","",MAX(1,N(Tasks[[#This Row],[Level]])))</f>
        <v/>
      </c>
      <c r="BT191" s="32" t="n">
        <f aca="false">ROW()-ROW(Tasks[[#Headers],[ID]])</f>
        <v>186</v>
      </c>
      <c r="BU191" s="32" t="n">
        <f aca="false">IF(OR(Tasks[[#This Row],[Task Name]]="",Tasks[[#This Row],[_Level]]&lt;=1),0,IFERROR(LOOKUP(2,1/(Tasks[[#Headers],[_Level]]:Tasks[[#This Row],[_Level]]=Tasks[[#This Row],[_Level]]-1),ROW(Tasks[[#Headers],[_Level]]:Tasks[[#This Row],[_Level]])),0))</f>
        <v>0</v>
      </c>
      <c r="BV191" s="32" t="n">
        <f aca="false">IFERROR(N(INDEX(Tasks[_Level],Tasks[[#This Row],[_Row]]+1)),0)</f>
        <v>0</v>
      </c>
      <c r="BW191" s="114" t="b">
        <f aca="false">AND(Tasks[[#This Row],[Task Name]]&lt;&gt;"",Tasks[[#This Row],[_NextLevel]]&gt;Tasks[[#This Row],[_Level]])</f>
        <v>0</v>
      </c>
      <c r="BX191" s="32" t="n">
        <f aca="false">IF(Tasks[[#This Row],[_IsSummary]],COUNTIF(Tasks[WBS],Tasks[[#This Row],[WBS]]&amp;".*"),0)</f>
        <v>0</v>
      </c>
      <c r="BY191" s="32" t="n">
        <f aca="false">IF(AND(Tasks[[#This Row],[Task Name]]&lt;&gt;"",NOT(Tasks[[#This Row],[_IsSummary]])),1,0)</f>
        <v>0</v>
      </c>
      <c r="BZ191" s="32" t="n">
        <f aca="false">IF(N(Tasks[[#This Row],[Pred1 UID]])=0,0,IFERROR(MATCH(Tasks[[#This Row],[Pred1 UID]],Tasks[UID],0),-1))</f>
        <v>0</v>
      </c>
      <c r="CA191" s="32" t="n">
        <f aca="false">IF(N(Tasks[[#This Row],[Pred2 UID]])=0,0,IFERROR(MATCH(Tasks[[#This Row],[Pred2 UID]],Tasks[UID],0),-1))</f>
        <v>0</v>
      </c>
      <c r="CB191" s="32" t="n">
        <f aca="false">IF(N(Tasks[[#This Row],[Pred3 UID]])=0,0,IFERROR(MATCH(Tasks[[#This Row],[Pred3 UID]],Tasks[UID],0),-1))</f>
        <v>0</v>
      </c>
      <c r="CC191" s="32" t="n">
        <f aca="false">IF(N(Tasks[[#This Row],[Pred4 UID]])=0,0,IFERROR(MATCH(Tasks[[#This Row],[Pred4 UID]],Tasks[UID],0),-1))</f>
        <v>0</v>
      </c>
      <c r="CD19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1" s="115" t="n">
        <f aca="false">IF(OR(Tasks[[#This Row],[_ConstraintCode]]=2,Tasks[[#This Row],[_ConstraintCode]]=3,Tasks[[#This Row],[_ConstraintCode]]=4,Tasks[[#This Row],[_ConstraintCode]]=6),Tasks[[#This Row],[_ConstraintStart]],0)</f>
        <v>0</v>
      </c>
      <c r="CG191" s="115" t="n">
        <f aca="false">IF(OR(Tasks[[#This Row],[_ConstraintCode]]=2,Tasks[[#This Row],[_ConstraintCode]]=3,Tasks[[#This Row],[_ConstraintCode]]=5,Tasks[[#This Row],[_ConstraintCode]]=7),Tasks[[#This Row],[_ConstraintStart]],2958465)</f>
        <v>2958465</v>
      </c>
      <c r="CH19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1" s="115" t="str">
        <f aca="false">IF(NOT(Tasks[[#This Row],[_IsLeaf]]=1),"",IF(N(Tasks[[#This Row],[Duration]])&lt;=0,Tasks[[#This Row],[_LeafCalcStart]],WORKDAY.INTL(Tasks[[#This Row],[_LeafCalcStart]],Tasks[[#This Row],[Duration]]-1,WorkWeek,Holidays)))</f>
        <v/>
      </c>
      <c r="CJ19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1" s="32" t="n">
        <f aca="false">IF(NOT(Tasks[[#This Row],[_IsLeaf]]=1),0,IF(N(Tasks[[#This Row],[Actual Finish]])&gt;0,1,MIN(1,N(Tasks[[#This Row],[% Complete]]))))</f>
        <v>0</v>
      </c>
      <c r="CM191" s="32" t="n">
        <f aca="false">IF(OR(NOT(Tasks[[#This Row],[_IsLeaf]]=1),Tasks[[#This Row],[Resource]]=""),0,N(Tasks[[#This Row],[Duration]])*HoursPerDay*IF(Tasks[[#This Row],[Units]]="",DefaultUnits,Tasks[[#This Row],[Units]]))</f>
        <v>0</v>
      </c>
      <c r="CN191" s="32" t="n">
        <f aca="false">IF(Tasks[[#This Row],[_LeafWork]]=0,0,Tasks[[#This Row],[_LeafWork]]*IFERROR(INDEX(res_Rate,MATCH(Tasks[[#This Row],[Resource]],res_Name,0)),0))</f>
        <v>0</v>
      </c>
      <c r="CO191" s="32" t="n">
        <f aca="false">Tasks[[#This Row],[_LeafWork]]+IF(Tasks[[#This Row],[_IsLeaf]]=1,SUMIFS(asg_Work,asg_TaskUID,Tasks[[#This Row],[UID]],asg_Valid,1),0)</f>
        <v>0</v>
      </c>
      <c r="CP191" s="32" t="n">
        <f aca="false">Tasks[[#This Row],[_LeafCost]]+IF(Tasks[[#This Row],[_IsLeaf]]=1,SUMIFS(asg_Cost,asg_TaskUID,Tasks[[#This Row],[UID]],asg_Valid,1),0)</f>
        <v>0</v>
      </c>
      <c r="CQ191" s="32" t="n">
        <f aca="false">IF(Tasks[[#This Row],[_LeafTotalCost]]=0,Tasks[[#This Row],[_LeafAC]],Tasks[[#This Row],[_LeafAC]]*Tasks[[#This Row],[_LeafCost]]/Tasks[[#This Row],[_LeafTotalCost]])</f>
        <v>0</v>
      </c>
      <c r="CR19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1" s="32" t="n">
        <f aca="false">IF(NOT(Tasks[[#This Row],[_IsLeaf]]=1),0,MAX(_xlfn.MAXIFS(Tasks[_Row],Tasks[Pred1 UID],Tasks[[#This Row],[UID]]),_xlfn.MAXIFS(Tasks[_Row],Tasks[Pred2 UID],Tasks[[#This Row],[UID]]),_xlfn.MAXIFS(Tasks[_Row],Tasks[Pred3 UID],Tasks[[#This Row],[UID]]),_xlfn.MAXIFS(Tasks[_Row],Tasks[Pred4 UID],Tasks[[#This Row],[UID]])))</f>
        <v>0</v>
      </c>
      <c r="DA19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1" s="115" t="str">
        <f aca="false">IF(NOT(Tasks[[#This Row],[_IsLeaf]]=1),"",IF(N(Tasks[[#This Row],[Duration]])&lt;=0,Tasks[[#This Row],[_LeafLateFinish]],WORKDAY.INTL(Tasks[[#This Row],[_LeafLateFinish]],-(Tasks[[#This Row],[Duration]]-1),WorkWeek,Holidays)))</f>
        <v/>
      </c>
      <c r="DD19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1" s="114" t="b">
        <f aca="false">AND(Tasks[[#This Row],[_IsLeaf]]=1,Tasks[[#This Row],[_LeafProgress]]&lt;1,N(Tasks[[#This Row],[_LeafTotalSlack]])&lt;=CriticalSlackDays)</f>
        <v>0</v>
      </c>
      <c r="DF191" s="32" t="n">
        <f aca="false">IF(AND(Tasks[[#This Row],[_IsLeaf]]=1,Tasks[[#This Row],[_ConstraintCode]]=1,Tasks[[#This Row],[Mode]]&lt;&gt;"Manual",N(Tasks[[#This Row],[Actual Start]])=0),MAX(0,N(Tasks[[#This Row],[Free Slack]])),0)</f>
        <v>0</v>
      </c>
      <c r="DG191" s="115" t="str">
        <f aca="false">IF(NOT(Tasks[[#This Row],[_IsLeaf]]=1),"",IF(Tasks[[#This Row],[_AlapShift]]=0,Tasks[[#This Row],[_LeafCalcStart]],WORKDAY.INTL(Tasks[[#This Row],[_LeafCalcStart]],Tasks[[#This Row],[_AlapShift]],WorkWeek,Holidays)))</f>
        <v/>
      </c>
      <c r="DH191" s="115" t="str">
        <f aca="false">IF(NOT(Tasks[[#This Row],[_IsLeaf]]=1),"",IF(Tasks[[#This Row],[_AlapShift]]=0,Tasks[[#This Row],[_LeafCalcFinish]],WORKDAY.INTL(Tasks[[#This Row],[_LeafCalcFinish]],Tasks[[#This Row],[_AlapShift]],WorkWeek,Holidays)))</f>
        <v/>
      </c>
      <c r="DI191" s="115" t="str">
        <f aca="false">IF(NOT(Tasks[[#This Row],[_IsLeaf]]=1),"",IF(Tasks[[#This Row],[_AlapShift]]=0,Tasks[[#This Row],[_LeafFcstStart]],WORKDAY.INTL(Tasks[[#This Row],[_LeafFcstStart]],Tasks[[#This Row],[_AlapShift]],WorkWeek,Holidays)))</f>
        <v/>
      </c>
      <c r="DJ191" s="115" t="str">
        <f aca="false">IF(NOT(Tasks[[#This Row],[_IsLeaf]]=1),"",IF(Tasks[[#This Row],[_AlapShift]]=0,Tasks[[#This Row],[_LeafFcstFinish]],WORKDAY.INTL(Tasks[[#This Row],[_LeafFcstFinish]],Tasks[[#This Row],[_AlapShift]],WorkWeek,Holidays)))</f>
        <v/>
      </c>
      <c r="DK191" s="115" t="str">
        <f aca="false">IF(Tasks[[#This Row],[Task Name]]="","",IF(Tasks[[#This Row],[_IsSummary]],MIN(INDEX(Tasks[_ShownCalcStart],Tasks[[#This Row],[_Row]]+1):INDEX(Tasks[_ShownCalcStart],Tasks[[#This Row],[_Row]]+Tasks[[#This Row],[_Descendants]])),Tasks[[#This Row],[_ShownCalcStart]]))</f>
        <v/>
      </c>
      <c r="DL191" s="115" t="str">
        <f aca="false">IF(Tasks[[#This Row],[Task Name]]="","",IF(Tasks[[#This Row],[_IsSummary]],MAX(INDEX(Tasks[_ShownCalcFinish],Tasks[[#This Row],[_Row]]+1):INDEX(Tasks[_ShownCalcFinish],Tasks[[#This Row],[_Row]]+Tasks[[#This Row],[_Descendants]])),Tasks[[#This Row],[_ShownCalcFinish]]))</f>
        <v/>
      </c>
      <c r="DM19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1" s="32" t="n">
        <f aca="false">IF(AND(Tasks[[#This Row],[_IsLeaf]]=1,Tasks[[#This Row],[_LeafTotalWork]]&gt;0),NETWORKDAYS.INTL(ProjectStart,Tasks[[#This Row],[_ShownFcstStart]],WorkWeek,Holidays),0)</f>
        <v>0</v>
      </c>
      <c r="DZ191" s="32" t="n">
        <f aca="false">IF(AND(Tasks[[#This Row],[_IsLeaf]]=1,Tasks[[#This Row],[_LeafTotalWork]]&gt;0),MAX(Tasks[[#This Row],[_StartWorkday]],NETWORKDAYS.INTL(ProjectStart,Tasks[[#This Row],[_ShownFcstFinish]],WorkWeek,Holidays)),0)</f>
        <v>0</v>
      </c>
      <c r="EA191" s="32" t="n">
        <f aca="false">IF(AND(Tasks[[#This Row],[_IsLeaf]]=1,Tasks[[#This Row],[_LeafTotalWork]]&gt;0),Tasks[[#This Row],[_LeafWork]]/(Tasks[[#This Row],[_FinishWorkday]]-Tasks[[#This Row],[_StartWorkday]]+1),0)</f>
        <v>0</v>
      </c>
      <c r="EB191" s="32" t="n">
        <f aca="false">Tasks[[#This Row],[_WorkPerWorkday]]*(Tasks[[#This Row],[_StartWorkday]]-1)</f>
        <v>-0</v>
      </c>
      <c r="EC191" s="32" t="n">
        <f aca="false">IF(Tasks[[#This Row],[_IsLeaf]]=1,MAX(N(Tasks[[#This Row],[Duration]]),0.1),0)</f>
        <v>0</v>
      </c>
      <c r="ED191" s="32" t="n">
        <f aca="false">Tasks[[#This Row],[_WeightDur]]*Tasks[[#This Row],[_LeafProgress]]</f>
        <v>0</v>
      </c>
      <c r="EE19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1" s="32" t="str">
        <f aca="false">IF(AND(Tasks[[#This Row],[_IsLeaf]]=1,N(Tasks[[#This Row],[Duration]])=0,Tasks[[#This Row],[_LeafProgress]]&lt;1),Tasks[[#This Row],[_ShownFcstFinish]]+Tasks[[#This Row],[_Row]]/100000,"")</f>
        <v/>
      </c>
      <c r="EG19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1" s="32" t="n">
        <f aca="false">IF(NOT(Tasks[[#This Row],[_IsLeaf]]=1),0,IF(Tasks[[#This Row],[Baseline Cost]]="",Tasks[[#This Row],[_LeafTotalCost]],N(Tasks[[#This Row],[Baseline Cost]])))</f>
        <v>0</v>
      </c>
      <c r="EI191" s="32" t="n">
        <f aca="false">Tasks[[#This Row],[_LeafBudget]]*Tasks[[#This Row],[_PlannedPct]]</f>
        <v>0</v>
      </c>
      <c r="EJ191" s="32" t="n">
        <f aca="false">Tasks[[#This Row],[_LeafBudget]]*Tasks[[#This Row],[_LeafProgress]]</f>
        <v>0</v>
      </c>
      <c r="EK191" s="32" t="n">
        <f aca="false">IF(NOT(Tasks[[#This Row],[_IsLeaf]]=1),0,IF(Tasks[[#This Row],[Actual Cost]]="",Tasks[[#This Row],[_LeafTotalCost]]*Tasks[[#This Row],[_LeafProgress]],N(Tasks[[#This Row],[Actual Cost]])))</f>
        <v>0</v>
      </c>
      <c r="EL191" s="32" t="str">
        <f aca="false">IF(Tasks[[#This Row],[Task Name]]="","",LEFT(Tasks[[#This Row],[WBS]],FIND(".",Tasks[[#This Row],[WBS]]&amp;".")-1))</f>
        <v/>
      </c>
      <c r="EM191" s="32" t="str">
        <f aca="false">IF(AND(Tasks[[#This Row],[Task Name]]&lt;&gt;"",Tasks[[#This Row],[_Level]]=1),Tasks[[#This Row],[_Row]],"")</f>
        <v/>
      </c>
      <c r="EN191" s="32" t="str">
        <f aca="false">IF(AND(Tasks[[#This Row],[_IsLeaf]]=1,N(Tasks[[#This Row],[Duration]])=0),Tasks[[#This Row],[Planned Finish]]+Tasks[[#This Row],[_Row]]/100000,"")</f>
        <v/>
      </c>
      <c r="EO191" s="32" t="str">
        <f aca="false">IF(AND(Tasks[[#This Row],[_IsLeaf]]=1,Tasks[[#This Row],[_LeafProgress]]&lt;1,OR(N(Tasks[[#This Row],[Finish Var]])&gt;0,Tasks[[#This Row],[Status]]="Late Start")),MAX(0,Tasks[[#This Row],[Finish Var]])+1-Tasks[[#This Row],[_Row]]/1000000,"")</f>
        <v/>
      </c>
      <c r="EP191" s="32" t="str">
        <f aca="false">IF(AND(Tasks[[#This Row],[_IsLeaf]]=1,N(Tasks[[#This Row],[Actual Start]])=0,Tasks[[#This Row],[_ShownFcstStart]]&gt;=StatusDate,Tasks[[#This Row],[_ShownFcstStart]]&lt;=LookaheadEnd),Tasks[[#This Row],[_ShownFcstStart]]+Tasks[[#This Row],[_Row]]/100000,"")</f>
        <v/>
      </c>
      <c r="EQ191" s="32" t="str">
        <f aca="false">IF(AND(Tasks[[#This Row],[_IsLeaf]]=1,Tasks[[#This Row],[_LeafProgress]]&lt;1,Tasks[[#This Row],[_ShownFcstFinish]]&gt;=StatusDate,Tasks[[#This Row],[_ShownFcstFinish]]&lt;=LookaheadEnd),Tasks[[#This Row],[_ShownFcstFinish]]+Tasks[[#This Row],[_Row]]/100000,"")</f>
        <v/>
      </c>
      <c r="ER191" s="32" t="str">
        <f aca="false">IF(Tasks[[#This Row],[_LeafCritical]],Tasks[[#This Row],[_ShownFcstStart]]+Tasks[[#This Row],[_Row]]/100000,"")</f>
        <v/>
      </c>
      <c r="ES191" s="32" t="n">
        <f aca="false">Tasks[[#This Row],[_LeafWork]]*Tasks[[#This Row],[_LeafProgress]]</f>
        <v>0</v>
      </c>
      <c r="ET191" s="115" t="str">
        <f aca="false">IF(AND(Tasks[[#This Row],[_IsLeaf]]=1,Tasks[[#This Row],[_LeafProgress]]&gt;=1),IF(N(Tasks[[#This Row],[Actual Finish]])&gt;0,Tasks[[#This Row],[Actual Finish]],Tasks[[#This Row],[_ShownFcstFinish]]),"")</f>
        <v/>
      </c>
      <c r="EU191" s="32" t="n">
        <f aca="false">IF(Tasks[[#This Row],[_IsLeaf]]=1,N(Tasks[[#This Row],[Story Points]]),0)</f>
        <v>0</v>
      </c>
      <c r="EV191" s="32" t="str">
        <f aca="false">IF(AND(Tasks[[#This Row],[_IsLeaf]]=1,CurrentSprint&lt;&gt;"",Tasks[[#This Row],[Sprint]]=CurrentSprint),Tasks[[#This Row],[_Row]],"")</f>
        <v/>
      </c>
    </row>
    <row r="192" customFormat="false" ht="15" hidden="false" customHeight="false" outlineLevel="0" collapsed="false">
      <c r="A192" s="45" t="str">
        <f aca="false">IF(Tasks[[#This Row],[Task Name]]="","",COUNTA(Tasks[[#Headers],[Task Name]]:Tasks[[#This Row],[Task Name]])-1)</f>
        <v/>
      </c>
      <c r="B192" s="46" t="n">
        <v>187</v>
      </c>
      <c r="C19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2" s="46"/>
      <c r="E192" s="45" t="str">
        <f aca="false">IF(Tasks[[#This Row],[Task Name]]="","",IF(Tasks[[#This Row],[_Level]]&lt;=OutlineShowLevel,"Yes","No"))</f>
        <v/>
      </c>
      <c r="F192" s="47"/>
      <c r="G192" s="46"/>
      <c r="H192" s="46"/>
      <c r="I192" s="46"/>
      <c r="J192" s="46"/>
      <c r="K192" s="46"/>
      <c r="L192" s="46"/>
      <c r="M192" s="46"/>
      <c r="N192" s="46"/>
      <c r="O192" s="46"/>
      <c r="P192" s="46"/>
      <c r="Q192" s="46"/>
      <c r="R192" s="46"/>
      <c r="S192" s="46"/>
      <c r="T192" s="46"/>
      <c r="U192" s="47"/>
      <c r="V192" s="88"/>
      <c r="W192" s="88"/>
      <c r="X192" s="25" t="str">
        <f aca="false">IF(Tasks[[#This Row],[Task Name]]="","",IF(N(Tasks[[#This Row],[Baseline Start]])&gt;0,Tasks[[#This Row],[Baseline Start]],Tasks[[#This Row],[_CalcStart]]))</f>
        <v/>
      </c>
      <c r="Y192" s="25" t="str">
        <f aca="false">IF(Tasks[[#This Row],[Task Name]]="","",IF(N(Tasks[[#This Row],[Baseline Finish]])&gt;0,Tasks[[#This Row],[Baseline Finish]],Tasks[[#This Row],[_CalcFinish]]))</f>
        <v/>
      </c>
      <c r="Z192" s="88"/>
      <c r="AA192" s="88"/>
      <c r="AB192" s="25" t="str">
        <f aca="false">IF(Tasks[[#This Row],[Task Name]]="","",IF(Tasks[[#This Row],[_IsSummary]],MIN(INDEX(Tasks[_ShownFcstStart],Tasks[[#This Row],[_Row]]+1):INDEX(Tasks[_ShownFcstStart],Tasks[[#This Row],[_Row]]+Tasks[[#This Row],[_Descendants]])),Tasks[[#This Row],[_ShownFcstStart]]))</f>
        <v/>
      </c>
      <c r="AC192" s="25" t="str">
        <f aca="false">IF(Tasks[[#This Row],[Task Name]]="","",IF(Tasks[[#This Row],[_IsSummary]],MAX(INDEX(Tasks[_ShownFcstFinish],Tasks[[#This Row],[_Row]]+1):INDEX(Tasks[_ShownFcstFinish],Tasks[[#This Row],[_Row]]+Tasks[[#This Row],[_Descendants]])),Tasks[[#This Row],[_ShownFcstFinish]]))</f>
        <v/>
      </c>
      <c r="AD19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2" s="25" t="str">
        <f aca="false">IF(Tasks[[#This Row],[Task Name]]="","",IF(Tasks[[#This Row],[_IsSummary]],MIN(INDEX(Tasks[_LeafLateStart],Tasks[[#This Row],[_Row]]+1):INDEX(Tasks[_LeafLateStart],Tasks[[#This Row],[_Row]]+Tasks[[#This Row],[_Descendants]])),Tasks[[#This Row],[_LeafLateStart]]))</f>
        <v/>
      </c>
      <c r="AG192" s="25" t="str">
        <f aca="false">IF(Tasks[[#This Row],[Task Name]]="","",IF(Tasks[[#This Row],[_IsSummary]],MAX(INDEX(Tasks[_LeafLateFinish],Tasks[[#This Row],[_Row]]+1):INDEX(Tasks[_LeafLateFinish],Tasks[[#This Row],[_Row]]+Tasks[[#This Row],[_Descendants]])),Tasks[[#This Row],[_LeafLateFinish]]))</f>
        <v/>
      </c>
      <c r="AH192" s="56" t="str">
        <f aca="false">IF(Tasks[[#This Row],[Task Name]]="","",IF(Tasks[[#This Row],[_IsSummary]],MIN(INDEX(Tasks[_LeafTotalSlack],Tasks[[#This Row],[_Row]]+1):INDEX(Tasks[_LeafTotalSlack],Tasks[[#This Row],[_Row]]+Tasks[[#This Row],[_Descendants]])),Tasks[[#This Row],[_LeafTotalSlack]]))</f>
        <v/>
      </c>
      <c r="AI19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2" s="45" t="str">
        <f aca="false">IF(Tasks[[#This Row],[Task Name]]="","",IF(IF(Tasks[[#This Row],[_IsSummary]],COUNTIF(INDEX(Tasks[_LeafCritical],Tasks[[#This Row],[_Row]]+1):INDEX(Tasks[_LeafCritical],Tasks[[#This Row],[_Row]]+Tasks[[#This Row],[_Descendants]]),TRUE())&gt;0,Tasks[[#This Row],[_LeafCritical]]),"Yes",""))</f>
        <v/>
      </c>
      <c r="AK19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2" s="102"/>
      <c r="AN19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2" s="45" t="str">
        <f aca="false">IF(Tasks[[#This Row],[Task Name]]="","",IF(Tasks[[#This Row],[Progress]]&gt;=1,"Complete",IF(OR(N(Tasks[[#This Row],[Actual Start]])&gt;0,Tasks[[#This Row],[Progress]]&gt;0),IF(Tasks[[#This Row],[Finish Var]]&gt;0,"Behind","In Progress"),IF(Tasks[[#This Row],[Planned Start]]&lt;StatusDate,"Late Start","Not Started"))))</f>
        <v/>
      </c>
      <c r="AP192" s="47"/>
      <c r="AQ192" s="102"/>
      <c r="AR19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2" s="110" t="str">
        <f aca="false">IF(Tasks[[#This Row],[Task Name]]="","",IF(Tasks[[#This Row],[_IsSummary]],SUM(INDEX(Tasks[_LeafTotalWork],Tasks[[#This Row],[_Row]]+1):INDEX(Tasks[_LeafTotalWork],Tasks[[#This Row],[_Row]]+Tasks[[#This Row],[_Descendants]])),Tasks[[#This Row],[_LeafTotalWork]]))</f>
        <v/>
      </c>
      <c r="AU192" s="111" t="str">
        <f aca="false">IF(Tasks[[#This Row],[Task Name]]="","",IF(Tasks[[#This Row],[_IsSummary]],SUM(INDEX(Tasks[_LeafTotalCost],Tasks[[#This Row],[_Row]]+1):INDEX(Tasks[_LeafTotalCost],Tasks[[#This Row],[_Row]]+Tasks[[#This Row],[_Descendants]])),Tasks[[#This Row],[_LeafTotalCost]]))</f>
        <v/>
      </c>
      <c r="AV192" s="112"/>
      <c r="AW192" s="46"/>
      <c r="AX19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2" s="96"/>
      <c r="AZ19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2" s="47"/>
      <c r="BB192" s="25" t="str">
        <f aca="false">IF(Tasks[[#This Row],[Task Name]]="","",Tasks[[#This Row],[Forecast Start]])</f>
        <v/>
      </c>
      <c r="BC192" s="25" t="str">
        <f aca="false">IF(Tasks[[#This Row],[Task Name]]="","",Tasks[[#This Row],[Forecast Finish]])</f>
        <v/>
      </c>
      <c r="BD192" s="45" t="str">
        <f aca="false">IF(Tasks[[#This Row],[Task Name]]="","",IF(Tasks[[#This Row],[_IsSummary]],NETWORKDAYS.INTL(Tasks[[#This Row],[Forecast Start]],Tasks[[#This Row],[Forecast Finish]],WorkWeek,Holidays),N(Tasks[[#This Row],[Duration]])))</f>
        <v/>
      </c>
      <c r="BE192" s="110" t="str">
        <f aca="false">IF(Tasks[[#This Row],[Task Name]]="","",Tasks[[#This Row],[Work]])</f>
        <v/>
      </c>
      <c r="BF192" s="111" t="str">
        <f aca="false">IF(Tasks[[#This Row],[Task Name]]="","",Tasks[[#This Row],[Cost]])</f>
        <v/>
      </c>
      <c r="BG192" s="88"/>
      <c r="BH192" s="88"/>
      <c r="BI192" s="46"/>
      <c r="BJ192" s="113"/>
      <c r="BK192" s="112"/>
      <c r="BL192" s="45" t="str">
        <f aca="false">IF(OR(Tasks[[#This Row],[Task Name]]="",Tasks[[#This Row],[Baseline Duration]]=""),"",Tasks[[#This Row],[BL Source Duration]]-N(Tasks[[#This Row],[Baseline Duration]]))</f>
        <v/>
      </c>
      <c r="BM192" s="110" t="str">
        <f aca="false">IF(OR(Tasks[[#This Row],[Task Name]]="",Tasks[[#This Row],[Baseline Work]]=""),"",Tasks[[#This Row],[Work]]-N(Tasks[[#This Row],[Baseline Work]]))</f>
        <v/>
      </c>
      <c r="BN192" s="111" t="str">
        <f aca="false">IF(OR(Tasks[[#This Row],[Task Name]]="",Tasks[[#This Row],[Baseline Cost]]=""),"",Tasks[[#This Row],[Cost]]-N(Tasks[[#This Row],[Baseline Cost]]))</f>
        <v/>
      </c>
      <c r="BO192" s="111" t="str">
        <f aca="false">IF(Tasks[[#This Row],[Task Name]]="","",IF(Tasks[[#This Row],[_IsSummary]],SUM(INDEX(Tasks[_LeafBudget],Tasks[[#This Row],[_Row]]+1):INDEX(Tasks[_LeafBudget],Tasks[[#This Row],[_Row]]+Tasks[[#This Row],[_Descendants]])),Tasks[[#This Row],[_LeafBudget]]))</f>
        <v/>
      </c>
      <c r="BP192" s="111" t="str">
        <f aca="false">IF(Tasks[[#This Row],[Task Name]]="","",IF(Tasks[[#This Row],[_IsSummary]],SUM(INDEX(Tasks[_LeafPV],Tasks[[#This Row],[_Row]]+1):INDEX(Tasks[_LeafPV],Tasks[[#This Row],[_Row]]+Tasks[[#This Row],[_Descendants]])),Tasks[[#This Row],[_LeafPV]]))</f>
        <v/>
      </c>
      <c r="BQ192" s="111" t="str">
        <f aca="false">IF(Tasks[[#This Row],[Task Name]]="","",IF(Tasks[[#This Row],[_IsSummary]],SUM(INDEX(Tasks[_LeafEV],Tasks[[#This Row],[_Row]]+1):INDEX(Tasks[_LeafEV],Tasks[[#This Row],[_Row]]+Tasks[[#This Row],[_Descendants]])),Tasks[[#This Row],[_LeafEV]]))</f>
        <v/>
      </c>
      <c r="BR192" s="111" t="str">
        <f aca="false">IF(Tasks[[#This Row],[Task Name]]="","",IF(Tasks[[#This Row],[_IsSummary]],SUM(INDEX(Tasks[_LeafAC],Tasks[[#This Row],[_Row]]+1):INDEX(Tasks[_LeafAC],Tasks[[#This Row],[_Row]]+Tasks[[#This Row],[_Descendants]])),Tasks[[#This Row],[_LeafAC]]))</f>
        <v/>
      </c>
      <c r="BS192" s="32" t="str">
        <f aca="false">IF(Tasks[[#This Row],[Task Name]]="","",MAX(1,N(Tasks[[#This Row],[Level]])))</f>
        <v/>
      </c>
      <c r="BT192" s="32" t="n">
        <f aca="false">ROW()-ROW(Tasks[[#Headers],[ID]])</f>
        <v>187</v>
      </c>
      <c r="BU192" s="32" t="n">
        <f aca="false">IF(OR(Tasks[[#This Row],[Task Name]]="",Tasks[[#This Row],[_Level]]&lt;=1),0,IFERROR(LOOKUP(2,1/(Tasks[[#Headers],[_Level]]:Tasks[[#This Row],[_Level]]=Tasks[[#This Row],[_Level]]-1),ROW(Tasks[[#Headers],[_Level]]:Tasks[[#This Row],[_Level]])),0))</f>
        <v>0</v>
      </c>
      <c r="BV192" s="32" t="n">
        <f aca="false">IFERROR(N(INDEX(Tasks[_Level],Tasks[[#This Row],[_Row]]+1)),0)</f>
        <v>0</v>
      </c>
      <c r="BW192" s="114" t="b">
        <f aca="false">AND(Tasks[[#This Row],[Task Name]]&lt;&gt;"",Tasks[[#This Row],[_NextLevel]]&gt;Tasks[[#This Row],[_Level]])</f>
        <v>0</v>
      </c>
      <c r="BX192" s="32" t="n">
        <f aca="false">IF(Tasks[[#This Row],[_IsSummary]],COUNTIF(Tasks[WBS],Tasks[[#This Row],[WBS]]&amp;".*"),0)</f>
        <v>0</v>
      </c>
      <c r="BY192" s="32" t="n">
        <f aca="false">IF(AND(Tasks[[#This Row],[Task Name]]&lt;&gt;"",NOT(Tasks[[#This Row],[_IsSummary]])),1,0)</f>
        <v>0</v>
      </c>
      <c r="BZ192" s="32" t="n">
        <f aca="false">IF(N(Tasks[[#This Row],[Pred1 UID]])=0,0,IFERROR(MATCH(Tasks[[#This Row],[Pred1 UID]],Tasks[UID],0),-1))</f>
        <v>0</v>
      </c>
      <c r="CA192" s="32" t="n">
        <f aca="false">IF(N(Tasks[[#This Row],[Pred2 UID]])=0,0,IFERROR(MATCH(Tasks[[#This Row],[Pred2 UID]],Tasks[UID],0),-1))</f>
        <v>0</v>
      </c>
      <c r="CB192" s="32" t="n">
        <f aca="false">IF(N(Tasks[[#This Row],[Pred3 UID]])=0,0,IFERROR(MATCH(Tasks[[#This Row],[Pred3 UID]],Tasks[UID],0),-1))</f>
        <v>0</v>
      </c>
      <c r="CC192" s="32" t="n">
        <f aca="false">IF(N(Tasks[[#This Row],[Pred4 UID]])=0,0,IFERROR(MATCH(Tasks[[#This Row],[Pred4 UID]],Tasks[UID],0),-1))</f>
        <v>0</v>
      </c>
      <c r="CD19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2" s="115" t="n">
        <f aca="false">IF(OR(Tasks[[#This Row],[_ConstraintCode]]=2,Tasks[[#This Row],[_ConstraintCode]]=3,Tasks[[#This Row],[_ConstraintCode]]=4,Tasks[[#This Row],[_ConstraintCode]]=6),Tasks[[#This Row],[_ConstraintStart]],0)</f>
        <v>0</v>
      </c>
      <c r="CG192" s="115" t="n">
        <f aca="false">IF(OR(Tasks[[#This Row],[_ConstraintCode]]=2,Tasks[[#This Row],[_ConstraintCode]]=3,Tasks[[#This Row],[_ConstraintCode]]=5,Tasks[[#This Row],[_ConstraintCode]]=7),Tasks[[#This Row],[_ConstraintStart]],2958465)</f>
        <v>2958465</v>
      </c>
      <c r="CH19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2" s="115" t="str">
        <f aca="false">IF(NOT(Tasks[[#This Row],[_IsLeaf]]=1),"",IF(N(Tasks[[#This Row],[Duration]])&lt;=0,Tasks[[#This Row],[_LeafCalcStart]],WORKDAY.INTL(Tasks[[#This Row],[_LeafCalcStart]],Tasks[[#This Row],[Duration]]-1,WorkWeek,Holidays)))</f>
        <v/>
      </c>
      <c r="CJ19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2" s="32" t="n">
        <f aca="false">IF(NOT(Tasks[[#This Row],[_IsLeaf]]=1),0,IF(N(Tasks[[#This Row],[Actual Finish]])&gt;0,1,MIN(1,N(Tasks[[#This Row],[% Complete]]))))</f>
        <v>0</v>
      </c>
      <c r="CM192" s="32" t="n">
        <f aca="false">IF(OR(NOT(Tasks[[#This Row],[_IsLeaf]]=1),Tasks[[#This Row],[Resource]]=""),0,N(Tasks[[#This Row],[Duration]])*HoursPerDay*IF(Tasks[[#This Row],[Units]]="",DefaultUnits,Tasks[[#This Row],[Units]]))</f>
        <v>0</v>
      </c>
      <c r="CN192" s="32" t="n">
        <f aca="false">IF(Tasks[[#This Row],[_LeafWork]]=0,0,Tasks[[#This Row],[_LeafWork]]*IFERROR(INDEX(res_Rate,MATCH(Tasks[[#This Row],[Resource]],res_Name,0)),0))</f>
        <v>0</v>
      </c>
      <c r="CO192" s="32" t="n">
        <f aca="false">Tasks[[#This Row],[_LeafWork]]+IF(Tasks[[#This Row],[_IsLeaf]]=1,SUMIFS(asg_Work,asg_TaskUID,Tasks[[#This Row],[UID]],asg_Valid,1),0)</f>
        <v>0</v>
      </c>
      <c r="CP192" s="32" t="n">
        <f aca="false">Tasks[[#This Row],[_LeafCost]]+IF(Tasks[[#This Row],[_IsLeaf]]=1,SUMIFS(asg_Cost,asg_TaskUID,Tasks[[#This Row],[UID]],asg_Valid,1),0)</f>
        <v>0</v>
      </c>
      <c r="CQ192" s="32" t="n">
        <f aca="false">IF(Tasks[[#This Row],[_LeafTotalCost]]=0,Tasks[[#This Row],[_LeafAC]],Tasks[[#This Row],[_LeafAC]]*Tasks[[#This Row],[_LeafCost]]/Tasks[[#This Row],[_LeafTotalCost]])</f>
        <v>0</v>
      </c>
      <c r="CR19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2" s="32" t="n">
        <f aca="false">IF(NOT(Tasks[[#This Row],[_IsLeaf]]=1),0,MAX(_xlfn.MAXIFS(Tasks[_Row],Tasks[Pred1 UID],Tasks[[#This Row],[UID]]),_xlfn.MAXIFS(Tasks[_Row],Tasks[Pred2 UID],Tasks[[#This Row],[UID]]),_xlfn.MAXIFS(Tasks[_Row],Tasks[Pred3 UID],Tasks[[#This Row],[UID]]),_xlfn.MAXIFS(Tasks[_Row],Tasks[Pred4 UID],Tasks[[#This Row],[UID]])))</f>
        <v>0</v>
      </c>
      <c r="DA19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2" s="115" t="str">
        <f aca="false">IF(NOT(Tasks[[#This Row],[_IsLeaf]]=1),"",IF(N(Tasks[[#This Row],[Duration]])&lt;=0,Tasks[[#This Row],[_LeafLateFinish]],WORKDAY.INTL(Tasks[[#This Row],[_LeafLateFinish]],-(Tasks[[#This Row],[Duration]]-1),WorkWeek,Holidays)))</f>
        <v/>
      </c>
      <c r="DD19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2" s="114" t="b">
        <f aca="false">AND(Tasks[[#This Row],[_IsLeaf]]=1,Tasks[[#This Row],[_LeafProgress]]&lt;1,N(Tasks[[#This Row],[_LeafTotalSlack]])&lt;=CriticalSlackDays)</f>
        <v>0</v>
      </c>
      <c r="DF192" s="32" t="n">
        <f aca="false">IF(AND(Tasks[[#This Row],[_IsLeaf]]=1,Tasks[[#This Row],[_ConstraintCode]]=1,Tasks[[#This Row],[Mode]]&lt;&gt;"Manual",N(Tasks[[#This Row],[Actual Start]])=0),MAX(0,N(Tasks[[#This Row],[Free Slack]])),0)</f>
        <v>0</v>
      </c>
      <c r="DG192" s="115" t="str">
        <f aca="false">IF(NOT(Tasks[[#This Row],[_IsLeaf]]=1),"",IF(Tasks[[#This Row],[_AlapShift]]=0,Tasks[[#This Row],[_LeafCalcStart]],WORKDAY.INTL(Tasks[[#This Row],[_LeafCalcStart]],Tasks[[#This Row],[_AlapShift]],WorkWeek,Holidays)))</f>
        <v/>
      </c>
      <c r="DH192" s="115" t="str">
        <f aca="false">IF(NOT(Tasks[[#This Row],[_IsLeaf]]=1),"",IF(Tasks[[#This Row],[_AlapShift]]=0,Tasks[[#This Row],[_LeafCalcFinish]],WORKDAY.INTL(Tasks[[#This Row],[_LeafCalcFinish]],Tasks[[#This Row],[_AlapShift]],WorkWeek,Holidays)))</f>
        <v/>
      </c>
      <c r="DI192" s="115" t="str">
        <f aca="false">IF(NOT(Tasks[[#This Row],[_IsLeaf]]=1),"",IF(Tasks[[#This Row],[_AlapShift]]=0,Tasks[[#This Row],[_LeafFcstStart]],WORKDAY.INTL(Tasks[[#This Row],[_LeafFcstStart]],Tasks[[#This Row],[_AlapShift]],WorkWeek,Holidays)))</f>
        <v/>
      </c>
      <c r="DJ192" s="115" t="str">
        <f aca="false">IF(NOT(Tasks[[#This Row],[_IsLeaf]]=1),"",IF(Tasks[[#This Row],[_AlapShift]]=0,Tasks[[#This Row],[_LeafFcstFinish]],WORKDAY.INTL(Tasks[[#This Row],[_LeafFcstFinish]],Tasks[[#This Row],[_AlapShift]],WorkWeek,Holidays)))</f>
        <v/>
      </c>
      <c r="DK192" s="115" t="str">
        <f aca="false">IF(Tasks[[#This Row],[Task Name]]="","",IF(Tasks[[#This Row],[_IsSummary]],MIN(INDEX(Tasks[_ShownCalcStart],Tasks[[#This Row],[_Row]]+1):INDEX(Tasks[_ShownCalcStart],Tasks[[#This Row],[_Row]]+Tasks[[#This Row],[_Descendants]])),Tasks[[#This Row],[_ShownCalcStart]]))</f>
        <v/>
      </c>
      <c r="DL192" s="115" t="str">
        <f aca="false">IF(Tasks[[#This Row],[Task Name]]="","",IF(Tasks[[#This Row],[_IsSummary]],MAX(INDEX(Tasks[_ShownCalcFinish],Tasks[[#This Row],[_Row]]+1):INDEX(Tasks[_ShownCalcFinish],Tasks[[#This Row],[_Row]]+Tasks[[#This Row],[_Descendants]])),Tasks[[#This Row],[_ShownCalcFinish]]))</f>
        <v/>
      </c>
      <c r="DM19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2" s="32" t="n">
        <f aca="false">IF(AND(Tasks[[#This Row],[_IsLeaf]]=1,Tasks[[#This Row],[_LeafTotalWork]]&gt;0),NETWORKDAYS.INTL(ProjectStart,Tasks[[#This Row],[_ShownFcstStart]],WorkWeek,Holidays),0)</f>
        <v>0</v>
      </c>
      <c r="DZ192" s="32" t="n">
        <f aca="false">IF(AND(Tasks[[#This Row],[_IsLeaf]]=1,Tasks[[#This Row],[_LeafTotalWork]]&gt;0),MAX(Tasks[[#This Row],[_StartWorkday]],NETWORKDAYS.INTL(ProjectStart,Tasks[[#This Row],[_ShownFcstFinish]],WorkWeek,Holidays)),0)</f>
        <v>0</v>
      </c>
      <c r="EA192" s="32" t="n">
        <f aca="false">IF(AND(Tasks[[#This Row],[_IsLeaf]]=1,Tasks[[#This Row],[_LeafTotalWork]]&gt;0),Tasks[[#This Row],[_LeafWork]]/(Tasks[[#This Row],[_FinishWorkday]]-Tasks[[#This Row],[_StartWorkday]]+1),0)</f>
        <v>0</v>
      </c>
      <c r="EB192" s="32" t="n">
        <f aca="false">Tasks[[#This Row],[_WorkPerWorkday]]*(Tasks[[#This Row],[_StartWorkday]]-1)</f>
        <v>-0</v>
      </c>
      <c r="EC192" s="32" t="n">
        <f aca="false">IF(Tasks[[#This Row],[_IsLeaf]]=1,MAX(N(Tasks[[#This Row],[Duration]]),0.1),0)</f>
        <v>0</v>
      </c>
      <c r="ED192" s="32" t="n">
        <f aca="false">Tasks[[#This Row],[_WeightDur]]*Tasks[[#This Row],[_LeafProgress]]</f>
        <v>0</v>
      </c>
      <c r="EE19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2" s="32" t="str">
        <f aca="false">IF(AND(Tasks[[#This Row],[_IsLeaf]]=1,N(Tasks[[#This Row],[Duration]])=0,Tasks[[#This Row],[_LeafProgress]]&lt;1),Tasks[[#This Row],[_ShownFcstFinish]]+Tasks[[#This Row],[_Row]]/100000,"")</f>
        <v/>
      </c>
      <c r="EG19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2" s="32" t="n">
        <f aca="false">IF(NOT(Tasks[[#This Row],[_IsLeaf]]=1),0,IF(Tasks[[#This Row],[Baseline Cost]]="",Tasks[[#This Row],[_LeafTotalCost]],N(Tasks[[#This Row],[Baseline Cost]])))</f>
        <v>0</v>
      </c>
      <c r="EI192" s="32" t="n">
        <f aca="false">Tasks[[#This Row],[_LeafBudget]]*Tasks[[#This Row],[_PlannedPct]]</f>
        <v>0</v>
      </c>
      <c r="EJ192" s="32" t="n">
        <f aca="false">Tasks[[#This Row],[_LeafBudget]]*Tasks[[#This Row],[_LeafProgress]]</f>
        <v>0</v>
      </c>
      <c r="EK192" s="32" t="n">
        <f aca="false">IF(NOT(Tasks[[#This Row],[_IsLeaf]]=1),0,IF(Tasks[[#This Row],[Actual Cost]]="",Tasks[[#This Row],[_LeafTotalCost]]*Tasks[[#This Row],[_LeafProgress]],N(Tasks[[#This Row],[Actual Cost]])))</f>
        <v>0</v>
      </c>
      <c r="EL192" s="32" t="str">
        <f aca="false">IF(Tasks[[#This Row],[Task Name]]="","",LEFT(Tasks[[#This Row],[WBS]],FIND(".",Tasks[[#This Row],[WBS]]&amp;".")-1))</f>
        <v/>
      </c>
      <c r="EM192" s="32" t="str">
        <f aca="false">IF(AND(Tasks[[#This Row],[Task Name]]&lt;&gt;"",Tasks[[#This Row],[_Level]]=1),Tasks[[#This Row],[_Row]],"")</f>
        <v/>
      </c>
      <c r="EN192" s="32" t="str">
        <f aca="false">IF(AND(Tasks[[#This Row],[_IsLeaf]]=1,N(Tasks[[#This Row],[Duration]])=0),Tasks[[#This Row],[Planned Finish]]+Tasks[[#This Row],[_Row]]/100000,"")</f>
        <v/>
      </c>
      <c r="EO192" s="32" t="str">
        <f aca="false">IF(AND(Tasks[[#This Row],[_IsLeaf]]=1,Tasks[[#This Row],[_LeafProgress]]&lt;1,OR(N(Tasks[[#This Row],[Finish Var]])&gt;0,Tasks[[#This Row],[Status]]="Late Start")),MAX(0,Tasks[[#This Row],[Finish Var]])+1-Tasks[[#This Row],[_Row]]/1000000,"")</f>
        <v/>
      </c>
      <c r="EP192" s="32" t="str">
        <f aca="false">IF(AND(Tasks[[#This Row],[_IsLeaf]]=1,N(Tasks[[#This Row],[Actual Start]])=0,Tasks[[#This Row],[_ShownFcstStart]]&gt;=StatusDate,Tasks[[#This Row],[_ShownFcstStart]]&lt;=LookaheadEnd),Tasks[[#This Row],[_ShownFcstStart]]+Tasks[[#This Row],[_Row]]/100000,"")</f>
        <v/>
      </c>
      <c r="EQ192" s="32" t="str">
        <f aca="false">IF(AND(Tasks[[#This Row],[_IsLeaf]]=1,Tasks[[#This Row],[_LeafProgress]]&lt;1,Tasks[[#This Row],[_ShownFcstFinish]]&gt;=StatusDate,Tasks[[#This Row],[_ShownFcstFinish]]&lt;=LookaheadEnd),Tasks[[#This Row],[_ShownFcstFinish]]+Tasks[[#This Row],[_Row]]/100000,"")</f>
        <v/>
      </c>
      <c r="ER192" s="32" t="str">
        <f aca="false">IF(Tasks[[#This Row],[_LeafCritical]],Tasks[[#This Row],[_ShownFcstStart]]+Tasks[[#This Row],[_Row]]/100000,"")</f>
        <v/>
      </c>
      <c r="ES192" s="32" t="n">
        <f aca="false">Tasks[[#This Row],[_LeafWork]]*Tasks[[#This Row],[_LeafProgress]]</f>
        <v>0</v>
      </c>
      <c r="ET192" s="115" t="str">
        <f aca="false">IF(AND(Tasks[[#This Row],[_IsLeaf]]=1,Tasks[[#This Row],[_LeafProgress]]&gt;=1),IF(N(Tasks[[#This Row],[Actual Finish]])&gt;0,Tasks[[#This Row],[Actual Finish]],Tasks[[#This Row],[_ShownFcstFinish]]),"")</f>
        <v/>
      </c>
      <c r="EU192" s="32" t="n">
        <f aca="false">IF(Tasks[[#This Row],[_IsLeaf]]=1,N(Tasks[[#This Row],[Story Points]]),0)</f>
        <v>0</v>
      </c>
      <c r="EV192" s="32" t="str">
        <f aca="false">IF(AND(Tasks[[#This Row],[_IsLeaf]]=1,CurrentSprint&lt;&gt;"",Tasks[[#This Row],[Sprint]]=CurrentSprint),Tasks[[#This Row],[_Row]],"")</f>
        <v/>
      </c>
    </row>
    <row r="193" customFormat="false" ht="15" hidden="false" customHeight="false" outlineLevel="0" collapsed="false">
      <c r="A193" s="45" t="str">
        <f aca="false">IF(Tasks[[#This Row],[Task Name]]="","",COUNTA(Tasks[[#Headers],[Task Name]]:Tasks[[#This Row],[Task Name]])-1)</f>
        <v/>
      </c>
      <c r="B193" s="46" t="n">
        <v>188</v>
      </c>
      <c r="C19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3" s="46"/>
      <c r="E193" s="45" t="str">
        <f aca="false">IF(Tasks[[#This Row],[Task Name]]="","",IF(Tasks[[#This Row],[_Level]]&lt;=OutlineShowLevel,"Yes","No"))</f>
        <v/>
      </c>
      <c r="F193" s="47"/>
      <c r="G193" s="46"/>
      <c r="H193" s="46"/>
      <c r="I193" s="46"/>
      <c r="J193" s="46"/>
      <c r="K193" s="46"/>
      <c r="L193" s="46"/>
      <c r="M193" s="46"/>
      <c r="N193" s="46"/>
      <c r="O193" s="46"/>
      <c r="P193" s="46"/>
      <c r="Q193" s="46"/>
      <c r="R193" s="46"/>
      <c r="S193" s="46"/>
      <c r="T193" s="46"/>
      <c r="U193" s="47"/>
      <c r="V193" s="88"/>
      <c r="W193" s="88"/>
      <c r="X193" s="25" t="str">
        <f aca="false">IF(Tasks[[#This Row],[Task Name]]="","",IF(N(Tasks[[#This Row],[Baseline Start]])&gt;0,Tasks[[#This Row],[Baseline Start]],Tasks[[#This Row],[_CalcStart]]))</f>
        <v/>
      </c>
      <c r="Y193" s="25" t="str">
        <f aca="false">IF(Tasks[[#This Row],[Task Name]]="","",IF(N(Tasks[[#This Row],[Baseline Finish]])&gt;0,Tasks[[#This Row],[Baseline Finish]],Tasks[[#This Row],[_CalcFinish]]))</f>
        <v/>
      </c>
      <c r="Z193" s="88"/>
      <c r="AA193" s="88"/>
      <c r="AB193" s="25" t="str">
        <f aca="false">IF(Tasks[[#This Row],[Task Name]]="","",IF(Tasks[[#This Row],[_IsSummary]],MIN(INDEX(Tasks[_ShownFcstStart],Tasks[[#This Row],[_Row]]+1):INDEX(Tasks[_ShownFcstStart],Tasks[[#This Row],[_Row]]+Tasks[[#This Row],[_Descendants]])),Tasks[[#This Row],[_ShownFcstStart]]))</f>
        <v/>
      </c>
      <c r="AC193" s="25" t="str">
        <f aca="false">IF(Tasks[[#This Row],[Task Name]]="","",IF(Tasks[[#This Row],[_IsSummary]],MAX(INDEX(Tasks[_ShownFcstFinish],Tasks[[#This Row],[_Row]]+1):INDEX(Tasks[_ShownFcstFinish],Tasks[[#This Row],[_Row]]+Tasks[[#This Row],[_Descendants]])),Tasks[[#This Row],[_ShownFcstFinish]]))</f>
        <v/>
      </c>
      <c r="AD19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3" s="25" t="str">
        <f aca="false">IF(Tasks[[#This Row],[Task Name]]="","",IF(Tasks[[#This Row],[_IsSummary]],MIN(INDEX(Tasks[_LeafLateStart],Tasks[[#This Row],[_Row]]+1):INDEX(Tasks[_LeafLateStart],Tasks[[#This Row],[_Row]]+Tasks[[#This Row],[_Descendants]])),Tasks[[#This Row],[_LeafLateStart]]))</f>
        <v/>
      </c>
      <c r="AG193" s="25" t="str">
        <f aca="false">IF(Tasks[[#This Row],[Task Name]]="","",IF(Tasks[[#This Row],[_IsSummary]],MAX(INDEX(Tasks[_LeafLateFinish],Tasks[[#This Row],[_Row]]+1):INDEX(Tasks[_LeafLateFinish],Tasks[[#This Row],[_Row]]+Tasks[[#This Row],[_Descendants]])),Tasks[[#This Row],[_LeafLateFinish]]))</f>
        <v/>
      </c>
      <c r="AH193" s="56" t="str">
        <f aca="false">IF(Tasks[[#This Row],[Task Name]]="","",IF(Tasks[[#This Row],[_IsSummary]],MIN(INDEX(Tasks[_LeafTotalSlack],Tasks[[#This Row],[_Row]]+1):INDEX(Tasks[_LeafTotalSlack],Tasks[[#This Row],[_Row]]+Tasks[[#This Row],[_Descendants]])),Tasks[[#This Row],[_LeafTotalSlack]]))</f>
        <v/>
      </c>
      <c r="AI19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3" s="45" t="str">
        <f aca="false">IF(Tasks[[#This Row],[Task Name]]="","",IF(IF(Tasks[[#This Row],[_IsSummary]],COUNTIF(INDEX(Tasks[_LeafCritical],Tasks[[#This Row],[_Row]]+1):INDEX(Tasks[_LeafCritical],Tasks[[#This Row],[_Row]]+Tasks[[#This Row],[_Descendants]]),TRUE())&gt;0,Tasks[[#This Row],[_LeafCritical]]),"Yes",""))</f>
        <v/>
      </c>
      <c r="AK19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3" s="102"/>
      <c r="AN19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3" s="45" t="str">
        <f aca="false">IF(Tasks[[#This Row],[Task Name]]="","",IF(Tasks[[#This Row],[Progress]]&gt;=1,"Complete",IF(OR(N(Tasks[[#This Row],[Actual Start]])&gt;0,Tasks[[#This Row],[Progress]]&gt;0),IF(Tasks[[#This Row],[Finish Var]]&gt;0,"Behind","In Progress"),IF(Tasks[[#This Row],[Planned Start]]&lt;StatusDate,"Late Start","Not Started"))))</f>
        <v/>
      </c>
      <c r="AP193" s="47"/>
      <c r="AQ193" s="102"/>
      <c r="AR19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3" s="110" t="str">
        <f aca="false">IF(Tasks[[#This Row],[Task Name]]="","",IF(Tasks[[#This Row],[_IsSummary]],SUM(INDEX(Tasks[_LeafTotalWork],Tasks[[#This Row],[_Row]]+1):INDEX(Tasks[_LeafTotalWork],Tasks[[#This Row],[_Row]]+Tasks[[#This Row],[_Descendants]])),Tasks[[#This Row],[_LeafTotalWork]]))</f>
        <v/>
      </c>
      <c r="AU193" s="111" t="str">
        <f aca="false">IF(Tasks[[#This Row],[Task Name]]="","",IF(Tasks[[#This Row],[_IsSummary]],SUM(INDEX(Tasks[_LeafTotalCost],Tasks[[#This Row],[_Row]]+1):INDEX(Tasks[_LeafTotalCost],Tasks[[#This Row],[_Row]]+Tasks[[#This Row],[_Descendants]])),Tasks[[#This Row],[_LeafTotalCost]]))</f>
        <v/>
      </c>
      <c r="AV193" s="112"/>
      <c r="AW193" s="46"/>
      <c r="AX19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3" s="96"/>
      <c r="AZ19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3" s="47"/>
      <c r="BB193" s="25" t="str">
        <f aca="false">IF(Tasks[[#This Row],[Task Name]]="","",Tasks[[#This Row],[Forecast Start]])</f>
        <v/>
      </c>
      <c r="BC193" s="25" t="str">
        <f aca="false">IF(Tasks[[#This Row],[Task Name]]="","",Tasks[[#This Row],[Forecast Finish]])</f>
        <v/>
      </c>
      <c r="BD193" s="45" t="str">
        <f aca="false">IF(Tasks[[#This Row],[Task Name]]="","",IF(Tasks[[#This Row],[_IsSummary]],NETWORKDAYS.INTL(Tasks[[#This Row],[Forecast Start]],Tasks[[#This Row],[Forecast Finish]],WorkWeek,Holidays),N(Tasks[[#This Row],[Duration]])))</f>
        <v/>
      </c>
      <c r="BE193" s="110" t="str">
        <f aca="false">IF(Tasks[[#This Row],[Task Name]]="","",Tasks[[#This Row],[Work]])</f>
        <v/>
      </c>
      <c r="BF193" s="111" t="str">
        <f aca="false">IF(Tasks[[#This Row],[Task Name]]="","",Tasks[[#This Row],[Cost]])</f>
        <v/>
      </c>
      <c r="BG193" s="88"/>
      <c r="BH193" s="88"/>
      <c r="BI193" s="46"/>
      <c r="BJ193" s="113"/>
      <c r="BK193" s="112"/>
      <c r="BL193" s="45" t="str">
        <f aca="false">IF(OR(Tasks[[#This Row],[Task Name]]="",Tasks[[#This Row],[Baseline Duration]]=""),"",Tasks[[#This Row],[BL Source Duration]]-N(Tasks[[#This Row],[Baseline Duration]]))</f>
        <v/>
      </c>
      <c r="BM193" s="110" t="str">
        <f aca="false">IF(OR(Tasks[[#This Row],[Task Name]]="",Tasks[[#This Row],[Baseline Work]]=""),"",Tasks[[#This Row],[Work]]-N(Tasks[[#This Row],[Baseline Work]]))</f>
        <v/>
      </c>
      <c r="BN193" s="111" t="str">
        <f aca="false">IF(OR(Tasks[[#This Row],[Task Name]]="",Tasks[[#This Row],[Baseline Cost]]=""),"",Tasks[[#This Row],[Cost]]-N(Tasks[[#This Row],[Baseline Cost]]))</f>
        <v/>
      </c>
      <c r="BO193" s="111" t="str">
        <f aca="false">IF(Tasks[[#This Row],[Task Name]]="","",IF(Tasks[[#This Row],[_IsSummary]],SUM(INDEX(Tasks[_LeafBudget],Tasks[[#This Row],[_Row]]+1):INDEX(Tasks[_LeafBudget],Tasks[[#This Row],[_Row]]+Tasks[[#This Row],[_Descendants]])),Tasks[[#This Row],[_LeafBudget]]))</f>
        <v/>
      </c>
      <c r="BP193" s="111" t="str">
        <f aca="false">IF(Tasks[[#This Row],[Task Name]]="","",IF(Tasks[[#This Row],[_IsSummary]],SUM(INDEX(Tasks[_LeafPV],Tasks[[#This Row],[_Row]]+1):INDEX(Tasks[_LeafPV],Tasks[[#This Row],[_Row]]+Tasks[[#This Row],[_Descendants]])),Tasks[[#This Row],[_LeafPV]]))</f>
        <v/>
      </c>
      <c r="BQ193" s="111" t="str">
        <f aca="false">IF(Tasks[[#This Row],[Task Name]]="","",IF(Tasks[[#This Row],[_IsSummary]],SUM(INDEX(Tasks[_LeafEV],Tasks[[#This Row],[_Row]]+1):INDEX(Tasks[_LeafEV],Tasks[[#This Row],[_Row]]+Tasks[[#This Row],[_Descendants]])),Tasks[[#This Row],[_LeafEV]]))</f>
        <v/>
      </c>
      <c r="BR193" s="111" t="str">
        <f aca="false">IF(Tasks[[#This Row],[Task Name]]="","",IF(Tasks[[#This Row],[_IsSummary]],SUM(INDEX(Tasks[_LeafAC],Tasks[[#This Row],[_Row]]+1):INDEX(Tasks[_LeafAC],Tasks[[#This Row],[_Row]]+Tasks[[#This Row],[_Descendants]])),Tasks[[#This Row],[_LeafAC]]))</f>
        <v/>
      </c>
      <c r="BS193" s="32" t="str">
        <f aca="false">IF(Tasks[[#This Row],[Task Name]]="","",MAX(1,N(Tasks[[#This Row],[Level]])))</f>
        <v/>
      </c>
      <c r="BT193" s="32" t="n">
        <f aca="false">ROW()-ROW(Tasks[[#Headers],[ID]])</f>
        <v>188</v>
      </c>
      <c r="BU193" s="32" t="n">
        <f aca="false">IF(OR(Tasks[[#This Row],[Task Name]]="",Tasks[[#This Row],[_Level]]&lt;=1),0,IFERROR(LOOKUP(2,1/(Tasks[[#Headers],[_Level]]:Tasks[[#This Row],[_Level]]=Tasks[[#This Row],[_Level]]-1),ROW(Tasks[[#Headers],[_Level]]:Tasks[[#This Row],[_Level]])),0))</f>
        <v>0</v>
      </c>
      <c r="BV193" s="32" t="n">
        <f aca="false">IFERROR(N(INDEX(Tasks[_Level],Tasks[[#This Row],[_Row]]+1)),0)</f>
        <v>0</v>
      </c>
      <c r="BW193" s="114" t="b">
        <f aca="false">AND(Tasks[[#This Row],[Task Name]]&lt;&gt;"",Tasks[[#This Row],[_NextLevel]]&gt;Tasks[[#This Row],[_Level]])</f>
        <v>0</v>
      </c>
      <c r="BX193" s="32" t="n">
        <f aca="false">IF(Tasks[[#This Row],[_IsSummary]],COUNTIF(Tasks[WBS],Tasks[[#This Row],[WBS]]&amp;".*"),0)</f>
        <v>0</v>
      </c>
      <c r="BY193" s="32" t="n">
        <f aca="false">IF(AND(Tasks[[#This Row],[Task Name]]&lt;&gt;"",NOT(Tasks[[#This Row],[_IsSummary]])),1,0)</f>
        <v>0</v>
      </c>
      <c r="BZ193" s="32" t="n">
        <f aca="false">IF(N(Tasks[[#This Row],[Pred1 UID]])=0,0,IFERROR(MATCH(Tasks[[#This Row],[Pred1 UID]],Tasks[UID],0),-1))</f>
        <v>0</v>
      </c>
      <c r="CA193" s="32" t="n">
        <f aca="false">IF(N(Tasks[[#This Row],[Pred2 UID]])=0,0,IFERROR(MATCH(Tasks[[#This Row],[Pred2 UID]],Tasks[UID],0),-1))</f>
        <v>0</v>
      </c>
      <c r="CB193" s="32" t="n">
        <f aca="false">IF(N(Tasks[[#This Row],[Pred3 UID]])=0,0,IFERROR(MATCH(Tasks[[#This Row],[Pred3 UID]],Tasks[UID],0),-1))</f>
        <v>0</v>
      </c>
      <c r="CC193" s="32" t="n">
        <f aca="false">IF(N(Tasks[[#This Row],[Pred4 UID]])=0,0,IFERROR(MATCH(Tasks[[#This Row],[Pred4 UID]],Tasks[UID],0),-1))</f>
        <v>0</v>
      </c>
      <c r="CD19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3" s="115" t="n">
        <f aca="false">IF(OR(Tasks[[#This Row],[_ConstraintCode]]=2,Tasks[[#This Row],[_ConstraintCode]]=3,Tasks[[#This Row],[_ConstraintCode]]=4,Tasks[[#This Row],[_ConstraintCode]]=6),Tasks[[#This Row],[_ConstraintStart]],0)</f>
        <v>0</v>
      </c>
      <c r="CG193" s="115" t="n">
        <f aca="false">IF(OR(Tasks[[#This Row],[_ConstraintCode]]=2,Tasks[[#This Row],[_ConstraintCode]]=3,Tasks[[#This Row],[_ConstraintCode]]=5,Tasks[[#This Row],[_ConstraintCode]]=7),Tasks[[#This Row],[_ConstraintStart]],2958465)</f>
        <v>2958465</v>
      </c>
      <c r="CH19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3" s="115" t="str">
        <f aca="false">IF(NOT(Tasks[[#This Row],[_IsLeaf]]=1),"",IF(N(Tasks[[#This Row],[Duration]])&lt;=0,Tasks[[#This Row],[_LeafCalcStart]],WORKDAY.INTL(Tasks[[#This Row],[_LeafCalcStart]],Tasks[[#This Row],[Duration]]-1,WorkWeek,Holidays)))</f>
        <v/>
      </c>
      <c r="CJ19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3" s="32" t="n">
        <f aca="false">IF(NOT(Tasks[[#This Row],[_IsLeaf]]=1),0,IF(N(Tasks[[#This Row],[Actual Finish]])&gt;0,1,MIN(1,N(Tasks[[#This Row],[% Complete]]))))</f>
        <v>0</v>
      </c>
      <c r="CM193" s="32" t="n">
        <f aca="false">IF(OR(NOT(Tasks[[#This Row],[_IsLeaf]]=1),Tasks[[#This Row],[Resource]]=""),0,N(Tasks[[#This Row],[Duration]])*HoursPerDay*IF(Tasks[[#This Row],[Units]]="",DefaultUnits,Tasks[[#This Row],[Units]]))</f>
        <v>0</v>
      </c>
      <c r="CN193" s="32" t="n">
        <f aca="false">IF(Tasks[[#This Row],[_LeafWork]]=0,0,Tasks[[#This Row],[_LeafWork]]*IFERROR(INDEX(res_Rate,MATCH(Tasks[[#This Row],[Resource]],res_Name,0)),0))</f>
        <v>0</v>
      </c>
      <c r="CO193" s="32" t="n">
        <f aca="false">Tasks[[#This Row],[_LeafWork]]+IF(Tasks[[#This Row],[_IsLeaf]]=1,SUMIFS(asg_Work,asg_TaskUID,Tasks[[#This Row],[UID]],asg_Valid,1),0)</f>
        <v>0</v>
      </c>
      <c r="CP193" s="32" t="n">
        <f aca="false">Tasks[[#This Row],[_LeafCost]]+IF(Tasks[[#This Row],[_IsLeaf]]=1,SUMIFS(asg_Cost,asg_TaskUID,Tasks[[#This Row],[UID]],asg_Valid,1),0)</f>
        <v>0</v>
      </c>
      <c r="CQ193" s="32" t="n">
        <f aca="false">IF(Tasks[[#This Row],[_LeafTotalCost]]=0,Tasks[[#This Row],[_LeafAC]],Tasks[[#This Row],[_LeafAC]]*Tasks[[#This Row],[_LeafCost]]/Tasks[[#This Row],[_LeafTotalCost]])</f>
        <v>0</v>
      </c>
      <c r="CR19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3" s="32" t="n">
        <f aca="false">IF(NOT(Tasks[[#This Row],[_IsLeaf]]=1),0,MAX(_xlfn.MAXIFS(Tasks[_Row],Tasks[Pred1 UID],Tasks[[#This Row],[UID]]),_xlfn.MAXIFS(Tasks[_Row],Tasks[Pred2 UID],Tasks[[#This Row],[UID]]),_xlfn.MAXIFS(Tasks[_Row],Tasks[Pred3 UID],Tasks[[#This Row],[UID]]),_xlfn.MAXIFS(Tasks[_Row],Tasks[Pred4 UID],Tasks[[#This Row],[UID]])))</f>
        <v>0</v>
      </c>
      <c r="DA19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3" s="115" t="str">
        <f aca="false">IF(NOT(Tasks[[#This Row],[_IsLeaf]]=1),"",IF(N(Tasks[[#This Row],[Duration]])&lt;=0,Tasks[[#This Row],[_LeafLateFinish]],WORKDAY.INTL(Tasks[[#This Row],[_LeafLateFinish]],-(Tasks[[#This Row],[Duration]]-1),WorkWeek,Holidays)))</f>
        <v/>
      </c>
      <c r="DD19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3" s="114" t="b">
        <f aca="false">AND(Tasks[[#This Row],[_IsLeaf]]=1,Tasks[[#This Row],[_LeafProgress]]&lt;1,N(Tasks[[#This Row],[_LeafTotalSlack]])&lt;=CriticalSlackDays)</f>
        <v>0</v>
      </c>
      <c r="DF193" s="32" t="n">
        <f aca="false">IF(AND(Tasks[[#This Row],[_IsLeaf]]=1,Tasks[[#This Row],[_ConstraintCode]]=1,Tasks[[#This Row],[Mode]]&lt;&gt;"Manual",N(Tasks[[#This Row],[Actual Start]])=0),MAX(0,N(Tasks[[#This Row],[Free Slack]])),0)</f>
        <v>0</v>
      </c>
      <c r="DG193" s="115" t="str">
        <f aca="false">IF(NOT(Tasks[[#This Row],[_IsLeaf]]=1),"",IF(Tasks[[#This Row],[_AlapShift]]=0,Tasks[[#This Row],[_LeafCalcStart]],WORKDAY.INTL(Tasks[[#This Row],[_LeafCalcStart]],Tasks[[#This Row],[_AlapShift]],WorkWeek,Holidays)))</f>
        <v/>
      </c>
      <c r="DH193" s="115" t="str">
        <f aca="false">IF(NOT(Tasks[[#This Row],[_IsLeaf]]=1),"",IF(Tasks[[#This Row],[_AlapShift]]=0,Tasks[[#This Row],[_LeafCalcFinish]],WORKDAY.INTL(Tasks[[#This Row],[_LeafCalcFinish]],Tasks[[#This Row],[_AlapShift]],WorkWeek,Holidays)))</f>
        <v/>
      </c>
      <c r="DI193" s="115" t="str">
        <f aca="false">IF(NOT(Tasks[[#This Row],[_IsLeaf]]=1),"",IF(Tasks[[#This Row],[_AlapShift]]=0,Tasks[[#This Row],[_LeafFcstStart]],WORKDAY.INTL(Tasks[[#This Row],[_LeafFcstStart]],Tasks[[#This Row],[_AlapShift]],WorkWeek,Holidays)))</f>
        <v/>
      </c>
      <c r="DJ193" s="115" t="str">
        <f aca="false">IF(NOT(Tasks[[#This Row],[_IsLeaf]]=1),"",IF(Tasks[[#This Row],[_AlapShift]]=0,Tasks[[#This Row],[_LeafFcstFinish]],WORKDAY.INTL(Tasks[[#This Row],[_LeafFcstFinish]],Tasks[[#This Row],[_AlapShift]],WorkWeek,Holidays)))</f>
        <v/>
      </c>
      <c r="DK193" s="115" t="str">
        <f aca="false">IF(Tasks[[#This Row],[Task Name]]="","",IF(Tasks[[#This Row],[_IsSummary]],MIN(INDEX(Tasks[_ShownCalcStart],Tasks[[#This Row],[_Row]]+1):INDEX(Tasks[_ShownCalcStart],Tasks[[#This Row],[_Row]]+Tasks[[#This Row],[_Descendants]])),Tasks[[#This Row],[_ShownCalcStart]]))</f>
        <v/>
      </c>
      <c r="DL193" s="115" t="str">
        <f aca="false">IF(Tasks[[#This Row],[Task Name]]="","",IF(Tasks[[#This Row],[_IsSummary]],MAX(INDEX(Tasks[_ShownCalcFinish],Tasks[[#This Row],[_Row]]+1):INDEX(Tasks[_ShownCalcFinish],Tasks[[#This Row],[_Row]]+Tasks[[#This Row],[_Descendants]])),Tasks[[#This Row],[_ShownCalcFinish]]))</f>
        <v/>
      </c>
      <c r="DM19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3" s="32" t="n">
        <f aca="false">IF(AND(Tasks[[#This Row],[_IsLeaf]]=1,Tasks[[#This Row],[_LeafTotalWork]]&gt;0),NETWORKDAYS.INTL(ProjectStart,Tasks[[#This Row],[_ShownFcstStart]],WorkWeek,Holidays),0)</f>
        <v>0</v>
      </c>
      <c r="DZ193" s="32" t="n">
        <f aca="false">IF(AND(Tasks[[#This Row],[_IsLeaf]]=1,Tasks[[#This Row],[_LeafTotalWork]]&gt;0),MAX(Tasks[[#This Row],[_StartWorkday]],NETWORKDAYS.INTL(ProjectStart,Tasks[[#This Row],[_ShownFcstFinish]],WorkWeek,Holidays)),0)</f>
        <v>0</v>
      </c>
      <c r="EA193" s="32" t="n">
        <f aca="false">IF(AND(Tasks[[#This Row],[_IsLeaf]]=1,Tasks[[#This Row],[_LeafTotalWork]]&gt;0),Tasks[[#This Row],[_LeafWork]]/(Tasks[[#This Row],[_FinishWorkday]]-Tasks[[#This Row],[_StartWorkday]]+1),0)</f>
        <v>0</v>
      </c>
      <c r="EB193" s="32" t="n">
        <f aca="false">Tasks[[#This Row],[_WorkPerWorkday]]*(Tasks[[#This Row],[_StartWorkday]]-1)</f>
        <v>-0</v>
      </c>
      <c r="EC193" s="32" t="n">
        <f aca="false">IF(Tasks[[#This Row],[_IsLeaf]]=1,MAX(N(Tasks[[#This Row],[Duration]]),0.1),0)</f>
        <v>0</v>
      </c>
      <c r="ED193" s="32" t="n">
        <f aca="false">Tasks[[#This Row],[_WeightDur]]*Tasks[[#This Row],[_LeafProgress]]</f>
        <v>0</v>
      </c>
      <c r="EE19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3" s="32" t="str">
        <f aca="false">IF(AND(Tasks[[#This Row],[_IsLeaf]]=1,N(Tasks[[#This Row],[Duration]])=0,Tasks[[#This Row],[_LeafProgress]]&lt;1),Tasks[[#This Row],[_ShownFcstFinish]]+Tasks[[#This Row],[_Row]]/100000,"")</f>
        <v/>
      </c>
      <c r="EG19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3" s="32" t="n">
        <f aca="false">IF(NOT(Tasks[[#This Row],[_IsLeaf]]=1),0,IF(Tasks[[#This Row],[Baseline Cost]]="",Tasks[[#This Row],[_LeafTotalCost]],N(Tasks[[#This Row],[Baseline Cost]])))</f>
        <v>0</v>
      </c>
      <c r="EI193" s="32" t="n">
        <f aca="false">Tasks[[#This Row],[_LeafBudget]]*Tasks[[#This Row],[_PlannedPct]]</f>
        <v>0</v>
      </c>
      <c r="EJ193" s="32" t="n">
        <f aca="false">Tasks[[#This Row],[_LeafBudget]]*Tasks[[#This Row],[_LeafProgress]]</f>
        <v>0</v>
      </c>
      <c r="EK193" s="32" t="n">
        <f aca="false">IF(NOT(Tasks[[#This Row],[_IsLeaf]]=1),0,IF(Tasks[[#This Row],[Actual Cost]]="",Tasks[[#This Row],[_LeafTotalCost]]*Tasks[[#This Row],[_LeafProgress]],N(Tasks[[#This Row],[Actual Cost]])))</f>
        <v>0</v>
      </c>
      <c r="EL193" s="32" t="str">
        <f aca="false">IF(Tasks[[#This Row],[Task Name]]="","",LEFT(Tasks[[#This Row],[WBS]],FIND(".",Tasks[[#This Row],[WBS]]&amp;".")-1))</f>
        <v/>
      </c>
      <c r="EM193" s="32" t="str">
        <f aca="false">IF(AND(Tasks[[#This Row],[Task Name]]&lt;&gt;"",Tasks[[#This Row],[_Level]]=1),Tasks[[#This Row],[_Row]],"")</f>
        <v/>
      </c>
      <c r="EN193" s="32" t="str">
        <f aca="false">IF(AND(Tasks[[#This Row],[_IsLeaf]]=1,N(Tasks[[#This Row],[Duration]])=0),Tasks[[#This Row],[Planned Finish]]+Tasks[[#This Row],[_Row]]/100000,"")</f>
        <v/>
      </c>
      <c r="EO193" s="32" t="str">
        <f aca="false">IF(AND(Tasks[[#This Row],[_IsLeaf]]=1,Tasks[[#This Row],[_LeafProgress]]&lt;1,OR(N(Tasks[[#This Row],[Finish Var]])&gt;0,Tasks[[#This Row],[Status]]="Late Start")),MAX(0,Tasks[[#This Row],[Finish Var]])+1-Tasks[[#This Row],[_Row]]/1000000,"")</f>
        <v/>
      </c>
      <c r="EP193" s="32" t="str">
        <f aca="false">IF(AND(Tasks[[#This Row],[_IsLeaf]]=1,N(Tasks[[#This Row],[Actual Start]])=0,Tasks[[#This Row],[_ShownFcstStart]]&gt;=StatusDate,Tasks[[#This Row],[_ShownFcstStart]]&lt;=LookaheadEnd),Tasks[[#This Row],[_ShownFcstStart]]+Tasks[[#This Row],[_Row]]/100000,"")</f>
        <v/>
      </c>
      <c r="EQ193" s="32" t="str">
        <f aca="false">IF(AND(Tasks[[#This Row],[_IsLeaf]]=1,Tasks[[#This Row],[_LeafProgress]]&lt;1,Tasks[[#This Row],[_ShownFcstFinish]]&gt;=StatusDate,Tasks[[#This Row],[_ShownFcstFinish]]&lt;=LookaheadEnd),Tasks[[#This Row],[_ShownFcstFinish]]+Tasks[[#This Row],[_Row]]/100000,"")</f>
        <v/>
      </c>
      <c r="ER193" s="32" t="str">
        <f aca="false">IF(Tasks[[#This Row],[_LeafCritical]],Tasks[[#This Row],[_ShownFcstStart]]+Tasks[[#This Row],[_Row]]/100000,"")</f>
        <v/>
      </c>
      <c r="ES193" s="32" t="n">
        <f aca="false">Tasks[[#This Row],[_LeafWork]]*Tasks[[#This Row],[_LeafProgress]]</f>
        <v>0</v>
      </c>
      <c r="ET193" s="115" t="str">
        <f aca="false">IF(AND(Tasks[[#This Row],[_IsLeaf]]=1,Tasks[[#This Row],[_LeafProgress]]&gt;=1),IF(N(Tasks[[#This Row],[Actual Finish]])&gt;0,Tasks[[#This Row],[Actual Finish]],Tasks[[#This Row],[_ShownFcstFinish]]),"")</f>
        <v/>
      </c>
      <c r="EU193" s="32" t="n">
        <f aca="false">IF(Tasks[[#This Row],[_IsLeaf]]=1,N(Tasks[[#This Row],[Story Points]]),0)</f>
        <v>0</v>
      </c>
      <c r="EV193" s="32" t="str">
        <f aca="false">IF(AND(Tasks[[#This Row],[_IsLeaf]]=1,CurrentSprint&lt;&gt;"",Tasks[[#This Row],[Sprint]]=CurrentSprint),Tasks[[#This Row],[_Row]],"")</f>
        <v/>
      </c>
    </row>
    <row r="194" customFormat="false" ht="15" hidden="false" customHeight="false" outlineLevel="0" collapsed="false">
      <c r="A194" s="45" t="str">
        <f aca="false">IF(Tasks[[#This Row],[Task Name]]="","",COUNTA(Tasks[[#Headers],[Task Name]]:Tasks[[#This Row],[Task Name]])-1)</f>
        <v/>
      </c>
      <c r="B194" s="46" t="n">
        <v>189</v>
      </c>
      <c r="C19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4" s="46"/>
      <c r="E194" s="45" t="str">
        <f aca="false">IF(Tasks[[#This Row],[Task Name]]="","",IF(Tasks[[#This Row],[_Level]]&lt;=OutlineShowLevel,"Yes","No"))</f>
        <v/>
      </c>
      <c r="F194" s="47"/>
      <c r="G194" s="46"/>
      <c r="H194" s="46"/>
      <c r="I194" s="46"/>
      <c r="J194" s="46"/>
      <c r="K194" s="46"/>
      <c r="L194" s="46"/>
      <c r="M194" s="46"/>
      <c r="N194" s="46"/>
      <c r="O194" s="46"/>
      <c r="P194" s="46"/>
      <c r="Q194" s="46"/>
      <c r="R194" s="46"/>
      <c r="S194" s="46"/>
      <c r="T194" s="46"/>
      <c r="U194" s="47"/>
      <c r="V194" s="88"/>
      <c r="W194" s="88"/>
      <c r="X194" s="25" t="str">
        <f aca="false">IF(Tasks[[#This Row],[Task Name]]="","",IF(N(Tasks[[#This Row],[Baseline Start]])&gt;0,Tasks[[#This Row],[Baseline Start]],Tasks[[#This Row],[_CalcStart]]))</f>
        <v/>
      </c>
      <c r="Y194" s="25" t="str">
        <f aca="false">IF(Tasks[[#This Row],[Task Name]]="","",IF(N(Tasks[[#This Row],[Baseline Finish]])&gt;0,Tasks[[#This Row],[Baseline Finish]],Tasks[[#This Row],[_CalcFinish]]))</f>
        <v/>
      </c>
      <c r="Z194" s="88"/>
      <c r="AA194" s="88"/>
      <c r="AB194" s="25" t="str">
        <f aca="false">IF(Tasks[[#This Row],[Task Name]]="","",IF(Tasks[[#This Row],[_IsSummary]],MIN(INDEX(Tasks[_ShownFcstStart],Tasks[[#This Row],[_Row]]+1):INDEX(Tasks[_ShownFcstStart],Tasks[[#This Row],[_Row]]+Tasks[[#This Row],[_Descendants]])),Tasks[[#This Row],[_ShownFcstStart]]))</f>
        <v/>
      </c>
      <c r="AC194" s="25" t="str">
        <f aca="false">IF(Tasks[[#This Row],[Task Name]]="","",IF(Tasks[[#This Row],[_IsSummary]],MAX(INDEX(Tasks[_ShownFcstFinish],Tasks[[#This Row],[_Row]]+1):INDEX(Tasks[_ShownFcstFinish],Tasks[[#This Row],[_Row]]+Tasks[[#This Row],[_Descendants]])),Tasks[[#This Row],[_ShownFcstFinish]]))</f>
        <v/>
      </c>
      <c r="AD19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4" s="25" t="str">
        <f aca="false">IF(Tasks[[#This Row],[Task Name]]="","",IF(Tasks[[#This Row],[_IsSummary]],MIN(INDEX(Tasks[_LeafLateStart],Tasks[[#This Row],[_Row]]+1):INDEX(Tasks[_LeafLateStart],Tasks[[#This Row],[_Row]]+Tasks[[#This Row],[_Descendants]])),Tasks[[#This Row],[_LeafLateStart]]))</f>
        <v/>
      </c>
      <c r="AG194" s="25" t="str">
        <f aca="false">IF(Tasks[[#This Row],[Task Name]]="","",IF(Tasks[[#This Row],[_IsSummary]],MAX(INDEX(Tasks[_LeafLateFinish],Tasks[[#This Row],[_Row]]+1):INDEX(Tasks[_LeafLateFinish],Tasks[[#This Row],[_Row]]+Tasks[[#This Row],[_Descendants]])),Tasks[[#This Row],[_LeafLateFinish]]))</f>
        <v/>
      </c>
      <c r="AH194" s="56" t="str">
        <f aca="false">IF(Tasks[[#This Row],[Task Name]]="","",IF(Tasks[[#This Row],[_IsSummary]],MIN(INDEX(Tasks[_LeafTotalSlack],Tasks[[#This Row],[_Row]]+1):INDEX(Tasks[_LeafTotalSlack],Tasks[[#This Row],[_Row]]+Tasks[[#This Row],[_Descendants]])),Tasks[[#This Row],[_LeafTotalSlack]]))</f>
        <v/>
      </c>
      <c r="AI19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4" s="45" t="str">
        <f aca="false">IF(Tasks[[#This Row],[Task Name]]="","",IF(IF(Tasks[[#This Row],[_IsSummary]],COUNTIF(INDEX(Tasks[_LeafCritical],Tasks[[#This Row],[_Row]]+1):INDEX(Tasks[_LeafCritical],Tasks[[#This Row],[_Row]]+Tasks[[#This Row],[_Descendants]]),TRUE())&gt;0,Tasks[[#This Row],[_LeafCritical]]),"Yes",""))</f>
        <v/>
      </c>
      <c r="AK19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4" s="102"/>
      <c r="AN19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4" s="45" t="str">
        <f aca="false">IF(Tasks[[#This Row],[Task Name]]="","",IF(Tasks[[#This Row],[Progress]]&gt;=1,"Complete",IF(OR(N(Tasks[[#This Row],[Actual Start]])&gt;0,Tasks[[#This Row],[Progress]]&gt;0),IF(Tasks[[#This Row],[Finish Var]]&gt;0,"Behind","In Progress"),IF(Tasks[[#This Row],[Planned Start]]&lt;StatusDate,"Late Start","Not Started"))))</f>
        <v/>
      </c>
      <c r="AP194" s="47"/>
      <c r="AQ194" s="102"/>
      <c r="AR19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4" s="110" t="str">
        <f aca="false">IF(Tasks[[#This Row],[Task Name]]="","",IF(Tasks[[#This Row],[_IsSummary]],SUM(INDEX(Tasks[_LeafTotalWork],Tasks[[#This Row],[_Row]]+1):INDEX(Tasks[_LeafTotalWork],Tasks[[#This Row],[_Row]]+Tasks[[#This Row],[_Descendants]])),Tasks[[#This Row],[_LeafTotalWork]]))</f>
        <v/>
      </c>
      <c r="AU194" s="111" t="str">
        <f aca="false">IF(Tasks[[#This Row],[Task Name]]="","",IF(Tasks[[#This Row],[_IsSummary]],SUM(INDEX(Tasks[_LeafTotalCost],Tasks[[#This Row],[_Row]]+1):INDEX(Tasks[_LeafTotalCost],Tasks[[#This Row],[_Row]]+Tasks[[#This Row],[_Descendants]])),Tasks[[#This Row],[_LeafTotalCost]]))</f>
        <v/>
      </c>
      <c r="AV194" s="112"/>
      <c r="AW194" s="46"/>
      <c r="AX19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4" s="96"/>
      <c r="AZ19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4" s="47"/>
      <c r="BB194" s="25" t="str">
        <f aca="false">IF(Tasks[[#This Row],[Task Name]]="","",Tasks[[#This Row],[Forecast Start]])</f>
        <v/>
      </c>
      <c r="BC194" s="25" t="str">
        <f aca="false">IF(Tasks[[#This Row],[Task Name]]="","",Tasks[[#This Row],[Forecast Finish]])</f>
        <v/>
      </c>
      <c r="BD194" s="45" t="str">
        <f aca="false">IF(Tasks[[#This Row],[Task Name]]="","",IF(Tasks[[#This Row],[_IsSummary]],NETWORKDAYS.INTL(Tasks[[#This Row],[Forecast Start]],Tasks[[#This Row],[Forecast Finish]],WorkWeek,Holidays),N(Tasks[[#This Row],[Duration]])))</f>
        <v/>
      </c>
      <c r="BE194" s="110" t="str">
        <f aca="false">IF(Tasks[[#This Row],[Task Name]]="","",Tasks[[#This Row],[Work]])</f>
        <v/>
      </c>
      <c r="BF194" s="111" t="str">
        <f aca="false">IF(Tasks[[#This Row],[Task Name]]="","",Tasks[[#This Row],[Cost]])</f>
        <v/>
      </c>
      <c r="BG194" s="88"/>
      <c r="BH194" s="88"/>
      <c r="BI194" s="46"/>
      <c r="BJ194" s="113"/>
      <c r="BK194" s="112"/>
      <c r="BL194" s="45" t="str">
        <f aca="false">IF(OR(Tasks[[#This Row],[Task Name]]="",Tasks[[#This Row],[Baseline Duration]]=""),"",Tasks[[#This Row],[BL Source Duration]]-N(Tasks[[#This Row],[Baseline Duration]]))</f>
        <v/>
      </c>
      <c r="BM194" s="110" t="str">
        <f aca="false">IF(OR(Tasks[[#This Row],[Task Name]]="",Tasks[[#This Row],[Baseline Work]]=""),"",Tasks[[#This Row],[Work]]-N(Tasks[[#This Row],[Baseline Work]]))</f>
        <v/>
      </c>
      <c r="BN194" s="111" t="str">
        <f aca="false">IF(OR(Tasks[[#This Row],[Task Name]]="",Tasks[[#This Row],[Baseline Cost]]=""),"",Tasks[[#This Row],[Cost]]-N(Tasks[[#This Row],[Baseline Cost]]))</f>
        <v/>
      </c>
      <c r="BO194" s="111" t="str">
        <f aca="false">IF(Tasks[[#This Row],[Task Name]]="","",IF(Tasks[[#This Row],[_IsSummary]],SUM(INDEX(Tasks[_LeafBudget],Tasks[[#This Row],[_Row]]+1):INDEX(Tasks[_LeafBudget],Tasks[[#This Row],[_Row]]+Tasks[[#This Row],[_Descendants]])),Tasks[[#This Row],[_LeafBudget]]))</f>
        <v/>
      </c>
      <c r="BP194" s="111" t="str">
        <f aca="false">IF(Tasks[[#This Row],[Task Name]]="","",IF(Tasks[[#This Row],[_IsSummary]],SUM(INDEX(Tasks[_LeafPV],Tasks[[#This Row],[_Row]]+1):INDEX(Tasks[_LeafPV],Tasks[[#This Row],[_Row]]+Tasks[[#This Row],[_Descendants]])),Tasks[[#This Row],[_LeafPV]]))</f>
        <v/>
      </c>
      <c r="BQ194" s="111" t="str">
        <f aca="false">IF(Tasks[[#This Row],[Task Name]]="","",IF(Tasks[[#This Row],[_IsSummary]],SUM(INDEX(Tasks[_LeafEV],Tasks[[#This Row],[_Row]]+1):INDEX(Tasks[_LeafEV],Tasks[[#This Row],[_Row]]+Tasks[[#This Row],[_Descendants]])),Tasks[[#This Row],[_LeafEV]]))</f>
        <v/>
      </c>
      <c r="BR194" s="111" t="str">
        <f aca="false">IF(Tasks[[#This Row],[Task Name]]="","",IF(Tasks[[#This Row],[_IsSummary]],SUM(INDEX(Tasks[_LeafAC],Tasks[[#This Row],[_Row]]+1):INDEX(Tasks[_LeafAC],Tasks[[#This Row],[_Row]]+Tasks[[#This Row],[_Descendants]])),Tasks[[#This Row],[_LeafAC]]))</f>
        <v/>
      </c>
      <c r="BS194" s="32" t="str">
        <f aca="false">IF(Tasks[[#This Row],[Task Name]]="","",MAX(1,N(Tasks[[#This Row],[Level]])))</f>
        <v/>
      </c>
      <c r="BT194" s="32" t="n">
        <f aca="false">ROW()-ROW(Tasks[[#Headers],[ID]])</f>
        <v>189</v>
      </c>
      <c r="BU194" s="32" t="n">
        <f aca="false">IF(OR(Tasks[[#This Row],[Task Name]]="",Tasks[[#This Row],[_Level]]&lt;=1),0,IFERROR(LOOKUP(2,1/(Tasks[[#Headers],[_Level]]:Tasks[[#This Row],[_Level]]=Tasks[[#This Row],[_Level]]-1),ROW(Tasks[[#Headers],[_Level]]:Tasks[[#This Row],[_Level]])),0))</f>
        <v>0</v>
      </c>
      <c r="BV194" s="32" t="n">
        <f aca="false">IFERROR(N(INDEX(Tasks[_Level],Tasks[[#This Row],[_Row]]+1)),0)</f>
        <v>0</v>
      </c>
      <c r="BW194" s="114" t="b">
        <f aca="false">AND(Tasks[[#This Row],[Task Name]]&lt;&gt;"",Tasks[[#This Row],[_NextLevel]]&gt;Tasks[[#This Row],[_Level]])</f>
        <v>0</v>
      </c>
      <c r="BX194" s="32" t="n">
        <f aca="false">IF(Tasks[[#This Row],[_IsSummary]],COUNTIF(Tasks[WBS],Tasks[[#This Row],[WBS]]&amp;".*"),0)</f>
        <v>0</v>
      </c>
      <c r="BY194" s="32" t="n">
        <f aca="false">IF(AND(Tasks[[#This Row],[Task Name]]&lt;&gt;"",NOT(Tasks[[#This Row],[_IsSummary]])),1,0)</f>
        <v>0</v>
      </c>
      <c r="BZ194" s="32" t="n">
        <f aca="false">IF(N(Tasks[[#This Row],[Pred1 UID]])=0,0,IFERROR(MATCH(Tasks[[#This Row],[Pred1 UID]],Tasks[UID],0),-1))</f>
        <v>0</v>
      </c>
      <c r="CA194" s="32" t="n">
        <f aca="false">IF(N(Tasks[[#This Row],[Pred2 UID]])=0,0,IFERROR(MATCH(Tasks[[#This Row],[Pred2 UID]],Tasks[UID],0),-1))</f>
        <v>0</v>
      </c>
      <c r="CB194" s="32" t="n">
        <f aca="false">IF(N(Tasks[[#This Row],[Pred3 UID]])=0,0,IFERROR(MATCH(Tasks[[#This Row],[Pred3 UID]],Tasks[UID],0),-1))</f>
        <v>0</v>
      </c>
      <c r="CC194" s="32" t="n">
        <f aca="false">IF(N(Tasks[[#This Row],[Pred4 UID]])=0,0,IFERROR(MATCH(Tasks[[#This Row],[Pred4 UID]],Tasks[UID],0),-1))</f>
        <v>0</v>
      </c>
      <c r="CD19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4" s="115" t="n">
        <f aca="false">IF(OR(Tasks[[#This Row],[_ConstraintCode]]=2,Tasks[[#This Row],[_ConstraintCode]]=3,Tasks[[#This Row],[_ConstraintCode]]=4,Tasks[[#This Row],[_ConstraintCode]]=6),Tasks[[#This Row],[_ConstraintStart]],0)</f>
        <v>0</v>
      </c>
      <c r="CG194" s="115" t="n">
        <f aca="false">IF(OR(Tasks[[#This Row],[_ConstraintCode]]=2,Tasks[[#This Row],[_ConstraintCode]]=3,Tasks[[#This Row],[_ConstraintCode]]=5,Tasks[[#This Row],[_ConstraintCode]]=7),Tasks[[#This Row],[_ConstraintStart]],2958465)</f>
        <v>2958465</v>
      </c>
      <c r="CH19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4" s="115" t="str">
        <f aca="false">IF(NOT(Tasks[[#This Row],[_IsLeaf]]=1),"",IF(N(Tasks[[#This Row],[Duration]])&lt;=0,Tasks[[#This Row],[_LeafCalcStart]],WORKDAY.INTL(Tasks[[#This Row],[_LeafCalcStart]],Tasks[[#This Row],[Duration]]-1,WorkWeek,Holidays)))</f>
        <v/>
      </c>
      <c r="CJ19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4" s="32" t="n">
        <f aca="false">IF(NOT(Tasks[[#This Row],[_IsLeaf]]=1),0,IF(N(Tasks[[#This Row],[Actual Finish]])&gt;0,1,MIN(1,N(Tasks[[#This Row],[% Complete]]))))</f>
        <v>0</v>
      </c>
      <c r="CM194" s="32" t="n">
        <f aca="false">IF(OR(NOT(Tasks[[#This Row],[_IsLeaf]]=1),Tasks[[#This Row],[Resource]]=""),0,N(Tasks[[#This Row],[Duration]])*HoursPerDay*IF(Tasks[[#This Row],[Units]]="",DefaultUnits,Tasks[[#This Row],[Units]]))</f>
        <v>0</v>
      </c>
      <c r="CN194" s="32" t="n">
        <f aca="false">IF(Tasks[[#This Row],[_LeafWork]]=0,0,Tasks[[#This Row],[_LeafWork]]*IFERROR(INDEX(res_Rate,MATCH(Tasks[[#This Row],[Resource]],res_Name,0)),0))</f>
        <v>0</v>
      </c>
      <c r="CO194" s="32" t="n">
        <f aca="false">Tasks[[#This Row],[_LeafWork]]+IF(Tasks[[#This Row],[_IsLeaf]]=1,SUMIFS(asg_Work,asg_TaskUID,Tasks[[#This Row],[UID]],asg_Valid,1),0)</f>
        <v>0</v>
      </c>
      <c r="CP194" s="32" t="n">
        <f aca="false">Tasks[[#This Row],[_LeafCost]]+IF(Tasks[[#This Row],[_IsLeaf]]=1,SUMIFS(asg_Cost,asg_TaskUID,Tasks[[#This Row],[UID]],asg_Valid,1),0)</f>
        <v>0</v>
      </c>
      <c r="CQ194" s="32" t="n">
        <f aca="false">IF(Tasks[[#This Row],[_LeafTotalCost]]=0,Tasks[[#This Row],[_LeafAC]],Tasks[[#This Row],[_LeafAC]]*Tasks[[#This Row],[_LeafCost]]/Tasks[[#This Row],[_LeafTotalCost]])</f>
        <v>0</v>
      </c>
      <c r="CR19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4" s="32" t="n">
        <f aca="false">IF(NOT(Tasks[[#This Row],[_IsLeaf]]=1),0,MAX(_xlfn.MAXIFS(Tasks[_Row],Tasks[Pred1 UID],Tasks[[#This Row],[UID]]),_xlfn.MAXIFS(Tasks[_Row],Tasks[Pred2 UID],Tasks[[#This Row],[UID]]),_xlfn.MAXIFS(Tasks[_Row],Tasks[Pred3 UID],Tasks[[#This Row],[UID]]),_xlfn.MAXIFS(Tasks[_Row],Tasks[Pred4 UID],Tasks[[#This Row],[UID]])))</f>
        <v>0</v>
      </c>
      <c r="DA19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4" s="115" t="str">
        <f aca="false">IF(NOT(Tasks[[#This Row],[_IsLeaf]]=1),"",IF(N(Tasks[[#This Row],[Duration]])&lt;=0,Tasks[[#This Row],[_LeafLateFinish]],WORKDAY.INTL(Tasks[[#This Row],[_LeafLateFinish]],-(Tasks[[#This Row],[Duration]]-1),WorkWeek,Holidays)))</f>
        <v/>
      </c>
      <c r="DD19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4" s="114" t="b">
        <f aca="false">AND(Tasks[[#This Row],[_IsLeaf]]=1,Tasks[[#This Row],[_LeafProgress]]&lt;1,N(Tasks[[#This Row],[_LeafTotalSlack]])&lt;=CriticalSlackDays)</f>
        <v>0</v>
      </c>
      <c r="DF194" s="32" t="n">
        <f aca="false">IF(AND(Tasks[[#This Row],[_IsLeaf]]=1,Tasks[[#This Row],[_ConstraintCode]]=1,Tasks[[#This Row],[Mode]]&lt;&gt;"Manual",N(Tasks[[#This Row],[Actual Start]])=0),MAX(0,N(Tasks[[#This Row],[Free Slack]])),0)</f>
        <v>0</v>
      </c>
      <c r="DG194" s="115" t="str">
        <f aca="false">IF(NOT(Tasks[[#This Row],[_IsLeaf]]=1),"",IF(Tasks[[#This Row],[_AlapShift]]=0,Tasks[[#This Row],[_LeafCalcStart]],WORKDAY.INTL(Tasks[[#This Row],[_LeafCalcStart]],Tasks[[#This Row],[_AlapShift]],WorkWeek,Holidays)))</f>
        <v/>
      </c>
      <c r="DH194" s="115" t="str">
        <f aca="false">IF(NOT(Tasks[[#This Row],[_IsLeaf]]=1),"",IF(Tasks[[#This Row],[_AlapShift]]=0,Tasks[[#This Row],[_LeafCalcFinish]],WORKDAY.INTL(Tasks[[#This Row],[_LeafCalcFinish]],Tasks[[#This Row],[_AlapShift]],WorkWeek,Holidays)))</f>
        <v/>
      </c>
      <c r="DI194" s="115" t="str">
        <f aca="false">IF(NOT(Tasks[[#This Row],[_IsLeaf]]=1),"",IF(Tasks[[#This Row],[_AlapShift]]=0,Tasks[[#This Row],[_LeafFcstStart]],WORKDAY.INTL(Tasks[[#This Row],[_LeafFcstStart]],Tasks[[#This Row],[_AlapShift]],WorkWeek,Holidays)))</f>
        <v/>
      </c>
      <c r="DJ194" s="115" t="str">
        <f aca="false">IF(NOT(Tasks[[#This Row],[_IsLeaf]]=1),"",IF(Tasks[[#This Row],[_AlapShift]]=0,Tasks[[#This Row],[_LeafFcstFinish]],WORKDAY.INTL(Tasks[[#This Row],[_LeafFcstFinish]],Tasks[[#This Row],[_AlapShift]],WorkWeek,Holidays)))</f>
        <v/>
      </c>
      <c r="DK194" s="115" t="str">
        <f aca="false">IF(Tasks[[#This Row],[Task Name]]="","",IF(Tasks[[#This Row],[_IsSummary]],MIN(INDEX(Tasks[_ShownCalcStart],Tasks[[#This Row],[_Row]]+1):INDEX(Tasks[_ShownCalcStart],Tasks[[#This Row],[_Row]]+Tasks[[#This Row],[_Descendants]])),Tasks[[#This Row],[_ShownCalcStart]]))</f>
        <v/>
      </c>
      <c r="DL194" s="115" t="str">
        <f aca="false">IF(Tasks[[#This Row],[Task Name]]="","",IF(Tasks[[#This Row],[_IsSummary]],MAX(INDEX(Tasks[_ShownCalcFinish],Tasks[[#This Row],[_Row]]+1):INDEX(Tasks[_ShownCalcFinish],Tasks[[#This Row],[_Row]]+Tasks[[#This Row],[_Descendants]])),Tasks[[#This Row],[_ShownCalcFinish]]))</f>
        <v/>
      </c>
      <c r="DM19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4" s="32" t="n">
        <f aca="false">IF(AND(Tasks[[#This Row],[_IsLeaf]]=1,Tasks[[#This Row],[_LeafTotalWork]]&gt;0),NETWORKDAYS.INTL(ProjectStart,Tasks[[#This Row],[_ShownFcstStart]],WorkWeek,Holidays),0)</f>
        <v>0</v>
      </c>
      <c r="DZ194" s="32" t="n">
        <f aca="false">IF(AND(Tasks[[#This Row],[_IsLeaf]]=1,Tasks[[#This Row],[_LeafTotalWork]]&gt;0),MAX(Tasks[[#This Row],[_StartWorkday]],NETWORKDAYS.INTL(ProjectStart,Tasks[[#This Row],[_ShownFcstFinish]],WorkWeek,Holidays)),0)</f>
        <v>0</v>
      </c>
      <c r="EA194" s="32" t="n">
        <f aca="false">IF(AND(Tasks[[#This Row],[_IsLeaf]]=1,Tasks[[#This Row],[_LeafTotalWork]]&gt;0),Tasks[[#This Row],[_LeafWork]]/(Tasks[[#This Row],[_FinishWorkday]]-Tasks[[#This Row],[_StartWorkday]]+1),0)</f>
        <v>0</v>
      </c>
      <c r="EB194" s="32" t="n">
        <f aca="false">Tasks[[#This Row],[_WorkPerWorkday]]*(Tasks[[#This Row],[_StartWorkday]]-1)</f>
        <v>-0</v>
      </c>
      <c r="EC194" s="32" t="n">
        <f aca="false">IF(Tasks[[#This Row],[_IsLeaf]]=1,MAX(N(Tasks[[#This Row],[Duration]]),0.1),0)</f>
        <v>0</v>
      </c>
      <c r="ED194" s="32" t="n">
        <f aca="false">Tasks[[#This Row],[_WeightDur]]*Tasks[[#This Row],[_LeafProgress]]</f>
        <v>0</v>
      </c>
      <c r="EE19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4" s="32" t="str">
        <f aca="false">IF(AND(Tasks[[#This Row],[_IsLeaf]]=1,N(Tasks[[#This Row],[Duration]])=0,Tasks[[#This Row],[_LeafProgress]]&lt;1),Tasks[[#This Row],[_ShownFcstFinish]]+Tasks[[#This Row],[_Row]]/100000,"")</f>
        <v/>
      </c>
      <c r="EG19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4" s="32" t="n">
        <f aca="false">IF(NOT(Tasks[[#This Row],[_IsLeaf]]=1),0,IF(Tasks[[#This Row],[Baseline Cost]]="",Tasks[[#This Row],[_LeafTotalCost]],N(Tasks[[#This Row],[Baseline Cost]])))</f>
        <v>0</v>
      </c>
      <c r="EI194" s="32" t="n">
        <f aca="false">Tasks[[#This Row],[_LeafBudget]]*Tasks[[#This Row],[_PlannedPct]]</f>
        <v>0</v>
      </c>
      <c r="EJ194" s="32" t="n">
        <f aca="false">Tasks[[#This Row],[_LeafBudget]]*Tasks[[#This Row],[_LeafProgress]]</f>
        <v>0</v>
      </c>
      <c r="EK194" s="32" t="n">
        <f aca="false">IF(NOT(Tasks[[#This Row],[_IsLeaf]]=1),0,IF(Tasks[[#This Row],[Actual Cost]]="",Tasks[[#This Row],[_LeafTotalCost]]*Tasks[[#This Row],[_LeafProgress]],N(Tasks[[#This Row],[Actual Cost]])))</f>
        <v>0</v>
      </c>
      <c r="EL194" s="32" t="str">
        <f aca="false">IF(Tasks[[#This Row],[Task Name]]="","",LEFT(Tasks[[#This Row],[WBS]],FIND(".",Tasks[[#This Row],[WBS]]&amp;".")-1))</f>
        <v/>
      </c>
      <c r="EM194" s="32" t="str">
        <f aca="false">IF(AND(Tasks[[#This Row],[Task Name]]&lt;&gt;"",Tasks[[#This Row],[_Level]]=1),Tasks[[#This Row],[_Row]],"")</f>
        <v/>
      </c>
      <c r="EN194" s="32" t="str">
        <f aca="false">IF(AND(Tasks[[#This Row],[_IsLeaf]]=1,N(Tasks[[#This Row],[Duration]])=0),Tasks[[#This Row],[Planned Finish]]+Tasks[[#This Row],[_Row]]/100000,"")</f>
        <v/>
      </c>
      <c r="EO194" s="32" t="str">
        <f aca="false">IF(AND(Tasks[[#This Row],[_IsLeaf]]=1,Tasks[[#This Row],[_LeafProgress]]&lt;1,OR(N(Tasks[[#This Row],[Finish Var]])&gt;0,Tasks[[#This Row],[Status]]="Late Start")),MAX(0,Tasks[[#This Row],[Finish Var]])+1-Tasks[[#This Row],[_Row]]/1000000,"")</f>
        <v/>
      </c>
      <c r="EP194" s="32" t="str">
        <f aca="false">IF(AND(Tasks[[#This Row],[_IsLeaf]]=1,N(Tasks[[#This Row],[Actual Start]])=0,Tasks[[#This Row],[_ShownFcstStart]]&gt;=StatusDate,Tasks[[#This Row],[_ShownFcstStart]]&lt;=LookaheadEnd),Tasks[[#This Row],[_ShownFcstStart]]+Tasks[[#This Row],[_Row]]/100000,"")</f>
        <v/>
      </c>
      <c r="EQ194" s="32" t="str">
        <f aca="false">IF(AND(Tasks[[#This Row],[_IsLeaf]]=1,Tasks[[#This Row],[_LeafProgress]]&lt;1,Tasks[[#This Row],[_ShownFcstFinish]]&gt;=StatusDate,Tasks[[#This Row],[_ShownFcstFinish]]&lt;=LookaheadEnd),Tasks[[#This Row],[_ShownFcstFinish]]+Tasks[[#This Row],[_Row]]/100000,"")</f>
        <v/>
      </c>
      <c r="ER194" s="32" t="str">
        <f aca="false">IF(Tasks[[#This Row],[_LeafCritical]],Tasks[[#This Row],[_ShownFcstStart]]+Tasks[[#This Row],[_Row]]/100000,"")</f>
        <v/>
      </c>
      <c r="ES194" s="32" t="n">
        <f aca="false">Tasks[[#This Row],[_LeafWork]]*Tasks[[#This Row],[_LeafProgress]]</f>
        <v>0</v>
      </c>
      <c r="ET194" s="115" t="str">
        <f aca="false">IF(AND(Tasks[[#This Row],[_IsLeaf]]=1,Tasks[[#This Row],[_LeafProgress]]&gt;=1),IF(N(Tasks[[#This Row],[Actual Finish]])&gt;0,Tasks[[#This Row],[Actual Finish]],Tasks[[#This Row],[_ShownFcstFinish]]),"")</f>
        <v/>
      </c>
      <c r="EU194" s="32" t="n">
        <f aca="false">IF(Tasks[[#This Row],[_IsLeaf]]=1,N(Tasks[[#This Row],[Story Points]]),0)</f>
        <v>0</v>
      </c>
      <c r="EV194" s="32" t="str">
        <f aca="false">IF(AND(Tasks[[#This Row],[_IsLeaf]]=1,CurrentSprint&lt;&gt;"",Tasks[[#This Row],[Sprint]]=CurrentSprint),Tasks[[#This Row],[_Row]],"")</f>
        <v/>
      </c>
    </row>
    <row r="195" customFormat="false" ht="15" hidden="false" customHeight="false" outlineLevel="0" collapsed="false">
      <c r="A195" s="45" t="str">
        <f aca="false">IF(Tasks[[#This Row],[Task Name]]="","",COUNTA(Tasks[[#Headers],[Task Name]]:Tasks[[#This Row],[Task Name]])-1)</f>
        <v/>
      </c>
      <c r="B195" s="46" t="n">
        <v>190</v>
      </c>
      <c r="C19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5" s="46"/>
      <c r="E195" s="45" t="str">
        <f aca="false">IF(Tasks[[#This Row],[Task Name]]="","",IF(Tasks[[#This Row],[_Level]]&lt;=OutlineShowLevel,"Yes","No"))</f>
        <v/>
      </c>
      <c r="F195" s="47"/>
      <c r="G195" s="46"/>
      <c r="H195" s="46"/>
      <c r="I195" s="46"/>
      <c r="J195" s="46"/>
      <c r="K195" s="46"/>
      <c r="L195" s="46"/>
      <c r="M195" s="46"/>
      <c r="N195" s="46"/>
      <c r="O195" s="46"/>
      <c r="P195" s="46"/>
      <c r="Q195" s="46"/>
      <c r="R195" s="46"/>
      <c r="S195" s="46"/>
      <c r="T195" s="46"/>
      <c r="U195" s="47"/>
      <c r="V195" s="88"/>
      <c r="W195" s="88"/>
      <c r="X195" s="25" t="str">
        <f aca="false">IF(Tasks[[#This Row],[Task Name]]="","",IF(N(Tasks[[#This Row],[Baseline Start]])&gt;0,Tasks[[#This Row],[Baseline Start]],Tasks[[#This Row],[_CalcStart]]))</f>
        <v/>
      </c>
      <c r="Y195" s="25" t="str">
        <f aca="false">IF(Tasks[[#This Row],[Task Name]]="","",IF(N(Tasks[[#This Row],[Baseline Finish]])&gt;0,Tasks[[#This Row],[Baseline Finish]],Tasks[[#This Row],[_CalcFinish]]))</f>
        <v/>
      </c>
      <c r="Z195" s="88"/>
      <c r="AA195" s="88"/>
      <c r="AB195" s="25" t="str">
        <f aca="false">IF(Tasks[[#This Row],[Task Name]]="","",IF(Tasks[[#This Row],[_IsSummary]],MIN(INDEX(Tasks[_ShownFcstStart],Tasks[[#This Row],[_Row]]+1):INDEX(Tasks[_ShownFcstStart],Tasks[[#This Row],[_Row]]+Tasks[[#This Row],[_Descendants]])),Tasks[[#This Row],[_ShownFcstStart]]))</f>
        <v/>
      </c>
      <c r="AC195" s="25" t="str">
        <f aca="false">IF(Tasks[[#This Row],[Task Name]]="","",IF(Tasks[[#This Row],[_IsSummary]],MAX(INDEX(Tasks[_ShownFcstFinish],Tasks[[#This Row],[_Row]]+1):INDEX(Tasks[_ShownFcstFinish],Tasks[[#This Row],[_Row]]+Tasks[[#This Row],[_Descendants]])),Tasks[[#This Row],[_ShownFcstFinish]]))</f>
        <v/>
      </c>
      <c r="AD19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5" s="25" t="str">
        <f aca="false">IF(Tasks[[#This Row],[Task Name]]="","",IF(Tasks[[#This Row],[_IsSummary]],MIN(INDEX(Tasks[_LeafLateStart],Tasks[[#This Row],[_Row]]+1):INDEX(Tasks[_LeafLateStart],Tasks[[#This Row],[_Row]]+Tasks[[#This Row],[_Descendants]])),Tasks[[#This Row],[_LeafLateStart]]))</f>
        <v/>
      </c>
      <c r="AG195" s="25" t="str">
        <f aca="false">IF(Tasks[[#This Row],[Task Name]]="","",IF(Tasks[[#This Row],[_IsSummary]],MAX(INDEX(Tasks[_LeafLateFinish],Tasks[[#This Row],[_Row]]+1):INDEX(Tasks[_LeafLateFinish],Tasks[[#This Row],[_Row]]+Tasks[[#This Row],[_Descendants]])),Tasks[[#This Row],[_LeafLateFinish]]))</f>
        <v/>
      </c>
      <c r="AH195" s="56" t="str">
        <f aca="false">IF(Tasks[[#This Row],[Task Name]]="","",IF(Tasks[[#This Row],[_IsSummary]],MIN(INDEX(Tasks[_LeafTotalSlack],Tasks[[#This Row],[_Row]]+1):INDEX(Tasks[_LeafTotalSlack],Tasks[[#This Row],[_Row]]+Tasks[[#This Row],[_Descendants]])),Tasks[[#This Row],[_LeafTotalSlack]]))</f>
        <v/>
      </c>
      <c r="AI19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5" s="45" t="str">
        <f aca="false">IF(Tasks[[#This Row],[Task Name]]="","",IF(IF(Tasks[[#This Row],[_IsSummary]],COUNTIF(INDEX(Tasks[_LeafCritical],Tasks[[#This Row],[_Row]]+1):INDEX(Tasks[_LeafCritical],Tasks[[#This Row],[_Row]]+Tasks[[#This Row],[_Descendants]]),TRUE())&gt;0,Tasks[[#This Row],[_LeafCritical]]),"Yes",""))</f>
        <v/>
      </c>
      <c r="AK19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5" s="102"/>
      <c r="AN19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5" s="45" t="str">
        <f aca="false">IF(Tasks[[#This Row],[Task Name]]="","",IF(Tasks[[#This Row],[Progress]]&gt;=1,"Complete",IF(OR(N(Tasks[[#This Row],[Actual Start]])&gt;0,Tasks[[#This Row],[Progress]]&gt;0),IF(Tasks[[#This Row],[Finish Var]]&gt;0,"Behind","In Progress"),IF(Tasks[[#This Row],[Planned Start]]&lt;StatusDate,"Late Start","Not Started"))))</f>
        <v/>
      </c>
      <c r="AP195" s="47"/>
      <c r="AQ195" s="102"/>
      <c r="AR19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5" s="110" t="str">
        <f aca="false">IF(Tasks[[#This Row],[Task Name]]="","",IF(Tasks[[#This Row],[_IsSummary]],SUM(INDEX(Tasks[_LeafTotalWork],Tasks[[#This Row],[_Row]]+1):INDEX(Tasks[_LeafTotalWork],Tasks[[#This Row],[_Row]]+Tasks[[#This Row],[_Descendants]])),Tasks[[#This Row],[_LeafTotalWork]]))</f>
        <v/>
      </c>
      <c r="AU195" s="111" t="str">
        <f aca="false">IF(Tasks[[#This Row],[Task Name]]="","",IF(Tasks[[#This Row],[_IsSummary]],SUM(INDEX(Tasks[_LeafTotalCost],Tasks[[#This Row],[_Row]]+1):INDEX(Tasks[_LeafTotalCost],Tasks[[#This Row],[_Row]]+Tasks[[#This Row],[_Descendants]])),Tasks[[#This Row],[_LeafTotalCost]]))</f>
        <v/>
      </c>
      <c r="AV195" s="112"/>
      <c r="AW195" s="46"/>
      <c r="AX19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5" s="96"/>
      <c r="AZ19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5" s="47"/>
      <c r="BB195" s="25" t="str">
        <f aca="false">IF(Tasks[[#This Row],[Task Name]]="","",Tasks[[#This Row],[Forecast Start]])</f>
        <v/>
      </c>
      <c r="BC195" s="25" t="str">
        <f aca="false">IF(Tasks[[#This Row],[Task Name]]="","",Tasks[[#This Row],[Forecast Finish]])</f>
        <v/>
      </c>
      <c r="BD195" s="45" t="str">
        <f aca="false">IF(Tasks[[#This Row],[Task Name]]="","",IF(Tasks[[#This Row],[_IsSummary]],NETWORKDAYS.INTL(Tasks[[#This Row],[Forecast Start]],Tasks[[#This Row],[Forecast Finish]],WorkWeek,Holidays),N(Tasks[[#This Row],[Duration]])))</f>
        <v/>
      </c>
      <c r="BE195" s="110" t="str">
        <f aca="false">IF(Tasks[[#This Row],[Task Name]]="","",Tasks[[#This Row],[Work]])</f>
        <v/>
      </c>
      <c r="BF195" s="111" t="str">
        <f aca="false">IF(Tasks[[#This Row],[Task Name]]="","",Tasks[[#This Row],[Cost]])</f>
        <v/>
      </c>
      <c r="BG195" s="88"/>
      <c r="BH195" s="88"/>
      <c r="BI195" s="46"/>
      <c r="BJ195" s="113"/>
      <c r="BK195" s="112"/>
      <c r="BL195" s="45" t="str">
        <f aca="false">IF(OR(Tasks[[#This Row],[Task Name]]="",Tasks[[#This Row],[Baseline Duration]]=""),"",Tasks[[#This Row],[BL Source Duration]]-N(Tasks[[#This Row],[Baseline Duration]]))</f>
        <v/>
      </c>
      <c r="BM195" s="110" t="str">
        <f aca="false">IF(OR(Tasks[[#This Row],[Task Name]]="",Tasks[[#This Row],[Baseline Work]]=""),"",Tasks[[#This Row],[Work]]-N(Tasks[[#This Row],[Baseline Work]]))</f>
        <v/>
      </c>
      <c r="BN195" s="111" t="str">
        <f aca="false">IF(OR(Tasks[[#This Row],[Task Name]]="",Tasks[[#This Row],[Baseline Cost]]=""),"",Tasks[[#This Row],[Cost]]-N(Tasks[[#This Row],[Baseline Cost]]))</f>
        <v/>
      </c>
      <c r="BO195" s="111" t="str">
        <f aca="false">IF(Tasks[[#This Row],[Task Name]]="","",IF(Tasks[[#This Row],[_IsSummary]],SUM(INDEX(Tasks[_LeafBudget],Tasks[[#This Row],[_Row]]+1):INDEX(Tasks[_LeafBudget],Tasks[[#This Row],[_Row]]+Tasks[[#This Row],[_Descendants]])),Tasks[[#This Row],[_LeafBudget]]))</f>
        <v/>
      </c>
      <c r="BP195" s="111" t="str">
        <f aca="false">IF(Tasks[[#This Row],[Task Name]]="","",IF(Tasks[[#This Row],[_IsSummary]],SUM(INDEX(Tasks[_LeafPV],Tasks[[#This Row],[_Row]]+1):INDEX(Tasks[_LeafPV],Tasks[[#This Row],[_Row]]+Tasks[[#This Row],[_Descendants]])),Tasks[[#This Row],[_LeafPV]]))</f>
        <v/>
      </c>
      <c r="BQ195" s="111" t="str">
        <f aca="false">IF(Tasks[[#This Row],[Task Name]]="","",IF(Tasks[[#This Row],[_IsSummary]],SUM(INDEX(Tasks[_LeafEV],Tasks[[#This Row],[_Row]]+1):INDEX(Tasks[_LeafEV],Tasks[[#This Row],[_Row]]+Tasks[[#This Row],[_Descendants]])),Tasks[[#This Row],[_LeafEV]]))</f>
        <v/>
      </c>
      <c r="BR195" s="111" t="str">
        <f aca="false">IF(Tasks[[#This Row],[Task Name]]="","",IF(Tasks[[#This Row],[_IsSummary]],SUM(INDEX(Tasks[_LeafAC],Tasks[[#This Row],[_Row]]+1):INDEX(Tasks[_LeafAC],Tasks[[#This Row],[_Row]]+Tasks[[#This Row],[_Descendants]])),Tasks[[#This Row],[_LeafAC]]))</f>
        <v/>
      </c>
      <c r="BS195" s="32" t="str">
        <f aca="false">IF(Tasks[[#This Row],[Task Name]]="","",MAX(1,N(Tasks[[#This Row],[Level]])))</f>
        <v/>
      </c>
      <c r="BT195" s="32" t="n">
        <f aca="false">ROW()-ROW(Tasks[[#Headers],[ID]])</f>
        <v>190</v>
      </c>
      <c r="BU195" s="32" t="n">
        <f aca="false">IF(OR(Tasks[[#This Row],[Task Name]]="",Tasks[[#This Row],[_Level]]&lt;=1),0,IFERROR(LOOKUP(2,1/(Tasks[[#Headers],[_Level]]:Tasks[[#This Row],[_Level]]=Tasks[[#This Row],[_Level]]-1),ROW(Tasks[[#Headers],[_Level]]:Tasks[[#This Row],[_Level]])),0))</f>
        <v>0</v>
      </c>
      <c r="BV195" s="32" t="n">
        <f aca="false">IFERROR(N(INDEX(Tasks[_Level],Tasks[[#This Row],[_Row]]+1)),0)</f>
        <v>0</v>
      </c>
      <c r="BW195" s="114" t="b">
        <f aca="false">AND(Tasks[[#This Row],[Task Name]]&lt;&gt;"",Tasks[[#This Row],[_NextLevel]]&gt;Tasks[[#This Row],[_Level]])</f>
        <v>0</v>
      </c>
      <c r="BX195" s="32" t="n">
        <f aca="false">IF(Tasks[[#This Row],[_IsSummary]],COUNTIF(Tasks[WBS],Tasks[[#This Row],[WBS]]&amp;".*"),0)</f>
        <v>0</v>
      </c>
      <c r="BY195" s="32" t="n">
        <f aca="false">IF(AND(Tasks[[#This Row],[Task Name]]&lt;&gt;"",NOT(Tasks[[#This Row],[_IsSummary]])),1,0)</f>
        <v>0</v>
      </c>
      <c r="BZ195" s="32" t="n">
        <f aca="false">IF(N(Tasks[[#This Row],[Pred1 UID]])=0,0,IFERROR(MATCH(Tasks[[#This Row],[Pred1 UID]],Tasks[UID],0),-1))</f>
        <v>0</v>
      </c>
      <c r="CA195" s="32" t="n">
        <f aca="false">IF(N(Tasks[[#This Row],[Pred2 UID]])=0,0,IFERROR(MATCH(Tasks[[#This Row],[Pred2 UID]],Tasks[UID],0),-1))</f>
        <v>0</v>
      </c>
      <c r="CB195" s="32" t="n">
        <f aca="false">IF(N(Tasks[[#This Row],[Pred3 UID]])=0,0,IFERROR(MATCH(Tasks[[#This Row],[Pred3 UID]],Tasks[UID],0),-1))</f>
        <v>0</v>
      </c>
      <c r="CC195" s="32" t="n">
        <f aca="false">IF(N(Tasks[[#This Row],[Pred4 UID]])=0,0,IFERROR(MATCH(Tasks[[#This Row],[Pred4 UID]],Tasks[UID],0),-1))</f>
        <v>0</v>
      </c>
      <c r="CD19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5" s="115" t="n">
        <f aca="false">IF(OR(Tasks[[#This Row],[_ConstraintCode]]=2,Tasks[[#This Row],[_ConstraintCode]]=3,Tasks[[#This Row],[_ConstraintCode]]=4,Tasks[[#This Row],[_ConstraintCode]]=6),Tasks[[#This Row],[_ConstraintStart]],0)</f>
        <v>0</v>
      </c>
      <c r="CG195" s="115" t="n">
        <f aca="false">IF(OR(Tasks[[#This Row],[_ConstraintCode]]=2,Tasks[[#This Row],[_ConstraintCode]]=3,Tasks[[#This Row],[_ConstraintCode]]=5,Tasks[[#This Row],[_ConstraintCode]]=7),Tasks[[#This Row],[_ConstraintStart]],2958465)</f>
        <v>2958465</v>
      </c>
      <c r="CH19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5" s="115" t="str">
        <f aca="false">IF(NOT(Tasks[[#This Row],[_IsLeaf]]=1),"",IF(N(Tasks[[#This Row],[Duration]])&lt;=0,Tasks[[#This Row],[_LeafCalcStart]],WORKDAY.INTL(Tasks[[#This Row],[_LeafCalcStart]],Tasks[[#This Row],[Duration]]-1,WorkWeek,Holidays)))</f>
        <v/>
      </c>
      <c r="CJ19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5" s="32" t="n">
        <f aca="false">IF(NOT(Tasks[[#This Row],[_IsLeaf]]=1),0,IF(N(Tasks[[#This Row],[Actual Finish]])&gt;0,1,MIN(1,N(Tasks[[#This Row],[% Complete]]))))</f>
        <v>0</v>
      </c>
      <c r="CM195" s="32" t="n">
        <f aca="false">IF(OR(NOT(Tasks[[#This Row],[_IsLeaf]]=1),Tasks[[#This Row],[Resource]]=""),0,N(Tasks[[#This Row],[Duration]])*HoursPerDay*IF(Tasks[[#This Row],[Units]]="",DefaultUnits,Tasks[[#This Row],[Units]]))</f>
        <v>0</v>
      </c>
      <c r="CN195" s="32" t="n">
        <f aca="false">IF(Tasks[[#This Row],[_LeafWork]]=0,0,Tasks[[#This Row],[_LeafWork]]*IFERROR(INDEX(res_Rate,MATCH(Tasks[[#This Row],[Resource]],res_Name,0)),0))</f>
        <v>0</v>
      </c>
      <c r="CO195" s="32" t="n">
        <f aca="false">Tasks[[#This Row],[_LeafWork]]+IF(Tasks[[#This Row],[_IsLeaf]]=1,SUMIFS(asg_Work,asg_TaskUID,Tasks[[#This Row],[UID]],asg_Valid,1),0)</f>
        <v>0</v>
      </c>
      <c r="CP195" s="32" t="n">
        <f aca="false">Tasks[[#This Row],[_LeafCost]]+IF(Tasks[[#This Row],[_IsLeaf]]=1,SUMIFS(asg_Cost,asg_TaskUID,Tasks[[#This Row],[UID]],asg_Valid,1),0)</f>
        <v>0</v>
      </c>
      <c r="CQ195" s="32" t="n">
        <f aca="false">IF(Tasks[[#This Row],[_LeafTotalCost]]=0,Tasks[[#This Row],[_LeafAC]],Tasks[[#This Row],[_LeafAC]]*Tasks[[#This Row],[_LeafCost]]/Tasks[[#This Row],[_LeafTotalCost]])</f>
        <v>0</v>
      </c>
      <c r="CR19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5" s="32" t="n">
        <f aca="false">IF(NOT(Tasks[[#This Row],[_IsLeaf]]=1),0,MAX(_xlfn.MAXIFS(Tasks[_Row],Tasks[Pred1 UID],Tasks[[#This Row],[UID]]),_xlfn.MAXIFS(Tasks[_Row],Tasks[Pred2 UID],Tasks[[#This Row],[UID]]),_xlfn.MAXIFS(Tasks[_Row],Tasks[Pred3 UID],Tasks[[#This Row],[UID]]),_xlfn.MAXIFS(Tasks[_Row],Tasks[Pred4 UID],Tasks[[#This Row],[UID]])))</f>
        <v>0</v>
      </c>
      <c r="DA19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5" s="115" t="str">
        <f aca="false">IF(NOT(Tasks[[#This Row],[_IsLeaf]]=1),"",IF(N(Tasks[[#This Row],[Duration]])&lt;=0,Tasks[[#This Row],[_LeafLateFinish]],WORKDAY.INTL(Tasks[[#This Row],[_LeafLateFinish]],-(Tasks[[#This Row],[Duration]]-1),WorkWeek,Holidays)))</f>
        <v/>
      </c>
      <c r="DD19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5" s="114" t="b">
        <f aca="false">AND(Tasks[[#This Row],[_IsLeaf]]=1,Tasks[[#This Row],[_LeafProgress]]&lt;1,N(Tasks[[#This Row],[_LeafTotalSlack]])&lt;=CriticalSlackDays)</f>
        <v>0</v>
      </c>
      <c r="DF195" s="32" t="n">
        <f aca="false">IF(AND(Tasks[[#This Row],[_IsLeaf]]=1,Tasks[[#This Row],[_ConstraintCode]]=1,Tasks[[#This Row],[Mode]]&lt;&gt;"Manual",N(Tasks[[#This Row],[Actual Start]])=0),MAX(0,N(Tasks[[#This Row],[Free Slack]])),0)</f>
        <v>0</v>
      </c>
      <c r="DG195" s="115" t="str">
        <f aca="false">IF(NOT(Tasks[[#This Row],[_IsLeaf]]=1),"",IF(Tasks[[#This Row],[_AlapShift]]=0,Tasks[[#This Row],[_LeafCalcStart]],WORKDAY.INTL(Tasks[[#This Row],[_LeafCalcStart]],Tasks[[#This Row],[_AlapShift]],WorkWeek,Holidays)))</f>
        <v/>
      </c>
      <c r="DH195" s="115" t="str">
        <f aca="false">IF(NOT(Tasks[[#This Row],[_IsLeaf]]=1),"",IF(Tasks[[#This Row],[_AlapShift]]=0,Tasks[[#This Row],[_LeafCalcFinish]],WORKDAY.INTL(Tasks[[#This Row],[_LeafCalcFinish]],Tasks[[#This Row],[_AlapShift]],WorkWeek,Holidays)))</f>
        <v/>
      </c>
      <c r="DI195" s="115" t="str">
        <f aca="false">IF(NOT(Tasks[[#This Row],[_IsLeaf]]=1),"",IF(Tasks[[#This Row],[_AlapShift]]=0,Tasks[[#This Row],[_LeafFcstStart]],WORKDAY.INTL(Tasks[[#This Row],[_LeafFcstStart]],Tasks[[#This Row],[_AlapShift]],WorkWeek,Holidays)))</f>
        <v/>
      </c>
      <c r="DJ195" s="115" t="str">
        <f aca="false">IF(NOT(Tasks[[#This Row],[_IsLeaf]]=1),"",IF(Tasks[[#This Row],[_AlapShift]]=0,Tasks[[#This Row],[_LeafFcstFinish]],WORKDAY.INTL(Tasks[[#This Row],[_LeafFcstFinish]],Tasks[[#This Row],[_AlapShift]],WorkWeek,Holidays)))</f>
        <v/>
      </c>
      <c r="DK195" s="115" t="str">
        <f aca="false">IF(Tasks[[#This Row],[Task Name]]="","",IF(Tasks[[#This Row],[_IsSummary]],MIN(INDEX(Tasks[_ShownCalcStart],Tasks[[#This Row],[_Row]]+1):INDEX(Tasks[_ShownCalcStart],Tasks[[#This Row],[_Row]]+Tasks[[#This Row],[_Descendants]])),Tasks[[#This Row],[_ShownCalcStart]]))</f>
        <v/>
      </c>
      <c r="DL195" s="115" t="str">
        <f aca="false">IF(Tasks[[#This Row],[Task Name]]="","",IF(Tasks[[#This Row],[_IsSummary]],MAX(INDEX(Tasks[_ShownCalcFinish],Tasks[[#This Row],[_Row]]+1):INDEX(Tasks[_ShownCalcFinish],Tasks[[#This Row],[_Row]]+Tasks[[#This Row],[_Descendants]])),Tasks[[#This Row],[_ShownCalcFinish]]))</f>
        <v/>
      </c>
      <c r="DM19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5" s="32" t="n">
        <f aca="false">IF(AND(Tasks[[#This Row],[_IsLeaf]]=1,Tasks[[#This Row],[_LeafTotalWork]]&gt;0),NETWORKDAYS.INTL(ProjectStart,Tasks[[#This Row],[_ShownFcstStart]],WorkWeek,Holidays),0)</f>
        <v>0</v>
      </c>
      <c r="DZ195" s="32" t="n">
        <f aca="false">IF(AND(Tasks[[#This Row],[_IsLeaf]]=1,Tasks[[#This Row],[_LeafTotalWork]]&gt;0),MAX(Tasks[[#This Row],[_StartWorkday]],NETWORKDAYS.INTL(ProjectStart,Tasks[[#This Row],[_ShownFcstFinish]],WorkWeek,Holidays)),0)</f>
        <v>0</v>
      </c>
      <c r="EA195" s="32" t="n">
        <f aca="false">IF(AND(Tasks[[#This Row],[_IsLeaf]]=1,Tasks[[#This Row],[_LeafTotalWork]]&gt;0),Tasks[[#This Row],[_LeafWork]]/(Tasks[[#This Row],[_FinishWorkday]]-Tasks[[#This Row],[_StartWorkday]]+1),0)</f>
        <v>0</v>
      </c>
      <c r="EB195" s="32" t="n">
        <f aca="false">Tasks[[#This Row],[_WorkPerWorkday]]*(Tasks[[#This Row],[_StartWorkday]]-1)</f>
        <v>-0</v>
      </c>
      <c r="EC195" s="32" t="n">
        <f aca="false">IF(Tasks[[#This Row],[_IsLeaf]]=1,MAX(N(Tasks[[#This Row],[Duration]]),0.1),0)</f>
        <v>0</v>
      </c>
      <c r="ED195" s="32" t="n">
        <f aca="false">Tasks[[#This Row],[_WeightDur]]*Tasks[[#This Row],[_LeafProgress]]</f>
        <v>0</v>
      </c>
      <c r="EE19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5" s="32" t="str">
        <f aca="false">IF(AND(Tasks[[#This Row],[_IsLeaf]]=1,N(Tasks[[#This Row],[Duration]])=0,Tasks[[#This Row],[_LeafProgress]]&lt;1),Tasks[[#This Row],[_ShownFcstFinish]]+Tasks[[#This Row],[_Row]]/100000,"")</f>
        <v/>
      </c>
      <c r="EG19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5" s="32" t="n">
        <f aca="false">IF(NOT(Tasks[[#This Row],[_IsLeaf]]=1),0,IF(Tasks[[#This Row],[Baseline Cost]]="",Tasks[[#This Row],[_LeafTotalCost]],N(Tasks[[#This Row],[Baseline Cost]])))</f>
        <v>0</v>
      </c>
      <c r="EI195" s="32" t="n">
        <f aca="false">Tasks[[#This Row],[_LeafBudget]]*Tasks[[#This Row],[_PlannedPct]]</f>
        <v>0</v>
      </c>
      <c r="EJ195" s="32" t="n">
        <f aca="false">Tasks[[#This Row],[_LeafBudget]]*Tasks[[#This Row],[_LeafProgress]]</f>
        <v>0</v>
      </c>
      <c r="EK195" s="32" t="n">
        <f aca="false">IF(NOT(Tasks[[#This Row],[_IsLeaf]]=1),0,IF(Tasks[[#This Row],[Actual Cost]]="",Tasks[[#This Row],[_LeafTotalCost]]*Tasks[[#This Row],[_LeafProgress]],N(Tasks[[#This Row],[Actual Cost]])))</f>
        <v>0</v>
      </c>
      <c r="EL195" s="32" t="str">
        <f aca="false">IF(Tasks[[#This Row],[Task Name]]="","",LEFT(Tasks[[#This Row],[WBS]],FIND(".",Tasks[[#This Row],[WBS]]&amp;".")-1))</f>
        <v/>
      </c>
      <c r="EM195" s="32" t="str">
        <f aca="false">IF(AND(Tasks[[#This Row],[Task Name]]&lt;&gt;"",Tasks[[#This Row],[_Level]]=1),Tasks[[#This Row],[_Row]],"")</f>
        <v/>
      </c>
      <c r="EN195" s="32" t="str">
        <f aca="false">IF(AND(Tasks[[#This Row],[_IsLeaf]]=1,N(Tasks[[#This Row],[Duration]])=0),Tasks[[#This Row],[Planned Finish]]+Tasks[[#This Row],[_Row]]/100000,"")</f>
        <v/>
      </c>
      <c r="EO195" s="32" t="str">
        <f aca="false">IF(AND(Tasks[[#This Row],[_IsLeaf]]=1,Tasks[[#This Row],[_LeafProgress]]&lt;1,OR(N(Tasks[[#This Row],[Finish Var]])&gt;0,Tasks[[#This Row],[Status]]="Late Start")),MAX(0,Tasks[[#This Row],[Finish Var]])+1-Tasks[[#This Row],[_Row]]/1000000,"")</f>
        <v/>
      </c>
      <c r="EP195" s="32" t="str">
        <f aca="false">IF(AND(Tasks[[#This Row],[_IsLeaf]]=1,N(Tasks[[#This Row],[Actual Start]])=0,Tasks[[#This Row],[_ShownFcstStart]]&gt;=StatusDate,Tasks[[#This Row],[_ShownFcstStart]]&lt;=LookaheadEnd),Tasks[[#This Row],[_ShownFcstStart]]+Tasks[[#This Row],[_Row]]/100000,"")</f>
        <v/>
      </c>
      <c r="EQ195" s="32" t="str">
        <f aca="false">IF(AND(Tasks[[#This Row],[_IsLeaf]]=1,Tasks[[#This Row],[_LeafProgress]]&lt;1,Tasks[[#This Row],[_ShownFcstFinish]]&gt;=StatusDate,Tasks[[#This Row],[_ShownFcstFinish]]&lt;=LookaheadEnd),Tasks[[#This Row],[_ShownFcstFinish]]+Tasks[[#This Row],[_Row]]/100000,"")</f>
        <v/>
      </c>
      <c r="ER195" s="32" t="str">
        <f aca="false">IF(Tasks[[#This Row],[_LeafCritical]],Tasks[[#This Row],[_ShownFcstStart]]+Tasks[[#This Row],[_Row]]/100000,"")</f>
        <v/>
      </c>
      <c r="ES195" s="32" t="n">
        <f aca="false">Tasks[[#This Row],[_LeafWork]]*Tasks[[#This Row],[_LeafProgress]]</f>
        <v>0</v>
      </c>
      <c r="ET195" s="115" t="str">
        <f aca="false">IF(AND(Tasks[[#This Row],[_IsLeaf]]=1,Tasks[[#This Row],[_LeafProgress]]&gt;=1),IF(N(Tasks[[#This Row],[Actual Finish]])&gt;0,Tasks[[#This Row],[Actual Finish]],Tasks[[#This Row],[_ShownFcstFinish]]),"")</f>
        <v/>
      </c>
      <c r="EU195" s="32" t="n">
        <f aca="false">IF(Tasks[[#This Row],[_IsLeaf]]=1,N(Tasks[[#This Row],[Story Points]]),0)</f>
        <v>0</v>
      </c>
      <c r="EV195" s="32" t="str">
        <f aca="false">IF(AND(Tasks[[#This Row],[_IsLeaf]]=1,CurrentSprint&lt;&gt;"",Tasks[[#This Row],[Sprint]]=CurrentSprint),Tasks[[#This Row],[_Row]],"")</f>
        <v/>
      </c>
    </row>
    <row r="196" customFormat="false" ht="15" hidden="false" customHeight="false" outlineLevel="0" collapsed="false">
      <c r="A196" s="45" t="str">
        <f aca="false">IF(Tasks[[#This Row],[Task Name]]="","",COUNTA(Tasks[[#Headers],[Task Name]]:Tasks[[#This Row],[Task Name]])-1)</f>
        <v/>
      </c>
      <c r="B196" s="46" t="n">
        <v>191</v>
      </c>
      <c r="C196"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6" s="46"/>
      <c r="E196" s="45" t="str">
        <f aca="false">IF(Tasks[[#This Row],[Task Name]]="","",IF(Tasks[[#This Row],[_Level]]&lt;=OutlineShowLevel,"Yes","No"))</f>
        <v/>
      </c>
      <c r="F196" s="47"/>
      <c r="G196" s="46"/>
      <c r="H196" s="46"/>
      <c r="I196" s="46"/>
      <c r="J196" s="46"/>
      <c r="K196" s="46"/>
      <c r="L196" s="46"/>
      <c r="M196" s="46"/>
      <c r="N196" s="46"/>
      <c r="O196" s="46"/>
      <c r="P196" s="46"/>
      <c r="Q196" s="46"/>
      <c r="R196" s="46"/>
      <c r="S196" s="46"/>
      <c r="T196" s="46"/>
      <c r="U196" s="47"/>
      <c r="V196" s="88"/>
      <c r="W196" s="88"/>
      <c r="X196" s="25" t="str">
        <f aca="false">IF(Tasks[[#This Row],[Task Name]]="","",IF(N(Tasks[[#This Row],[Baseline Start]])&gt;0,Tasks[[#This Row],[Baseline Start]],Tasks[[#This Row],[_CalcStart]]))</f>
        <v/>
      </c>
      <c r="Y196" s="25" t="str">
        <f aca="false">IF(Tasks[[#This Row],[Task Name]]="","",IF(N(Tasks[[#This Row],[Baseline Finish]])&gt;0,Tasks[[#This Row],[Baseline Finish]],Tasks[[#This Row],[_CalcFinish]]))</f>
        <v/>
      </c>
      <c r="Z196" s="88"/>
      <c r="AA196" s="88"/>
      <c r="AB196" s="25" t="str">
        <f aca="false">IF(Tasks[[#This Row],[Task Name]]="","",IF(Tasks[[#This Row],[_IsSummary]],MIN(INDEX(Tasks[_ShownFcstStart],Tasks[[#This Row],[_Row]]+1):INDEX(Tasks[_ShownFcstStart],Tasks[[#This Row],[_Row]]+Tasks[[#This Row],[_Descendants]])),Tasks[[#This Row],[_ShownFcstStart]]))</f>
        <v/>
      </c>
      <c r="AC196" s="25" t="str">
        <f aca="false">IF(Tasks[[#This Row],[Task Name]]="","",IF(Tasks[[#This Row],[_IsSummary]],MAX(INDEX(Tasks[_ShownFcstFinish],Tasks[[#This Row],[_Row]]+1):INDEX(Tasks[_ShownFcstFinish],Tasks[[#This Row],[_Row]]+Tasks[[#This Row],[_Descendants]])),Tasks[[#This Row],[_ShownFcstFinish]]))</f>
        <v/>
      </c>
      <c r="AD196"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6"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6" s="25" t="str">
        <f aca="false">IF(Tasks[[#This Row],[Task Name]]="","",IF(Tasks[[#This Row],[_IsSummary]],MIN(INDEX(Tasks[_LeafLateStart],Tasks[[#This Row],[_Row]]+1):INDEX(Tasks[_LeafLateStart],Tasks[[#This Row],[_Row]]+Tasks[[#This Row],[_Descendants]])),Tasks[[#This Row],[_LeafLateStart]]))</f>
        <v/>
      </c>
      <c r="AG196" s="25" t="str">
        <f aca="false">IF(Tasks[[#This Row],[Task Name]]="","",IF(Tasks[[#This Row],[_IsSummary]],MAX(INDEX(Tasks[_LeafLateFinish],Tasks[[#This Row],[_Row]]+1):INDEX(Tasks[_LeafLateFinish],Tasks[[#This Row],[_Row]]+Tasks[[#This Row],[_Descendants]])),Tasks[[#This Row],[_LeafLateFinish]]))</f>
        <v/>
      </c>
      <c r="AH196" s="56" t="str">
        <f aca="false">IF(Tasks[[#This Row],[Task Name]]="","",IF(Tasks[[#This Row],[_IsSummary]],MIN(INDEX(Tasks[_LeafTotalSlack],Tasks[[#This Row],[_Row]]+1):INDEX(Tasks[_LeafTotalSlack],Tasks[[#This Row],[_Row]]+Tasks[[#This Row],[_Descendants]])),Tasks[[#This Row],[_LeafTotalSlack]]))</f>
        <v/>
      </c>
      <c r="AI196"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6" s="45" t="str">
        <f aca="false">IF(Tasks[[#This Row],[Task Name]]="","",IF(IF(Tasks[[#This Row],[_IsSummary]],COUNTIF(INDEX(Tasks[_LeafCritical],Tasks[[#This Row],[_Row]]+1):INDEX(Tasks[_LeafCritical],Tasks[[#This Row],[_Row]]+Tasks[[#This Row],[_Descendants]]),TRUE())&gt;0,Tasks[[#This Row],[_LeafCritical]]),"Yes",""))</f>
        <v/>
      </c>
      <c r="AK196"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6"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6" s="102"/>
      <c r="AN196"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6" s="45" t="str">
        <f aca="false">IF(Tasks[[#This Row],[Task Name]]="","",IF(Tasks[[#This Row],[Progress]]&gt;=1,"Complete",IF(OR(N(Tasks[[#This Row],[Actual Start]])&gt;0,Tasks[[#This Row],[Progress]]&gt;0),IF(Tasks[[#This Row],[Finish Var]]&gt;0,"Behind","In Progress"),IF(Tasks[[#This Row],[Planned Start]]&lt;StatusDate,"Late Start","Not Started"))))</f>
        <v/>
      </c>
      <c r="AP196" s="47"/>
      <c r="AQ196" s="102"/>
      <c r="AR196"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6"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6" s="110" t="str">
        <f aca="false">IF(Tasks[[#This Row],[Task Name]]="","",IF(Tasks[[#This Row],[_IsSummary]],SUM(INDEX(Tasks[_LeafTotalWork],Tasks[[#This Row],[_Row]]+1):INDEX(Tasks[_LeafTotalWork],Tasks[[#This Row],[_Row]]+Tasks[[#This Row],[_Descendants]])),Tasks[[#This Row],[_LeafTotalWork]]))</f>
        <v/>
      </c>
      <c r="AU196" s="111" t="str">
        <f aca="false">IF(Tasks[[#This Row],[Task Name]]="","",IF(Tasks[[#This Row],[_IsSummary]],SUM(INDEX(Tasks[_LeafTotalCost],Tasks[[#This Row],[_Row]]+1):INDEX(Tasks[_LeafTotalCost],Tasks[[#This Row],[_Row]]+Tasks[[#This Row],[_Descendants]])),Tasks[[#This Row],[_LeafTotalCost]]))</f>
        <v/>
      </c>
      <c r="AV196" s="112"/>
      <c r="AW196" s="46"/>
      <c r="AX196"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6" s="96"/>
      <c r="AZ196"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6" s="47"/>
      <c r="BB196" s="25" t="str">
        <f aca="false">IF(Tasks[[#This Row],[Task Name]]="","",Tasks[[#This Row],[Forecast Start]])</f>
        <v/>
      </c>
      <c r="BC196" s="25" t="str">
        <f aca="false">IF(Tasks[[#This Row],[Task Name]]="","",Tasks[[#This Row],[Forecast Finish]])</f>
        <v/>
      </c>
      <c r="BD196" s="45" t="str">
        <f aca="false">IF(Tasks[[#This Row],[Task Name]]="","",IF(Tasks[[#This Row],[_IsSummary]],NETWORKDAYS.INTL(Tasks[[#This Row],[Forecast Start]],Tasks[[#This Row],[Forecast Finish]],WorkWeek,Holidays),N(Tasks[[#This Row],[Duration]])))</f>
        <v/>
      </c>
      <c r="BE196" s="110" t="str">
        <f aca="false">IF(Tasks[[#This Row],[Task Name]]="","",Tasks[[#This Row],[Work]])</f>
        <v/>
      </c>
      <c r="BF196" s="111" t="str">
        <f aca="false">IF(Tasks[[#This Row],[Task Name]]="","",Tasks[[#This Row],[Cost]])</f>
        <v/>
      </c>
      <c r="BG196" s="88"/>
      <c r="BH196" s="88"/>
      <c r="BI196" s="46"/>
      <c r="BJ196" s="113"/>
      <c r="BK196" s="112"/>
      <c r="BL196" s="45" t="str">
        <f aca="false">IF(OR(Tasks[[#This Row],[Task Name]]="",Tasks[[#This Row],[Baseline Duration]]=""),"",Tasks[[#This Row],[BL Source Duration]]-N(Tasks[[#This Row],[Baseline Duration]]))</f>
        <v/>
      </c>
      <c r="BM196" s="110" t="str">
        <f aca="false">IF(OR(Tasks[[#This Row],[Task Name]]="",Tasks[[#This Row],[Baseline Work]]=""),"",Tasks[[#This Row],[Work]]-N(Tasks[[#This Row],[Baseline Work]]))</f>
        <v/>
      </c>
      <c r="BN196" s="111" t="str">
        <f aca="false">IF(OR(Tasks[[#This Row],[Task Name]]="",Tasks[[#This Row],[Baseline Cost]]=""),"",Tasks[[#This Row],[Cost]]-N(Tasks[[#This Row],[Baseline Cost]]))</f>
        <v/>
      </c>
      <c r="BO196" s="111" t="str">
        <f aca="false">IF(Tasks[[#This Row],[Task Name]]="","",IF(Tasks[[#This Row],[_IsSummary]],SUM(INDEX(Tasks[_LeafBudget],Tasks[[#This Row],[_Row]]+1):INDEX(Tasks[_LeafBudget],Tasks[[#This Row],[_Row]]+Tasks[[#This Row],[_Descendants]])),Tasks[[#This Row],[_LeafBudget]]))</f>
        <v/>
      </c>
      <c r="BP196" s="111" t="str">
        <f aca="false">IF(Tasks[[#This Row],[Task Name]]="","",IF(Tasks[[#This Row],[_IsSummary]],SUM(INDEX(Tasks[_LeafPV],Tasks[[#This Row],[_Row]]+1):INDEX(Tasks[_LeafPV],Tasks[[#This Row],[_Row]]+Tasks[[#This Row],[_Descendants]])),Tasks[[#This Row],[_LeafPV]]))</f>
        <v/>
      </c>
      <c r="BQ196" s="111" t="str">
        <f aca="false">IF(Tasks[[#This Row],[Task Name]]="","",IF(Tasks[[#This Row],[_IsSummary]],SUM(INDEX(Tasks[_LeafEV],Tasks[[#This Row],[_Row]]+1):INDEX(Tasks[_LeafEV],Tasks[[#This Row],[_Row]]+Tasks[[#This Row],[_Descendants]])),Tasks[[#This Row],[_LeafEV]]))</f>
        <v/>
      </c>
      <c r="BR196" s="111" t="str">
        <f aca="false">IF(Tasks[[#This Row],[Task Name]]="","",IF(Tasks[[#This Row],[_IsSummary]],SUM(INDEX(Tasks[_LeafAC],Tasks[[#This Row],[_Row]]+1):INDEX(Tasks[_LeafAC],Tasks[[#This Row],[_Row]]+Tasks[[#This Row],[_Descendants]])),Tasks[[#This Row],[_LeafAC]]))</f>
        <v/>
      </c>
      <c r="BS196" s="32" t="str">
        <f aca="false">IF(Tasks[[#This Row],[Task Name]]="","",MAX(1,N(Tasks[[#This Row],[Level]])))</f>
        <v/>
      </c>
      <c r="BT196" s="32" t="n">
        <f aca="false">ROW()-ROW(Tasks[[#Headers],[ID]])</f>
        <v>191</v>
      </c>
      <c r="BU196" s="32" t="n">
        <f aca="false">IF(OR(Tasks[[#This Row],[Task Name]]="",Tasks[[#This Row],[_Level]]&lt;=1),0,IFERROR(LOOKUP(2,1/(Tasks[[#Headers],[_Level]]:Tasks[[#This Row],[_Level]]=Tasks[[#This Row],[_Level]]-1),ROW(Tasks[[#Headers],[_Level]]:Tasks[[#This Row],[_Level]])),0))</f>
        <v>0</v>
      </c>
      <c r="BV196" s="32" t="n">
        <f aca="false">IFERROR(N(INDEX(Tasks[_Level],Tasks[[#This Row],[_Row]]+1)),0)</f>
        <v>0</v>
      </c>
      <c r="BW196" s="114" t="b">
        <f aca="false">AND(Tasks[[#This Row],[Task Name]]&lt;&gt;"",Tasks[[#This Row],[_NextLevel]]&gt;Tasks[[#This Row],[_Level]])</f>
        <v>0</v>
      </c>
      <c r="BX196" s="32" t="n">
        <f aca="false">IF(Tasks[[#This Row],[_IsSummary]],COUNTIF(Tasks[WBS],Tasks[[#This Row],[WBS]]&amp;".*"),0)</f>
        <v>0</v>
      </c>
      <c r="BY196" s="32" t="n">
        <f aca="false">IF(AND(Tasks[[#This Row],[Task Name]]&lt;&gt;"",NOT(Tasks[[#This Row],[_IsSummary]])),1,0)</f>
        <v>0</v>
      </c>
      <c r="BZ196" s="32" t="n">
        <f aca="false">IF(N(Tasks[[#This Row],[Pred1 UID]])=0,0,IFERROR(MATCH(Tasks[[#This Row],[Pred1 UID]],Tasks[UID],0),-1))</f>
        <v>0</v>
      </c>
      <c r="CA196" s="32" t="n">
        <f aca="false">IF(N(Tasks[[#This Row],[Pred2 UID]])=0,0,IFERROR(MATCH(Tasks[[#This Row],[Pred2 UID]],Tasks[UID],0),-1))</f>
        <v>0</v>
      </c>
      <c r="CB196" s="32" t="n">
        <f aca="false">IF(N(Tasks[[#This Row],[Pred3 UID]])=0,0,IFERROR(MATCH(Tasks[[#This Row],[Pred3 UID]],Tasks[UID],0),-1))</f>
        <v>0</v>
      </c>
      <c r="CC196" s="32" t="n">
        <f aca="false">IF(N(Tasks[[#This Row],[Pred4 UID]])=0,0,IFERROR(MATCH(Tasks[[#This Row],[Pred4 UID]],Tasks[UID],0),-1))</f>
        <v>0</v>
      </c>
      <c r="CD196"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6"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6" s="115" t="n">
        <f aca="false">IF(OR(Tasks[[#This Row],[_ConstraintCode]]=2,Tasks[[#This Row],[_ConstraintCode]]=3,Tasks[[#This Row],[_ConstraintCode]]=4,Tasks[[#This Row],[_ConstraintCode]]=6),Tasks[[#This Row],[_ConstraintStart]],0)</f>
        <v>0</v>
      </c>
      <c r="CG196" s="115" t="n">
        <f aca="false">IF(OR(Tasks[[#This Row],[_ConstraintCode]]=2,Tasks[[#This Row],[_ConstraintCode]]=3,Tasks[[#This Row],[_ConstraintCode]]=5,Tasks[[#This Row],[_ConstraintCode]]=7),Tasks[[#This Row],[_ConstraintStart]],2958465)</f>
        <v>2958465</v>
      </c>
      <c r="CH196"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6" s="115" t="str">
        <f aca="false">IF(NOT(Tasks[[#This Row],[_IsLeaf]]=1),"",IF(N(Tasks[[#This Row],[Duration]])&lt;=0,Tasks[[#This Row],[_LeafCalcStart]],WORKDAY.INTL(Tasks[[#This Row],[_LeafCalcStart]],Tasks[[#This Row],[Duration]]-1,WorkWeek,Holidays)))</f>
        <v/>
      </c>
      <c r="CJ196"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6"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6" s="32" t="n">
        <f aca="false">IF(NOT(Tasks[[#This Row],[_IsLeaf]]=1),0,IF(N(Tasks[[#This Row],[Actual Finish]])&gt;0,1,MIN(1,N(Tasks[[#This Row],[% Complete]]))))</f>
        <v>0</v>
      </c>
      <c r="CM196" s="32" t="n">
        <f aca="false">IF(OR(NOT(Tasks[[#This Row],[_IsLeaf]]=1),Tasks[[#This Row],[Resource]]=""),0,N(Tasks[[#This Row],[Duration]])*HoursPerDay*IF(Tasks[[#This Row],[Units]]="",DefaultUnits,Tasks[[#This Row],[Units]]))</f>
        <v>0</v>
      </c>
      <c r="CN196" s="32" t="n">
        <f aca="false">IF(Tasks[[#This Row],[_LeafWork]]=0,0,Tasks[[#This Row],[_LeafWork]]*IFERROR(INDEX(res_Rate,MATCH(Tasks[[#This Row],[Resource]],res_Name,0)),0))</f>
        <v>0</v>
      </c>
      <c r="CO196" s="32" t="n">
        <f aca="false">Tasks[[#This Row],[_LeafWork]]+IF(Tasks[[#This Row],[_IsLeaf]]=1,SUMIFS(asg_Work,asg_TaskUID,Tasks[[#This Row],[UID]],asg_Valid,1),0)</f>
        <v>0</v>
      </c>
      <c r="CP196" s="32" t="n">
        <f aca="false">Tasks[[#This Row],[_LeafCost]]+IF(Tasks[[#This Row],[_IsLeaf]]=1,SUMIFS(asg_Cost,asg_TaskUID,Tasks[[#This Row],[UID]],asg_Valid,1),0)</f>
        <v>0</v>
      </c>
      <c r="CQ196" s="32" t="n">
        <f aca="false">IF(Tasks[[#This Row],[_LeafTotalCost]]=0,Tasks[[#This Row],[_LeafAC]],Tasks[[#This Row],[_LeafAC]]*Tasks[[#This Row],[_LeafCost]]/Tasks[[#This Row],[_LeafTotalCost]])</f>
        <v>0</v>
      </c>
      <c r="CR196"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6"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6"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6"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6"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6"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6"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6"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6" s="32" t="n">
        <f aca="false">IF(NOT(Tasks[[#This Row],[_IsLeaf]]=1),0,MAX(_xlfn.MAXIFS(Tasks[_Row],Tasks[Pred1 UID],Tasks[[#This Row],[UID]]),_xlfn.MAXIFS(Tasks[_Row],Tasks[Pred2 UID],Tasks[[#This Row],[UID]]),_xlfn.MAXIFS(Tasks[_Row],Tasks[Pred3 UID],Tasks[[#This Row],[UID]]),_xlfn.MAXIFS(Tasks[_Row],Tasks[Pred4 UID],Tasks[[#This Row],[UID]])))</f>
        <v>0</v>
      </c>
      <c r="DA196"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6"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6" s="115" t="str">
        <f aca="false">IF(NOT(Tasks[[#This Row],[_IsLeaf]]=1),"",IF(N(Tasks[[#This Row],[Duration]])&lt;=0,Tasks[[#This Row],[_LeafLateFinish]],WORKDAY.INTL(Tasks[[#This Row],[_LeafLateFinish]],-(Tasks[[#This Row],[Duration]]-1),WorkWeek,Holidays)))</f>
        <v/>
      </c>
      <c r="DD196"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6" s="114" t="b">
        <f aca="false">AND(Tasks[[#This Row],[_IsLeaf]]=1,Tasks[[#This Row],[_LeafProgress]]&lt;1,N(Tasks[[#This Row],[_LeafTotalSlack]])&lt;=CriticalSlackDays)</f>
        <v>0</v>
      </c>
      <c r="DF196" s="32" t="n">
        <f aca="false">IF(AND(Tasks[[#This Row],[_IsLeaf]]=1,Tasks[[#This Row],[_ConstraintCode]]=1,Tasks[[#This Row],[Mode]]&lt;&gt;"Manual",N(Tasks[[#This Row],[Actual Start]])=0),MAX(0,N(Tasks[[#This Row],[Free Slack]])),0)</f>
        <v>0</v>
      </c>
      <c r="DG196" s="115" t="str">
        <f aca="false">IF(NOT(Tasks[[#This Row],[_IsLeaf]]=1),"",IF(Tasks[[#This Row],[_AlapShift]]=0,Tasks[[#This Row],[_LeafCalcStart]],WORKDAY.INTL(Tasks[[#This Row],[_LeafCalcStart]],Tasks[[#This Row],[_AlapShift]],WorkWeek,Holidays)))</f>
        <v/>
      </c>
      <c r="DH196" s="115" t="str">
        <f aca="false">IF(NOT(Tasks[[#This Row],[_IsLeaf]]=1),"",IF(Tasks[[#This Row],[_AlapShift]]=0,Tasks[[#This Row],[_LeafCalcFinish]],WORKDAY.INTL(Tasks[[#This Row],[_LeafCalcFinish]],Tasks[[#This Row],[_AlapShift]],WorkWeek,Holidays)))</f>
        <v/>
      </c>
      <c r="DI196" s="115" t="str">
        <f aca="false">IF(NOT(Tasks[[#This Row],[_IsLeaf]]=1),"",IF(Tasks[[#This Row],[_AlapShift]]=0,Tasks[[#This Row],[_LeafFcstStart]],WORKDAY.INTL(Tasks[[#This Row],[_LeafFcstStart]],Tasks[[#This Row],[_AlapShift]],WorkWeek,Holidays)))</f>
        <v/>
      </c>
      <c r="DJ196" s="115" t="str">
        <f aca="false">IF(NOT(Tasks[[#This Row],[_IsLeaf]]=1),"",IF(Tasks[[#This Row],[_AlapShift]]=0,Tasks[[#This Row],[_LeafFcstFinish]],WORKDAY.INTL(Tasks[[#This Row],[_LeafFcstFinish]],Tasks[[#This Row],[_AlapShift]],WorkWeek,Holidays)))</f>
        <v/>
      </c>
      <c r="DK196" s="115" t="str">
        <f aca="false">IF(Tasks[[#This Row],[Task Name]]="","",IF(Tasks[[#This Row],[_IsSummary]],MIN(INDEX(Tasks[_ShownCalcStart],Tasks[[#This Row],[_Row]]+1):INDEX(Tasks[_ShownCalcStart],Tasks[[#This Row],[_Row]]+Tasks[[#This Row],[_Descendants]])),Tasks[[#This Row],[_ShownCalcStart]]))</f>
        <v/>
      </c>
      <c r="DL196" s="115" t="str">
        <f aca="false">IF(Tasks[[#This Row],[Task Name]]="","",IF(Tasks[[#This Row],[_IsSummary]],MAX(INDEX(Tasks[_ShownCalcFinish],Tasks[[#This Row],[_Row]]+1):INDEX(Tasks[_ShownCalcFinish],Tasks[[#This Row],[_Row]]+Tasks[[#This Row],[_Descendants]])),Tasks[[#This Row],[_ShownCalcFinish]]))</f>
        <v/>
      </c>
      <c r="DM196"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6"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6"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6"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6"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6"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6"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6"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6"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6"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6"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6"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6" s="32" t="n">
        <f aca="false">IF(AND(Tasks[[#This Row],[_IsLeaf]]=1,Tasks[[#This Row],[_LeafTotalWork]]&gt;0),NETWORKDAYS.INTL(ProjectStart,Tasks[[#This Row],[_ShownFcstStart]],WorkWeek,Holidays),0)</f>
        <v>0</v>
      </c>
      <c r="DZ196" s="32" t="n">
        <f aca="false">IF(AND(Tasks[[#This Row],[_IsLeaf]]=1,Tasks[[#This Row],[_LeafTotalWork]]&gt;0),MAX(Tasks[[#This Row],[_StartWorkday]],NETWORKDAYS.INTL(ProjectStart,Tasks[[#This Row],[_ShownFcstFinish]],WorkWeek,Holidays)),0)</f>
        <v>0</v>
      </c>
      <c r="EA196" s="32" t="n">
        <f aca="false">IF(AND(Tasks[[#This Row],[_IsLeaf]]=1,Tasks[[#This Row],[_LeafTotalWork]]&gt;0),Tasks[[#This Row],[_LeafWork]]/(Tasks[[#This Row],[_FinishWorkday]]-Tasks[[#This Row],[_StartWorkday]]+1),0)</f>
        <v>0</v>
      </c>
      <c r="EB196" s="32" t="n">
        <f aca="false">Tasks[[#This Row],[_WorkPerWorkday]]*(Tasks[[#This Row],[_StartWorkday]]-1)</f>
        <v>-0</v>
      </c>
      <c r="EC196" s="32" t="n">
        <f aca="false">IF(Tasks[[#This Row],[_IsLeaf]]=1,MAX(N(Tasks[[#This Row],[Duration]]),0.1),0)</f>
        <v>0</v>
      </c>
      <c r="ED196" s="32" t="n">
        <f aca="false">Tasks[[#This Row],[_WeightDur]]*Tasks[[#This Row],[_LeafProgress]]</f>
        <v>0</v>
      </c>
      <c r="EE196"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6" s="32" t="str">
        <f aca="false">IF(AND(Tasks[[#This Row],[_IsLeaf]]=1,N(Tasks[[#This Row],[Duration]])=0,Tasks[[#This Row],[_LeafProgress]]&lt;1),Tasks[[#This Row],[_ShownFcstFinish]]+Tasks[[#This Row],[_Row]]/100000,"")</f>
        <v/>
      </c>
      <c r="EG196"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6" s="32" t="n">
        <f aca="false">IF(NOT(Tasks[[#This Row],[_IsLeaf]]=1),0,IF(Tasks[[#This Row],[Baseline Cost]]="",Tasks[[#This Row],[_LeafTotalCost]],N(Tasks[[#This Row],[Baseline Cost]])))</f>
        <v>0</v>
      </c>
      <c r="EI196" s="32" t="n">
        <f aca="false">Tasks[[#This Row],[_LeafBudget]]*Tasks[[#This Row],[_PlannedPct]]</f>
        <v>0</v>
      </c>
      <c r="EJ196" s="32" t="n">
        <f aca="false">Tasks[[#This Row],[_LeafBudget]]*Tasks[[#This Row],[_LeafProgress]]</f>
        <v>0</v>
      </c>
      <c r="EK196" s="32" t="n">
        <f aca="false">IF(NOT(Tasks[[#This Row],[_IsLeaf]]=1),0,IF(Tasks[[#This Row],[Actual Cost]]="",Tasks[[#This Row],[_LeafTotalCost]]*Tasks[[#This Row],[_LeafProgress]],N(Tasks[[#This Row],[Actual Cost]])))</f>
        <v>0</v>
      </c>
      <c r="EL196" s="32" t="str">
        <f aca="false">IF(Tasks[[#This Row],[Task Name]]="","",LEFT(Tasks[[#This Row],[WBS]],FIND(".",Tasks[[#This Row],[WBS]]&amp;".")-1))</f>
        <v/>
      </c>
      <c r="EM196" s="32" t="str">
        <f aca="false">IF(AND(Tasks[[#This Row],[Task Name]]&lt;&gt;"",Tasks[[#This Row],[_Level]]=1),Tasks[[#This Row],[_Row]],"")</f>
        <v/>
      </c>
      <c r="EN196" s="32" t="str">
        <f aca="false">IF(AND(Tasks[[#This Row],[_IsLeaf]]=1,N(Tasks[[#This Row],[Duration]])=0),Tasks[[#This Row],[Planned Finish]]+Tasks[[#This Row],[_Row]]/100000,"")</f>
        <v/>
      </c>
      <c r="EO196" s="32" t="str">
        <f aca="false">IF(AND(Tasks[[#This Row],[_IsLeaf]]=1,Tasks[[#This Row],[_LeafProgress]]&lt;1,OR(N(Tasks[[#This Row],[Finish Var]])&gt;0,Tasks[[#This Row],[Status]]="Late Start")),MAX(0,Tasks[[#This Row],[Finish Var]])+1-Tasks[[#This Row],[_Row]]/1000000,"")</f>
        <v/>
      </c>
      <c r="EP196" s="32" t="str">
        <f aca="false">IF(AND(Tasks[[#This Row],[_IsLeaf]]=1,N(Tasks[[#This Row],[Actual Start]])=0,Tasks[[#This Row],[_ShownFcstStart]]&gt;=StatusDate,Tasks[[#This Row],[_ShownFcstStart]]&lt;=LookaheadEnd),Tasks[[#This Row],[_ShownFcstStart]]+Tasks[[#This Row],[_Row]]/100000,"")</f>
        <v/>
      </c>
      <c r="EQ196" s="32" t="str">
        <f aca="false">IF(AND(Tasks[[#This Row],[_IsLeaf]]=1,Tasks[[#This Row],[_LeafProgress]]&lt;1,Tasks[[#This Row],[_ShownFcstFinish]]&gt;=StatusDate,Tasks[[#This Row],[_ShownFcstFinish]]&lt;=LookaheadEnd),Tasks[[#This Row],[_ShownFcstFinish]]+Tasks[[#This Row],[_Row]]/100000,"")</f>
        <v/>
      </c>
      <c r="ER196" s="32" t="str">
        <f aca="false">IF(Tasks[[#This Row],[_LeafCritical]],Tasks[[#This Row],[_ShownFcstStart]]+Tasks[[#This Row],[_Row]]/100000,"")</f>
        <v/>
      </c>
      <c r="ES196" s="32" t="n">
        <f aca="false">Tasks[[#This Row],[_LeafWork]]*Tasks[[#This Row],[_LeafProgress]]</f>
        <v>0</v>
      </c>
      <c r="ET196" s="115" t="str">
        <f aca="false">IF(AND(Tasks[[#This Row],[_IsLeaf]]=1,Tasks[[#This Row],[_LeafProgress]]&gt;=1),IF(N(Tasks[[#This Row],[Actual Finish]])&gt;0,Tasks[[#This Row],[Actual Finish]],Tasks[[#This Row],[_ShownFcstFinish]]),"")</f>
        <v/>
      </c>
      <c r="EU196" s="32" t="n">
        <f aca="false">IF(Tasks[[#This Row],[_IsLeaf]]=1,N(Tasks[[#This Row],[Story Points]]),0)</f>
        <v>0</v>
      </c>
      <c r="EV196" s="32" t="str">
        <f aca="false">IF(AND(Tasks[[#This Row],[_IsLeaf]]=1,CurrentSprint&lt;&gt;"",Tasks[[#This Row],[Sprint]]=CurrentSprint),Tasks[[#This Row],[_Row]],"")</f>
        <v/>
      </c>
    </row>
    <row r="197" customFormat="false" ht="15" hidden="false" customHeight="false" outlineLevel="0" collapsed="false">
      <c r="A197" s="45" t="str">
        <f aca="false">IF(Tasks[[#This Row],[Task Name]]="","",COUNTA(Tasks[[#Headers],[Task Name]]:Tasks[[#This Row],[Task Name]])-1)</f>
        <v/>
      </c>
      <c r="B197" s="46" t="n">
        <v>192</v>
      </c>
      <c r="C197"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7" s="46"/>
      <c r="E197" s="45" t="str">
        <f aca="false">IF(Tasks[[#This Row],[Task Name]]="","",IF(Tasks[[#This Row],[_Level]]&lt;=OutlineShowLevel,"Yes","No"))</f>
        <v/>
      </c>
      <c r="F197" s="47"/>
      <c r="G197" s="46"/>
      <c r="H197" s="46"/>
      <c r="I197" s="46"/>
      <c r="J197" s="46"/>
      <c r="K197" s="46"/>
      <c r="L197" s="46"/>
      <c r="M197" s="46"/>
      <c r="N197" s="46"/>
      <c r="O197" s="46"/>
      <c r="P197" s="46"/>
      <c r="Q197" s="46"/>
      <c r="R197" s="46"/>
      <c r="S197" s="46"/>
      <c r="T197" s="46"/>
      <c r="U197" s="47"/>
      <c r="V197" s="88"/>
      <c r="W197" s="88"/>
      <c r="X197" s="25" t="str">
        <f aca="false">IF(Tasks[[#This Row],[Task Name]]="","",IF(N(Tasks[[#This Row],[Baseline Start]])&gt;0,Tasks[[#This Row],[Baseline Start]],Tasks[[#This Row],[_CalcStart]]))</f>
        <v/>
      </c>
      <c r="Y197" s="25" t="str">
        <f aca="false">IF(Tasks[[#This Row],[Task Name]]="","",IF(N(Tasks[[#This Row],[Baseline Finish]])&gt;0,Tasks[[#This Row],[Baseline Finish]],Tasks[[#This Row],[_CalcFinish]]))</f>
        <v/>
      </c>
      <c r="Z197" s="88"/>
      <c r="AA197" s="88"/>
      <c r="AB197" s="25" t="str">
        <f aca="false">IF(Tasks[[#This Row],[Task Name]]="","",IF(Tasks[[#This Row],[_IsSummary]],MIN(INDEX(Tasks[_ShownFcstStart],Tasks[[#This Row],[_Row]]+1):INDEX(Tasks[_ShownFcstStart],Tasks[[#This Row],[_Row]]+Tasks[[#This Row],[_Descendants]])),Tasks[[#This Row],[_ShownFcstStart]]))</f>
        <v/>
      </c>
      <c r="AC197" s="25" t="str">
        <f aca="false">IF(Tasks[[#This Row],[Task Name]]="","",IF(Tasks[[#This Row],[_IsSummary]],MAX(INDEX(Tasks[_ShownFcstFinish],Tasks[[#This Row],[_Row]]+1):INDEX(Tasks[_ShownFcstFinish],Tasks[[#This Row],[_Row]]+Tasks[[#This Row],[_Descendants]])),Tasks[[#This Row],[_ShownFcstFinish]]))</f>
        <v/>
      </c>
      <c r="AD197"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7"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7" s="25" t="str">
        <f aca="false">IF(Tasks[[#This Row],[Task Name]]="","",IF(Tasks[[#This Row],[_IsSummary]],MIN(INDEX(Tasks[_LeafLateStart],Tasks[[#This Row],[_Row]]+1):INDEX(Tasks[_LeafLateStart],Tasks[[#This Row],[_Row]]+Tasks[[#This Row],[_Descendants]])),Tasks[[#This Row],[_LeafLateStart]]))</f>
        <v/>
      </c>
      <c r="AG197" s="25" t="str">
        <f aca="false">IF(Tasks[[#This Row],[Task Name]]="","",IF(Tasks[[#This Row],[_IsSummary]],MAX(INDEX(Tasks[_LeafLateFinish],Tasks[[#This Row],[_Row]]+1):INDEX(Tasks[_LeafLateFinish],Tasks[[#This Row],[_Row]]+Tasks[[#This Row],[_Descendants]])),Tasks[[#This Row],[_LeafLateFinish]]))</f>
        <v/>
      </c>
      <c r="AH197" s="56" t="str">
        <f aca="false">IF(Tasks[[#This Row],[Task Name]]="","",IF(Tasks[[#This Row],[_IsSummary]],MIN(INDEX(Tasks[_LeafTotalSlack],Tasks[[#This Row],[_Row]]+1):INDEX(Tasks[_LeafTotalSlack],Tasks[[#This Row],[_Row]]+Tasks[[#This Row],[_Descendants]])),Tasks[[#This Row],[_LeafTotalSlack]]))</f>
        <v/>
      </c>
      <c r="AI197"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7" s="45" t="str">
        <f aca="false">IF(Tasks[[#This Row],[Task Name]]="","",IF(IF(Tasks[[#This Row],[_IsSummary]],COUNTIF(INDEX(Tasks[_LeafCritical],Tasks[[#This Row],[_Row]]+1):INDEX(Tasks[_LeafCritical],Tasks[[#This Row],[_Row]]+Tasks[[#This Row],[_Descendants]]),TRUE())&gt;0,Tasks[[#This Row],[_LeafCritical]]),"Yes",""))</f>
        <v/>
      </c>
      <c r="AK197"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7"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7" s="102"/>
      <c r="AN197"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7" s="45" t="str">
        <f aca="false">IF(Tasks[[#This Row],[Task Name]]="","",IF(Tasks[[#This Row],[Progress]]&gt;=1,"Complete",IF(OR(N(Tasks[[#This Row],[Actual Start]])&gt;0,Tasks[[#This Row],[Progress]]&gt;0),IF(Tasks[[#This Row],[Finish Var]]&gt;0,"Behind","In Progress"),IF(Tasks[[#This Row],[Planned Start]]&lt;StatusDate,"Late Start","Not Started"))))</f>
        <v/>
      </c>
      <c r="AP197" s="47"/>
      <c r="AQ197" s="102"/>
      <c r="AR197"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7"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7" s="110" t="str">
        <f aca="false">IF(Tasks[[#This Row],[Task Name]]="","",IF(Tasks[[#This Row],[_IsSummary]],SUM(INDEX(Tasks[_LeafTotalWork],Tasks[[#This Row],[_Row]]+1):INDEX(Tasks[_LeafTotalWork],Tasks[[#This Row],[_Row]]+Tasks[[#This Row],[_Descendants]])),Tasks[[#This Row],[_LeafTotalWork]]))</f>
        <v/>
      </c>
      <c r="AU197" s="111" t="str">
        <f aca="false">IF(Tasks[[#This Row],[Task Name]]="","",IF(Tasks[[#This Row],[_IsSummary]],SUM(INDEX(Tasks[_LeafTotalCost],Tasks[[#This Row],[_Row]]+1):INDEX(Tasks[_LeafTotalCost],Tasks[[#This Row],[_Row]]+Tasks[[#This Row],[_Descendants]])),Tasks[[#This Row],[_LeafTotalCost]]))</f>
        <v/>
      </c>
      <c r="AV197" s="112"/>
      <c r="AW197" s="46"/>
      <c r="AX197"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7" s="96"/>
      <c r="AZ197"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7" s="47"/>
      <c r="BB197" s="25" t="str">
        <f aca="false">IF(Tasks[[#This Row],[Task Name]]="","",Tasks[[#This Row],[Forecast Start]])</f>
        <v/>
      </c>
      <c r="BC197" s="25" t="str">
        <f aca="false">IF(Tasks[[#This Row],[Task Name]]="","",Tasks[[#This Row],[Forecast Finish]])</f>
        <v/>
      </c>
      <c r="BD197" s="45" t="str">
        <f aca="false">IF(Tasks[[#This Row],[Task Name]]="","",IF(Tasks[[#This Row],[_IsSummary]],NETWORKDAYS.INTL(Tasks[[#This Row],[Forecast Start]],Tasks[[#This Row],[Forecast Finish]],WorkWeek,Holidays),N(Tasks[[#This Row],[Duration]])))</f>
        <v/>
      </c>
      <c r="BE197" s="110" t="str">
        <f aca="false">IF(Tasks[[#This Row],[Task Name]]="","",Tasks[[#This Row],[Work]])</f>
        <v/>
      </c>
      <c r="BF197" s="111" t="str">
        <f aca="false">IF(Tasks[[#This Row],[Task Name]]="","",Tasks[[#This Row],[Cost]])</f>
        <v/>
      </c>
      <c r="BG197" s="88"/>
      <c r="BH197" s="88"/>
      <c r="BI197" s="46"/>
      <c r="BJ197" s="113"/>
      <c r="BK197" s="112"/>
      <c r="BL197" s="45" t="str">
        <f aca="false">IF(OR(Tasks[[#This Row],[Task Name]]="",Tasks[[#This Row],[Baseline Duration]]=""),"",Tasks[[#This Row],[BL Source Duration]]-N(Tasks[[#This Row],[Baseline Duration]]))</f>
        <v/>
      </c>
      <c r="BM197" s="110" t="str">
        <f aca="false">IF(OR(Tasks[[#This Row],[Task Name]]="",Tasks[[#This Row],[Baseline Work]]=""),"",Tasks[[#This Row],[Work]]-N(Tasks[[#This Row],[Baseline Work]]))</f>
        <v/>
      </c>
      <c r="BN197" s="111" t="str">
        <f aca="false">IF(OR(Tasks[[#This Row],[Task Name]]="",Tasks[[#This Row],[Baseline Cost]]=""),"",Tasks[[#This Row],[Cost]]-N(Tasks[[#This Row],[Baseline Cost]]))</f>
        <v/>
      </c>
      <c r="BO197" s="111" t="str">
        <f aca="false">IF(Tasks[[#This Row],[Task Name]]="","",IF(Tasks[[#This Row],[_IsSummary]],SUM(INDEX(Tasks[_LeafBudget],Tasks[[#This Row],[_Row]]+1):INDEX(Tasks[_LeafBudget],Tasks[[#This Row],[_Row]]+Tasks[[#This Row],[_Descendants]])),Tasks[[#This Row],[_LeafBudget]]))</f>
        <v/>
      </c>
      <c r="BP197" s="111" t="str">
        <f aca="false">IF(Tasks[[#This Row],[Task Name]]="","",IF(Tasks[[#This Row],[_IsSummary]],SUM(INDEX(Tasks[_LeafPV],Tasks[[#This Row],[_Row]]+1):INDEX(Tasks[_LeafPV],Tasks[[#This Row],[_Row]]+Tasks[[#This Row],[_Descendants]])),Tasks[[#This Row],[_LeafPV]]))</f>
        <v/>
      </c>
      <c r="BQ197" s="111" t="str">
        <f aca="false">IF(Tasks[[#This Row],[Task Name]]="","",IF(Tasks[[#This Row],[_IsSummary]],SUM(INDEX(Tasks[_LeafEV],Tasks[[#This Row],[_Row]]+1):INDEX(Tasks[_LeafEV],Tasks[[#This Row],[_Row]]+Tasks[[#This Row],[_Descendants]])),Tasks[[#This Row],[_LeafEV]]))</f>
        <v/>
      </c>
      <c r="BR197" s="111" t="str">
        <f aca="false">IF(Tasks[[#This Row],[Task Name]]="","",IF(Tasks[[#This Row],[_IsSummary]],SUM(INDEX(Tasks[_LeafAC],Tasks[[#This Row],[_Row]]+1):INDEX(Tasks[_LeafAC],Tasks[[#This Row],[_Row]]+Tasks[[#This Row],[_Descendants]])),Tasks[[#This Row],[_LeafAC]]))</f>
        <v/>
      </c>
      <c r="BS197" s="32" t="str">
        <f aca="false">IF(Tasks[[#This Row],[Task Name]]="","",MAX(1,N(Tasks[[#This Row],[Level]])))</f>
        <v/>
      </c>
      <c r="BT197" s="32" t="n">
        <f aca="false">ROW()-ROW(Tasks[[#Headers],[ID]])</f>
        <v>192</v>
      </c>
      <c r="BU197" s="32" t="n">
        <f aca="false">IF(OR(Tasks[[#This Row],[Task Name]]="",Tasks[[#This Row],[_Level]]&lt;=1),0,IFERROR(LOOKUP(2,1/(Tasks[[#Headers],[_Level]]:Tasks[[#This Row],[_Level]]=Tasks[[#This Row],[_Level]]-1),ROW(Tasks[[#Headers],[_Level]]:Tasks[[#This Row],[_Level]])),0))</f>
        <v>0</v>
      </c>
      <c r="BV197" s="32" t="n">
        <f aca="false">IFERROR(N(INDEX(Tasks[_Level],Tasks[[#This Row],[_Row]]+1)),0)</f>
        <v>0</v>
      </c>
      <c r="BW197" s="114" t="b">
        <f aca="false">AND(Tasks[[#This Row],[Task Name]]&lt;&gt;"",Tasks[[#This Row],[_NextLevel]]&gt;Tasks[[#This Row],[_Level]])</f>
        <v>0</v>
      </c>
      <c r="BX197" s="32" t="n">
        <f aca="false">IF(Tasks[[#This Row],[_IsSummary]],COUNTIF(Tasks[WBS],Tasks[[#This Row],[WBS]]&amp;".*"),0)</f>
        <v>0</v>
      </c>
      <c r="BY197" s="32" t="n">
        <f aca="false">IF(AND(Tasks[[#This Row],[Task Name]]&lt;&gt;"",NOT(Tasks[[#This Row],[_IsSummary]])),1,0)</f>
        <v>0</v>
      </c>
      <c r="BZ197" s="32" t="n">
        <f aca="false">IF(N(Tasks[[#This Row],[Pred1 UID]])=0,0,IFERROR(MATCH(Tasks[[#This Row],[Pred1 UID]],Tasks[UID],0),-1))</f>
        <v>0</v>
      </c>
      <c r="CA197" s="32" t="n">
        <f aca="false">IF(N(Tasks[[#This Row],[Pred2 UID]])=0,0,IFERROR(MATCH(Tasks[[#This Row],[Pred2 UID]],Tasks[UID],0),-1))</f>
        <v>0</v>
      </c>
      <c r="CB197" s="32" t="n">
        <f aca="false">IF(N(Tasks[[#This Row],[Pred3 UID]])=0,0,IFERROR(MATCH(Tasks[[#This Row],[Pred3 UID]],Tasks[UID],0),-1))</f>
        <v>0</v>
      </c>
      <c r="CC197" s="32" t="n">
        <f aca="false">IF(N(Tasks[[#This Row],[Pred4 UID]])=0,0,IFERROR(MATCH(Tasks[[#This Row],[Pred4 UID]],Tasks[UID],0),-1))</f>
        <v>0</v>
      </c>
      <c r="CD197"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7"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7" s="115" t="n">
        <f aca="false">IF(OR(Tasks[[#This Row],[_ConstraintCode]]=2,Tasks[[#This Row],[_ConstraintCode]]=3,Tasks[[#This Row],[_ConstraintCode]]=4,Tasks[[#This Row],[_ConstraintCode]]=6),Tasks[[#This Row],[_ConstraintStart]],0)</f>
        <v>0</v>
      </c>
      <c r="CG197" s="115" t="n">
        <f aca="false">IF(OR(Tasks[[#This Row],[_ConstraintCode]]=2,Tasks[[#This Row],[_ConstraintCode]]=3,Tasks[[#This Row],[_ConstraintCode]]=5,Tasks[[#This Row],[_ConstraintCode]]=7),Tasks[[#This Row],[_ConstraintStart]],2958465)</f>
        <v>2958465</v>
      </c>
      <c r="CH197"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7" s="115" t="str">
        <f aca="false">IF(NOT(Tasks[[#This Row],[_IsLeaf]]=1),"",IF(N(Tasks[[#This Row],[Duration]])&lt;=0,Tasks[[#This Row],[_LeafCalcStart]],WORKDAY.INTL(Tasks[[#This Row],[_LeafCalcStart]],Tasks[[#This Row],[Duration]]-1,WorkWeek,Holidays)))</f>
        <v/>
      </c>
      <c r="CJ197"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7"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7" s="32" t="n">
        <f aca="false">IF(NOT(Tasks[[#This Row],[_IsLeaf]]=1),0,IF(N(Tasks[[#This Row],[Actual Finish]])&gt;0,1,MIN(1,N(Tasks[[#This Row],[% Complete]]))))</f>
        <v>0</v>
      </c>
      <c r="CM197" s="32" t="n">
        <f aca="false">IF(OR(NOT(Tasks[[#This Row],[_IsLeaf]]=1),Tasks[[#This Row],[Resource]]=""),0,N(Tasks[[#This Row],[Duration]])*HoursPerDay*IF(Tasks[[#This Row],[Units]]="",DefaultUnits,Tasks[[#This Row],[Units]]))</f>
        <v>0</v>
      </c>
      <c r="CN197" s="32" t="n">
        <f aca="false">IF(Tasks[[#This Row],[_LeafWork]]=0,0,Tasks[[#This Row],[_LeafWork]]*IFERROR(INDEX(res_Rate,MATCH(Tasks[[#This Row],[Resource]],res_Name,0)),0))</f>
        <v>0</v>
      </c>
      <c r="CO197" s="32" t="n">
        <f aca="false">Tasks[[#This Row],[_LeafWork]]+IF(Tasks[[#This Row],[_IsLeaf]]=1,SUMIFS(asg_Work,asg_TaskUID,Tasks[[#This Row],[UID]],asg_Valid,1),0)</f>
        <v>0</v>
      </c>
      <c r="CP197" s="32" t="n">
        <f aca="false">Tasks[[#This Row],[_LeafCost]]+IF(Tasks[[#This Row],[_IsLeaf]]=1,SUMIFS(asg_Cost,asg_TaskUID,Tasks[[#This Row],[UID]],asg_Valid,1),0)</f>
        <v>0</v>
      </c>
      <c r="CQ197" s="32" t="n">
        <f aca="false">IF(Tasks[[#This Row],[_LeafTotalCost]]=0,Tasks[[#This Row],[_LeafAC]],Tasks[[#This Row],[_LeafAC]]*Tasks[[#This Row],[_LeafCost]]/Tasks[[#This Row],[_LeafTotalCost]])</f>
        <v>0</v>
      </c>
      <c r="CR197"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7"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7"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7"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7"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7"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7"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7"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7" s="32" t="n">
        <f aca="false">IF(NOT(Tasks[[#This Row],[_IsLeaf]]=1),0,MAX(_xlfn.MAXIFS(Tasks[_Row],Tasks[Pred1 UID],Tasks[[#This Row],[UID]]),_xlfn.MAXIFS(Tasks[_Row],Tasks[Pred2 UID],Tasks[[#This Row],[UID]]),_xlfn.MAXIFS(Tasks[_Row],Tasks[Pred3 UID],Tasks[[#This Row],[UID]]),_xlfn.MAXIFS(Tasks[_Row],Tasks[Pred4 UID],Tasks[[#This Row],[UID]])))</f>
        <v>0</v>
      </c>
      <c r="DA197"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7"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7" s="115" t="str">
        <f aca="false">IF(NOT(Tasks[[#This Row],[_IsLeaf]]=1),"",IF(N(Tasks[[#This Row],[Duration]])&lt;=0,Tasks[[#This Row],[_LeafLateFinish]],WORKDAY.INTL(Tasks[[#This Row],[_LeafLateFinish]],-(Tasks[[#This Row],[Duration]]-1),WorkWeek,Holidays)))</f>
        <v/>
      </c>
      <c r="DD197"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7" s="114" t="b">
        <f aca="false">AND(Tasks[[#This Row],[_IsLeaf]]=1,Tasks[[#This Row],[_LeafProgress]]&lt;1,N(Tasks[[#This Row],[_LeafTotalSlack]])&lt;=CriticalSlackDays)</f>
        <v>0</v>
      </c>
      <c r="DF197" s="32" t="n">
        <f aca="false">IF(AND(Tasks[[#This Row],[_IsLeaf]]=1,Tasks[[#This Row],[_ConstraintCode]]=1,Tasks[[#This Row],[Mode]]&lt;&gt;"Manual",N(Tasks[[#This Row],[Actual Start]])=0),MAX(0,N(Tasks[[#This Row],[Free Slack]])),0)</f>
        <v>0</v>
      </c>
      <c r="DG197" s="115" t="str">
        <f aca="false">IF(NOT(Tasks[[#This Row],[_IsLeaf]]=1),"",IF(Tasks[[#This Row],[_AlapShift]]=0,Tasks[[#This Row],[_LeafCalcStart]],WORKDAY.INTL(Tasks[[#This Row],[_LeafCalcStart]],Tasks[[#This Row],[_AlapShift]],WorkWeek,Holidays)))</f>
        <v/>
      </c>
      <c r="DH197" s="115" t="str">
        <f aca="false">IF(NOT(Tasks[[#This Row],[_IsLeaf]]=1),"",IF(Tasks[[#This Row],[_AlapShift]]=0,Tasks[[#This Row],[_LeafCalcFinish]],WORKDAY.INTL(Tasks[[#This Row],[_LeafCalcFinish]],Tasks[[#This Row],[_AlapShift]],WorkWeek,Holidays)))</f>
        <v/>
      </c>
      <c r="DI197" s="115" t="str">
        <f aca="false">IF(NOT(Tasks[[#This Row],[_IsLeaf]]=1),"",IF(Tasks[[#This Row],[_AlapShift]]=0,Tasks[[#This Row],[_LeafFcstStart]],WORKDAY.INTL(Tasks[[#This Row],[_LeafFcstStart]],Tasks[[#This Row],[_AlapShift]],WorkWeek,Holidays)))</f>
        <v/>
      </c>
      <c r="DJ197" s="115" t="str">
        <f aca="false">IF(NOT(Tasks[[#This Row],[_IsLeaf]]=1),"",IF(Tasks[[#This Row],[_AlapShift]]=0,Tasks[[#This Row],[_LeafFcstFinish]],WORKDAY.INTL(Tasks[[#This Row],[_LeafFcstFinish]],Tasks[[#This Row],[_AlapShift]],WorkWeek,Holidays)))</f>
        <v/>
      </c>
      <c r="DK197" s="115" t="str">
        <f aca="false">IF(Tasks[[#This Row],[Task Name]]="","",IF(Tasks[[#This Row],[_IsSummary]],MIN(INDEX(Tasks[_ShownCalcStart],Tasks[[#This Row],[_Row]]+1):INDEX(Tasks[_ShownCalcStart],Tasks[[#This Row],[_Row]]+Tasks[[#This Row],[_Descendants]])),Tasks[[#This Row],[_ShownCalcStart]]))</f>
        <v/>
      </c>
      <c r="DL197" s="115" t="str">
        <f aca="false">IF(Tasks[[#This Row],[Task Name]]="","",IF(Tasks[[#This Row],[_IsSummary]],MAX(INDEX(Tasks[_ShownCalcFinish],Tasks[[#This Row],[_Row]]+1):INDEX(Tasks[_ShownCalcFinish],Tasks[[#This Row],[_Row]]+Tasks[[#This Row],[_Descendants]])),Tasks[[#This Row],[_ShownCalcFinish]]))</f>
        <v/>
      </c>
      <c r="DM197"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7"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7"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7"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7"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7"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7"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7"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7"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7"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7"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7"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7" s="32" t="n">
        <f aca="false">IF(AND(Tasks[[#This Row],[_IsLeaf]]=1,Tasks[[#This Row],[_LeafTotalWork]]&gt;0),NETWORKDAYS.INTL(ProjectStart,Tasks[[#This Row],[_ShownFcstStart]],WorkWeek,Holidays),0)</f>
        <v>0</v>
      </c>
      <c r="DZ197" s="32" t="n">
        <f aca="false">IF(AND(Tasks[[#This Row],[_IsLeaf]]=1,Tasks[[#This Row],[_LeafTotalWork]]&gt;0),MAX(Tasks[[#This Row],[_StartWorkday]],NETWORKDAYS.INTL(ProjectStart,Tasks[[#This Row],[_ShownFcstFinish]],WorkWeek,Holidays)),0)</f>
        <v>0</v>
      </c>
      <c r="EA197" s="32" t="n">
        <f aca="false">IF(AND(Tasks[[#This Row],[_IsLeaf]]=1,Tasks[[#This Row],[_LeafTotalWork]]&gt;0),Tasks[[#This Row],[_LeafWork]]/(Tasks[[#This Row],[_FinishWorkday]]-Tasks[[#This Row],[_StartWorkday]]+1),0)</f>
        <v>0</v>
      </c>
      <c r="EB197" s="32" t="n">
        <f aca="false">Tasks[[#This Row],[_WorkPerWorkday]]*(Tasks[[#This Row],[_StartWorkday]]-1)</f>
        <v>-0</v>
      </c>
      <c r="EC197" s="32" t="n">
        <f aca="false">IF(Tasks[[#This Row],[_IsLeaf]]=1,MAX(N(Tasks[[#This Row],[Duration]]),0.1),0)</f>
        <v>0</v>
      </c>
      <c r="ED197" s="32" t="n">
        <f aca="false">Tasks[[#This Row],[_WeightDur]]*Tasks[[#This Row],[_LeafProgress]]</f>
        <v>0</v>
      </c>
      <c r="EE197"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7" s="32" t="str">
        <f aca="false">IF(AND(Tasks[[#This Row],[_IsLeaf]]=1,N(Tasks[[#This Row],[Duration]])=0,Tasks[[#This Row],[_LeafProgress]]&lt;1),Tasks[[#This Row],[_ShownFcstFinish]]+Tasks[[#This Row],[_Row]]/100000,"")</f>
        <v/>
      </c>
      <c r="EG197"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7" s="32" t="n">
        <f aca="false">IF(NOT(Tasks[[#This Row],[_IsLeaf]]=1),0,IF(Tasks[[#This Row],[Baseline Cost]]="",Tasks[[#This Row],[_LeafTotalCost]],N(Tasks[[#This Row],[Baseline Cost]])))</f>
        <v>0</v>
      </c>
      <c r="EI197" s="32" t="n">
        <f aca="false">Tasks[[#This Row],[_LeafBudget]]*Tasks[[#This Row],[_PlannedPct]]</f>
        <v>0</v>
      </c>
      <c r="EJ197" s="32" t="n">
        <f aca="false">Tasks[[#This Row],[_LeafBudget]]*Tasks[[#This Row],[_LeafProgress]]</f>
        <v>0</v>
      </c>
      <c r="EK197" s="32" t="n">
        <f aca="false">IF(NOT(Tasks[[#This Row],[_IsLeaf]]=1),0,IF(Tasks[[#This Row],[Actual Cost]]="",Tasks[[#This Row],[_LeafTotalCost]]*Tasks[[#This Row],[_LeafProgress]],N(Tasks[[#This Row],[Actual Cost]])))</f>
        <v>0</v>
      </c>
      <c r="EL197" s="32" t="str">
        <f aca="false">IF(Tasks[[#This Row],[Task Name]]="","",LEFT(Tasks[[#This Row],[WBS]],FIND(".",Tasks[[#This Row],[WBS]]&amp;".")-1))</f>
        <v/>
      </c>
      <c r="EM197" s="32" t="str">
        <f aca="false">IF(AND(Tasks[[#This Row],[Task Name]]&lt;&gt;"",Tasks[[#This Row],[_Level]]=1),Tasks[[#This Row],[_Row]],"")</f>
        <v/>
      </c>
      <c r="EN197" s="32" t="str">
        <f aca="false">IF(AND(Tasks[[#This Row],[_IsLeaf]]=1,N(Tasks[[#This Row],[Duration]])=0),Tasks[[#This Row],[Planned Finish]]+Tasks[[#This Row],[_Row]]/100000,"")</f>
        <v/>
      </c>
      <c r="EO197" s="32" t="str">
        <f aca="false">IF(AND(Tasks[[#This Row],[_IsLeaf]]=1,Tasks[[#This Row],[_LeafProgress]]&lt;1,OR(N(Tasks[[#This Row],[Finish Var]])&gt;0,Tasks[[#This Row],[Status]]="Late Start")),MAX(0,Tasks[[#This Row],[Finish Var]])+1-Tasks[[#This Row],[_Row]]/1000000,"")</f>
        <v/>
      </c>
      <c r="EP197" s="32" t="str">
        <f aca="false">IF(AND(Tasks[[#This Row],[_IsLeaf]]=1,N(Tasks[[#This Row],[Actual Start]])=0,Tasks[[#This Row],[_ShownFcstStart]]&gt;=StatusDate,Tasks[[#This Row],[_ShownFcstStart]]&lt;=LookaheadEnd),Tasks[[#This Row],[_ShownFcstStart]]+Tasks[[#This Row],[_Row]]/100000,"")</f>
        <v/>
      </c>
      <c r="EQ197" s="32" t="str">
        <f aca="false">IF(AND(Tasks[[#This Row],[_IsLeaf]]=1,Tasks[[#This Row],[_LeafProgress]]&lt;1,Tasks[[#This Row],[_ShownFcstFinish]]&gt;=StatusDate,Tasks[[#This Row],[_ShownFcstFinish]]&lt;=LookaheadEnd),Tasks[[#This Row],[_ShownFcstFinish]]+Tasks[[#This Row],[_Row]]/100000,"")</f>
        <v/>
      </c>
      <c r="ER197" s="32" t="str">
        <f aca="false">IF(Tasks[[#This Row],[_LeafCritical]],Tasks[[#This Row],[_ShownFcstStart]]+Tasks[[#This Row],[_Row]]/100000,"")</f>
        <v/>
      </c>
      <c r="ES197" s="32" t="n">
        <f aca="false">Tasks[[#This Row],[_LeafWork]]*Tasks[[#This Row],[_LeafProgress]]</f>
        <v>0</v>
      </c>
      <c r="ET197" s="115" t="str">
        <f aca="false">IF(AND(Tasks[[#This Row],[_IsLeaf]]=1,Tasks[[#This Row],[_LeafProgress]]&gt;=1),IF(N(Tasks[[#This Row],[Actual Finish]])&gt;0,Tasks[[#This Row],[Actual Finish]],Tasks[[#This Row],[_ShownFcstFinish]]),"")</f>
        <v/>
      </c>
      <c r="EU197" s="32" t="n">
        <f aca="false">IF(Tasks[[#This Row],[_IsLeaf]]=1,N(Tasks[[#This Row],[Story Points]]),0)</f>
        <v>0</v>
      </c>
      <c r="EV197" s="32" t="str">
        <f aca="false">IF(AND(Tasks[[#This Row],[_IsLeaf]]=1,CurrentSprint&lt;&gt;"",Tasks[[#This Row],[Sprint]]=CurrentSprint),Tasks[[#This Row],[_Row]],"")</f>
        <v/>
      </c>
    </row>
    <row r="198" customFormat="false" ht="15" hidden="false" customHeight="false" outlineLevel="0" collapsed="false">
      <c r="A198" s="45" t="str">
        <f aca="false">IF(Tasks[[#This Row],[Task Name]]="","",COUNTA(Tasks[[#Headers],[Task Name]]:Tasks[[#This Row],[Task Name]])-1)</f>
        <v/>
      </c>
      <c r="B198" s="46" t="n">
        <v>193</v>
      </c>
      <c r="C198"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8" s="46"/>
      <c r="E198" s="45" t="str">
        <f aca="false">IF(Tasks[[#This Row],[Task Name]]="","",IF(Tasks[[#This Row],[_Level]]&lt;=OutlineShowLevel,"Yes","No"))</f>
        <v/>
      </c>
      <c r="F198" s="47"/>
      <c r="G198" s="46"/>
      <c r="H198" s="46"/>
      <c r="I198" s="46"/>
      <c r="J198" s="46"/>
      <c r="K198" s="46"/>
      <c r="L198" s="46"/>
      <c r="M198" s="46"/>
      <c r="N198" s="46"/>
      <c r="O198" s="46"/>
      <c r="P198" s="46"/>
      <c r="Q198" s="46"/>
      <c r="R198" s="46"/>
      <c r="S198" s="46"/>
      <c r="T198" s="46"/>
      <c r="U198" s="47"/>
      <c r="V198" s="88"/>
      <c r="W198" s="88"/>
      <c r="X198" s="25" t="str">
        <f aca="false">IF(Tasks[[#This Row],[Task Name]]="","",IF(N(Tasks[[#This Row],[Baseline Start]])&gt;0,Tasks[[#This Row],[Baseline Start]],Tasks[[#This Row],[_CalcStart]]))</f>
        <v/>
      </c>
      <c r="Y198" s="25" t="str">
        <f aca="false">IF(Tasks[[#This Row],[Task Name]]="","",IF(N(Tasks[[#This Row],[Baseline Finish]])&gt;0,Tasks[[#This Row],[Baseline Finish]],Tasks[[#This Row],[_CalcFinish]]))</f>
        <v/>
      </c>
      <c r="Z198" s="88"/>
      <c r="AA198" s="88"/>
      <c r="AB198" s="25" t="str">
        <f aca="false">IF(Tasks[[#This Row],[Task Name]]="","",IF(Tasks[[#This Row],[_IsSummary]],MIN(INDEX(Tasks[_ShownFcstStart],Tasks[[#This Row],[_Row]]+1):INDEX(Tasks[_ShownFcstStart],Tasks[[#This Row],[_Row]]+Tasks[[#This Row],[_Descendants]])),Tasks[[#This Row],[_ShownFcstStart]]))</f>
        <v/>
      </c>
      <c r="AC198" s="25" t="str">
        <f aca="false">IF(Tasks[[#This Row],[Task Name]]="","",IF(Tasks[[#This Row],[_IsSummary]],MAX(INDEX(Tasks[_ShownFcstFinish],Tasks[[#This Row],[_Row]]+1):INDEX(Tasks[_ShownFcstFinish],Tasks[[#This Row],[_Row]]+Tasks[[#This Row],[_Descendants]])),Tasks[[#This Row],[_ShownFcstFinish]]))</f>
        <v/>
      </c>
      <c r="AD198"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8"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8" s="25" t="str">
        <f aca="false">IF(Tasks[[#This Row],[Task Name]]="","",IF(Tasks[[#This Row],[_IsSummary]],MIN(INDEX(Tasks[_LeafLateStart],Tasks[[#This Row],[_Row]]+1):INDEX(Tasks[_LeafLateStart],Tasks[[#This Row],[_Row]]+Tasks[[#This Row],[_Descendants]])),Tasks[[#This Row],[_LeafLateStart]]))</f>
        <v/>
      </c>
      <c r="AG198" s="25" t="str">
        <f aca="false">IF(Tasks[[#This Row],[Task Name]]="","",IF(Tasks[[#This Row],[_IsSummary]],MAX(INDEX(Tasks[_LeafLateFinish],Tasks[[#This Row],[_Row]]+1):INDEX(Tasks[_LeafLateFinish],Tasks[[#This Row],[_Row]]+Tasks[[#This Row],[_Descendants]])),Tasks[[#This Row],[_LeafLateFinish]]))</f>
        <v/>
      </c>
      <c r="AH198" s="56" t="str">
        <f aca="false">IF(Tasks[[#This Row],[Task Name]]="","",IF(Tasks[[#This Row],[_IsSummary]],MIN(INDEX(Tasks[_LeafTotalSlack],Tasks[[#This Row],[_Row]]+1):INDEX(Tasks[_LeafTotalSlack],Tasks[[#This Row],[_Row]]+Tasks[[#This Row],[_Descendants]])),Tasks[[#This Row],[_LeafTotalSlack]]))</f>
        <v/>
      </c>
      <c r="AI198"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8" s="45" t="str">
        <f aca="false">IF(Tasks[[#This Row],[Task Name]]="","",IF(IF(Tasks[[#This Row],[_IsSummary]],COUNTIF(INDEX(Tasks[_LeafCritical],Tasks[[#This Row],[_Row]]+1):INDEX(Tasks[_LeafCritical],Tasks[[#This Row],[_Row]]+Tasks[[#This Row],[_Descendants]]),TRUE())&gt;0,Tasks[[#This Row],[_LeafCritical]]),"Yes",""))</f>
        <v/>
      </c>
      <c r="AK198"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8"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8" s="102"/>
      <c r="AN198"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8" s="45" t="str">
        <f aca="false">IF(Tasks[[#This Row],[Task Name]]="","",IF(Tasks[[#This Row],[Progress]]&gt;=1,"Complete",IF(OR(N(Tasks[[#This Row],[Actual Start]])&gt;0,Tasks[[#This Row],[Progress]]&gt;0),IF(Tasks[[#This Row],[Finish Var]]&gt;0,"Behind","In Progress"),IF(Tasks[[#This Row],[Planned Start]]&lt;StatusDate,"Late Start","Not Started"))))</f>
        <v/>
      </c>
      <c r="AP198" s="47"/>
      <c r="AQ198" s="102"/>
      <c r="AR198"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8"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8" s="110" t="str">
        <f aca="false">IF(Tasks[[#This Row],[Task Name]]="","",IF(Tasks[[#This Row],[_IsSummary]],SUM(INDEX(Tasks[_LeafTotalWork],Tasks[[#This Row],[_Row]]+1):INDEX(Tasks[_LeafTotalWork],Tasks[[#This Row],[_Row]]+Tasks[[#This Row],[_Descendants]])),Tasks[[#This Row],[_LeafTotalWork]]))</f>
        <v/>
      </c>
      <c r="AU198" s="111" t="str">
        <f aca="false">IF(Tasks[[#This Row],[Task Name]]="","",IF(Tasks[[#This Row],[_IsSummary]],SUM(INDEX(Tasks[_LeafTotalCost],Tasks[[#This Row],[_Row]]+1):INDEX(Tasks[_LeafTotalCost],Tasks[[#This Row],[_Row]]+Tasks[[#This Row],[_Descendants]])),Tasks[[#This Row],[_LeafTotalCost]]))</f>
        <v/>
      </c>
      <c r="AV198" s="112"/>
      <c r="AW198" s="46"/>
      <c r="AX198"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8" s="96"/>
      <c r="AZ198"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8" s="47"/>
      <c r="BB198" s="25" t="str">
        <f aca="false">IF(Tasks[[#This Row],[Task Name]]="","",Tasks[[#This Row],[Forecast Start]])</f>
        <v/>
      </c>
      <c r="BC198" s="25" t="str">
        <f aca="false">IF(Tasks[[#This Row],[Task Name]]="","",Tasks[[#This Row],[Forecast Finish]])</f>
        <v/>
      </c>
      <c r="BD198" s="45" t="str">
        <f aca="false">IF(Tasks[[#This Row],[Task Name]]="","",IF(Tasks[[#This Row],[_IsSummary]],NETWORKDAYS.INTL(Tasks[[#This Row],[Forecast Start]],Tasks[[#This Row],[Forecast Finish]],WorkWeek,Holidays),N(Tasks[[#This Row],[Duration]])))</f>
        <v/>
      </c>
      <c r="BE198" s="110" t="str">
        <f aca="false">IF(Tasks[[#This Row],[Task Name]]="","",Tasks[[#This Row],[Work]])</f>
        <v/>
      </c>
      <c r="BF198" s="111" t="str">
        <f aca="false">IF(Tasks[[#This Row],[Task Name]]="","",Tasks[[#This Row],[Cost]])</f>
        <v/>
      </c>
      <c r="BG198" s="88"/>
      <c r="BH198" s="88"/>
      <c r="BI198" s="46"/>
      <c r="BJ198" s="113"/>
      <c r="BK198" s="112"/>
      <c r="BL198" s="45" t="str">
        <f aca="false">IF(OR(Tasks[[#This Row],[Task Name]]="",Tasks[[#This Row],[Baseline Duration]]=""),"",Tasks[[#This Row],[BL Source Duration]]-N(Tasks[[#This Row],[Baseline Duration]]))</f>
        <v/>
      </c>
      <c r="BM198" s="110" t="str">
        <f aca="false">IF(OR(Tasks[[#This Row],[Task Name]]="",Tasks[[#This Row],[Baseline Work]]=""),"",Tasks[[#This Row],[Work]]-N(Tasks[[#This Row],[Baseline Work]]))</f>
        <v/>
      </c>
      <c r="BN198" s="111" t="str">
        <f aca="false">IF(OR(Tasks[[#This Row],[Task Name]]="",Tasks[[#This Row],[Baseline Cost]]=""),"",Tasks[[#This Row],[Cost]]-N(Tasks[[#This Row],[Baseline Cost]]))</f>
        <v/>
      </c>
      <c r="BO198" s="111" t="str">
        <f aca="false">IF(Tasks[[#This Row],[Task Name]]="","",IF(Tasks[[#This Row],[_IsSummary]],SUM(INDEX(Tasks[_LeafBudget],Tasks[[#This Row],[_Row]]+1):INDEX(Tasks[_LeafBudget],Tasks[[#This Row],[_Row]]+Tasks[[#This Row],[_Descendants]])),Tasks[[#This Row],[_LeafBudget]]))</f>
        <v/>
      </c>
      <c r="BP198" s="111" t="str">
        <f aca="false">IF(Tasks[[#This Row],[Task Name]]="","",IF(Tasks[[#This Row],[_IsSummary]],SUM(INDEX(Tasks[_LeafPV],Tasks[[#This Row],[_Row]]+1):INDEX(Tasks[_LeafPV],Tasks[[#This Row],[_Row]]+Tasks[[#This Row],[_Descendants]])),Tasks[[#This Row],[_LeafPV]]))</f>
        <v/>
      </c>
      <c r="BQ198" s="111" t="str">
        <f aca="false">IF(Tasks[[#This Row],[Task Name]]="","",IF(Tasks[[#This Row],[_IsSummary]],SUM(INDEX(Tasks[_LeafEV],Tasks[[#This Row],[_Row]]+1):INDEX(Tasks[_LeafEV],Tasks[[#This Row],[_Row]]+Tasks[[#This Row],[_Descendants]])),Tasks[[#This Row],[_LeafEV]]))</f>
        <v/>
      </c>
      <c r="BR198" s="111" t="str">
        <f aca="false">IF(Tasks[[#This Row],[Task Name]]="","",IF(Tasks[[#This Row],[_IsSummary]],SUM(INDEX(Tasks[_LeafAC],Tasks[[#This Row],[_Row]]+1):INDEX(Tasks[_LeafAC],Tasks[[#This Row],[_Row]]+Tasks[[#This Row],[_Descendants]])),Tasks[[#This Row],[_LeafAC]]))</f>
        <v/>
      </c>
      <c r="BS198" s="32" t="str">
        <f aca="false">IF(Tasks[[#This Row],[Task Name]]="","",MAX(1,N(Tasks[[#This Row],[Level]])))</f>
        <v/>
      </c>
      <c r="BT198" s="32" t="n">
        <f aca="false">ROW()-ROW(Tasks[[#Headers],[ID]])</f>
        <v>193</v>
      </c>
      <c r="BU198" s="32" t="n">
        <f aca="false">IF(OR(Tasks[[#This Row],[Task Name]]="",Tasks[[#This Row],[_Level]]&lt;=1),0,IFERROR(LOOKUP(2,1/(Tasks[[#Headers],[_Level]]:Tasks[[#This Row],[_Level]]=Tasks[[#This Row],[_Level]]-1),ROW(Tasks[[#Headers],[_Level]]:Tasks[[#This Row],[_Level]])),0))</f>
        <v>0</v>
      </c>
      <c r="BV198" s="32" t="n">
        <f aca="false">IFERROR(N(INDEX(Tasks[_Level],Tasks[[#This Row],[_Row]]+1)),0)</f>
        <v>0</v>
      </c>
      <c r="BW198" s="114" t="b">
        <f aca="false">AND(Tasks[[#This Row],[Task Name]]&lt;&gt;"",Tasks[[#This Row],[_NextLevel]]&gt;Tasks[[#This Row],[_Level]])</f>
        <v>0</v>
      </c>
      <c r="BX198" s="32" t="n">
        <f aca="false">IF(Tasks[[#This Row],[_IsSummary]],COUNTIF(Tasks[WBS],Tasks[[#This Row],[WBS]]&amp;".*"),0)</f>
        <v>0</v>
      </c>
      <c r="BY198" s="32" t="n">
        <f aca="false">IF(AND(Tasks[[#This Row],[Task Name]]&lt;&gt;"",NOT(Tasks[[#This Row],[_IsSummary]])),1,0)</f>
        <v>0</v>
      </c>
      <c r="BZ198" s="32" t="n">
        <f aca="false">IF(N(Tasks[[#This Row],[Pred1 UID]])=0,0,IFERROR(MATCH(Tasks[[#This Row],[Pred1 UID]],Tasks[UID],0),-1))</f>
        <v>0</v>
      </c>
      <c r="CA198" s="32" t="n">
        <f aca="false">IF(N(Tasks[[#This Row],[Pred2 UID]])=0,0,IFERROR(MATCH(Tasks[[#This Row],[Pred2 UID]],Tasks[UID],0),-1))</f>
        <v>0</v>
      </c>
      <c r="CB198" s="32" t="n">
        <f aca="false">IF(N(Tasks[[#This Row],[Pred3 UID]])=0,0,IFERROR(MATCH(Tasks[[#This Row],[Pred3 UID]],Tasks[UID],0),-1))</f>
        <v>0</v>
      </c>
      <c r="CC198" s="32" t="n">
        <f aca="false">IF(N(Tasks[[#This Row],[Pred4 UID]])=0,0,IFERROR(MATCH(Tasks[[#This Row],[Pred4 UID]],Tasks[UID],0),-1))</f>
        <v>0</v>
      </c>
      <c r="CD198"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8"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8" s="115" t="n">
        <f aca="false">IF(OR(Tasks[[#This Row],[_ConstraintCode]]=2,Tasks[[#This Row],[_ConstraintCode]]=3,Tasks[[#This Row],[_ConstraintCode]]=4,Tasks[[#This Row],[_ConstraintCode]]=6),Tasks[[#This Row],[_ConstraintStart]],0)</f>
        <v>0</v>
      </c>
      <c r="CG198" s="115" t="n">
        <f aca="false">IF(OR(Tasks[[#This Row],[_ConstraintCode]]=2,Tasks[[#This Row],[_ConstraintCode]]=3,Tasks[[#This Row],[_ConstraintCode]]=5,Tasks[[#This Row],[_ConstraintCode]]=7),Tasks[[#This Row],[_ConstraintStart]],2958465)</f>
        <v>2958465</v>
      </c>
      <c r="CH198"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8" s="115" t="str">
        <f aca="false">IF(NOT(Tasks[[#This Row],[_IsLeaf]]=1),"",IF(N(Tasks[[#This Row],[Duration]])&lt;=0,Tasks[[#This Row],[_LeafCalcStart]],WORKDAY.INTL(Tasks[[#This Row],[_LeafCalcStart]],Tasks[[#This Row],[Duration]]-1,WorkWeek,Holidays)))</f>
        <v/>
      </c>
      <c r="CJ198"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8"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8" s="32" t="n">
        <f aca="false">IF(NOT(Tasks[[#This Row],[_IsLeaf]]=1),0,IF(N(Tasks[[#This Row],[Actual Finish]])&gt;0,1,MIN(1,N(Tasks[[#This Row],[% Complete]]))))</f>
        <v>0</v>
      </c>
      <c r="CM198" s="32" t="n">
        <f aca="false">IF(OR(NOT(Tasks[[#This Row],[_IsLeaf]]=1),Tasks[[#This Row],[Resource]]=""),0,N(Tasks[[#This Row],[Duration]])*HoursPerDay*IF(Tasks[[#This Row],[Units]]="",DefaultUnits,Tasks[[#This Row],[Units]]))</f>
        <v>0</v>
      </c>
      <c r="CN198" s="32" t="n">
        <f aca="false">IF(Tasks[[#This Row],[_LeafWork]]=0,0,Tasks[[#This Row],[_LeafWork]]*IFERROR(INDEX(res_Rate,MATCH(Tasks[[#This Row],[Resource]],res_Name,0)),0))</f>
        <v>0</v>
      </c>
      <c r="CO198" s="32" t="n">
        <f aca="false">Tasks[[#This Row],[_LeafWork]]+IF(Tasks[[#This Row],[_IsLeaf]]=1,SUMIFS(asg_Work,asg_TaskUID,Tasks[[#This Row],[UID]],asg_Valid,1),0)</f>
        <v>0</v>
      </c>
      <c r="CP198" s="32" t="n">
        <f aca="false">Tasks[[#This Row],[_LeafCost]]+IF(Tasks[[#This Row],[_IsLeaf]]=1,SUMIFS(asg_Cost,asg_TaskUID,Tasks[[#This Row],[UID]],asg_Valid,1),0)</f>
        <v>0</v>
      </c>
      <c r="CQ198" s="32" t="n">
        <f aca="false">IF(Tasks[[#This Row],[_LeafTotalCost]]=0,Tasks[[#This Row],[_LeafAC]],Tasks[[#This Row],[_LeafAC]]*Tasks[[#This Row],[_LeafCost]]/Tasks[[#This Row],[_LeafTotalCost]])</f>
        <v>0</v>
      </c>
      <c r="CR198"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8"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8"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8"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8"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8"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8"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8"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8" s="32" t="n">
        <f aca="false">IF(NOT(Tasks[[#This Row],[_IsLeaf]]=1),0,MAX(_xlfn.MAXIFS(Tasks[_Row],Tasks[Pred1 UID],Tasks[[#This Row],[UID]]),_xlfn.MAXIFS(Tasks[_Row],Tasks[Pred2 UID],Tasks[[#This Row],[UID]]),_xlfn.MAXIFS(Tasks[_Row],Tasks[Pred3 UID],Tasks[[#This Row],[UID]]),_xlfn.MAXIFS(Tasks[_Row],Tasks[Pred4 UID],Tasks[[#This Row],[UID]])))</f>
        <v>0</v>
      </c>
      <c r="DA198"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8"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8" s="115" t="str">
        <f aca="false">IF(NOT(Tasks[[#This Row],[_IsLeaf]]=1),"",IF(N(Tasks[[#This Row],[Duration]])&lt;=0,Tasks[[#This Row],[_LeafLateFinish]],WORKDAY.INTL(Tasks[[#This Row],[_LeafLateFinish]],-(Tasks[[#This Row],[Duration]]-1),WorkWeek,Holidays)))</f>
        <v/>
      </c>
      <c r="DD198"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8" s="114" t="b">
        <f aca="false">AND(Tasks[[#This Row],[_IsLeaf]]=1,Tasks[[#This Row],[_LeafProgress]]&lt;1,N(Tasks[[#This Row],[_LeafTotalSlack]])&lt;=CriticalSlackDays)</f>
        <v>0</v>
      </c>
      <c r="DF198" s="32" t="n">
        <f aca="false">IF(AND(Tasks[[#This Row],[_IsLeaf]]=1,Tasks[[#This Row],[_ConstraintCode]]=1,Tasks[[#This Row],[Mode]]&lt;&gt;"Manual",N(Tasks[[#This Row],[Actual Start]])=0),MAX(0,N(Tasks[[#This Row],[Free Slack]])),0)</f>
        <v>0</v>
      </c>
      <c r="DG198" s="115" t="str">
        <f aca="false">IF(NOT(Tasks[[#This Row],[_IsLeaf]]=1),"",IF(Tasks[[#This Row],[_AlapShift]]=0,Tasks[[#This Row],[_LeafCalcStart]],WORKDAY.INTL(Tasks[[#This Row],[_LeafCalcStart]],Tasks[[#This Row],[_AlapShift]],WorkWeek,Holidays)))</f>
        <v/>
      </c>
      <c r="DH198" s="115" t="str">
        <f aca="false">IF(NOT(Tasks[[#This Row],[_IsLeaf]]=1),"",IF(Tasks[[#This Row],[_AlapShift]]=0,Tasks[[#This Row],[_LeafCalcFinish]],WORKDAY.INTL(Tasks[[#This Row],[_LeafCalcFinish]],Tasks[[#This Row],[_AlapShift]],WorkWeek,Holidays)))</f>
        <v/>
      </c>
      <c r="DI198" s="115" t="str">
        <f aca="false">IF(NOT(Tasks[[#This Row],[_IsLeaf]]=1),"",IF(Tasks[[#This Row],[_AlapShift]]=0,Tasks[[#This Row],[_LeafFcstStart]],WORKDAY.INTL(Tasks[[#This Row],[_LeafFcstStart]],Tasks[[#This Row],[_AlapShift]],WorkWeek,Holidays)))</f>
        <v/>
      </c>
      <c r="DJ198" s="115" t="str">
        <f aca="false">IF(NOT(Tasks[[#This Row],[_IsLeaf]]=1),"",IF(Tasks[[#This Row],[_AlapShift]]=0,Tasks[[#This Row],[_LeafFcstFinish]],WORKDAY.INTL(Tasks[[#This Row],[_LeafFcstFinish]],Tasks[[#This Row],[_AlapShift]],WorkWeek,Holidays)))</f>
        <v/>
      </c>
      <c r="DK198" s="115" t="str">
        <f aca="false">IF(Tasks[[#This Row],[Task Name]]="","",IF(Tasks[[#This Row],[_IsSummary]],MIN(INDEX(Tasks[_ShownCalcStart],Tasks[[#This Row],[_Row]]+1):INDEX(Tasks[_ShownCalcStart],Tasks[[#This Row],[_Row]]+Tasks[[#This Row],[_Descendants]])),Tasks[[#This Row],[_ShownCalcStart]]))</f>
        <v/>
      </c>
      <c r="DL198" s="115" t="str">
        <f aca="false">IF(Tasks[[#This Row],[Task Name]]="","",IF(Tasks[[#This Row],[_IsSummary]],MAX(INDEX(Tasks[_ShownCalcFinish],Tasks[[#This Row],[_Row]]+1):INDEX(Tasks[_ShownCalcFinish],Tasks[[#This Row],[_Row]]+Tasks[[#This Row],[_Descendants]])),Tasks[[#This Row],[_ShownCalcFinish]]))</f>
        <v/>
      </c>
      <c r="DM198"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8"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8"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8"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8"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8"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8"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8"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8"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8"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8"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8"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8" s="32" t="n">
        <f aca="false">IF(AND(Tasks[[#This Row],[_IsLeaf]]=1,Tasks[[#This Row],[_LeafTotalWork]]&gt;0),NETWORKDAYS.INTL(ProjectStart,Tasks[[#This Row],[_ShownFcstStart]],WorkWeek,Holidays),0)</f>
        <v>0</v>
      </c>
      <c r="DZ198" s="32" t="n">
        <f aca="false">IF(AND(Tasks[[#This Row],[_IsLeaf]]=1,Tasks[[#This Row],[_LeafTotalWork]]&gt;0),MAX(Tasks[[#This Row],[_StartWorkday]],NETWORKDAYS.INTL(ProjectStart,Tasks[[#This Row],[_ShownFcstFinish]],WorkWeek,Holidays)),0)</f>
        <v>0</v>
      </c>
      <c r="EA198" s="32" t="n">
        <f aca="false">IF(AND(Tasks[[#This Row],[_IsLeaf]]=1,Tasks[[#This Row],[_LeafTotalWork]]&gt;0),Tasks[[#This Row],[_LeafWork]]/(Tasks[[#This Row],[_FinishWorkday]]-Tasks[[#This Row],[_StartWorkday]]+1),0)</f>
        <v>0</v>
      </c>
      <c r="EB198" s="32" t="n">
        <f aca="false">Tasks[[#This Row],[_WorkPerWorkday]]*(Tasks[[#This Row],[_StartWorkday]]-1)</f>
        <v>-0</v>
      </c>
      <c r="EC198" s="32" t="n">
        <f aca="false">IF(Tasks[[#This Row],[_IsLeaf]]=1,MAX(N(Tasks[[#This Row],[Duration]]),0.1),0)</f>
        <v>0</v>
      </c>
      <c r="ED198" s="32" t="n">
        <f aca="false">Tasks[[#This Row],[_WeightDur]]*Tasks[[#This Row],[_LeafProgress]]</f>
        <v>0</v>
      </c>
      <c r="EE198"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8" s="32" t="str">
        <f aca="false">IF(AND(Tasks[[#This Row],[_IsLeaf]]=1,N(Tasks[[#This Row],[Duration]])=0,Tasks[[#This Row],[_LeafProgress]]&lt;1),Tasks[[#This Row],[_ShownFcstFinish]]+Tasks[[#This Row],[_Row]]/100000,"")</f>
        <v/>
      </c>
      <c r="EG198"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8" s="32" t="n">
        <f aca="false">IF(NOT(Tasks[[#This Row],[_IsLeaf]]=1),0,IF(Tasks[[#This Row],[Baseline Cost]]="",Tasks[[#This Row],[_LeafTotalCost]],N(Tasks[[#This Row],[Baseline Cost]])))</f>
        <v>0</v>
      </c>
      <c r="EI198" s="32" t="n">
        <f aca="false">Tasks[[#This Row],[_LeafBudget]]*Tasks[[#This Row],[_PlannedPct]]</f>
        <v>0</v>
      </c>
      <c r="EJ198" s="32" t="n">
        <f aca="false">Tasks[[#This Row],[_LeafBudget]]*Tasks[[#This Row],[_LeafProgress]]</f>
        <v>0</v>
      </c>
      <c r="EK198" s="32" t="n">
        <f aca="false">IF(NOT(Tasks[[#This Row],[_IsLeaf]]=1),0,IF(Tasks[[#This Row],[Actual Cost]]="",Tasks[[#This Row],[_LeafTotalCost]]*Tasks[[#This Row],[_LeafProgress]],N(Tasks[[#This Row],[Actual Cost]])))</f>
        <v>0</v>
      </c>
      <c r="EL198" s="32" t="str">
        <f aca="false">IF(Tasks[[#This Row],[Task Name]]="","",LEFT(Tasks[[#This Row],[WBS]],FIND(".",Tasks[[#This Row],[WBS]]&amp;".")-1))</f>
        <v/>
      </c>
      <c r="EM198" s="32" t="str">
        <f aca="false">IF(AND(Tasks[[#This Row],[Task Name]]&lt;&gt;"",Tasks[[#This Row],[_Level]]=1),Tasks[[#This Row],[_Row]],"")</f>
        <v/>
      </c>
      <c r="EN198" s="32" t="str">
        <f aca="false">IF(AND(Tasks[[#This Row],[_IsLeaf]]=1,N(Tasks[[#This Row],[Duration]])=0),Tasks[[#This Row],[Planned Finish]]+Tasks[[#This Row],[_Row]]/100000,"")</f>
        <v/>
      </c>
      <c r="EO198" s="32" t="str">
        <f aca="false">IF(AND(Tasks[[#This Row],[_IsLeaf]]=1,Tasks[[#This Row],[_LeafProgress]]&lt;1,OR(N(Tasks[[#This Row],[Finish Var]])&gt;0,Tasks[[#This Row],[Status]]="Late Start")),MAX(0,Tasks[[#This Row],[Finish Var]])+1-Tasks[[#This Row],[_Row]]/1000000,"")</f>
        <v/>
      </c>
      <c r="EP198" s="32" t="str">
        <f aca="false">IF(AND(Tasks[[#This Row],[_IsLeaf]]=1,N(Tasks[[#This Row],[Actual Start]])=0,Tasks[[#This Row],[_ShownFcstStart]]&gt;=StatusDate,Tasks[[#This Row],[_ShownFcstStart]]&lt;=LookaheadEnd),Tasks[[#This Row],[_ShownFcstStart]]+Tasks[[#This Row],[_Row]]/100000,"")</f>
        <v/>
      </c>
      <c r="EQ198" s="32" t="str">
        <f aca="false">IF(AND(Tasks[[#This Row],[_IsLeaf]]=1,Tasks[[#This Row],[_LeafProgress]]&lt;1,Tasks[[#This Row],[_ShownFcstFinish]]&gt;=StatusDate,Tasks[[#This Row],[_ShownFcstFinish]]&lt;=LookaheadEnd),Tasks[[#This Row],[_ShownFcstFinish]]+Tasks[[#This Row],[_Row]]/100000,"")</f>
        <v/>
      </c>
      <c r="ER198" s="32" t="str">
        <f aca="false">IF(Tasks[[#This Row],[_LeafCritical]],Tasks[[#This Row],[_ShownFcstStart]]+Tasks[[#This Row],[_Row]]/100000,"")</f>
        <v/>
      </c>
      <c r="ES198" s="32" t="n">
        <f aca="false">Tasks[[#This Row],[_LeafWork]]*Tasks[[#This Row],[_LeafProgress]]</f>
        <v>0</v>
      </c>
      <c r="ET198" s="115" t="str">
        <f aca="false">IF(AND(Tasks[[#This Row],[_IsLeaf]]=1,Tasks[[#This Row],[_LeafProgress]]&gt;=1),IF(N(Tasks[[#This Row],[Actual Finish]])&gt;0,Tasks[[#This Row],[Actual Finish]],Tasks[[#This Row],[_ShownFcstFinish]]),"")</f>
        <v/>
      </c>
      <c r="EU198" s="32" t="n">
        <f aca="false">IF(Tasks[[#This Row],[_IsLeaf]]=1,N(Tasks[[#This Row],[Story Points]]),0)</f>
        <v>0</v>
      </c>
      <c r="EV198" s="32" t="str">
        <f aca="false">IF(AND(Tasks[[#This Row],[_IsLeaf]]=1,CurrentSprint&lt;&gt;"",Tasks[[#This Row],[Sprint]]=CurrentSprint),Tasks[[#This Row],[_Row]],"")</f>
        <v/>
      </c>
    </row>
    <row r="199" customFormat="false" ht="15" hidden="false" customHeight="false" outlineLevel="0" collapsed="false">
      <c r="A199" s="45" t="str">
        <f aca="false">IF(Tasks[[#This Row],[Task Name]]="","",COUNTA(Tasks[[#Headers],[Task Name]]:Tasks[[#This Row],[Task Name]])-1)</f>
        <v/>
      </c>
      <c r="B199" s="46" t="n">
        <v>194</v>
      </c>
      <c r="C199"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199" s="46"/>
      <c r="E199" s="45" t="str">
        <f aca="false">IF(Tasks[[#This Row],[Task Name]]="","",IF(Tasks[[#This Row],[_Level]]&lt;=OutlineShowLevel,"Yes","No"))</f>
        <v/>
      </c>
      <c r="F199" s="47"/>
      <c r="G199" s="46"/>
      <c r="H199" s="46"/>
      <c r="I199" s="46"/>
      <c r="J199" s="46"/>
      <c r="K199" s="46"/>
      <c r="L199" s="46"/>
      <c r="M199" s="46"/>
      <c r="N199" s="46"/>
      <c r="O199" s="46"/>
      <c r="P199" s="46"/>
      <c r="Q199" s="46"/>
      <c r="R199" s="46"/>
      <c r="S199" s="46"/>
      <c r="T199" s="46"/>
      <c r="U199" s="47"/>
      <c r="V199" s="88"/>
      <c r="W199" s="88"/>
      <c r="X199" s="25" t="str">
        <f aca="false">IF(Tasks[[#This Row],[Task Name]]="","",IF(N(Tasks[[#This Row],[Baseline Start]])&gt;0,Tasks[[#This Row],[Baseline Start]],Tasks[[#This Row],[_CalcStart]]))</f>
        <v/>
      </c>
      <c r="Y199" s="25" t="str">
        <f aca="false">IF(Tasks[[#This Row],[Task Name]]="","",IF(N(Tasks[[#This Row],[Baseline Finish]])&gt;0,Tasks[[#This Row],[Baseline Finish]],Tasks[[#This Row],[_CalcFinish]]))</f>
        <v/>
      </c>
      <c r="Z199" s="88"/>
      <c r="AA199" s="88"/>
      <c r="AB199" s="25" t="str">
        <f aca="false">IF(Tasks[[#This Row],[Task Name]]="","",IF(Tasks[[#This Row],[_IsSummary]],MIN(INDEX(Tasks[_ShownFcstStart],Tasks[[#This Row],[_Row]]+1):INDEX(Tasks[_ShownFcstStart],Tasks[[#This Row],[_Row]]+Tasks[[#This Row],[_Descendants]])),Tasks[[#This Row],[_ShownFcstStart]]))</f>
        <v/>
      </c>
      <c r="AC199" s="25" t="str">
        <f aca="false">IF(Tasks[[#This Row],[Task Name]]="","",IF(Tasks[[#This Row],[_IsSummary]],MAX(INDEX(Tasks[_ShownFcstFinish],Tasks[[#This Row],[_Row]]+1):INDEX(Tasks[_ShownFcstFinish],Tasks[[#This Row],[_Row]]+Tasks[[#This Row],[_Descendants]])),Tasks[[#This Row],[_ShownFcstFinish]]))</f>
        <v/>
      </c>
      <c r="AD199"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199"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199" s="25" t="str">
        <f aca="false">IF(Tasks[[#This Row],[Task Name]]="","",IF(Tasks[[#This Row],[_IsSummary]],MIN(INDEX(Tasks[_LeafLateStart],Tasks[[#This Row],[_Row]]+1):INDEX(Tasks[_LeafLateStart],Tasks[[#This Row],[_Row]]+Tasks[[#This Row],[_Descendants]])),Tasks[[#This Row],[_LeafLateStart]]))</f>
        <v/>
      </c>
      <c r="AG199" s="25" t="str">
        <f aca="false">IF(Tasks[[#This Row],[Task Name]]="","",IF(Tasks[[#This Row],[_IsSummary]],MAX(INDEX(Tasks[_LeafLateFinish],Tasks[[#This Row],[_Row]]+1):INDEX(Tasks[_LeafLateFinish],Tasks[[#This Row],[_Row]]+Tasks[[#This Row],[_Descendants]])),Tasks[[#This Row],[_LeafLateFinish]]))</f>
        <v/>
      </c>
      <c r="AH199" s="56" t="str">
        <f aca="false">IF(Tasks[[#This Row],[Task Name]]="","",IF(Tasks[[#This Row],[_IsSummary]],MIN(INDEX(Tasks[_LeafTotalSlack],Tasks[[#This Row],[_Row]]+1):INDEX(Tasks[_LeafTotalSlack],Tasks[[#This Row],[_Row]]+Tasks[[#This Row],[_Descendants]])),Tasks[[#This Row],[_LeafTotalSlack]]))</f>
        <v/>
      </c>
      <c r="AI199"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199" s="45" t="str">
        <f aca="false">IF(Tasks[[#This Row],[Task Name]]="","",IF(IF(Tasks[[#This Row],[_IsSummary]],COUNTIF(INDEX(Tasks[_LeafCritical],Tasks[[#This Row],[_Row]]+1):INDEX(Tasks[_LeafCritical],Tasks[[#This Row],[_Row]]+Tasks[[#This Row],[_Descendants]]),TRUE())&gt;0,Tasks[[#This Row],[_LeafCritical]]),"Yes",""))</f>
        <v/>
      </c>
      <c r="AK199"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199"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199" s="102"/>
      <c r="AN199"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199" s="45" t="str">
        <f aca="false">IF(Tasks[[#This Row],[Task Name]]="","",IF(Tasks[[#This Row],[Progress]]&gt;=1,"Complete",IF(OR(N(Tasks[[#This Row],[Actual Start]])&gt;0,Tasks[[#This Row],[Progress]]&gt;0),IF(Tasks[[#This Row],[Finish Var]]&gt;0,"Behind","In Progress"),IF(Tasks[[#This Row],[Planned Start]]&lt;StatusDate,"Late Start","Not Started"))))</f>
        <v/>
      </c>
      <c r="AP199" s="47"/>
      <c r="AQ199" s="102"/>
      <c r="AR199"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199"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199" s="110" t="str">
        <f aca="false">IF(Tasks[[#This Row],[Task Name]]="","",IF(Tasks[[#This Row],[_IsSummary]],SUM(INDEX(Tasks[_LeafTotalWork],Tasks[[#This Row],[_Row]]+1):INDEX(Tasks[_LeafTotalWork],Tasks[[#This Row],[_Row]]+Tasks[[#This Row],[_Descendants]])),Tasks[[#This Row],[_LeafTotalWork]]))</f>
        <v/>
      </c>
      <c r="AU199" s="111" t="str">
        <f aca="false">IF(Tasks[[#This Row],[Task Name]]="","",IF(Tasks[[#This Row],[_IsSummary]],SUM(INDEX(Tasks[_LeafTotalCost],Tasks[[#This Row],[_Row]]+1):INDEX(Tasks[_LeafTotalCost],Tasks[[#This Row],[_Row]]+Tasks[[#This Row],[_Descendants]])),Tasks[[#This Row],[_LeafTotalCost]]))</f>
        <v/>
      </c>
      <c r="AV199" s="112"/>
      <c r="AW199" s="46"/>
      <c r="AX199"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199" s="96"/>
      <c r="AZ199"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199" s="47"/>
      <c r="BB199" s="25" t="str">
        <f aca="false">IF(Tasks[[#This Row],[Task Name]]="","",Tasks[[#This Row],[Forecast Start]])</f>
        <v/>
      </c>
      <c r="BC199" s="25" t="str">
        <f aca="false">IF(Tasks[[#This Row],[Task Name]]="","",Tasks[[#This Row],[Forecast Finish]])</f>
        <v/>
      </c>
      <c r="BD199" s="45" t="str">
        <f aca="false">IF(Tasks[[#This Row],[Task Name]]="","",IF(Tasks[[#This Row],[_IsSummary]],NETWORKDAYS.INTL(Tasks[[#This Row],[Forecast Start]],Tasks[[#This Row],[Forecast Finish]],WorkWeek,Holidays),N(Tasks[[#This Row],[Duration]])))</f>
        <v/>
      </c>
      <c r="BE199" s="110" t="str">
        <f aca="false">IF(Tasks[[#This Row],[Task Name]]="","",Tasks[[#This Row],[Work]])</f>
        <v/>
      </c>
      <c r="BF199" s="111" t="str">
        <f aca="false">IF(Tasks[[#This Row],[Task Name]]="","",Tasks[[#This Row],[Cost]])</f>
        <v/>
      </c>
      <c r="BG199" s="88"/>
      <c r="BH199" s="88"/>
      <c r="BI199" s="46"/>
      <c r="BJ199" s="113"/>
      <c r="BK199" s="112"/>
      <c r="BL199" s="45" t="str">
        <f aca="false">IF(OR(Tasks[[#This Row],[Task Name]]="",Tasks[[#This Row],[Baseline Duration]]=""),"",Tasks[[#This Row],[BL Source Duration]]-N(Tasks[[#This Row],[Baseline Duration]]))</f>
        <v/>
      </c>
      <c r="BM199" s="110" t="str">
        <f aca="false">IF(OR(Tasks[[#This Row],[Task Name]]="",Tasks[[#This Row],[Baseline Work]]=""),"",Tasks[[#This Row],[Work]]-N(Tasks[[#This Row],[Baseline Work]]))</f>
        <v/>
      </c>
      <c r="BN199" s="111" t="str">
        <f aca="false">IF(OR(Tasks[[#This Row],[Task Name]]="",Tasks[[#This Row],[Baseline Cost]]=""),"",Tasks[[#This Row],[Cost]]-N(Tasks[[#This Row],[Baseline Cost]]))</f>
        <v/>
      </c>
      <c r="BO199" s="111" t="str">
        <f aca="false">IF(Tasks[[#This Row],[Task Name]]="","",IF(Tasks[[#This Row],[_IsSummary]],SUM(INDEX(Tasks[_LeafBudget],Tasks[[#This Row],[_Row]]+1):INDEX(Tasks[_LeafBudget],Tasks[[#This Row],[_Row]]+Tasks[[#This Row],[_Descendants]])),Tasks[[#This Row],[_LeafBudget]]))</f>
        <v/>
      </c>
      <c r="BP199" s="111" t="str">
        <f aca="false">IF(Tasks[[#This Row],[Task Name]]="","",IF(Tasks[[#This Row],[_IsSummary]],SUM(INDEX(Tasks[_LeafPV],Tasks[[#This Row],[_Row]]+1):INDEX(Tasks[_LeafPV],Tasks[[#This Row],[_Row]]+Tasks[[#This Row],[_Descendants]])),Tasks[[#This Row],[_LeafPV]]))</f>
        <v/>
      </c>
      <c r="BQ199" s="111" t="str">
        <f aca="false">IF(Tasks[[#This Row],[Task Name]]="","",IF(Tasks[[#This Row],[_IsSummary]],SUM(INDEX(Tasks[_LeafEV],Tasks[[#This Row],[_Row]]+1):INDEX(Tasks[_LeafEV],Tasks[[#This Row],[_Row]]+Tasks[[#This Row],[_Descendants]])),Tasks[[#This Row],[_LeafEV]]))</f>
        <v/>
      </c>
      <c r="BR199" s="111" t="str">
        <f aca="false">IF(Tasks[[#This Row],[Task Name]]="","",IF(Tasks[[#This Row],[_IsSummary]],SUM(INDEX(Tasks[_LeafAC],Tasks[[#This Row],[_Row]]+1):INDEX(Tasks[_LeafAC],Tasks[[#This Row],[_Row]]+Tasks[[#This Row],[_Descendants]])),Tasks[[#This Row],[_LeafAC]]))</f>
        <v/>
      </c>
      <c r="BS199" s="32" t="str">
        <f aca="false">IF(Tasks[[#This Row],[Task Name]]="","",MAX(1,N(Tasks[[#This Row],[Level]])))</f>
        <v/>
      </c>
      <c r="BT199" s="32" t="n">
        <f aca="false">ROW()-ROW(Tasks[[#Headers],[ID]])</f>
        <v>194</v>
      </c>
      <c r="BU199" s="32" t="n">
        <f aca="false">IF(OR(Tasks[[#This Row],[Task Name]]="",Tasks[[#This Row],[_Level]]&lt;=1),0,IFERROR(LOOKUP(2,1/(Tasks[[#Headers],[_Level]]:Tasks[[#This Row],[_Level]]=Tasks[[#This Row],[_Level]]-1),ROW(Tasks[[#Headers],[_Level]]:Tasks[[#This Row],[_Level]])),0))</f>
        <v>0</v>
      </c>
      <c r="BV199" s="32" t="n">
        <f aca="false">IFERROR(N(INDEX(Tasks[_Level],Tasks[[#This Row],[_Row]]+1)),0)</f>
        <v>0</v>
      </c>
      <c r="BW199" s="114" t="b">
        <f aca="false">AND(Tasks[[#This Row],[Task Name]]&lt;&gt;"",Tasks[[#This Row],[_NextLevel]]&gt;Tasks[[#This Row],[_Level]])</f>
        <v>0</v>
      </c>
      <c r="BX199" s="32" t="n">
        <f aca="false">IF(Tasks[[#This Row],[_IsSummary]],COUNTIF(Tasks[WBS],Tasks[[#This Row],[WBS]]&amp;".*"),0)</f>
        <v>0</v>
      </c>
      <c r="BY199" s="32" t="n">
        <f aca="false">IF(AND(Tasks[[#This Row],[Task Name]]&lt;&gt;"",NOT(Tasks[[#This Row],[_IsSummary]])),1,0)</f>
        <v>0</v>
      </c>
      <c r="BZ199" s="32" t="n">
        <f aca="false">IF(N(Tasks[[#This Row],[Pred1 UID]])=0,0,IFERROR(MATCH(Tasks[[#This Row],[Pred1 UID]],Tasks[UID],0),-1))</f>
        <v>0</v>
      </c>
      <c r="CA199" s="32" t="n">
        <f aca="false">IF(N(Tasks[[#This Row],[Pred2 UID]])=0,0,IFERROR(MATCH(Tasks[[#This Row],[Pred2 UID]],Tasks[UID],0),-1))</f>
        <v>0</v>
      </c>
      <c r="CB199" s="32" t="n">
        <f aca="false">IF(N(Tasks[[#This Row],[Pred3 UID]])=0,0,IFERROR(MATCH(Tasks[[#This Row],[Pred3 UID]],Tasks[UID],0),-1))</f>
        <v>0</v>
      </c>
      <c r="CC199" s="32" t="n">
        <f aca="false">IF(N(Tasks[[#This Row],[Pred4 UID]])=0,0,IFERROR(MATCH(Tasks[[#This Row],[Pred4 UID]],Tasks[UID],0),-1))</f>
        <v>0</v>
      </c>
      <c r="CD199"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199"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199" s="115" t="n">
        <f aca="false">IF(OR(Tasks[[#This Row],[_ConstraintCode]]=2,Tasks[[#This Row],[_ConstraintCode]]=3,Tasks[[#This Row],[_ConstraintCode]]=4,Tasks[[#This Row],[_ConstraintCode]]=6),Tasks[[#This Row],[_ConstraintStart]],0)</f>
        <v>0</v>
      </c>
      <c r="CG199" s="115" t="n">
        <f aca="false">IF(OR(Tasks[[#This Row],[_ConstraintCode]]=2,Tasks[[#This Row],[_ConstraintCode]]=3,Tasks[[#This Row],[_ConstraintCode]]=5,Tasks[[#This Row],[_ConstraintCode]]=7),Tasks[[#This Row],[_ConstraintStart]],2958465)</f>
        <v>2958465</v>
      </c>
      <c r="CH199"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199" s="115" t="str">
        <f aca="false">IF(NOT(Tasks[[#This Row],[_IsLeaf]]=1),"",IF(N(Tasks[[#This Row],[Duration]])&lt;=0,Tasks[[#This Row],[_LeafCalcStart]],WORKDAY.INTL(Tasks[[#This Row],[_LeafCalcStart]],Tasks[[#This Row],[Duration]]-1,WorkWeek,Holidays)))</f>
        <v/>
      </c>
      <c r="CJ199"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199"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199" s="32" t="n">
        <f aca="false">IF(NOT(Tasks[[#This Row],[_IsLeaf]]=1),0,IF(N(Tasks[[#This Row],[Actual Finish]])&gt;0,1,MIN(1,N(Tasks[[#This Row],[% Complete]]))))</f>
        <v>0</v>
      </c>
      <c r="CM199" s="32" t="n">
        <f aca="false">IF(OR(NOT(Tasks[[#This Row],[_IsLeaf]]=1),Tasks[[#This Row],[Resource]]=""),0,N(Tasks[[#This Row],[Duration]])*HoursPerDay*IF(Tasks[[#This Row],[Units]]="",DefaultUnits,Tasks[[#This Row],[Units]]))</f>
        <v>0</v>
      </c>
      <c r="CN199" s="32" t="n">
        <f aca="false">IF(Tasks[[#This Row],[_LeafWork]]=0,0,Tasks[[#This Row],[_LeafWork]]*IFERROR(INDEX(res_Rate,MATCH(Tasks[[#This Row],[Resource]],res_Name,0)),0))</f>
        <v>0</v>
      </c>
      <c r="CO199" s="32" t="n">
        <f aca="false">Tasks[[#This Row],[_LeafWork]]+IF(Tasks[[#This Row],[_IsLeaf]]=1,SUMIFS(asg_Work,asg_TaskUID,Tasks[[#This Row],[UID]],asg_Valid,1),0)</f>
        <v>0</v>
      </c>
      <c r="CP199" s="32" t="n">
        <f aca="false">Tasks[[#This Row],[_LeafCost]]+IF(Tasks[[#This Row],[_IsLeaf]]=1,SUMIFS(asg_Cost,asg_TaskUID,Tasks[[#This Row],[UID]],asg_Valid,1),0)</f>
        <v>0</v>
      </c>
      <c r="CQ199" s="32" t="n">
        <f aca="false">IF(Tasks[[#This Row],[_LeafTotalCost]]=0,Tasks[[#This Row],[_LeafAC]],Tasks[[#This Row],[_LeafAC]]*Tasks[[#This Row],[_LeafCost]]/Tasks[[#This Row],[_LeafTotalCost]])</f>
        <v>0</v>
      </c>
      <c r="CR199"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199"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199"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199"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199"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199"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199"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199"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199" s="32" t="n">
        <f aca="false">IF(NOT(Tasks[[#This Row],[_IsLeaf]]=1),0,MAX(_xlfn.MAXIFS(Tasks[_Row],Tasks[Pred1 UID],Tasks[[#This Row],[UID]]),_xlfn.MAXIFS(Tasks[_Row],Tasks[Pred2 UID],Tasks[[#This Row],[UID]]),_xlfn.MAXIFS(Tasks[_Row],Tasks[Pred3 UID],Tasks[[#This Row],[UID]]),_xlfn.MAXIFS(Tasks[_Row],Tasks[Pred4 UID],Tasks[[#This Row],[UID]])))</f>
        <v>0</v>
      </c>
      <c r="DA199"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199"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199" s="115" t="str">
        <f aca="false">IF(NOT(Tasks[[#This Row],[_IsLeaf]]=1),"",IF(N(Tasks[[#This Row],[Duration]])&lt;=0,Tasks[[#This Row],[_LeafLateFinish]],WORKDAY.INTL(Tasks[[#This Row],[_LeafLateFinish]],-(Tasks[[#This Row],[Duration]]-1),WorkWeek,Holidays)))</f>
        <v/>
      </c>
      <c r="DD199"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199" s="114" t="b">
        <f aca="false">AND(Tasks[[#This Row],[_IsLeaf]]=1,Tasks[[#This Row],[_LeafProgress]]&lt;1,N(Tasks[[#This Row],[_LeafTotalSlack]])&lt;=CriticalSlackDays)</f>
        <v>0</v>
      </c>
      <c r="DF199" s="32" t="n">
        <f aca="false">IF(AND(Tasks[[#This Row],[_IsLeaf]]=1,Tasks[[#This Row],[_ConstraintCode]]=1,Tasks[[#This Row],[Mode]]&lt;&gt;"Manual",N(Tasks[[#This Row],[Actual Start]])=0),MAX(0,N(Tasks[[#This Row],[Free Slack]])),0)</f>
        <v>0</v>
      </c>
      <c r="DG199" s="115" t="str">
        <f aca="false">IF(NOT(Tasks[[#This Row],[_IsLeaf]]=1),"",IF(Tasks[[#This Row],[_AlapShift]]=0,Tasks[[#This Row],[_LeafCalcStart]],WORKDAY.INTL(Tasks[[#This Row],[_LeafCalcStart]],Tasks[[#This Row],[_AlapShift]],WorkWeek,Holidays)))</f>
        <v/>
      </c>
      <c r="DH199" s="115" t="str">
        <f aca="false">IF(NOT(Tasks[[#This Row],[_IsLeaf]]=1),"",IF(Tasks[[#This Row],[_AlapShift]]=0,Tasks[[#This Row],[_LeafCalcFinish]],WORKDAY.INTL(Tasks[[#This Row],[_LeafCalcFinish]],Tasks[[#This Row],[_AlapShift]],WorkWeek,Holidays)))</f>
        <v/>
      </c>
      <c r="DI199" s="115" t="str">
        <f aca="false">IF(NOT(Tasks[[#This Row],[_IsLeaf]]=1),"",IF(Tasks[[#This Row],[_AlapShift]]=0,Tasks[[#This Row],[_LeafFcstStart]],WORKDAY.INTL(Tasks[[#This Row],[_LeafFcstStart]],Tasks[[#This Row],[_AlapShift]],WorkWeek,Holidays)))</f>
        <v/>
      </c>
      <c r="DJ199" s="115" t="str">
        <f aca="false">IF(NOT(Tasks[[#This Row],[_IsLeaf]]=1),"",IF(Tasks[[#This Row],[_AlapShift]]=0,Tasks[[#This Row],[_LeafFcstFinish]],WORKDAY.INTL(Tasks[[#This Row],[_LeafFcstFinish]],Tasks[[#This Row],[_AlapShift]],WorkWeek,Holidays)))</f>
        <v/>
      </c>
      <c r="DK199" s="115" t="str">
        <f aca="false">IF(Tasks[[#This Row],[Task Name]]="","",IF(Tasks[[#This Row],[_IsSummary]],MIN(INDEX(Tasks[_ShownCalcStart],Tasks[[#This Row],[_Row]]+1):INDEX(Tasks[_ShownCalcStart],Tasks[[#This Row],[_Row]]+Tasks[[#This Row],[_Descendants]])),Tasks[[#This Row],[_ShownCalcStart]]))</f>
        <v/>
      </c>
      <c r="DL199" s="115" t="str">
        <f aca="false">IF(Tasks[[#This Row],[Task Name]]="","",IF(Tasks[[#This Row],[_IsSummary]],MAX(INDEX(Tasks[_ShownCalcFinish],Tasks[[#This Row],[_Row]]+1):INDEX(Tasks[_ShownCalcFinish],Tasks[[#This Row],[_Row]]+Tasks[[#This Row],[_Descendants]])),Tasks[[#This Row],[_ShownCalcFinish]]))</f>
        <v/>
      </c>
      <c r="DM199"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199"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199"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199"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199"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199"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199"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199"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199"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199"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199"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199"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199" s="32" t="n">
        <f aca="false">IF(AND(Tasks[[#This Row],[_IsLeaf]]=1,Tasks[[#This Row],[_LeafTotalWork]]&gt;0),NETWORKDAYS.INTL(ProjectStart,Tasks[[#This Row],[_ShownFcstStart]],WorkWeek,Holidays),0)</f>
        <v>0</v>
      </c>
      <c r="DZ199" s="32" t="n">
        <f aca="false">IF(AND(Tasks[[#This Row],[_IsLeaf]]=1,Tasks[[#This Row],[_LeafTotalWork]]&gt;0),MAX(Tasks[[#This Row],[_StartWorkday]],NETWORKDAYS.INTL(ProjectStart,Tasks[[#This Row],[_ShownFcstFinish]],WorkWeek,Holidays)),0)</f>
        <v>0</v>
      </c>
      <c r="EA199" s="32" t="n">
        <f aca="false">IF(AND(Tasks[[#This Row],[_IsLeaf]]=1,Tasks[[#This Row],[_LeafTotalWork]]&gt;0),Tasks[[#This Row],[_LeafWork]]/(Tasks[[#This Row],[_FinishWorkday]]-Tasks[[#This Row],[_StartWorkday]]+1),0)</f>
        <v>0</v>
      </c>
      <c r="EB199" s="32" t="n">
        <f aca="false">Tasks[[#This Row],[_WorkPerWorkday]]*(Tasks[[#This Row],[_StartWorkday]]-1)</f>
        <v>-0</v>
      </c>
      <c r="EC199" s="32" t="n">
        <f aca="false">IF(Tasks[[#This Row],[_IsLeaf]]=1,MAX(N(Tasks[[#This Row],[Duration]]),0.1),0)</f>
        <v>0</v>
      </c>
      <c r="ED199" s="32" t="n">
        <f aca="false">Tasks[[#This Row],[_WeightDur]]*Tasks[[#This Row],[_LeafProgress]]</f>
        <v>0</v>
      </c>
      <c r="EE199"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199" s="32" t="str">
        <f aca="false">IF(AND(Tasks[[#This Row],[_IsLeaf]]=1,N(Tasks[[#This Row],[Duration]])=0,Tasks[[#This Row],[_LeafProgress]]&lt;1),Tasks[[#This Row],[_ShownFcstFinish]]+Tasks[[#This Row],[_Row]]/100000,"")</f>
        <v/>
      </c>
      <c r="EG199"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199" s="32" t="n">
        <f aca="false">IF(NOT(Tasks[[#This Row],[_IsLeaf]]=1),0,IF(Tasks[[#This Row],[Baseline Cost]]="",Tasks[[#This Row],[_LeafTotalCost]],N(Tasks[[#This Row],[Baseline Cost]])))</f>
        <v>0</v>
      </c>
      <c r="EI199" s="32" t="n">
        <f aca="false">Tasks[[#This Row],[_LeafBudget]]*Tasks[[#This Row],[_PlannedPct]]</f>
        <v>0</v>
      </c>
      <c r="EJ199" s="32" t="n">
        <f aca="false">Tasks[[#This Row],[_LeafBudget]]*Tasks[[#This Row],[_LeafProgress]]</f>
        <v>0</v>
      </c>
      <c r="EK199" s="32" t="n">
        <f aca="false">IF(NOT(Tasks[[#This Row],[_IsLeaf]]=1),0,IF(Tasks[[#This Row],[Actual Cost]]="",Tasks[[#This Row],[_LeafTotalCost]]*Tasks[[#This Row],[_LeafProgress]],N(Tasks[[#This Row],[Actual Cost]])))</f>
        <v>0</v>
      </c>
      <c r="EL199" s="32" t="str">
        <f aca="false">IF(Tasks[[#This Row],[Task Name]]="","",LEFT(Tasks[[#This Row],[WBS]],FIND(".",Tasks[[#This Row],[WBS]]&amp;".")-1))</f>
        <v/>
      </c>
      <c r="EM199" s="32" t="str">
        <f aca="false">IF(AND(Tasks[[#This Row],[Task Name]]&lt;&gt;"",Tasks[[#This Row],[_Level]]=1),Tasks[[#This Row],[_Row]],"")</f>
        <v/>
      </c>
      <c r="EN199" s="32" t="str">
        <f aca="false">IF(AND(Tasks[[#This Row],[_IsLeaf]]=1,N(Tasks[[#This Row],[Duration]])=0),Tasks[[#This Row],[Planned Finish]]+Tasks[[#This Row],[_Row]]/100000,"")</f>
        <v/>
      </c>
      <c r="EO199" s="32" t="str">
        <f aca="false">IF(AND(Tasks[[#This Row],[_IsLeaf]]=1,Tasks[[#This Row],[_LeafProgress]]&lt;1,OR(N(Tasks[[#This Row],[Finish Var]])&gt;0,Tasks[[#This Row],[Status]]="Late Start")),MAX(0,Tasks[[#This Row],[Finish Var]])+1-Tasks[[#This Row],[_Row]]/1000000,"")</f>
        <v/>
      </c>
      <c r="EP199" s="32" t="str">
        <f aca="false">IF(AND(Tasks[[#This Row],[_IsLeaf]]=1,N(Tasks[[#This Row],[Actual Start]])=0,Tasks[[#This Row],[_ShownFcstStart]]&gt;=StatusDate,Tasks[[#This Row],[_ShownFcstStart]]&lt;=LookaheadEnd),Tasks[[#This Row],[_ShownFcstStart]]+Tasks[[#This Row],[_Row]]/100000,"")</f>
        <v/>
      </c>
      <c r="EQ199" s="32" t="str">
        <f aca="false">IF(AND(Tasks[[#This Row],[_IsLeaf]]=1,Tasks[[#This Row],[_LeafProgress]]&lt;1,Tasks[[#This Row],[_ShownFcstFinish]]&gt;=StatusDate,Tasks[[#This Row],[_ShownFcstFinish]]&lt;=LookaheadEnd),Tasks[[#This Row],[_ShownFcstFinish]]+Tasks[[#This Row],[_Row]]/100000,"")</f>
        <v/>
      </c>
      <c r="ER199" s="32" t="str">
        <f aca="false">IF(Tasks[[#This Row],[_LeafCritical]],Tasks[[#This Row],[_ShownFcstStart]]+Tasks[[#This Row],[_Row]]/100000,"")</f>
        <v/>
      </c>
      <c r="ES199" s="32" t="n">
        <f aca="false">Tasks[[#This Row],[_LeafWork]]*Tasks[[#This Row],[_LeafProgress]]</f>
        <v>0</v>
      </c>
      <c r="ET199" s="115" t="str">
        <f aca="false">IF(AND(Tasks[[#This Row],[_IsLeaf]]=1,Tasks[[#This Row],[_LeafProgress]]&gt;=1),IF(N(Tasks[[#This Row],[Actual Finish]])&gt;0,Tasks[[#This Row],[Actual Finish]],Tasks[[#This Row],[_ShownFcstFinish]]),"")</f>
        <v/>
      </c>
      <c r="EU199" s="32" t="n">
        <f aca="false">IF(Tasks[[#This Row],[_IsLeaf]]=1,N(Tasks[[#This Row],[Story Points]]),0)</f>
        <v>0</v>
      </c>
      <c r="EV199" s="32" t="str">
        <f aca="false">IF(AND(Tasks[[#This Row],[_IsLeaf]]=1,CurrentSprint&lt;&gt;"",Tasks[[#This Row],[Sprint]]=CurrentSprint),Tasks[[#This Row],[_Row]],"")</f>
        <v/>
      </c>
    </row>
    <row r="200" customFormat="false" ht="15" hidden="false" customHeight="false" outlineLevel="0" collapsed="false">
      <c r="A200" s="45" t="str">
        <f aca="false">IF(Tasks[[#This Row],[Task Name]]="","",COUNTA(Tasks[[#Headers],[Task Name]]:Tasks[[#This Row],[Task Name]])-1)</f>
        <v/>
      </c>
      <c r="B200" s="46" t="n">
        <v>195</v>
      </c>
      <c r="C200"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0" s="46"/>
      <c r="E200" s="45" t="str">
        <f aca="false">IF(Tasks[[#This Row],[Task Name]]="","",IF(Tasks[[#This Row],[_Level]]&lt;=OutlineShowLevel,"Yes","No"))</f>
        <v/>
      </c>
      <c r="F200" s="47"/>
      <c r="G200" s="46"/>
      <c r="H200" s="46"/>
      <c r="I200" s="46"/>
      <c r="J200" s="46"/>
      <c r="K200" s="46"/>
      <c r="L200" s="46"/>
      <c r="M200" s="46"/>
      <c r="N200" s="46"/>
      <c r="O200" s="46"/>
      <c r="P200" s="46"/>
      <c r="Q200" s="46"/>
      <c r="R200" s="46"/>
      <c r="S200" s="46"/>
      <c r="T200" s="46"/>
      <c r="U200" s="47"/>
      <c r="V200" s="88"/>
      <c r="W200" s="88"/>
      <c r="X200" s="25" t="str">
        <f aca="false">IF(Tasks[[#This Row],[Task Name]]="","",IF(N(Tasks[[#This Row],[Baseline Start]])&gt;0,Tasks[[#This Row],[Baseline Start]],Tasks[[#This Row],[_CalcStart]]))</f>
        <v/>
      </c>
      <c r="Y200" s="25" t="str">
        <f aca="false">IF(Tasks[[#This Row],[Task Name]]="","",IF(N(Tasks[[#This Row],[Baseline Finish]])&gt;0,Tasks[[#This Row],[Baseline Finish]],Tasks[[#This Row],[_CalcFinish]]))</f>
        <v/>
      </c>
      <c r="Z200" s="88"/>
      <c r="AA200" s="88"/>
      <c r="AB200" s="25" t="str">
        <f aca="false">IF(Tasks[[#This Row],[Task Name]]="","",IF(Tasks[[#This Row],[_IsSummary]],MIN(INDEX(Tasks[_ShownFcstStart],Tasks[[#This Row],[_Row]]+1):INDEX(Tasks[_ShownFcstStart],Tasks[[#This Row],[_Row]]+Tasks[[#This Row],[_Descendants]])),Tasks[[#This Row],[_ShownFcstStart]]))</f>
        <v/>
      </c>
      <c r="AC200" s="25" t="str">
        <f aca="false">IF(Tasks[[#This Row],[Task Name]]="","",IF(Tasks[[#This Row],[_IsSummary]],MAX(INDEX(Tasks[_ShownFcstFinish],Tasks[[#This Row],[_Row]]+1):INDEX(Tasks[_ShownFcstFinish],Tasks[[#This Row],[_Row]]+Tasks[[#This Row],[_Descendants]])),Tasks[[#This Row],[_ShownFcstFinish]]))</f>
        <v/>
      </c>
      <c r="AD200"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0"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0" s="25" t="str">
        <f aca="false">IF(Tasks[[#This Row],[Task Name]]="","",IF(Tasks[[#This Row],[_IsSummary]],MIN(INDEX(Tasks[_LeafLateStart],Tasks[[#This Row],[_Row]]+1):INDEX(Tasks[_LeafLateStart],Tasks[[#This Row],[_Row]]+Tasks[[#This Row],[_Descendants]])),Tasks[[#This Row],[_LeafLateStart]]))</f>
        <v/>
      </c>
      <c r="AG200" s="25" t="str">
        <f aca="false">IF(Tasks[[#This Row],[Task Name]]="","",IF(Tasks[[#This Row],[_IsSummary]],MAX(INDEX(Tasks[_LeafLateFinish],Tasks[[#This Row],[_Row]]+1):INDEX(Tasks[_LeafLateFinish],Tasks[[#This Row],[_Row]]+Tasks[[#This Row],[_Descendants]])),Tasks[[#This Row],[_LeafLateFinish]]))</f>
        <v/>
      </c>
      <c r="AH200" s="56" t="str">
        <f aca="false">IF(Tasks[[#This Row],[Task Name]]="","",IF(Tasks[[#This Row],[_IsSummary]],MIN(INDEX(Tasks[_LeafTotalSlack],Tasks[[#This Row],[_Row]]+1):INDEX(Tasks[_LeafTotalSlack],Tasks[[#This Row],[_Row]]+Tasks[[#This Row],[_Descendants]])),Tasks[[#This Row],[_LeafTotalSlack]]))</f>
        <v/>
      </c>
      <c r="AI200"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0" s="45" t="str">
        <f aca="false">IF(Tasks[[#This Row],[Task Name]]="","",IF(IF(Tasks[[#This Row],[_IsSummary]],COUNTIF(INDEX(Tasks[_LeafCritical],Tasks[[#This Row],[_Row]]+1):INDEX(Tasks[_LeafCritical],Tasks[[#This Row],[_Row]]+Tasks[[#This Row],[_Descendants]]),TRUE())&gt;0,Tasks[[#This Row],[_LeafCritical]]),"Yes",""))</f>
        <v/>
      </c>
      <c r="AK200"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0"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0" s="102"/>
      <c r="AN200"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0" s="45" t="str">
        <f aca="false">IF(Tasks[[#This Row],[Task Name]]="","",IF(Tasks[[#This Row],[Progress]]&gt;=1,"Complete",IF(OR(N(Tasks[[#This Row],[Actual Start]])&gt;0,Tasks[[#This Row],[Progress]]&gt;0),IF(Tasks[[#This Row],[Finish Var]]&gt;0,"Behind","In Progress"),IF(Tasks[[#This Row],[Planned Start]]&lt;StatusDate,"Late Start","Not Started"))))</f>
        <v/>
      </c>
      <c r="AP200" s="47"/>
      <c r="AQ200" s="102"/>
      <c r="AR200"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0"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0" s="110" t="str">
        <f aca="false">IF(Tasks[[#This Row],[Task Name]]="","",IF(Tasks[[#This Row],[_IsSummary]],SUM(INDEX(Tasks[_LeafTotalWork],Tasks[[#This Row],[_Row]]+1):INDEX(Tasks[_LeafTotalWork],Tasks[[#This Row],[_Row]]+Tasks[[#This Row],[_Descendants]])),Tasks[[#This Row],[_LeafTotalWork]]))</f>
        <v/>
      </c>
      <c r="AU200" s="111" t="str">
        <f aca="false">IF(Tasks[[#This Row],[Task Name]]="","",IF(Tasks[[#This Row],[_IsSummary]],SUM(INDEX(Tasks[_LeafTotalCost],Tasks[[#This Row],[_Row]]+1):INDEX(Tasks[_LeafTotalCost],Tasks[[#This Row],[_Row]]+Tasks[[#This Row],[_Descendants]])),Tasks[[#This Row],[_LeafTotalCost]]))</f>
        <v/>
      </c>
      <c r="AV200" s="112"/>
      <c r="AW200" s="46"/>
      <c r="AX200"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0" s="96"/>
      <c r="AZ200"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0" s="47"/>
      <c r="BB200" s="25" t="str">
        <f aca="false">IF(Tasks[[#This Row],[Task Name]]="","",Tasks[[#This Row],[Forecast Start]])</f>
        <v/>
      </c>
      <c r="BC200" s="25" t="str">
        <f aca="false">IF(Tasks[[#This Row],[Task Name]]="","",Tasks[[#This Row],[Forecast Finish]])</f>
        <v/>
      </c>
      <c r="BD200" s="45" t="str">
        <f aca="false">IF(Tasks[[#This Row],[Task Name]]="","",IF(Tasks[[#This Row],[_IsSummary]],NETWORKDAYS.INTL(Tasks[[#This Row],[Forecast Start]],Tasks[[#This Row],[Forecast Finish]],WorkWeek,Holidays),N(Tasks[[#This Row],[Duration]])))</f>
        <v/>
      </c>
      <c r="BE200" s="110" t="str">
        <f aca="false">IF(Tasks[[#This Row],[Task Name]]="","",Tasks[[#This Row],[Work]])</f>
        <v/>
      </c>
      <c r="BF200" s="111" t="str">
        <f aca="false">IF(Tasks[[#This Row],[Task Name]]="","",Tasks[[#This Row],[Cost]])</f>
        <v/>
      </c>
      <c r="BG200" s="88"/>
      <c r="BH200" s="88"/>
      <c r="BI200" s="46"/>
      <c r="BJ200" s="113"/>
      <c r="BK200" s="112"/>
      <c r="BL200" s="45" t="str">
        <f aca="false">IF(OR(Tasks[[#This Row],[Task Name]]="",Tasks[[#This Row],[Baseline Duration]]=""),"",Tasks[[#This Row],[BL Source Duration]]-N(Tasks[[#This Row],[Baseline Duration]]))</f>
        <v/>
      </c>
      <c r="BM200" s="110" t="str">
        <f aca="false">IF(OR(Tasks[[#This Row],[Task Name]]="",Tasks[[#This Row],[Baseline Work]]=""),"",Tasks[[#This Row],[Work]]-N(Tasks[[#This Row],[Baseline Work]]))</f>
        <v/>
      </c>
      <c r="BN200" s="111" t="str">
        <f aca="false">IF(OR(Tasks[[#This Row],[Task Name]]="",Tasks[[#This Row],[Baseline Cost]]=""),"",Tasks[[#This Row],[Cost]]-N(Tasks[[#This Row],[Baseline Cost]]))</f>
        <v/>
      </c>
      <c r="BO200" s="111" t="str">
        <f aca="false">IF(Tasks[[#This Row],[Task Name]]="","",IF(Tasks[[#This Row],[_IsSummary]],SUM(INDEX(Tasks[_LeafBudget],Tasks[[#This Row],[_Row]]+1):INDEX(Tasks[_LeafBudget],Tasks[[#This Row],[_Row]]+Tasks[[#This Row],[_Descendants]])),Tasks[[#This Row],[_LeafBudget]]))</f>
        <v/>
      </c>
      <c r="BP200" s="111" t="str">
        <f aca="false">IF(Tasks[[#This Row],[Task Name]]="","",IF(Tasks[[#This Row],[_IsSummary]],SUM(INDEX(Tasks[_LeafPV],Tasks[[#This Row],[_Row]]+1):INDEX(Tasks[_LeafPV],Tasks[[#This Row],[_Row]]+Tasks[[#This Row],[_Descendants]])),Tasks[[#This Row],[_LeafPV]]))</f>
        <v/>
      </c>
      <c r="BQ200" s="111" t="str">
        <f aca="false">IF(Tasks[[#This Row],[Task Name]]="","",IF(Tasks[[#This Row],[_IsSummary]],SUM(INDEX(Tasks[_LeafEV],Tasks[[#This Row],[_Row]]+1):INDEX(Tasks[_LeafEV],Tasks[[#This Row],[_Row]]+Tasks[[#This Row],[_Descendants]])),Tasks[[#This Row],[_LeafEV]]))</f>
        <v/>
      </c>
      <c r="BR200" s="111" t="str">
        <f aca="false">IF(Tasks[[#This Row],[Task Name]]="","",IF(Tasks[[#This Row],[_IsSummary]],SUM(INDEX(Tasks[_LeafAC],Tasks[[#This Row],[_Row]]+1):INDEX(Tasks[_LeafAC],Tasks[[#This Row],[_Row]]+Tasks[[#This Row],[_Descendants]])),Tasks[[#This Row],[_LeafAC]]))</f>
        <v/>
      </c>
      <c r="BS200" s="32" t="str">
        <f aca="false">IF(Tasks[[#This Row],[Task Name]]="","",MAX(1,N(Tasks[[#This Row],[Level]])))</f>
        <v/>
      </c>
      <c r="BT200" s="32" t="n">
        <f aca="false">ROW()-ROW(Tasks[[#Headers],[ID]])</f>
        <v>195</v>
      </c>
      <c r="BU200" s="32" t="n">
        <f aca="false">IF(OR(Tasks[[#This Row],[Task Name]]="",Tasks[[#This Row],[_Level]]&lt;=1),0,IFERROR(LOOKUP(2,1/(Tasks[[#Headers],[_Level]]:Tasks[[#This Row],[_Level]]=Tasks[[#This Row],[_Level]]-1),ROW(Tasks[[#Headers],[_Level]]:Tasks[[#This Row],[_Level]])),0))</f>
        <v>0</v>
      </c>
      <c r="BV200" s="32" t="n">
        <f aca="false">IFERROR(N(INDEX(Tasks[_Level],Tasks[[#This Row],[_Row]]+1)),0)</f>
        <v>0</v>
      </c>
      <c r="BW200" s="114" t="b">
        <f aca="false">AND(Tasks[[#This Row],[Task Name]]&lt;&gt;"",Tasks[[#This Row],[_NextLevel]]&gt;Tasks[[#This Row],[_Level]])</f>
        <v>0</v>
      </c>
      <c r="BX200" s="32" t="n">
        <f aca="false">IF(Tasks[[#This Row],[_IsSummary]],COUNTIF(Tasks[WBS],Tasks[[#This Row],[WBS]]&amp;".*"),0)</f>
        <v>0</v>
      </c>
      <c r="BY200" s="32" t="n">
        <f aca="false">IF(AND(Tasks[[#This Row],[Task Name]]&lt;&gt;"",NOT(Tasks[[#This Row],[_IsSummary]])),1,0)</f>
        <v>0</v>
      </c>
      <c r="BZ200" s="32" t="n">
        <f aca="false">IF(N(Tasks[[#This Row],[Pred1 UID]])=0,0,IFERROR(MATCH(Tasks[[#This Row],[Pred1 UID]],Tasks[UID],0),-1))</f>
        <v>0</v>
      </c>
      <c r="CA200" s="32" t="n">
        <f aca="false">IF(N(Tasks[[#This Row],[Pred2 UID]])=0,0,IFERROR(MATCH(Tasks[[#This Row],[Pred2 UID]],Tasks[UID],0),-1))</f>
        <v>0</v>
      </c>
      <c r="CB200" s="32" t="n">
        <f aca="false">IF(N(Tasks[[#This Row],[Pred3 UID]])=0,0,IFERROR(MATCH(Tasks[[#This Row],[Pred3 UID]],Tasks[UID],0),-1))</f>
        <v>0</v>
      </c>
      <c r="CC200" s="32" t="n">
        <f aca="false">IF(N(Tasks[[#This Row],[Pred4 UID]])=0,0,IFERROR(MATCH(Tasks[[#This Row],[Pred4 UID]],Tasks[UID],0),-1))</f>
        <v>0</v>
      </c>
      <c r="CD200"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0"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0" s="115" t="n">
        <f aca="false">IF(OR(Tasks[[#This Row],[_ConstraintCode]]=2,Tasks[[#This Row],[_ConstraintCode]]=3,Tasks[[#This Row],[_ConstraintCode]]=4,Tasks[[#This Row],[_ConstraintCode]]=6),Tasks[[#This Row],[_ConstraintStart]],0)</f>
        <v>0</v>
      </c>
      <c r="CG200" s="115" t="n">
        <f aca="false">IF(OR(Tasks[[#This Row],[_ConstraintCode]]=2,Tasks[[#This Row],[_ConstraintCode]]=3,Tasks[[#This Row],[_ConstraintCode]]=5,Tasks[[#This Row],[_ConstraintCode]]=7),Tasks[[#This Row],[_ConstraintStart]],2958465)</f>
        <v>2958465</v>
      </c>
      <c r="CH200"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0" s="115" t="str">
        <f aca="false">IF(NOT(Tasks[[#This Row],[_IsLeaf]]=1),"",IF(N(Tasks[[#This Row],[Duration]])&lt;=0,Tasks[[#This Row],[_LeafCalcStart]],WORKDAY.INTL(Tasks[[#This Row],[_LeafCalcStart]],Tasks[[#This Row],[Duration]]-1,WorkWeek,Holidays)))</f>
        <v/>
      </c>
      <c r="CJ200"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0"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0" s="32" t="n">
        <f aca="false">IF(NOT(Tasks[[#This Row],[_IsLeaf]]=1),0,IF(N(Tasks[[#This Row],[Actual Finish]])&gt;0,1,MIN(1,N(Tasks[[#This Row],[% Complete]]))))</f>
        <v>0</v>
      </c>
      <c r="CM200" s="32" t="n">
        <f aca="false">IF(OR(NOT(Tasks[[#This Row],[_IsLeaf]]=1),Tasks[[#This Row],[Resource]]=""),0,N(Tasks[[#This Row],[Duration]])*HoursPerDay*IF(Tasks[[#This Row],[Units]]="",DefaultUnits,Tasks[[#This Row],[Units]]))</f>
        <v>0</v>
      </c>
      <c r="CN200" s="32" t="n">
        <f aca="false">IF(Tasks[[#This Row],[_LeafWork]]=0,0,Tasks[[#This Row],[_LeafWork]]*IFERROR(INDEX(res_Rate,MATCH(Tasks[[#This Row],[Resource]],res_Name,0)),0))</f>
        <v>0</v>
      </c>
      <c r="CO200" s="32" t="n">
        <f aca="false">Tasks[[#This Row],[_LeafWork]]+IF(Tasks[[#This Row],[_IsLeaf]]=1,SUMIFS(asg_Work,asg_TaskUID,Tasks[[#This Row],[UID]],asg_Valid,1),0)</f>
        <v>0</v>
      </c>
      <c r="CP200" s="32" t="n">
        <f aca="false">Tasks[[#This Row],[_LeafCost]]+IF(Tasks[[#This Row],[_IsLeaf]]=1,SUMIFS(asg_Cost,asg_TaskUID,Tasks[[#This Row],[UID]],asg_Valid,1),0)</f>
        <v>0</v>
      </c>
      <c r="CQ200" s="32" t="n">
        <f aca="false">IF(Tasks[[#This Row],[_LeafTotalCost]]=0,Tasks[[#This Row],[_LeafAC]],Tasks[[#This Row],[_LeafAC]]*Tasks[[#This Row],[_LeafCost]]/Tasks[[#This Row],[_LeafTotalCost]])</f>
        <v>0</v>
      </c>
      <c r="CR200"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0"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0"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0"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0"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0"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0"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0"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0" s="32" t="n">
        <f aca="false">IF(NOT(Tasks[[#This Row],[_IsLeaf]]=1),0,MAX(_xlfn.MAXIFS(Tasks[_Row],Tasks[Pred1 UID],Tasks[[#This Row],[UID]]),_xlfn.MAXIFS(Tasks[_Row],Tasks[Pred2 UID],Tasks[[#This Row],[UID]]),_xlfn.MAXIFS(Tasks[_Row],Tasks[Pred3 UID],Tasks[[#This Row],[UID]]),_xlfn.MAXIFS(Tasks[_Row],Tasks[Pred4 UID],Tasks[[#This Row],[UID]])))</f>
        <v>0</v>
      </c>
      <c r="DA200"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0"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0" s="115" t="str">
        <f aca="false">IF(NOT(Tasks[[#This Row],[_IsLeaf]]=1),"",IF(N(Tasks[[#This Row],[Duration]])&lt;=0,Tasks[[#This Row],[_LeafLateFinish]],WORKDAY.INTL(Tasks[[#This Row],[_LeafLateFinish]],-(Tasks[[#This Row],[Duration]]-1),WorkWeek,Holidays)))</f>
        <v/>
      </c>
      <c r="DD200"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0" s="114" t="b">
        <f aca="false">AND(Tasks[[#This Row],[_IsLeaf]]=1,Tasks[[#This Row],[_LeafProgress]]&lt;1,N(Tasks[[#This Row],[_LeafTotalSlack]])&lt;=CriticalSlackDays)</f>
        <v>0</v>
      </c>
      <c r="DF200" s="32" t="n">
        <f aca="false">IF(AND(Tasks[[#This Row],[_IsLeaf]]=1,Tasks[[#This Row],[_ConstraintCode]]=1,Tasks[[#This Row],[Mode]]&lt;&gt;"Manual",N(Tasks[[#This Row],[Actual Start]])=0),MAX(0,N(Tasks[[#This Row],[Free Slack]])),0)</f>
        <v>0</v>
      </c>
      <c r="DG200" s="115" t="str">
        <f aca="false">IF(NOT(Tasks[[#This Row],[_IsLeaf]]=1),"",IF(Tasks[[#This Row],[_AlapShift]]=0,Tasks[[#This Row],[_LeafCalcStart]],WORKDAY.INTL(Tasks[[#This Row],[_LeafCalcStart]],Tasks[[#This Row],[_AlapShift]],WorkWeek,Holidays)))</f>
        <v/>
      </c>
      <c r="DH200" s="115" t="str">
        <f aca="false">IF(NOT(Tasks[[#This Row],[_IsLeaf]]=1),"",IF(Tasks[[#This Row],[_AlapShift]]=0,Tasks[[#This Row],[_LeafCalcFinish]],WORKDAY.INTL(Tasks[[#This Row],[_LeafCalcFinish]],Tasks[[#This Row],[_AlapShift]],WorkWeek,Holidays)))</f>
        <v/>
      </c>
      <c r="DI200" s="115" t="str">
        <f aca="false">IF(NOT(Tasks[[#This Row],[_IsLeaf]]=1),"",IF(Tasks[[#This Row],[_AlapShift]]=0,Tasks[[#This Row],[_LeafFcstStart]],WORKDAY.INTL(Tasks[[#This Row],[_LeafFcstStart]],Tasks[[#This Row],[_AlapShift]],WorkWeek,Holidays)))</f>
        <v/>
      </c>
      <c r="DJ200" s="115" t="str">
        <f aca="false">IF(NOT(Tasks[[#This Row],[_IsLeaf]]=1),"",IF(Tasks[[#This Row],[_AlapShift]]=0,Tasks[[#This Row],[_LeafFcstFinish]],WORKDAY.INTL(Tasks[[#This Row],[_LeafFcstFinish]],Tasks[[#This Row],[_AlapShift]],WorkWeek,Holidays)))</f>
        <v/>
      </c>
      <c r="DK200" s="115" t="str">
        <f aca="false">IF(Tasks[[#This Row],[Task Name]]="","",IF(Tasks[[#This Row],[_IsSummary]],MIN(INDEX(Tasks[_ShownCalcStart],Tasks[[#This Row],[_Row]]+1):INDEX(Tasks[_ShownCalcStart],Tasks[[#This Row],[_Row]]+Tasks[[#This Row],[_Descendants]])),Tasks[[#This Row],[_ShownCalcStart]]))</f>
        <v/>
      </c>
      <c r="DL200" s="115" t="str">
        <f aca="false">IF(Tasks[[#This Row],[Task Name]]="","",IF(Tasks[[#This Row],[_IsSummary]],MAX(INDEX(Tasks[_ShownCalcFinish],Tasks[[#This Row],[_Row]]+1):INDEX(Tasks[_ShownCalcFinish],Tasks[[#This Row],[_Row]]+Tasks[[#This Row],[_Descendants]])),Tasks[[#This Row],[_ShownCalcFinish]]))</f>
        <v/>
      </c>
      <c r="DM200"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0"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0"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0"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0"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0"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0"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0"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0"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0"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0"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0"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0" s="32" t="n">
        <f aca="false">IF(AND(Tasks[[#This Row],[_IsLeaf]]=1,Tasks[[#This Row],[_LeafTotalWork]]&gt;0),NETWORKDAYS.INTL(ProjectStart,Tasks[[#This Row],[_ShownFcstStart]],WorkWeek,Holidays),0)</f>
        <v>0</v>
      </c>
      <c r="DZ200" s="32" t="n">
        <f aca="false">IF(AND(Tasks[[#This Row],[_IsLeaf]]=1,Tasks[[#This Row],[_LeafTotalWork]]&gt;0),MAX(Tasks[[#This Row],[_StartWorkday]],NETWORKDAYS.INTL(ProjectStart,Tasks[[#This Row],[_ShownFcstFinish]],WorkWeek,Holidays)),0)</f>
        <v>0</v>
      </c>
      <c r="EA200" s="32" t="n">
        <f aca="false">IF(AND(Tasks[[#This Row],[_IsLeaf]]=1,Tasks[[#This Row],[_LeafTotalWork]]&gt;0),Tasks[[#This Row],[_LeafWork]]/(Tasks[[#This Row],[_FinishWorkday]]-Tasks[[#This Row],[_StartWorkday]]+1),0)</f>
        <v>0</v>
      </c>
      <c r="EB200" s="32" t="n">
        <f aca="false">Tasks[[#This Row],[_WorkPerWorkday]]*(Tasks[[#This Row],[_StartWorkday]]-1)</f>
        <v>-0</v>
      </c>
      <c r="EC200" s="32" t="n">
        <f aca="false">IF(Tasks[[#This Row],[_IsLeaf]]=1,MAX(N(Tasks[[#This Row],[Duration]]),0.1),0)</f>
        <v>0</v>
      </c>
      <c r="ED200" s="32" t="n">
        <f aca="false">Tasks[[#This Row],[_WeightDur]]*Tasks[[#This Row],[_LeafProgress]]</f>
        <v>0</v>
      </c>
      <c r="EE200"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0" s="32" t="str">
        <f aca="false">IF(AND(Tasks[[#This Row],[_IsLeaf]]=1,N(Tasks[[#This Row],[Duration]])=0,Tasks[[#This Row],[_LeafProgress]]&lt;1),Tasks[[#This Row],[_ShownFcstFinish]]+Tasks[[#This Row],[_Row]]/100000,"")</f>
        <v/>
      </c>
      <c r="EG200"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0" s="32" t="n">
        <f aca="false">IF(NOT(Tasks[[#This Row],[_IsLeaf]]=1),0,IF(Tasks[[#This Row],[Baseline Cost]]="",Tasks[[#This Row],[_LeafTotalCost]],N(Tasks[[#This Row],[Baseline Cost]])))</f>
        <v>0</v>
      </c>
      <c r="EI200" s="32" t="n">
        <f aca="false">Tasks[[#This Row],[_LeafBudget]]*Tasks[[#This Row],[_PlannedPct]]</f>
        <v>0</v>
      </c>
      <c r="EJ200" s="32" t="n">
        <f aca="false">Tasks[[#This Row],[_LeafBudget]]*Tasks[[#This Row],[_LeafProgress]]</f>
        <v>0</v>
      </c>
      <c r="EK200" s="32" t="n">
        <f aca="false">IF(NOT(Tasks[[#This Row],[_IsLeaf]]=1),0,IF(Tasks[[#This Row],[Actual Cost]]="",Tasks[[#This Row],[_LeafTotalCost]]*Tasks[[#This Row],[_LeafProgress]],N(Tasks[[#This Row],[Actual Cost]])))</f>
        <v>0</v>
      </c>
      <c r="EL200" s="32" t="str">
        <f aca="false">IF(Tasks[[#This Row],[Task Name]]="","",LEFT(Tasks[[#This Row],[WBS]],FIND(".",Tasks[[#This Row],[WBS]]&amp;".")-1))</f>
        <v/>
      </c>
      <c r="EM200" s="32" t="str">
        <f aca="false">IF(AND(Tasks[[#This Row],[Task Name]]&lt;&gt;"",Tasks[[#This Row],[_Level]]=1),Tasks[[#This Row],[_Row]],"")</f>
        <v/>
      </c>
      <c r="EN200" s="32" t="str">
        <f aca="false">IF(AND(Tasks[[#This Row],[_IsLeaf]]=1,N(Tasks[[#This Row],[Duration]])=0),Tasks[[#This Row],[Planned Finish]]+Tasks[[#This Row],[_Row]]/100000,"")</f>
        <v/>
      </c>
      <c r="EO200" s="32" t="str">
        <f aca="false">IF(AND(Tasks[[#This Row],[_IsLeaf]]=1,Tasks[[#This Row],[_LeafProgress]]&lt;1,OR(N(Tasks[[#This Row],[Finish Var]])&gt;0,Tasks[[#This Row],[Status]]="Late Start")),MAX(0,Tasks[[#This Row],[Finish Var]])+1-Tasks[[#This Row],[_Row]]/1000000,"")</f>
        <v/>
      </c>
      <c r="EP200" s="32" t="str">
        <f aca="false">IF(AND(Tasks[[#This Row],[_IsLeaf]]=1,N(Tasks[[#This Row],[Actual Start]])=0,Tasks[[#This Row],[_ShownFcstStart]]&gt;=StatusDate,Tasks[[#This Row],[_ShownFcstStart]]&lt;=LookaheadEnd),Tasks[[#This Row],[_ShownFcstStart]]+Tasks[[#This Row],[_Row]]/100000,"")</f>
        <v/>
      </c>
      <c r="EQ200" s="32" t="str">
        <f aca="false">IF(AND(Tasks[[#This Row],[_IsLeaf]]=1,Tasks[[#This Row],[_LeafProgress]]&lt;1,Tasks[[#This Row],[_ShownFcstFinish]]&gt;=StatusDate,Tasks[[#This Row],[_ShownFcstFinish]]&lt;=LookaheadEnd),Tasks[[#This Row],[_ShownFcstFinish]]+Tasks[[#This Row],[_Row]]/100000,"")</f>
        <v/>
      </c>
      <c r="ER200" s="32" t="str">
        <f aca="false">IF(Tasks[[#This Row],[_LeafCritical]],Tasks[[#This Row],[_ShownFcstStart]]+Tasks[[#This Row],[_Row]]/100000,"")</f>
        <v/>
      </c>
      <c r="ES200" s="32" t="n">
        <f aca="false">Tasks[[#This Row],[_LeafWork]]*Tasks[[#This Row],[_LeafProgress]]</f>
        <v>0</v>
      </c>
      <c r="ET200" s="115" t="str">
        <f aca="false">IF(AND(Tasks[[#This Row],[_IsLeaf]]=1,Tasks[[#This Row],[_LeafProgress]]&gt;=1),IF(N(Tasks[[#This Row],[Actual Finish]])&gt;0,Tasks[[#This Row],[Actual Finish]],Tasks[[#This Row],[_ShownFcstFinish]]),"")</f>
        <v/>
      </c>
      <c r="EU200" s="32" t="n">
        <f aca="false">IF(Tasks[[#This Row],[_IsLeaf]]=1,N(Tasks[[#This Row],[Story Points]]),0)</f>
        <v>0</v>
      </c>
      <c r="EV200" s="32" t="str">
        <f aca="false">IF(AND(Tasks[[#This Row],[_IsLeaf]]=1,CurrentSprint&lt;&gt;"",Tasks[[#This Row],[Sprint]]=CurrentSprint),Tasks[[#This Row],[_Row]],"")</f>
        <v/>
      </c>
    </row>
    <row r="201" customFormat="false" ht="15" hidden="false" customHeight="false" outlineLevel="0" collapsed="false">
      <c r="A201" s="45" t="str">
        <f aca="false">IF(Tasks[[#This Row],[Task Name]]="","",COUNTA(Tasks[[#Headers],[Task Name]]:Tasks[[#This Row],[Task Name]])-1)</f>
        <v/>
      </c>
      <c r="B201" s="46" t="n">
        <v>196</v>
      </c>
      <c r="C201"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1" s="46"/>
      <c r="E201" s="45" t="str">
        <f aca="false">IF(Tasks[[#This Row],[Task Name]]="","",IF(Tasks[[#This Row],[_Level]]&lt;=OutlineShowLevel,"Yes","No"))</f>
        <v/>
      </c>
      <c r="F201" s="47"/>
      <c r="G201" s="46"/>
      <c r="H201" s="46"/>
      <c r="I201" s="46"/>
      <c r="J201" s="46"/>
      <c r="K201" s="46"/>
      <c r="L201" s="46"/>
      <c r="M201" s="46"/>
      <c r="N201" s="46"/>
      <c r="O201" s="46"/>
      <c r="P201" s="46"/>
      <c r="Q201" s="46"/>
      <c r="R201" s="46"/>
      <c r="S201" s="46"/>
      <c r="T201" s="46"/>
      <c r="U201" s="47"/>
      <c r="V201" s="88"/>
      <c r="W201" s="88"/>
      <c r="X201" s="25" t="str">
        <f aca="false">IF(Tasks[[#This Row],[Task Name]]="","",IF(N(Tasks[[#This Row],[Baseline Start]])&gt;0,Tasks[[#This Row],[Baseline Start]],Tasks[[#This Row],[_CalcStart]]))</f>
        <v/>
      </c>
      <c r="Y201" s="25" t="str">
        <f aca="false">IF(Tasks[[#This Row],[Task Name]]="","",IF(N(Tasks[[#This Row],[Baseline Finish]])&gt;0,Tasks[[#This Row],[Baseline Finish]],Tasks[[#This Row],[_CalcFinish]]))</f>
        <v/>
      </c>
      <c r="Z201" s="88"/>
      <c r="AA201" s="88"/>
      <c r="AB201" s="25" t="str">
        <f aca="false">IF(Tasks[[#This Row],[Task Name]]="","",IF(Tasks[[#This Row],[_IsSummary]],MIN(INDEX(Tasks[_ShownFcstStart],Tasks[[#This Row],[_Row]]+1):INDEX(Tasks[_ShownFcstStart],Tasks[[#This Row],[_Row]]+Tasks[[#This Row],[_Descendants]])),Tasks[[#This Row],[_ShownFcstStart]]))</f>
        <v/>
      </c>
      <c r="AC201" s="25" t="str">
        <f aca="false">IF(Tasks[[#This Row],[Task Name]]="","",IF(Tasks[[#This Row],[_IsSummary]],MAX(INDEX(Tasks[_ShownFcstFinish],Tasks[[#This Row],[_Row]]+1):INDEX(Tasks[_ShownFcstFinish],Tasks[[#This Row],[_Row]]+Tasks[[#This Row],[_Descendants]])),Tasks[[#This Row],[_ShownFcstFinish]]))</f>
        <v/>
      </c>
      <c r="AD201"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1"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1" s="25" t="str">
        <f aca="false">IF(Tasks[[#This Row],[Task Name]]="","",IF(Tasks[[#This Row],[_IsSummary]],MIN(INDEX(Tasks[_LeafLateStart],Tasks[[#This Row],[_Row]]+1):INDEX(Tasks[_LeafLateStart],Tasks[[#This Row],[_Row]]+Tasks[[#This Row],[_Descendants]])),Tasks[[#This Row],[_LeafLateStart]]))</f>
        <v/>
      </c>
      <c r="AG201" s="25" t="str">
        <f aca="false">IF(Tasks[[#This Row],[Task Name]]="","",IF(Tasks[[#This Row],[_IsSummary]],MAX(INDEX(Tasks[_LeafLateFinish],Tasks[[#This Row],[_Row]]+1):INDEX(Tasks[_LeafLateFinish],Tasks[[#This Row],[_Row]]+Tasks[[#This Row],[_Descendants]])),Tasks[[#This Row],[_LeafLateFinish]]))</f>
        <v/>
      </c>
      <c r="AH201" s="56" t="str">
        <f aca="false">IF(Tasks[[#This Row],[Task Name]]="","",IF(Tasks[[#This Row],[_IsSummary]],MIN(INDEX(Tasks[_LeafTotalSlack],Tasks[[#This Row],[_Row]]+1):INDEX(Tasks[_LeafTotalSlack],Tasks[[#This Row],[_Row]]+Tasks[[#This Row],[_Descendants]])),Tasks[[#This Row],[_LeafTotalSlack]]))</f>
        <v/>
      </c>
      <c r="AI201"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1" s="45" t="str">
        <f aca="false">IF(Tasks[[#This Row],[Task Name]]="","",IF(IF(Tasks[[#This Row],[_IsSummary]],COUNTIF(INDEX(Tasks[_LeafCritical],Tasks[[#This Row],[_Row]]+1):INDEX(Tasks[_LeafCritical],Tasks[[#This Row],[_Row]]+Tasks[[#This Row],[_Descendants]]),TRUE())&gt;0,Tasks[[#This Row],[_LeafCritical]]),"Yes",""))</f>
        <v/>
      </c>
      <c r="AK201"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1"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1" s="102"/>
      <c r="AN201"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1" s="45" t="str">
        <f aca="false">IF(Tasks[[#This Row],[Task Name]]="","",IF(Tasks[[#This Row],[Progress]]&gt;=1,"Complete",IF(OR(N(Tasks[[#This Row],[Actual Start]])&gt;0,Tasks[[#This Row],[Progress]]&gt;0),IF(Tasks[[#This Row],[Finish Var]]&gt;0,"Behind","In Progress"),IF(Tasks[[#This Row],[Planned Start]]&lt;StatusDate,"Late Start","Not Started"))))</f>
        <v/>
      </c>
      <c r="AP201" s="47"/>
      <c r="AQ201" s="102"/>
      <c r="AR201"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1"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1" s="110" t="str">
        <f aca="false">IF(Tasks[[#This Row],[Task Name]]="","",IF(Tasks[[#This Row],[_IsSummary]],SUM(INDEX(Tasks[_LeafTotalWork],Tasks[[#This Row],[_Row]]+1):INDEX(Tasks[_LeafTotalWork],Tasks[[#This Row],[_Row]]+Tasks[[#This Row],[_Descendants]])),Tasks[[#This Row],[_LeafTotalWork]]))</f>
        <v/>
      </c>
      <c r="AU201" s="111" t="str">
        <f aca="false">IF(Tasks[[#This Row],[Task Name]]="","",IF(Tasks[[#This Row],[_IsSummary]],SUM(INDEX(Tasks[_LeafTotalCost],Tasks[[#This Row],[_Row]]+1):INDEX(Tasks[_LeafTotalCost],Tasks[[#This Row],[_Row]]+Tasks[[#This Row],[_Descendants]])),Tasks[[#This Row],[_LeafTotalCost]]))</f>
        <v/>
      </c>
      <c r="AV201" s="112"/>
      <c r="AW201" s="46"/>
      <c r="AX201"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1" s="96"/>
      <c r="AZ201"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1" s="47"/>
      <c r="BB201" s="25" t="str">
        <f aca="false">IF(Tasks[[#This Row],[Task Name]]="","",Tasks[[#This Row],[Forecast Start]])</f>
        <v/>
      </c>
      <c r="BC201" s="25" t="str">
        <f aca="false">IF(Tasks[[#This Row],[Task Name]]="","",Tasks[[#This Row],[Forecast Finish]])</f>
        <v/>
      </c>
      <c r="BD201" s="45" t="str">
        <f aca="false">IF(Tasks[[#This Row],[Task Name]]="","",IF(Tasks[[#This Row],[_IsSummary]],NETWORKDAYS.INTL(Tasks[[#This Row],[Forecast Start]],Tasks[[#This Row],[Forecast Finish]],WorkWeek,Holidays),N(Tasks[[#This Row],[Duration]])))</f>
        <v/>
      </c>
      <c r="BE201" s="110" t="str">
        <f aca="false">IF(Tasks[[#This Row],[Task Name]]="","",Tasks[[#This Row],[Work]])</f>
        <v/>
      </c>
      <c r="BF201" s="111" t="str">
        <f aca="false">IF(Tasks[[#This Row],[Task Name]]="","",Tasks[[#This Row],[Cost]])</f>
        <v/>
      </c>
      <c r="BG201" s="88"/>
      <c r="BH201" s="88"/>
      <c r="BI201" s="46"/>
      <c r="BJ201" s="113"/>
      <c r="BK201" s="112"/>
      <c r="BL201" s="45" t="str">
        <f aca="false">IF(OR(Tasks[[#This Row],[Task Name]]="",Tasks[[#This Row],[Baseline Duration]]=""),"",Tasks[[#This Row],[BL Source Duration]]-N(Tasks[[#This Row],[Baseline Duration]]))</f>
        <v/>
      </c>
      <c r="BM201" s="110" t="str">
        <f aca="false">IF(OR(Tasks[[#This Row],[Task Name]]="",Tasks[[#This Row],[Baseline Work]]=""),"",Tasks[[#This Row],[Work]]-N(Tasks[[#This Row],[Baseline Work]]))</f>
        <v/>
      </c>
      <c r="BN201" s="111" t="str">
        <f aca="false">IF(OR(Tasks[[#This Row],[Task Name]]="",Tasks[[#This Row],[Baseline Cost]]=""),"",Tasks[[#This Row],[Cost]]-N(Tasks[[#This Row],[Baseline Cost]]))</f>
        <v/>
      </c>
      <c r="BO201" s="111" t="str">
        <f aca="false">IF(Tasks[[#This Row],[Task Name]]="","",IF(Tasks[[#This Row],[_IsSummary]],SUM(INDEX(Tasks[_LeafBudget],Tasks[[#This Row],[_Row]]+1):INDEX(Tasks[_LeafBudget],Tasks[[#This Row],[_Row]]+Tasks[[#This Row],[_Descendants]])),Tasks[[#This Row],[_LeafBudget]]))</f>
        <v/>
      </c>
      <c r="BP201" s="111" t="str">
        <f aca="false">IF(Tasks[[#This Row],[Task Name]]="","",IF(Tasks[[#This Row],[_IsSummary]],SUM(INDEX(Tasks[_LeafPV],Tasks[[#This Row],[_Row]]+1):INDEX(Tasks[_LeafPV],Tasks[[#This Row],[_Row]]+Tasks[[#This Row],[_Descendants]])),Tasks[[#This Row],[_LeafPV]]))</f>
        <v/>
      </c>
      <c r="BQ201" s="111" t="str">
        <f aca="false">IF(Tasks[[#This Row],[Task Name]]="","",IF(Tasks[[#This Row],[_IsSummary]],SUM(INDEX(Tasks[_LeafEV],Tasks[[#This Row],[_Row]]+1):INDEX(Tasks[_LeafEV],Tasks[[#This Row],[_Row]]+Tasks[[#This Row],[_Descendants]])),Tasks[[#This Row],[_LeafEV]]))</f>
        <v/>
      </c>
      <c r="BR201" s="111" t="str">
        <f aca="false">IF(Tasks[[#This Row],[Task Name]]="","",IF(Tasks[[#This Row],[_IsSummary]],SUM(INDEX(Tasks[_LeafAC],Tasks[[#This Row],[_Row]]+1):INDEX(Tasks[_LeafAC],Tasks[[#This Row],[_Row]]+Tasks[[#This Row],[_Descendants]])),Tasks[[#This Row],[_LeafAC]]))</f>
        <v/>
      </c>
      <c r="BS201" s="32" t="str">
        <f aca="false">IF(Tasks[[#This Row],[Task Name]]="","",MAX(1,N(Tasks[[#This Row],[Level]])))</f>
        <v/>
      </c>
      <c r="BT201" s="32" t="n">
        <f aca="false">ROW()-ROW(Tasks[[#Headers],[ID]])</f>
        <v>196</v>
      </c>
      <c r="BU201" s="32" t="n">
        <f aca="false">IF(OR(Tasks[[#This Row],[Task Name]]="",Tasks[[#This Row],[_Level]]&lt;=1),0,IFERROR(LOOKUP(2,1/(Tasks[[#Headers],[_Level]]:Tasks[[#This Row],[_Level]]=Tasks[[#This Row],[_Level]]-1),ROW(Tasks[[#Headers],[_Level]]:Tasks[[#This Row],[_Level]])),0))</f>
        <v>0</v>
      </c>
      <c r="BV201" s="32" t="n">
        <f aca="false">IFERROR(N(INDEX(Tasks[_Level],Tasks[[#This Row],[_Row]]+1)),0)</f>
        <v>0</v>
      </c>
      <c r="BW201" s="114" t="b">
        <f aca="false">AND(Tasks[[#This Row],[Task Name]]&lt;&gt;"",Tasks[[#This Row],[_NextLevel]]&gt;Tasks[[#This Row],[_Level]])</f>
        <v>0</v>
      </c>
      <c r="BX201" s="32" t="n">
        <f aca="false">IF(Tasks[[#This Row],[_IsSummary]],COUNTIF(Tasks[WBS],Tasks[[#This Row],[WBS]]&amp;".*"),0)</f>
        <v>0</v>
      </c>
      <c r="BY201" s="32" t="n">
        <f aca="false">IF(AND(Tasks[[#This Row],[Task Name]]&lt;&gt;"",NOT(Tasks[[#This Row],[_IsSummary]])),1,0)</f>
        <v>0</v>
      </c>
      <c r="BZ201" s="32" t="n">
        <f aca="false">IF(N(Tasks[[#This Row],[Pred1 UID]])=0,0,IFERROR(MATCH(Tasks[[#This Row],[Pred1 UID]],Tasks[UID],0),-1))</f>
        <v>0</v>
      </c>
      <c r="CA201" s="32" t="n">
        <f aca="false">IF(N(Tasks[[#This Row],[Pred2 UID]])=0,0,IFERROR(MATCH(Tasks[[#This Row],[Pred2 UID]],Tasks[UID],0),-1))</f>
        <v>0</v>
      </c>
      <c r="CB201" s="32" t="n">
        <f aca="false">IF(N(Tasks[[#This Row],[Pred3 UID]])=0,0,IFERROR(MATCH(Tasks[[#This Row],[Pred3 UID]],Tasks[UID],0),-1))</f>
        <v>0</v>
      </c>
      <c r="CC201" s="32" t="n">
        <f aca="false">IF(N(Tasks[[#This Row],[Pred4 UID]])=0,0,IFERROR(MATCH(Tasks[[#This Row],[Pred4 UID]],Tasks[UID],0),-1))</f>
        <v>0</v>
      </c>
      <c r="CD201"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1"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1" s="115" t="n">
        <f aca="false">IF(OR(Tasks[[#This Row],[_ConstraintCode]]=2,Tasks[[#This Row],[_ConstraintCode]]=3,Tasks[[#This Row],[_ConstraintCode]]=4,Tasks[[#This Row],[_ConstraintCode]]=6),Tasks[[#This Row],[_ConstraintStart]],0)</f>
        <v>0</v>
      </c>
      <c r="CG201" s="115" t="n">
        <f aca="false">IF(OR(Tasks[[#This Row],[_ConstraintCode]]=2,Tasks[[#This Row],[_ConstraintCode]]=3,Tasks[[#This Row],[_ConstraintCode]]=5,Tasks[[#This Row],[_ConstraintCode]]=7),Tasks[[#This Row],[_ConstraintStart]],2958465)</f>
        <v>2958465</v>
      </c>
      <c r="CH201"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1" s="115" t="str">
        <f aca="false">IF(NOT(Tasks[[#This Row],[_IsLeaf]]=1),"",IF(N(Tasks[[#This Row],[Duration]])&lt;=0,Tasks[[#This Row],[_LeafCalcStart]],WORKDAY.INTL(Tasks[[#This Row],[_LeafCalcStart]],Tasks[[#This Row],[Duration]]-1,WorkWeek,Holidays)))</f>
        <v/>
      </c>
      <c r="CJ201"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1"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1" s="32" t="n">
        <f aca="false">IF(NOT(Tasks[[#This Row],[_IsLeaf]]=1),0,IF(N(Tasks[[#This Row],[Actual Finish]])&gt;0,1,MIN(1,N(Tasks[[#This Row],[% Complete]]))))</f>
        <v>0</v>
      </c>
      <c r="CM201" s="32" t="n">
        <f aca="false">IF(OR(NOT(Tasks[[#This Row],[_IsLeaf]]=1),Tasks[[#This Row],[Resource]]=""),0,N(Tasks[[#This Row],[Duration]])*HoursPerDay*IF(Tasks[[#This Row],[Units]]="",DefaultUnits,Tasks[[#This Row],[Units]]))</f>
        <v>0</v>
      </c>
      <c r="CN201" s="32" t="n">
        <f aca="false">IF(Tasks[[#This Row],[_LeafWork]]=0,0,Tasks[[#This Row],[_LeafWork]]*IFERROR(INDEX(res_Rate,MATCH(Tasks[[#This Row],[Resource]],res_Name,0)),0))</f>
        <v>0</v>
      </c>
      <c r="CO201" s="32" t="n">
        <f aca="false">Tasks[[#This Row],[_LeafWork]]+IF(Tasks[[#This Row],[_IsLeaf]]=1,SUMIFS(asg_Work,asg_TaskUID,Tasks[[#This Row],[UID]],asg_Valid,1),0)</f>
        <v>0</v>
      </c>
      <c r="CP201" s="32" t="n">
        <f aca="false">Tasks[[#This Row],[_LeafCost]]+IF(Tasks[[#This Row],[_IsLeaf]]=1,SUMIFS(asg_Cost,asg_TaskUID,Tasks[[#This Row],[UID]],asg_Valid,1),0)</f>
        <v>0</v>
      </c>
      <c r="CQ201" s="32" t="n">
        <f aca="false">IF(Tasks[[#This Row],[_LeafTotalCost]]=0,Tasks[[#This Row],[_LeafAC]],Tasks[[#This Row],[_LeafAC]]*Tasks[[#This Row],[_LeafCost]]/Tasks[[#This Row],[_LeafTotalCost]])</f>
        <v>0</v>
      </c>
      <c r="CR201"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1"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1"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1"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1"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1"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1"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1"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1" s="32" t="n">
        <f aca="false">IF(NOT(Tasks[[#This Row],[_IsLeaf]]=1),0,MAX(_xlfn.MAXIFS(Tasks[_Row],Tasks[Pred1 UID],Tasks[[#This Row],[UID]]),_xlfn.MAXIFS(Tasks[_Row],Tasks[Pred2 UID],Tasks[[#This Row],[UID]]),_xlfn.MAXIFS(Tasks[_Row],Tasks[Pred3 UID],Tasks[[#This Row],[UID]]),_xlfn.MAXIFS(Tasks[_Row],Tasks[Pred4 UID],Tasks[[#This Row],[UID]])))</f>
        <v>0</v>
      </c>
      <c r="DA201"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1"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1" s="115" t="str">
        <f aca="false">IF(NOT(Tasks[[#This Row],[_IsLeaf]]=1),"",IF(N(Tasks[[#This Row],[Duration]])&lt;=0,Tasks[[#This Row],[_LeafLateFinish]],WORKDAY.INTL(Tasks[[#This Row],[_LeafLateFinish]],-(Tasks[[#This Row],[Duration]]-1),WorkWeek,Holidays)))</f>
        <v/>
      </c>
      <c r="DD201"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1" s="114" t="b">
        <f aca="false">AND(Tasks[[#This Row],[_IsLeaf]]=1,Tasks[[#This Row],[_LeafProgress]]&lt;1,N(Tasks[[#This Row],[_LeafTotalSlack]])&lt;=CriticalSlackDays)</f>
        <v>0</v>
      </c>
      <c r="DF201" s="32" t="n">
        <f aca="false">IF(AND(Tasks[[#This Row],[_IsLeaf]]=1,Tasks[[#This Row],[_ConstraintCode]]=1,Tasks[[#This Row],[Mode]]&lt;&gt;"Manual",N(Tasks[[#This Row],[Actual Start]])=0),MAX(0,N(Tasks[[#This Row],[Free Slack]])),0)</f>
        <v>0</v>
      </c>
      <c r="DG201" s="115" t="str">
        <f aca="false">IF(NOT(Tasks[[#This Row],[_IsLeaf]]=1),"",IF(Tasks[[#This Row],[_AlapShift]]=0,Tasks[[#This Row],[_LeafCalcStart]],WORKDAY.INTL(Tasks[[#This Row],[_LeafCalcStart]],Tasks[[#This Row],[_AlapShift]],WorkWeek,Holidays)))</f>
        <v/>
      </c>
      <c r="DH201" s="115" t="str">
        <f aca="false">IF(NOT(Tasks[[#This Row],[_IsLeaf]]=1),"",IF(Tasks[[#This Row],[_AlapShift]]=0,Tasks[[#This Row],[_LeafCalcFinish]],WORKDAY.INTL(Tasks[[#This Row],[_LeafCalcFinish]],Tasks[[#This Row],[_AlapShift]],WorkWeek,Holidays)))</f>
        <v/>
      </c>
      <c r="DI201" s="115" t="str">
        <f aca="false">IF(NOT(Tasks[[#This Row],[_IsLeaf]]=1),"",IF(Tasks[[#This Row],[_AlapShift]]=0,Tasks[[#This Row],[_LeafFcstStart]],WORKDAY.INTL(Tasks[[#This Row],[_LeafFcstStart]],Tasks[[#This Row],[_AlapShift]],WorkWeek,Holidays)))</f>
        <v/>
      </c>
      <c r="DJ201" s="115" t="str">
        <f aca="false">IF(NOT(Tasks[[#This Row],[_IsLeaf]]=1),"",IF(Tasks[[#This Row],[_AlapShift]]=0,Tasks[[#This Row],[_LeafFcstFinish]],WORKDAY.INTL(Tasks[[#This Row],[_LeafFcstFinish]],Tasks[[#This Row],[_AlapShift]],WorkWeek,Holidays)))</f>
        <v/>
      </c>
      <c r="DK201" s="115" t="str">
        <f aca="false">IF(Tasks[[#This Row],[Task Name]]="","",IF(Tasks[[#This Row],[_IsSummary]],MIN(INDEX(Tasks[_ShownCalcStart],Tasks[[#This Row],[_Row]]+1):INDEX(Tasks[_ShownCalcStart],Tasks[[#This Row],[_Row]]+Tasks[[#This Row],[_Descendants]])),Tasks[[#This Row],[_ShownCalcStart]]))</f>
        <v/>
      </c>
      <c r="DL201" s="115" t="str">
        <f aca="false">IF(Tasks[[#This Row],[Task Name]]="","",IF(Tasks[[#This Row],[_IsSummary]],MAX(INDEX(Tasks[_ShownCalcFinish],Tasks[[#This Row],[_Row]]+1):INDEX(Tasks[_ShownCalcFinish],Tasks[[#This Row],[_Row]]+Tasks[[#This Row],[_Descendants]])),Tasks[[#This Row],[_ShownCalcFinish]]))</f>
        <v/>
      </c>
      <c r="DM201"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1"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1"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1"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1"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1"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1"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1"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1"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1"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1"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1"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1" s="32" t="n">
        <f aca="false">IF(AND(Tasks[[#This Row],[_IsLeaf]]=1,Tasks[[#This Row],[_LeafTotalWork]]&gt;0),NETWORKDAYS.INTL(ProjectStart,Tasks[[#This Row],[_ShownFcstStart]],WorkWeek,Holidays),0)</f>
        <v>0</v>
      </c>
      <c r="DZ201" s="32" t="n">
        <f aca="false">IF(AND(Tasks[[#This Row],[_IsLeaf]]=1,Tasks[[#This Row],[_LeafTotalWork]]&gt;0),MAX(Tasks[[#This Row],[_StartWorkday]],NETWORKDAYS.INTL(ProjectStart,Tasks[[#This Row],[_ShownFcstFinish]],WorkWeek,Holidays)),0)</f>
        <v>0</v>
      </c>
      <c r="EA201" s="32" t="n">
        <f aca="false">IF(AND(Tasks[[#This Row],[_IsLeaf]]=1,Tasks[[#This Row],[_LeafTotalWork]]&gt;0),Tasks[[#This Row],[_LeafWork]]/(Tasks[[#This Row],[_FinishWorkday]]-Tasks[[#This Row],[_StartWorkday]]+1),0)</f>
        <v>0</v>
      </c>
      <c r="EB201" s="32" t="n">
        <f aca="false">Tasks[[#This Row],[_WorkPerWorkday]]*(Tasks[[#This Row],[_StartWorkday]]-1)</f>
        <v>-0</v>
      </c>
      <c r="EC201" s="32" t="n">
        <f aca="false">IF(Tasks[[#This Row],[_IsLeaf]]=1,MAX(N(Tasks[[#This Row],[Duration]]),0.1),0)</f>
        <v>0</v>
      </c>
      <c r="ED201" s="32" t="n">
        <f aca="false">Tasks[[#This Row],[_WeightDur]]*Tasks[[#This Row],[_LeafProgress]]</f>
        <v>0</v>
      </c>
      <c r="EE201"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1" s="32" t="str">
        <f aca="false">IF(AND(Tasks[[#This Row],[_IsLeaf]]=1,N(Tasks[[#This Row],[Duration]])=0,Tasks[[#This Row],[_LeafProgress]]&lt;1),Tasks[[#This Row],[_ShownFcstFinish]]+Tasks[[#This Row],[_Row]]/100000,"")</f>
        <v/>
      </c>
      <c r="EG201"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1" s="32" t="n">
        <f aca="false">IF(NOT(Tasks[[#This Row],[_IsLeaf]]=1),0,IF(Tasks[[#This Row],[Baseline Cost]]="",Tasks[[#This Row],[_LeafTotalCost]],N(Tasks[[#This Row],[Baseline Cost]])))</f>
        <v>0</v>
      </c>
      <c r="EI201" s="32" t="n">
        <f aca="false">Tasks[[#This Row],[_LeafBudget]]*Tasks[[#This Row],[_PlannedPct]]</f>
        <v>0</v>
      </c>
      <c r="EJ201" s="32" t="n">
        <f aca="false">Tasks[[#This Row],[_LeafBudget]]*Tasks[[#This Row],[_LeafProgress]]</f>
        <v>0</v>
      </c>
      <c r="EK201" s="32" t="n">
        <f aca="false">IF(NOT(Tasks[[#This Row],[_IsLeaf]]=1),0,IF(Tasks[[#This Row],[Actual Cost]]="",Tasks[[#This Row],[_LeafTotalCost]]*Tasks[[#This Row],[_LeafProgress]],N(Tasks[[#This Row],[Actual Cost]])))</f>
        <v>0</v>
      </c>
      <c r="EL201" s="32" t="str">
        <f aca="false">IF(Tasks[[#This Row],[Task Name]]="","",LEFT(Tasks[[#This Row],[WBS]],FIND(".",Tasks[[#This Row],[WBS]]&amp;".")-1))</f>
        <v/>
      </c>
      <c r="EM201" s="32" t="str">
        <f aca="false">IF(AND(Tasks[[#This Row],[Task Name]]&lt;&gt;"",Tasks[[#This Row],[_Level]]=1),Tasks[[#This Row],[_Row]],"")</f>
        <v/>
      </c>
      <c r="EN201" s="32" t="str">
        <f aca="false">IF(AND(Tasks[[#This Row],[_IsLeaf]]=1,N(Tasks[[#This Row],[Duration]])=0),Tasks[[#This Row],[Planned Finish]]+Tasks[[#This Row],[_Row]]/100000,"")</f>
        <v/>
      </c>
      <c r="EO201" s="32" t="str">
        <f aca="false">IF(AND(Tasks[[#This Row],[_IsLeaf]]=1,Tasks[[#This Row],[_LeafProgress]]&lt;1,OR(N(Tasks[[#This Row],[Finish Var]])&gt;0,Tasks[[#This Row],[Status]]="Late Start")),MAX(0,Tasks[[#This Row],[Finish Var]])+1-Tasks[[#This Row],[_Row]]/1000000,"")</f>
        <v/>
      </c>
      <c r="EP201" s="32" t="str">
        <f aca="false">IF(AND(Tasks[[#This Row],[_IsLeaf]]=1,N(Tasks[[#This Row],[Actual Start]])=0,Tasks[[#This Row],[_ShownFcstStart]]&gt;=StatusDate,Tasks[[#This Row],[_ShownFcstStart]]&lt;=LookaheadEnd),Tasks[[#This Row],[_ShownFcstStart]]+Tasks[[#This Row],[_Row]]/100000,"")</f>
        <v/>
      </c>
      <c r="EQ201" s="32" t="str">
        <f aca="false">IF(AND(Tasks[[#This Row],[_IsLeaf]]=1,Tasks[[#This Row],[_LeafProgress]]&lt;1,Tasks[[#This Row],[_ShownFcstFinish]]&gt;=StatusDate,Tasks[[#This Row],[_ShownFcstFinish]]&lt;=LookaheadEnd),Tasks[[#This Row],[_ShownFcstFinish]]+Tasks[[#This Row],[_Row]]/100000,"")</f>
        <v/>
      </c>
      <c r="ER201" s="32" t="str">
        <f aca="false">IF(Tasks[[#This Row],[_LeafCritical]],Tasks[[#This Row],[_ShownFcstStart]]+Tasks[[#This Row],[_Row]]/100000,"")</f>
        <v/>
      </c>
      <c r="ES201" s="32" t="n">
        <f aca="false">Tasks[[#This Row],[_LeafWork]]*Tasks[[#This Row],[_LeafProgress]]</f>
        <v>0</v>
      </c>
      <c r="ET201" s="115" t="str">
        <f aca="false">IF(AND(Tasks[[#This Row],[_IsLeaf]]=1,Tasks[[#This Row],[_LeafProgress]]&gt;=1),IF(N(Tasks[[#This Row],[Actual Finish]])&gt;0,Tasks[[#This Row],[Actual Finish]],Tasks[[#This Row],[_ShownFcstFinish]]),"")</f>
        <v/>
      </c>
      <c r="EU201" s="32" t="n">
        <f aca="false">IF(Tasks[[#This Row],[_IsLeaf]]=1,N(Tasks[[#This Row],[Story Points]]),0)</f>
        <v>0</v>
      </c>
      <c r="EV201" s="32" t="str">
        <f aca="false">IF(AND(Tasks[[#This Row],[_IsLeaf]]=1,CurrentSprint&lt;&gt;"",Tasks[[#This Row],[Sprint]]=CurrentSprint),Tasks[[#This Row],[_Row]],"")</f>
        <v/>
      </c>
    </row>
    <row r="202" customFormat="false" ht="15" hidden="false" customHeight="false" outlineLevel="0" collapsed="false">
      <c r="A202" s="45" t="str">
        <f aca="false">IF(Tasks[[#This Row],[Task Name]]="","",COUNTA(Tasks[[#Headers],[Task Name]]:Tasks[[#This Row],[Task Name]])-1)</f>
        <v/>
      </c>
      <c r="B202" s="46" t="n">
        <v>197</v>
      </c>
      <c r="C202"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2" s="46"/>
      <c r="E202" s="45" t="str">
        <f aca="false">IF(Tasks[[#This Row],[Task Name]]="","",IF(Tasks[[#This Row],[_Level]]&lt;=OutlineShowLevel,"Yes","No"))</f>
        <v/>
      </c>
      <c r="F202" s="47"/>
      <c r="G202" s="46"/>
      <c r="H202" s="46"/>
      <c r="I202" s="46"/>
      <c r="J202" s="46"/>
      <c r="K202" s="46"/>
      <c r="L202" s="46"/>
      <c r="M202" s="46"/>
      <c r="N202" s="46"/>
      <c r="O202" s="46"/>
      <c r="P202" s="46"/>
      <c r="Q202" s="46"/>
      <c r="R202" s="46"/>
      <c r="S202" s="46"/>
      <c r="T202" s="46"/>
      <c r="U202" s="47"/>
      <c r="V202" s="88"/>
      <c r="W202" s="88"/>
      <c r="X202" s="25" t="str">
        <f aca="false">IF(Tasks[[#This Row],[Task Name]]="","",IF(N(Tasks[[#This Row],[Baseline Start]])&gt;0,Tasks[[#This Row],[Baseline Start]],Tasks[[#This Row],[_CalcStart]]))</f>
        <v/>
      </c>
      <c r="Y202" s="25" t="str">
        <f aca="false">IF(Tasks[[#This Row],[Task Name]]="","",IF(N(Tasks[[#This Row],[Baseline Finish]])&gt;0,Tasks[[#This Row],[Baseline Finish]],Tasks[[#This Row],[_CalcFinish]]))</f>
        <v/>
      </c>
      <c r="Z202" s="88"/>
      <c r="AA202" s="88"/>
      <c r="AB202" s="25" t="str">
        <f aca="false">IF(Tasks[[#This Row],[Task Name]]="","",IF(Tasks[[#This Row],[_IsSummary]],MIN(INDEX(Tasks[_ShownFcstStart],Tasks[[#This Row],[_Row]]+1):INDEX(Tasks[_ShownFcstStart],Tasks[[#This Row],[_Row]]+Tasks[[#This Row],[_Descendants]])),Tasks[[#This Row],[_ShownFcstStart]]))</f>
        <v/>
      </c>
      <c r="AC202" s="25" t="str">
        <f aca="false">IF(Tasks[[#This Row],[Task Name]]="","",IF(Tasks[[#This Row],[_IsSummary]],MAX(INDEX(Tasks[_ShownFcstFinish],Tasks[[#This Row],[_Row]]+1):INDEX(Tasks[_ShownFcstFinish],Tasks[[#This Row],[_Row]]+Tasks[[#This Row],[_Descendants]])),Tasks[[#This Row],[_ShownFcstFinish]]))</f>
        <v/>
      </c>
      <c r="AD202"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2"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2" s="25" t="str">
        <f aca="false">IF(Tasks[[#This Row],[Task Name]]="","",IF(Tasks[[#This Row],[_IsSummary]],MIN(INDEX(Tasks[_LeafLateStart],Tasks[[#This Row],[_Row]]+1):INDEX(Tasks[_LeafLateStart],Tasks[[#This Row],[_Row]]+Tasks[[#This Row],[_Descendants]])),Tasks[[#This Row],[_LeafLateStart]]))</f>
        <v/>
      </c>
      <c r="AG202" s="25" t="str">
        <f aca="false">IF(Tasks[[#This Row],[Task Name]]="","",IF(Tasks[[#This Row],[_IsSummary]],MAX(INDEX(Tasks[_LeafLateFinish],Tasks[[#This Row],[_Row]]+1):INDEX(Tasks[_LeafLateFinish],Tasks[[#This Row],[_Row]]+Tasks[[#This Row],[_Descendants]])),Tasks[[#This Row],[_LeafLateFinish]]))</f>
        <v/>
      </c>
      <c r="AH202" s="56" t="str">
        <f aca="false">IF(Tasks[[#This Row],[Task Name]]="","",IF(Tasks[[#This Row],[_IsSummary]],MIN(INDEX(Tasks[_LeafTotalSlack],Tasks[[#This Row],[_Row]]+1):INDEX(Tasks[_LeafTotalSlack],Tasks[[#This Row],[_Row]]+Tasks[[#This Row],[_Descendants]])),Tasks[[#This Row],[_LeafTotalSlack]]))</f>
        <v/>
      </c>
      <c r="AI202"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2" s="45" t="str">
        <f aca="false">IF(Tasks[[#This Row],[Task Name]]="","",IF(IF(Tasks[[#This Row],[_IsSummary]],COUNTIF(INDEX(Tasks[_LeafCritical],Tasks[[#This Row],[_Row]]+1):INDEX(Tasks[_LeafCritical],Tasks[[#This Row],[_Row]]+Tasks[[#This Row],[_Descendants]]),TRUE())&gt;0,Tasks[[#This Row],[_LeafCritical]]),"Yes",""))</f>
        <v/>
      </c>
      <c r="AK202"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2"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2" s="102"/>
      <c r="AN202"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2" s="45" t="str">
        <f aca="false">IF(Tasks[[#This Row],[Task Name]]="","",IF(Tasks[[#This Row],[Progress]]&gt;=1,"Complete",IF(OR(N(Tasks[[#This Row],[Actual Start]])&gt;0,Tasks[[#This Row],[Progress]]&gt;0),IF(Tasks[[#This Row],[Finish Var]]&gt;0,"Behind","In Progress"),IF(Tasks[[#This Row],[Planned Start]]&lt;StatusDate,"Late Start","Not Started"))))</f>
        <v/>
      </c>
      <c r="AP202" s="47"/>
      <c r="AQ202" s="102"/>
      <c r="AR202"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2"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2" s="110" t="str">
        <f aca="false">IF(Tasks[[#This Row],[Task Name]]="","",IF(Tasks[[#This Row],[_IsSummary]],SUM(INDEX(Tasks[_LeafTotalWork],Tasks[[#This Row],[_Row]]+1):INDEX(Tasks[_LeafTotalWork],Tasks[[#This Row],[_Row]]+Tasks[[#This Row],[_Descendants]])),Tasks[[#This Row],[_LeafTotalWork]]))</f>
        <v/>
      </c>
      <c r="AU202" s="111" t="str">
        <f aca="false">IF(Tasks[[#This Row],[Task Name]]="","",IF(Tasks[[#This Row],[_IsSummary]],SUM(INDEX(Tasks[_LeafTotalCost],Tasks[[#This Row],[_Row]]+1):INDEX(Tasks[_LeafTotalCost],Tasks[[#This Row],[_Row]]+Tasks[[#This Row],[_Descendants]])),Tasks[[#This Row],[_LeafTotalCost]]))</f>
        <v/>
      </c>
      <c r="AV202" s="112"/>
      <c r="AW202" s="46"/>
      <c r="AX202"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2" s="96"/>
      <c r="AZ202"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2" s="47"/>
      <c r="BB202" s="25" t="str">
        <f aca="false">IF(Tasks[[#This Row],[Task Name]]="","",Tasks[[#This Row],[Forecast Start]])</f>
        <v/>
      </c>
      <c r="BC202" s="25" t="str">
        <f aca="false">IF(Tasks[[#This Row],[Task Name]]="","",Tasks[[#This Row],[Forecast Finish]])</f>
        <v/>
      </c>
      <c r="BD202" s="45" t="str">
        <f aca="false">IF(Tasks[[#This Row],[Task Name]]="","",IF(Tasks[[#This Row],[_IsSummary]],NETWORKDAYS.INTL(Tasks[[#This Row],[Forecast Start]],Tasks[[#This Row],[Forecast Finish]],WorkWeek,Holidays),N(Tasks[[#This Row],[Duration]])))</f>
        <v/>
      </c>
      <c r="BE202" s="110" t="str">
        <f aca="false">IF(Tasks[[#This Row],[Task Name]]="","",Tasks[[#This Row],[Work]])</f>
        <v/>
      </c>
      <c r="BF202" s="111" t="str">
        <f aca="false">IF(Tasks[[#This Row],[Task Name]]="","",Tasks[[#This Row],[Cost]])</f>
        <v/>
      </c>
      <c r="BG202" s="88"/>
      <c r="BH202" s="88"/>
      <c r="BI202" s="46"/>
      <c r="BJ202" s="113"/>
      <c r="BK202" s="112"/>
      <c r="BL202" s="45" t="str">
        <f aca="false">IF(OR(Tasks[[#This Row],[Task Name]]="",Tasks[[#This Row],[Baseline Duration]]=""),"",Tasks[[#This Row],[BL Source Duration]]-N(Tasks[[#This Row],[Baseline Duration]]))</f>
        <v/>
      </c>
      <c r="BM202" s="110" t="str">
        <f aca="false">IF(OR(Tasks[[#This Row],[Task Name]]="",Tasks[[#This Row],[Baseline Work]]=""),"",Tasks[[#This Row],[Work]]-N(Tasks[[#This Row],[Baseline Work]]))</f>
        <v/>
      </c>
      <c r="BN202" s="111" t="str">
        <f aca="false">IF(OR(Tasks[[#This Row],[Task Name]]="",Tasks[[#This Row],[Baseline Cost]]=""),"",Tasks[[#This Row],[Cost]]-N(Tasks[[#This Row],[Baseline Cost]]))</f>
        <v/>
      </c>
      <c r="BO202" s="111" t="str">
        <f aca="false">IF(Tasks[[#This Row],[Task Name]]="","",IF(Tasks[[#This Row],[_IsSummary]],SUM(INDEX(Tasks[_LeafBudget],Tasks[[#This Row],[_Row]]+1):INDEX(Tasks[_LeafBudget],Tasks[[#This Row],[_Row]]+Tasks[[#This Row],[_Descendants]])),Tasks[[#This Row],[_LeafBudget]]))</f>
        <v/>
      </c>
      <c r="BP202" s="111" t="str">
        <f aca="false">IF(Tasks[[#This Row],[Task Name]]="","",IF(Tasks[[#This Row],[_IsSummary]],SUM(INDEX(Tasks[_LeafPV],Tasks[[#This Row],[_Row]]+1):INDEX(Tasks[_LeafPV],Tasks[[#This Row],[_Row]]+Tasks[[#This Row],[_Descendants]])),Tasks[[#This Row],[_LeafPV]]))</f>
        <v/>
      </c>
      <c r="BQ202" s="111" t="str">
        <f aca="false">IF(Tasks[[#This Row],[Task Name]]="","",IF(Tasks[[#This Row],[_IsSummary]],SUM(INDEX(Tasks[_LeafEV],Tasks[[#This Row],[_Row]]+1):INDEX(Tasks[_LeafEV],Tasks[[#This Row],[_Row]]+Tasks[[#This Row],[_Descendants]])),Tasks[[#This Row],[_LeafEV]]))</f>
        <v/>
      </c>
      <c r="BR202" s="111" t="str">
        <f aca="false">IF(Tasks[[#This Row],[Task Name]]="","",IF(Tasks[[#This Row],[_IsSummary]],SUM(INDEX(Tasks[_LeafAC],Tasks[[#This Row],[_Row]]+1):INDEX(Tasks[_LeafAC],Tasks[[#This Row],[_Row]]+Tasks[[#This Row],[_Descendants]])),Tasks[[#This Row],[_LeafAC]]))</f>
        <v/>
      </c>
      <c r="BS202" s="32" t="str">
        <f aca="false">IF(Tasks[[#This Row],[Task Name]]="","",MAX(1,N(Tasks[[#This Row],[Level]])))</f>
        <v/>
      </c>
      <c r="BT202" s="32" t="n">
        <f aca="false">ROW()-ROW(Tasks[[#Headers],[ID]])</f>
        <v>197</v>
      </c>
      <c r="BU202" s="32" t="n">
        <f aca="false">IF(OR(Tasks[[#This Row],[Task Name]]="",Tasks[[#This Row],[_Level]]&lt;=1),0,IFERROR(LOOKUP(2,1/(Tasks[[#Headers],[_Level]]:Tasks[[#This Row],[_Level]]=Tasks[[#This Row],[_Level]]-1),ROW(Tasks[[#Headers],[_Level]]:Tasks[[#This Row],[_Level]])),0))</f>
        <v>0</v>
      </c>
      <c r="BV202" s="32" t="n">
        <f aca="false">IFERROR(N(INDEX(Tasks[_Level],Tasks[[#This Row],[_Row]]+1)),0)</f>
        <v>0</v>
      </c>
      <c r="BW202" s="114" t="b">
        <f aca="false">AND(Tasks[[#This Row],[Task Name]]&lt;&gt;"",Tasks[[#This Row],[_NextLevel]]&gt;Tasks[[#This Row],[_Level]])</f>
        <v>0</v>
      </c>
      <c r="BX202" s="32" t="n">
        <f aca="false">IF(Tasks[[#This Row],[_IsSummary]],COUNTIF(Tasks[WBS],Tasks[[#This Row],[WBS]]&amp;".*"),0)</f>
        <v>0</v>
      </c>
      <c r="BY202" s="32" t="n">
        <f aca="false">IF(AND(Tasks[[#This Row],[Task Name]]&lt;&gt;"",NOT(Tasks[[#This Row],[_IsSummary]])),1,0)</f>
        <v>0</v>
      </c>
      <c r="BZ202" s="32" t="n">
        <f aca="false">IF(N(Tasks[[#This Row],[Pred1 UID]])=0,0,IFERROR(MATCH(Tasks[[#This Row],[Pred1 UID]],Tasks[UID],0),-1))</f>
        <v>0</v>
      </c>
      <c r="CA202" s="32" t="n">
        <f aca="false">IF(N(Tasks[[#This Row],[Pred2 UID]])=0,0,IFERROR(MATCH(Tasks[[#This Row],[Pred2 UID]],Tasks[UID],0),-1))</f>
        <v>0</v>
      </c>
      <c r="CB202" s="32" t="n">
        <f aca="false">IF(N(Tasks[[#This Row],[Pred3 UID]])=0,0,IFERROR(MATCH(Tasks[[#This Row],[Pred3 UID]],Tasks[UID],0),-1))</f>
        <v>0</v>
      </c>
      <c r="CC202" s="32" t="n">
        <f aca="false">IF(N(Tasks[[#This Row],[Pred4 UID]])=0,0,IFERROR(MATCH(Tasks[[#This Row],[Pred4 UID]],Tasks[UID],0),-1))</f>
        <v>0</v>
      </c>
      <c r="CD202"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2"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2" s="115" t="n">
        <f aca="false">IF(OR(Tasks[[#This Row],[_ConstraintCode]]=2,Tasks[[#This Row],[_ConstraintCode]]=3,Tasks[[#This Row],[_ConstraintCode]]=4,Tasks[[#This Row],[_ConstraintCode]]=6),Tasks[[#This Row],[_ConstraintStart]],0)</f>
        <v>0</v>
      </c>
      <c r="CG202" s="115" t="n">
        <f aca="false">IF(OR(Tasks[[#This Row],[_ConstraintCode]]=2,Tasks[[#This Row],[_ConstraintCode]]=3,Tasks[[#This Row],[_ConstraintCode]]=5,Tasks[[#This Row],[_ConstraintCode]]=7),Tasks[[#This Row],[_ConstraintStart]],2958465)</f>
        <v>2958465</v>
      </c>
      <c r="CH202"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2" s="115" t="str">
        <f aca="false">IF(NOT(Tasks[[#This Row],[_IsLeaf]]=1),"",IF(N(Tasks[[#This Row],[Duration]])&lt;=0,Tasks[[#This Row],[_LeafCalcStart]],WORKDAY.INTL(Tasks[[#This Row],[_LeafCalcStart]],Tasks[[#This Row],[Duration]]-1,WorkWeek,Holidays)))</f>
        <v/>
      </c>
      <c r="CJ202"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2"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2" s="32" t="n">
        <f aca="false">IF(NOT(Tasks[[#This Row],[_IsLeaf]]=1),0,IF(N(Tasks[[#This Row],[Actual Finish]])&gt;0,1,MIN(1,N(Tasks[[#This Row],[% Complete]]))))</f>
        <v>0</v>
      </c>
      <c r="CM202" s="32" t="n">
        <f aca="false">IF(OR(NOT(Tasks[[#This Row],[_IsLeaf]]=1),Tasks[[#This Row],[Resource]]=""),0,N(Tasks[[#This Row],[Duration]])*HoursPerDay*IF(Tasks[[#This Row],[Units]]="",DefaultUnits,Tasks[[#This Row],[Units]]))</f>
        <v>0</v>
      </c>
      <c r="CN202" s="32" t="n">
        <f aca="false">IF(Tasks[[#This Row],[_LeafWork]]=0,0,Tasks[[#This Row],[_LeafWork]]*IFERROR(INDEX(res_Rate,MATCH(Tasks[[#This Row],[Resource]],res_Name,0)),0))</f>
        <v>0</v>
      </c>
      <c r="CO202" s="32" t="n">
        <f aca="false">Tasks[[#This Row],[_LeafWork]]+IF(Tasks[[#This Row],[_IsLeaf]]=1,SUMIFS(asg_Work,asg_TaskUID,Tasks[[#This Row],[UID]],asg_Valid,1),0)</f>
        <v>0</v>
      </c>
      <c r="CP202" s="32" t="n">
        <f aca="false">Tasks[[#This Row],[_LeafCost]]+IF(Tasks[[#This Row],[_IsLeaf]]=1,SUMIFS(asg_Cost,asg_TaskUID,Tasks[[#This Row],[UID]],asg_Valid,1),0)</f>
        <v>0</v>
      </c>
      <c r="CQ202" s="32" t="n">
        <f aca="false">IF(Tasks[[#This Row],[_LeafTotalCost]]=0,Tasks[[#This Row],[_LeafAC]],Tasks[[#This Row],[_LeafAC]]*Tasks[[#This Row],[_LeafCost]]/Tasks[[#This Row],[_LeafTotalCost]])</f>
        <v>0</v>
      </c>
      <c r="CR202"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2"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2"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2"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2"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2"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2"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2"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2" s="32" t="n">
        <f aca="false">IF(NOT(Tasks[[#This Row],[_IsLeaf]]=1),0,MAX(_xlfn.MAXIFS(Tasks[_Row],Tasks[Pred1 UID],Tasks[[#This Row],[UID]]),_xlfn.MAXIFS(Tasks[_Row],Tasks[Pred2 UID],Tasks[[#This Row],[UID]]),_xlfn.MAXIFS(Tasks[_Row],Tasks[Pred3 UID],Tasks[[#This Row],[UID]]),_xlfn.MAXIFS(Tasks[_Row],Tasks[Pred4 UID],Tasks[[#This Row],[UID]])))</f>
        <v>0</v>
      </c>
      <c r="DA202"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2"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2" s="115" t="str">
        <f aca="false">IF(NOT(Tasks[[#This Row],[_IsLeaf]]=1),"",IF(N(Tasks[[#This Row],[Duration]])&lt;=0,Tasks[[#This Row],[_LeafLateFinish]],WORKDAY.INTL(Tasks[[#This Row],[_LeafLateFinish]],-(Tasks[[#This Row],[Duration]]-1),WorkWeek,Holidays)))</f>
        <v/>
      </c>
      <c r="DD202"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2" s="114" t="b">
        <f aca="false">AND(Tasks[[#This Row],[_IsLeaf]]=1,Tasks[[#This Row],[_LeafProgress]]&lt;1,N(Tasks[[#This Row],[_LeafTotalSlack]])&lt;=CriticalSlackDays)</f>
        <v>0</v>
      </c>
      <c r="DF202" s="32" t="n">
        <f aca="false">IF(AND(Tasks[[#This Row],[_IsLeaf]]=1,Tasks[[#This Row],[_ConstraintCode]]=1,Tasks[[#This Row],[Mode]]&lt;&gt;"Manual",N(Tasks[[#This Row],[Actual Start]])=0),MAX(0,N(Tasks[[#This Row],[Free Slack]])),0)</f>
        <v>0</v>
      </c>
      <c r="DG202" s="115" t="str">
        <f aca="false">IF(NOT(Tasks[[#This Row],[_IsLeaf]]=1),"",IF(Tasks[[#This Row],[_AlapShift]]=0,Tasks[[#This Row],[_LeafCalcStart]],WORKDAY.INTL(Tasks[[#This Row],[_LeafCalcStart]],Tasks[[#This Row],[_AlapShift]],WorkWeek,Holidays)))</f>
        <v/>
      </c>
      <c r="DH202" s="115" t="str">
        <f aca="false">IF(NOT(Tasks[[#This Row],[_IsLeaf]]=1),"",IF(Tasks[[#This Row],[_AlapShift]]=0,Tasks[[#This Row],[_LeafCalcFinish]],WORKDAY.INTL(Tasks[[#This Row],[_LeafCalcFinish]],Tasks[[#This Row],[_AlapShift]],WorkWeek,Holidays)))</f>
        <v/>
      </c>
      <c r="DI202" s="115" t="str">
        <f aca="false">IF(NOT(Tasks[[#This Row],[_IsLeaf]]=1),"",IF(Tasks[[#This Row],[_AlapShift]]=0,Tasks[[#This Row],[_LeafFcstStart]],WORKDAY.INTL(Tasks[[#This Row],[_LeafFcstStart]],Tasks[[#This Row],[_AlapShift]],WorkWeek,Holidays)))</f>
        <v/>
      </c>
      <c r="DJ202" s="115" t="str">
        <f aca="false">IF(NOT(Tasks[[#This Row],[_IsLeaf]]=1),"",IF(Tasks[[#This Row],[_AlapShift]]=0,Tasks[[#This Row],[_LeafFcstFinish]],WORKDAY.INTL(Tasks[[#This Row],[_LeafFcstFinish]],Tasks[[#This Row],[_AlapShift]],WorkWeek,Holidays)))</f>
        <v/>
      </c>
      <c r="DK202" s="115" t="str">
        <f aca="false">IF(Tasks[[#This Row],[Task Name]]="","",IF(Tasks[[#This Row],[_IsSummary]],MIN(INDEX(Tasks[_ShownCalcStart],Tasks[[#This Row],[_Row]]+1):INDEX(Tasks[_ShownCalcStart],Tasks[[#This Row],[_Row]]+Tasks[[#This Row],[_Descendants]])),Tasks[[#This Row],[_ShownCalcStart]]))</f>
        <v/>
      </c>
      <c r="DL202" s="115" t="str">
        <f aca="false">IF(Tasks[[#This Row],[Task Name]]="","",IF(Tasks[[#This Row],[_IsSummary]],MAX(INDEX(Tasks[_ShownCalcFinish],Tasks[[#This Row],[_Row]]+1):INDEX(Tasks[_ShownCalcFinish],Tasks[[#This Row],[_Row]]+Tasks[[#This Row],[_Descendants]])),Tasks[[#This Row],[_ShownCalcFinish]]))</f>
        <v/>
      </c>
      <c r="DM202"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2"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2"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2"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2"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2"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2"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2"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2"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2"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2"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2"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2" s="32" t="n">
        <f aca="false">IF(AND(Tasks[[#This Row],[_IsLeaf]]=1,Tasks[[#This Row],[_LeafTotalWork]]&gt;0),NETWORKDAYS.INTL(ProjectStart,Tasks[[#This Row],[_ShownFcstStart]],WorkWeek,Holidays),0)</f>
        <v>0</v>
      </c>
      <c r="DZ202" s="32" t="n">
        <f aca="false">IF(AND(Tasks[[#This Row],[_IsLeaf]]=1,Tasks[[#This Row],[_LeafTotalWork]]&gt;0),MAX(Tasks[[#This Row],[_StartWorkday]],NETWORKDAYS.INTL(ProjectStart,Tasks[[#This Row],[_ShownFcstFinish]],WorkWeek,Holidays)),0)</f>
        <v>0</v>
      </c>
      <c r="EA202" s="32" t="n">
        <f aca="false">IF(AND(Tasks[[#This Row],[_IsLeaf]]=1,Tasks[[#This Row],[_LeafTotalWork]]&gt;0),Tasks[[#This Row],[_LeafWork]]/(Tasks[[#This Row],[_FinishWorkday]]-Tasks[[#This Row],[_StartWorkday]]+1),0)</f>
        <v>0</v>
      </c>
      <c r="EB202" s="32" t="n">
        <f aca="false">Tasks[[#This Row],[_WorkPerWorkday]]*(Tasks[[#This Row],[_StartWorkday]]-1)</f>
        <v>-0</v>
      </c>
      <c r="EC202" s="32" t="n">
        <f aca="false">IF(Tasks[[#This Row],[_IsLeaf]]=1,MAX(N(Tasks[[#This Row],[Duration]]),0.1),0)</f>
        <v>0</v>
      </c>
      <c r="ED202" s="32" t="n">
        <f aca="false">Tasks[[#This Row],[_WeightDur]]*Tasks[[#This Row],[_LeafProgress]]</f>
        <v>0</v>
      </c>
      <c r="EE202"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2" s="32" t="str">
        <f aca="false">IF(AND(Tasks[[#This Row],[_IsLeaf]]=1,N(Tasks[[#This Row],[Duration]])=0,Tasks[[#This Row],[_LeafProgress]]&lt;1),Tasks[[#This Row],[_ShownFcstFinish]]+Tasks[[#This Row],[_Row]]/100000,"")</f>
        <v/>
      </c>
      <c r="EG202"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2" s="32" t="n">
        <f aca="false">IF(NOT(Tasks[[#This Row],[_IsLeaf]]=1),0,IF(Tasks[[#This Row],[Baseline Cost]]="",Tasks[[#This Row],[_LeafTotalCost]],N(Tasks[[#This Row],[Baseline Cost]])))</f>
        <v>0</v>
      </c>
      <c r="EI202" s="32" t="n">
        <f aca="false">Tasks[[#This Row],[_LeafBudget]]*Tasks[[#This Row],[_PlannedPct]]</f>
        <v>0</v>
      </c>
      <c r="EJ202" s="32" t="n">
        <f aca="false">Tasks[[#This Row],[_LeafBudget]]*Tasks[[#This Row],[_LeafProgress]]</f>
        <v>0</v>
      </c>
      <c r="EK202" s="32" t="n">
        <f aca="false">IF(NOT(Tasks[[#This Row],[_IsLeaf]]=1),0,IF(Tasks[[#This Row],[Actual Cost]]="",Tasks[[#This Row],[_LeafTotalCost]]*Tasks[[#This Row],[_LeafProgress]],N(Tasks[[#This Row],[Actual Cost]])))</f>
        <v>0</v>
      </c>
      <c r="EL202" s="32" t="str">
        <f aca="false">IF(Tasks[[#This Row],[Task Name]]="","",LEFT(Tasks[[#This Row],[WBS]],FIND(".",Tasks[[#This Row],[WBS]]&amp;".")-1))</f>
        <v/>
      </c>
      <c r="EM202" s="32" t="str">
        <f aca="false">IF(AND(Tasks[[#This Row],[Task Name]]&lt;&gt;"",Tasks[[#This Row],[_Level]]=1),Tasks[[#This Row],[_Row]],"")</f>
        <v/>
      </c>
      <c r="EN202" s="32" t="str">
        <f aca="false">IF(AND(Tasks[[#This Row],[_IsLeaf]]=1,N(Tasks[[#This Row],[Duration]])=0),Tasks[[#This Row],[Planned Finish]]+Tasks[[#This Row],[_Row]]/100000,"")</f>
        <v/>
      </c>
      <c r="EO202" s="32" t="str">
        <f aca="false">IF(AND(Tasks[[#This Row],[_IsLeaf]]=1,Tasks[[#This Row],[_LeafProgress]]&lt;1,OR(N(Tasks[[#This Row],[Finish Var]])&gt;0,Tasks[[#This Row],[Status]]="Late Start")),MAX(0,Tasks[[#This Row],[Finish Var]])+1-Tasks[[#This Row],[_Row]]/1000000,"")</f>
        <v/>
      </c>
      <c r="EP202" s="32" t="str">
        <f aca="false">IF(AND(Tasks[[#This Row],[_IsLeaf]]=1,N(Tasks[[#This Row],[Actual Start]])=0,Tasks[[#This Row],[_ShownFcstStart]]&gt;=StatusDate,Tasks[[#This Row],[_ShownFcstStart]]&lt;=LookaheadEnd),Tasks[[#This Row],[_ShownFcstStart]]+Tasks[[#This Row],[_Row]]/100000,"")</f>
        <v/>
      </c>
      <c r="EQ202" s="32" t="str">
        <f aca="false">IF(AND(Tasks[[#This Row],[_IsLeaf]]=1,Tasks[[#This Row],[_LeafProgress]]&lt;1,Tasks[[#This Row],[_ShownFcstFinish]]&gt;=StatusDate,Tasks[[#This Row],[_ShownFcstFinish]]&lt;=LookaheadEnd),Tasks[[#This Row],[_ShownFcstFinish]]+Tasks[[#This Row],[_Row]]/100000,"")</f>
        <v/>
      </c>
      <c r="ER202" s="32" t="str">
        <f aca="false">IF(Tasks[[#This Row],[_LeafCritical]],Tasks[[#This Row],[_ShownFcstStart]]+Tasks[[#This Row],[_Row]]/100000,"")</f>
        <v/>
      </c>
      <c r="ES202" s="32" t="n">
        <f aca="false">Tasks[[#This Row],[_LeafWork]]*Tasks[[#This Row],[_LeafProgress]]</f>
        <v>0</v>
      </c>
      <c r="ET202" s="115" t="str">
        <f aca="false">IF(AND(Tasks[[#This Row],[_IsLeaf]]=1,Tasks[[#This Row],[_LeafProgress]]&gt;=1),IF(N(Tasks[[#This Row],[Actual Finish]])&gt;0,Tasks[[#This Row],[Actual Finish]],Tasks[[#This Row],[_ShownFcstFinish]]),"")</f>
        <v/>
      </c>
      <c r="EU202" s="32" t="n">
        <f aca="false">IF(Tasks[[#This Row],[_IsLeaf]]=1,N(Tasks[[#This Row],[Story Points]]),0)</f>
        <v>0</v>
      </c>
      <c r="EV202" s="32" t="str">
        <f aca="false">IF(AND(Tasks[[#This Row],[_IsLeaf]]=1,CurrentSprint&lt;&gt;"",Tasks[[#This Row],[Sprint]]=CurrentSprint),Tasks[[#This Row],[_Row]],"")</f>
        <v/>
      </c>
    </row>
    <row r="203" customFormat="false" ht="15" hidden="false" customHeight="false" outlineLevel="0" collapsed="false">
      <c r="A203" s="45" t="str">
        <f aca="false">IF(Tasks[[#This Row],[Task Name]]="","",COUNTA(Tasks[[#Headers],[Task Name]]:Tasks[[#This Row],[Task Name]])-1)</f>
        <v/>
      </c>
      <c r="B203" s="46" t="n">
        <v>198</v>
      </c>
      <c r="C203"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3" s="46"/>
      <c r="E203" s="45" t="str">
        <f aca="false">IF(Tasks[[#This Row],[Task Name]]="","",IF(Tasks[[#This Row],[_Level]]&lt;=OutlineShowLevel,"Yes","No"))</f>
        <v/>
      </c>
      <c r="F203" s="47"/>
      <c r="G203" s="46"/>
      <c r="H203" s="46"/>
      <c r="I203" s="46"/>
      <c r="J203" s="46"/>
      <c r="K203" s="46"/>
      <c r="L203" s="46"/>
      <c r="M203" s="46"/>
      <c r="N203" s="46"/>
      <c r="O203" s="46"/>
      <c r="P203" s="46"/>
      <c r="Q203" s="46"/>
      <c r="R203" s="46"/>
      <c r="S203" s="46"/>
      <c r="T203" s="46"/>
      <c r="U203" s="47"/>
      <c r="V203" s="88"/>
      <c r="W203" s="88"/>
      <c r="X203" s="25" t="str">
        <f aca="false">IF(Tasks[[#This Row],[Task Name]]="","",IF(N(Tasks[[#This Row],[Baseline Start]])&gt;0,Tasks[[#This Row],[Baseline Start]],Tasks[[#This Row],[_CalcStart]]))</f>
        <v/>
      </c>
      <c r="Y203" s="25" t="str">
        <f aca="false">IF(Tasks[[#This Row],[Task Name]]="","",IF(N(Tasks[[#This Row],[Baseline Finish]])&gt;0,Tasks[[#This Row],[Baseline Finish]],Tasks[[#This Row],[_CalcFinish]]))</f>
        <v/>
      </c>
      <c r="Z203" s="88"/>
      <c r="AA203" s="88"/>
      <c r="AB203" s="25" t="str">
        <f aca="false">IF(Tasks[[#This Row],[Task Name]]="","",IF(Tasks[[#This Row],[_IsSummary]],MIN(INDEX(Tasks[_ShownFcstStart],Tasks[[#This Row],[_Row]]+1):INDEX(Tasks[_ShownFcstStart],Tasks[[#This Row],[_Row]]+Tasks[[#This Row],[_Descendants]])),Tasks[[#This Row],[_ShownFcstStart]]))</f>
        <v/>
      </c>
      <c r="AC203" s="25" t="str">
        <f aca="false">IF(Tasks[[#This Row],[Task Name]]="","",IF(Tasks[[#This Row],[_IsSummary]],MAX(INDEX(Tasks[_ShownFcstFinish],Tasks[[#This Row],[_Row]]+1):INDEX(Tasks[_ShownFcstFinish],Tasks[[#This Row],[_Row]]+Tasks[[#This Row],[_Descendants]])),Tasks[[#This Row],[_ShownFcstFinish]]))</f>
        <v/>
      </c>
      <c r="AD203"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3"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3" s="25" t="str">
        <f aca="false">IF(Tasks[[#This Row],[Task Name]]="","",IF(Tasks[[#This Row],[_IsSummary]],MIN(INDEX(Tasks[_LeafLateStart],Tasks[[#This Row],[_Row]]+1):INDEX(Tasks[_LeafLateStart],Tasks[[#This Row],[_Row]]+Tasks[[#This Row],[_Descendants]])),Tasks[[#This Row],[_LeafLateStart]]))</f>
        <v/>
      </c>
      <c r="AG203" s="25" t="str">
        <f aca="false">IF(Tasks[[#This Row],[Task Name]]="","",IF(Tasks[[#This Row],[_IsSummary]],MAX(INDEX(Tasks[_LeafLateFinish],Tasks[[#This Row],[_Row]]+1):INDEX(Tasks[_LeafLateFinish],Tasks[[#This Row],[_Row]]+Tasks[[#This Row],[_Descendants]])),Tasks[[#This Row],[_LeafLateFinish]]))</f>
        <v/>
      </c>
      <c r="AH203" s="56" t="str">
        <f aca="false">IF(Tasks[[#This Row],[Task Name]]="","",IF(Tasks[[#This Row],[_IsSummary]],MIN(INDEX(Tasks[_LeafTotalSlack],Tasks[[#This Row],[_Row]]+1):INDEX(Tasks[_LeafTotalSlack],Tasks[[#This Row],[_Row]]+Tasks[[#This Row],[_Descendants]])),Tasks[[#This Row],[_LeafTotalSlack]]))</f>
        <v/>
      </c>
      <c r="AI203"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3" s="45" t="str">
        <f aca="false">IF(Tasks[[#This Row],[Task Name]]="","",IF(IF(Tasks[[#This Row],[_IsSummary]],COUNTIF(INDEX(Tasks[_LeafCritical],Tasks[[#This Row],[_Row]]+1):INDEX(Tasks[_LeafCritical],Tasks[[#This Row],[_Row]]+Tasks[[#This Row],[_Descendants]]),TRUE())&gt;0,Tasks[[#This Row],[_LeafCritical]]),"Yes",""))</f>
        <v/>
      </c>
      <c r="AK203"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3"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3" s="102"/>
      <c r="AN203"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3" s="45" t="str">
        <f aca="false">IF(Tasks[[#This Row],[Task Name]]="","",IF(Tasks[[#This Row],[Progress]]&gt;=1,"Complete",IF(OR(N(Tasks[[#This Row],[Actual Start]])&gt;0,Tasks[[#This Row],[Progress]]&gt;0),IF(Tasks[[#This Row],[Finish Var]]&gt;0,"Behind","In Progress"),IF(Tasks[[#This Row],[Planned Start]]&lt;StatusDate,"Late Start","Not Started"))))</f>
        <v/>
      </c>
      <c r="AP203" s="47"/>
      <c r="AQ203" s="102"/>
      <c r="AR203"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3"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3" s="110" t="str">
        <f aca="false">IF(Tasks[[#This Row],[Task Name]]="","",IF(Tasks[[#This Row],[_IsSummary]],SUM(INDEX(Tasks[_LeafTotalWork],Tasks[[#This Row],[_Row]]+1):INDEX(Tasks[_LeafTotalWork],Tasks[[#This Row],[_Row]]+Tasks[[#This Row],[_Descendants]])),Tasks[[#This Row],[_LeafTotalWork]]))</f>
        <v/>
      </c>
      <c r="AU203" s="111" t="str">
        <f aca="false">IF(Tasks[[#This Row],[Task Name]]="","",IF(Tasks[[#This Row],[_IsSummary]],SUM(INDEX(Tasks[_LeafTotalCost],Tasks[[#This Row],[_Row]]+1):INDEX(Tasks[_LeafTotalCost],Tasks[[#This Row],[_Row]]+Tasks[[#This Row],[_Descendants]])),Tasks[[#This Row],[_LeafTotalCost]]))</f>
        <v/>
      </c>
      <c r="AV203" s="112"/>
      <c r="AW203" s="46"/>
      <c r="AX203"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3" s="96"/>
      <c r="AZ203"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3" s="47"/>
      <c r="BB203" s="25" t="str">
        <f aca="false">IF(Tasks[[#This Row],[Task Name]]="","",Tasks[[#This Row],[Forecast Start]])</f>
        <v/>
      </c>
      <c r="BC203" s="25" t="str">
        <f aca="false">IF(Tasks[[#This Row],[Task Name]]="","",Tasks[[#This Row],[Forecast Finish]])</f>
        <v/>
      </c>
      <c r="BD203" s="45" t="str">
        <f aca="false">IF(Tasks[[#This Row],[Task Name]]="","",IF(Tasks[[#This Row],[_IsSummary]],NETWORKDAYS.INTL(Tasks[[#This Row],[Forecast Start]],Tasks[[#This Row],[Forecast Finish]],WorkWeek,Holidays),N(Tasks[[#This Row],[Duration]])))</f>
        <v/>
      </c>
      <c r="BE203" s="110" t="str">
        <f aca="false">IF(Tasks[[#This Row],[Task Name]]="","",Tasks[[#This Row],[Work]])</f>
        <v/>
      </c>
      <c r="BF203" s="111" t="str">
        <f aca="false">IF(Tasks[[#This Row],[Task Name]]="","",Tasks[[#This Row],[Cost]])</f>
        <v/>
      </c>
      <c r="BG203" s="88"/>
      <c r="BH203" s="88"/>
      <c r="BI203" s="46"/>
      <c r="BJ203" s="113"/>
      <c r="BK203" s="112"/>
      <c r="BL203" s="45" t="str">
        <f aca="false">IF(OR(Tasks[[#This Row],[Task Name]]="",Tasks[[#This Row],[Baseline Duration]]=""),"",Tasks[[#This Row],[BL Source Duration]]-N(Tasks[[#This Row],[Baseline Duration]]))</f>
        <v/>
      </c>
      <c r="BM203" s="110" t="str">
        <f aca="false">IF(OR(Tasks[[#This Row],[Task Name]]="",Tasks[[#This Row],[Baseline Work]]=""),"",Tasks[[#This Row],[Work]]-N(Tasks[[#This Row],[Baseline Work]]))</f>
        <v/>
      </c>
      <c r="BN203" s="111" t="str">
        <f aca="false">IF(OR(Tasks[[#This Row],[Task Name]]="",Tasks[[#This Row],[Baseline Cost]]=""),"",Tasks[[#This Row],[Cost]]-N(Tasks[[#This Row],[Baseline Cost]]))</f>
        <v/>
      </c>
      <c r="BO203" s="111" t="str">
        <f aca="false">IF(Tasks[[#This Row],[Task Name]]="","",IF(Tasks[[#This Row],[_IsSummary]],SUM(INDEX(Tasks[_LeafBudget],Tasks[[#This Row],[_Row]]+1):INDEX(Tasks[_LeafBudget],Tasks[[#This Row],[_Row]]+Tasks[[#This Row],[_Descendants]])),Tasks[[#This Row],[_LeafBudget]]))</f>
        <v/>
      </c>
      <c r="BP203" s="111" t="str">
        <f aca="false">IF(Tasks[[#This Row],[Task Name]]="","",IF(Tasks[[#This Row],[_IsSummary]],SUM(INDEX(Tasks[_LeafPV],Tasks[[#This Row],[_Row]]+1):INDEX(Tasks[_LeafPV],Tasks[[#This Row],[_Row]]+Tasks[[#This Row],[_Descendants]])),Tasks[[#This Row],[_LeafPV]]))</f>
        <v/>
      </c>
      <c r="BQ203" s="111" t="str">
        <f aca="false">IF(Tasks[[#This Row],[Task Name]]="","",IF(Tasks[[#This Row],[_IsSummary]],SUM(INDEX(Tasks[_LeafEV],Tasks[[#This Row],[_Row]]+1):INDEX(Tasks[_LeafEV],Tasks[[#This Row],[_Row]]+Tasks[[#This Row],[_Descendants]])),Tasks[[#This Row],[_LeafEV]]))</f>
        <v/>
      </c>
      <c r="BR203" s="111" t="str">
        <f aca="false">IF(Tasks[[#This Row],[Task Name]]="","",IF(Tasks[[#This Row],[_IsSummary]],SUM(INDEX(Tasks[_LeafAC],Tasks[[#This Row],[_Row]]+1):INDEX(Tasks[_LeafAC],Tasks[[#This Row],[_Row]]+Tasks[[#This Row],[_Descendants]])),Tasks[[#This Row],[_LeafAC]]))</f>
        <v/>
      </c>
      <c r="BS203" s="32" t="str">
        <f aca="false">IF(Tasks[[#This Row],[Task Name]]="","",MAX(1,N(Tasks[[#This Row],[Level]])))</f>
        <v/>
      </c>
      <c r="BT203" s="32" t="n">
        <f aca="false">ROW()-ROW(Tasks[[#Headers],[ID]])</f>
        <v>198</v>
      </c>
      <c r="BU203" s="32" t="n">
        <f aca="false">IF(OR(Tasks[[#This Row],[Task Name]]="",Tasks[[#This Row],[_Level]]&lt;=1),0,IFERROR(LOOKUP(2,1/(Tasks[[#Headers],[_Level]]:Tasks[[#This Row],[_Level]]=Tasks[[#This Row],[_Level]]-1),ROW(Tasks[[#Headers],[_Level]]:Tasks[[#This Row],[_Level]])),0))</f>
        <v>0</v>
      </c>
      <c r="BV203" s="32" t="n">
        <f aca="false">IFERROR(N(INDEX(Tasks[_Level],Tasks[[#This Row],[_Row]]+1)),0)</f>
        <v>0</v>
      </c>
      <c r="BW203" s="114" t="b">
        <f aca="false">AND(Tasks[[#This Row],[Task Name]]&lt;&gt;"",Tasks[[#This Row],[_NextLevel]]&gt;Tasks[[#This Row],[_Level]])</f>
        <v>0</v>
      </c>
      <c r="BX203" s="32" t="n">
        <f aca="false">IF(Tasks[[#This Row],[_IsSummary]],COUNTIF(Tasks[WBS],Tasks[[#This Row],[WBS]]&amp;".*"),0)</f>
        <v>0</v>
      </c>
      <c r="BY203" s="32" t="n">
        <f aca="false">IF(AND(Tasks[[#This Row],[Task Name]]&lt;&gt;"",NOT(Tasks[[#This Row],[_IsSummary]])),1,0)</f>
        <v>0</v>
      </c>
      <c r="BZ203" s="32" t="n">
        <f aca="false">IF(N(Tasks[[#This Row],[Pred1 UID]])=0,0,IFERROR(MATCH(Tasks[[#This Row],[Pred1 UID]],Tasks[UID],0),-1))</f>
        <v>0</v>
      </c>
      <c r="CA203" s="32" t="n">
        <f aca="false">IF(N(Tasks[[#This Row],[Pred2 UID]])=0,0,IFERROR(MATCH(Tasks[[#This Row],[Pred2 UID]],Tasks[UID],0),-1))</f>
        <v>0</v>
      </c>
      <c r="CB203" s="32" t="n">
        <f aca="false">IF(N(Tasks[[#This Row],[Pred3 UID]])=0,0,IFERROR(MATCH(Tasks[[#This Row],[Pred3 UID]],Tasks[UID],0),-1))</f>
        <v>0</v>
      </c>
      <c r="CC203" s="32" t="n">
        <f aca="false">IF(N(Tasks[[#This Row],[Pred4 UID]])=0,0,IFERROR(MATCH(Tasks[[#This Row],[Pred4 UID]],Tasks[UID],0),-1))</f>
        <v>0</v>
      </c>
      <c r="CD203"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3"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3" s="115" t="n">
        <f aca="false">IF(OR(Tasks[[#This Row],[_ConstraintCode]]=2,Tasks[[#This Row],[_ConstraintCode]]=3,Tasks[[#This Row],[_ConstraintCode]]=4,Tasks[[#This Row],[_ConstraintCode]]=6),Tasks[[#This Row],[_ConstraintStart]],0)</f>
        <v>0</v>
      </c>
      <c r="CG203" s="115" t="n">
        <f aca="false">IF(OR(Tasks[[#This Row],[_ConstraintCode]]=2,Tasks[[#This Row],[_ConstraintCode]]=3,Tasks[[#This Row],[_ConstraintCode]]=5,Tasks[[#This Row],[_ConstraintCode]]=7),Tasks[[#This Row],[_ConstraintStart]],2958465)</f>
        <v>2958465</v>
      </c>
      <c r="CH203"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3" s="115" t="str">
        <f aca="false">IF(NOT(Tasks[[#This Row],[_IsLeaf]]=1),"",IF(N(Tasks[[#This Row],[Duration]])&lt;=0,Tasks[[#This Row],[_LeafCalcStart]],WORKDAY.INTL(Tasks[[#This Row],[_LeafCalcStart]],Tasks[[#This Row],[Duration]]-1,WorkWeek,Holidays)))</f>
        <v/>
      </c>
      <c r="CJ203"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3"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3" s="32" t="n">
        <f aca="false">IF(NOT(Tasks[[#This Row],[_IsLeaf]]=1),0,IF(N(Tasks[[#This Row],[Actual Finish]])&gt;0,1,MIN(1,N(Tasks[[#This Row],[% Complete]]))))</f>
        <v>0</v>
      </c>
      <c r="CM203" s="32" t="n">
        <f aca="false">IF(OR(NOT(Tasks[[#This Row],[_IsLeaf]]=1),Tasks[[#This Row],[Resource]]=""),0,N(Tasks[[#This Row],[Duration]])*HoursPerDay*IF(Tasks[[#This Row],[Units]]="",DefaultUnits,Tasks[[#This Row],[Units]]))</f>
        <v>0</v>
      </c>
      <c r="CN203" s="32" t="n">
        <f aca="false">IF(Tasks[[#This Row],[_LeafWork]]=0,0,Tasks[[#This Row],[_LeafWork]]*IFERROR(INDEX(res_Rate,MATCH(Tasks[[#This Row],[Resource]],res_Name,0)),0))</f>
        <v>0</v>
      </c>
      <c r="CO203" s="32" t="n">
        <f aca="false">Tasks[[#This Row],[_LeafWork]]+IF(Tasks[[#This Row],[_IsLeaf]]=1,SUMIFS(asg_Work,asg_TaskUID,Tasks[[#This Row],[UID]],asg_Valid,1),0)</f>
        <v>0</v>
      </c>
      <c r="CP203" s="32" t="n">
        <f aca="false">Tasks[[#This Row],[_LeafCost]]+IF(Tasks[[#This Row],[_IsLeaf]]=1,SUMIFS(asg_Cost,asg_TaskUID,Tasks[[#This Row],[UID]],asg_Valid,1),0)</f>
        <v>0</v>
      </c>
      <c r="CQ203" s="32" t="n">
        <f aca="false">IF(Tasks[[#This Row],[_LeafTotalCost]]=0,Tasks[[#This Row],[_LeafAC]],Tasks[[#This Row],[_LeafAC]]*Tasks[[#This Row],[_LeafCost]]/Tasks[[#This Row],[_LeafTotalCost]])</f>
        <v>0</v>
      </c>
      <c r="CR203"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3"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3"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3"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3"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3"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3"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3"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3" s="32" t="n">
        <f aca="false">IF(NOT(Tasks[[#This Row],[_IsLeaf]]=1),0,MAX(_xlfn.MAXIFS(Tasks[_Row],Tasks[Pred1 UID],Tasks[[#This Row],[UID]]),_xlfn.MAXIFS(Tasks[_Row],Tasks[Pred2 UID],Tasks[[#This Row],[UID]]),_xlfn.MAXIFS(Tasks[_Row],Tasks[Pred3 UID],Tasks[[#This Row],[UID]]),_xlfn.MAXIFS(Tasks[_Row],Tasks[Pred4 UID],Tasks[[#This Row],[UID]])))</f>
        <v>0</v>
      </c>
      <c r="DA203"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3"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3" s="115" t="str">
        <f aca="false">IF(NOT(Tasks[[#This Row],[_IsLeaf]]=1),"",IF(N(Tasks[[#This Row],[Duration]])&lt;=0,Tasks[[#This Row],[_LeafLateFinish]],WORKDAY.INTL(Tasks[[#This Row],[_LeafLateFinish]],-(Tasks[[#This Row],[Duration]]-1),WorkWeek,Holidays)))</f>
        <v/>
      </c>
      <c r="DD203"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3" s="114" t="b">
        <f aca="false">AND(Tasks[[#This Row],[_IsLeaf]]=1,Tasks[[#This Row],[_LeafProgress]]&lt;1,N(Tasks[[#This Row],[_LeafTotalSlack]])&lt;=CriticalSlackDays)</f>
        <v>0</v>
      </c>
      <c r="DF203" s="32" t="n">
        <f aca="false">IF(AND(Tasks[[#This Row],[_IsLeaf]]=1,Tasks[[#This Row],[_ConstraintCode]]=1,Tasks[[#This Row],[Mode]]&lt;&gt;"Manual",N(Tasks[[#This Row],[Actual Start]])=0),MAX(0,N(Tasks[[#This Row],[Free Slack]])),0)</f>
        <v>0</v>
      </c>
      <c r="DG203" s="115" t="str">
        <f aca="false">IF(NOT(Tasks[[#This Row],[_IsLeaf]]=1),"",IF(Tasks[[#This Row],[_AlapShift]]=0,Tasks[[#This Row],[_LeafCalcStart]],WORKDAY.INTL(Tasks[[#This Row],[_LeafCalcStart]],Tasks[[#This Row],[_AlapShift]],WorkWeek,Holidays)))</f>
        <v/>
      </c>
      <c r="DH203" s="115" t="str">
        <f aca="false">IF(NOT(Tasks[[#This Row],[_IsLeaf]]=1),"",IF(Tasks[[#This Row],[_AlapShift]]=0,Tasks[[#This Row],[_LeafCalcFinish]],WORKDAY.INTL(Tasks[[#This Row],[_LeafCalcFinish]],Tasks[[#This Row],[_AlapShift]],WorkWeek,Holidays)))</f>
        <v/>
      </c>
      <c r="DI203" s="115" t="str">
        <f aca="false">IF(NOT(Tasks[[#This Row],[_IsLeaf]]=1),"",IF(Tasks[[#This Row],[_AlapShift]]=0,Tasks[[#This Row],[_LeafFcstStart]],WORKDAY.INTL(Tasks[[#This Row],[_LeafFcstStart]],Tasks[[#This Row],[_AlapShift]],WorkWeek,Holidays)))</f>
        <v/>
      </c>
      <c r="DJ203" s="115" t="str">
        <f aca="false">IF(NOT(Tasks[[#This Row],[_IsLeaf]]=1),"",IF(Tasks[[#This Row],[_AlapShift]]=0,Tasks[[#This Row],[_LeafFcstFinish]],WORKDAY.INTL(Tasks[[#This Row],[_LeafFcstFinish]],Tasks[[#This Row],[_AlapShift]],WorkWeek,Holidays)))</f>
        <v/>
      </c>
      <c r="DK203" s="115" t="str">
        <f aca="false">IF(Tasks[[#This Row],[Task Name]]="","",IF(Tasks[[#This Row],[_IsSummary]],MIN(INDEX(Tasks[_ShownCalcStart],Tasks[[#This Row],[_Row]]+1):INDEX(Tasks[_ShownCalcStart],Tasks[[#This Row],[_Row]]+Tasks[[#This Row],[_Descendants]])),Tasks[[#This Row],[_ShownCalcStart]]))</f>
        <v/>
      </c>
      <c r="DL203" s="115" t="str">
        <f aca="false">IF(Tasks[[#This Row],[Task Name]]="","",IF(Tasks[[#This Row],[_IsSummary]],MAX(INDEX(Tasks[_ShownCalcFinish],Tasks[[#This Row],[_Row]]+1):INDEX(Tasks[_ShownCalcFinish],Tasks[[#This Row],[_Row]]+Tasks[[#This Row],[_Descendants]])),Tasks[[#This Row],[_ShownCalcFinish]]))</f>
        <v/>
      </c>
      <c r="DM203"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3"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3"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3"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3"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3"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3"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3"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3"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3"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3"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3"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3" s="32" t="n">
        <f aca="false">IF(AND(Tasks[[#This Row],[_IsLeaf]]=1,Tasks[[#This Row],[_LeafTotalWork]]&gt;0),NETWORKDAYS.INTL(ProjectStart,Tasks[[#This Row],[_ShownFcstStart]],WorkWeek,Holidays),0)</f>
        <v>0</v>
      </c>
      <c r="DZ203" s="32" t="n">
        <f aca="false">IF(AND(Tasks[[#This Row],[_IsLeaf]]=1,Tasks[[#This Row],[_LeafTotalWork]]&gt;0),MAX(Tasks[[#This Row],[_StartWorkday]],NETWORKDAYS.INTL(ProjectStart,Tasks[[#This Row],[_ShownFcstFinish]],WorkWeek,Holidays)),0)</f>
        <v>0</v>
      </c>
      <c r="EA203" s="32" t="n">
        <f aca="false">IF(AND(Tasks[[#This Row],[_IsLeaf]]=1,Tasks[[#This Row],[_LeafTotalWork]]&gt;0),Tasks[[#This Row],[_LeafWork]]/(Tasks[[#This Row],[_FinishWorkday]]-Tasks[[#This Row],[_StartWorkday]]+1),0)</f>
        <v>0</v>
      </c>
      <c r="EB203" s="32" t="n">
        <f aca="false">Tasks[[#This Row],[_WorkPerWorkday]]*(Tasks[[#This Row],[_StartWorkday]]-1)</f>
        <v>-0</v>
      </c>
      <c r="EC203" s="32" t="n">
        <f aca="false">IF(Tasks[[#This Row],[_IsLeaf]]=1,MAX(N(Tasks[[#This Row],[Duration]]),0.1),0)</f>
        <v>0</v>
      </c>
      <c r="ED203" s="32" t="n">
        <f aca="false">Tasks[[#This Row],[_WeightDur]]*Tasks[[#This Row],[_LeafProgress]]</f>
        <v>0</v>
      </c>
      <c r="EE203"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3" s="32" t="str">
        <f aca="false">IF(AND(Tasks[[#This Row],[_IsLeaf]]=1,N(Tasks[[#This Row],[Duration]])=0,Tasks[[#This Row],[_LeafProgress]]&lt;1),Tasks[[#This Row],[_ShownFcstFinish]]+Tasks[[#This Row],[_Row]]/100000,"")</f>
        <v/>
      </c>
      <c r="EG203"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3" s="32" t="n">
        <f aca="false">IF(NOT(Tasks[[#This Row],[_IsLeaf]]=1),0,IF(Tasks[[#This Row],[Baseline Cost]]="",Tasks[[#This Row],[_LeafTotalCost]],N(Tasks[[#This Row],[Baseline Cost]])))</f>
        <v>0</v>
      </c>
      <c r="EI203" s="32" t="n">
        <f aca="false">Tasks[[#This Row],[_LeafBudget]]*Tasks[[#This Row],[_PlannedPct]]</f>
        <v>0</v>
      </c>
      <c r="EJ203" s="32" t="n">
        <f aca="false">Tasks[[#This Row],[_LeafBudget]]*Tasks[[#This Row],[_LeafProgress]]</f>
        <v>0</v>
      </c>
      <c r="EK203" s="32" t="n">
        <f aca="false">IF(NOT(Tasks[[#This Row],[_IsLeaf]]=1),0,IF(Tasks[[#This Row],[Actual Cost]]="",Tasks[[#This Row],[_LeafTotalCost]]*Tasks[[#This Row],[_LeafProgress]],N(Tasks[[#This Row],[Actual Cost]])))</f>
        <v>0</v>
      </c>
      <c r="EL203" s="32" t="str">
        <f aca="false">IF(Tasks[[#This Row],[Task Name]]="","",LEFT(Tasks[[#This Row],[WBS]],FIND(".",Tasks[[#This Row],[WBS]]&amp;".")-1))</f>
        <v/>
      </c>
      <c r="EM203" s="32" t="str">
        <f aca="false">IF(AND(Tasks[[#This Row],[Task Name]]&lt;&gt;"",Tasks[[#This Row],[_Level]]=1),Tasks[[#This Row],[_Row]],"")</f>
        <v/>
      </c>
      <c r="EN203" s="32" t="str">
        <f aca="false">IF(AND(Tasks[[#This Row],[_IsLeaf]]=1,N(Tasks[[#This Row],[Duration]])=0),Tasks[[#This Row],[Planned Finish]]+Tasks[[#This Row],[_Row]]/100000,"")</f>
        <v/>
      </c>
      <c r="EO203" s="32" t="str">
        <f aca="false">IF(AND(Tasks[[#This Row],[_IsLeaf]]=1,Tasks[[#This Row],[_LeafProgress]]&lt;1,OR(N(Tasks[[#This Row],[Finish Var]])&gt;0,Tasks[[#This Row],[Status]]="Late Start")),MAX(0,Tasks[[#This Row],[Finish Var]])+1-Tasks[[#This Row],[_Row]]/1000000,"")</f>
        <v/>
      </c>
      <c r="EP203" s="32" t="str">
        <f aca="false">IF(AND(Tasks[[#This Row],[_IsLeaf]]=1,N(Tasks[[#This Row],[Actual Start]])=0,Tasks[[#This Row],[_ShownFcstStart]]&gt;=StatusDate,Tasks[[#This Row],[_ShownFcstStart]]&lt;=LookaheadEnd),Tasks[[#This Row],[_ShownFcstStart]]+Tasks[[#This Row],[_Row]]/100000,"")</f>
        <v/>
      </c>
      <c r="EQ203" s="32" t="str">
        <f aca="false">IF(AND(Tasks[[#This Row],[_IsLeaf]]=1,Tasks[[#This Row],[_LeafProgress]]&lt;1,Tasks[[#This Row],[_ShownFcstFinish]]&gt;=StatusDate,Tasks[[#This Row],[_ShownFcstFinish]]&lt;=LookaheadEnd),Tasks[[#This Row],[_ShownFcstFinish]]+Tasks[[#This Row],[_Row]]/100000,"")</f>
        <v/>
      </c>
      <c r="ER203" s="32" t="str">
        <f aca="false">IF(Tasks[[#This Row],[_LeafCritical]],Tasks[[#This Row],[_ShownFcstStart]]+Tasks[[#This Row],[_Row]]/100000,"")</f>
        <v/>
      </c>
      <c r="ES203" s="32" t="n">
        <f aca="false">Tasks[[#This Row],[_LeafWork]]*Tasks[[#This Row],[_LeafProgress]]</f>
        <v>0</v>
      </c>
      <c r="ET203" s="115" t="str">
        <f aca="false">IF(AND(Tasks[[#This Row],[_IsLeaf]]=1,Tasks[[#This Row],[_LeafProgress]]&gt;=1),IF(N(Tasks[[#This Row],[Actual Finish]])&gt;0,Tasks[[#This Row],[Actual Finish]],Tasks[[#This Row],[_ShownFcstFinish]]),"")</f>
        <v/>
      </c>
      <c r="EU203" s="32" t="n">
        <f aca="false">IF(Tasks[[#This Row],[_IsLeaf]]=1,N(Tasks[[#This Row],[Story Points]]),0)</f>
        <v>0</v>
      </c>
      <c r="EV203" s="32" t="str">
        <f aca="false">IF(AND(Tasks[[#This Row],[_IsLeaf]]=1,CurrentSprint&lt;&gt;"",Tasks[[#This Row],[Sprint]]=CurrentSprint),Tasks[[#This Row],[_Row]],"")</f>
        <v/>
      </c>
    </row>
    <row r="204" customFormat="false" ht="15" hidden="false" customHeight="false" outlineLevel="0" collapsed="false">
      <c r="A204" s="45" t="str">
        <f aca="false">IF(Tasks[[#This Row],[Task Name]]="","",COUNTA(Tasks[[#Headers],[Task Name]]:Tasks[[#This Row],[Task Name]])-1)</f>
        <v/>
      </c>
      <c r="B204" s="46" t="n">
        <v>199</v>
      </c>
      <c r="C204"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4" s="46"/>
      <c r="E204" s="45" t="str">
        <f aca="false">IF(Tasks[[#This Row],[Task Name]]="","",IF(Tasks[[#This Row],[_Level]]&lt;=OutlineShowLevel,"Yes","No"))</f>
        <v/>
      </c>
      <c r="F204" s="47"/>
      <c r="G204" s="46"/>
      <c r="H204" s="46"/>
      <c r="I204" s="46"/>
      <c r="J204" s="46"/>
      <c r="K204" s="46"/>
      <c r="L204" s="46"/>
      <c r="M204" s="46"/>
      <c r="N204" s="46"/>
      <c r="O204" s="46"/>
      <c r="P204" s="46"/>
      <c r="Q204" s="46"/>
      <c r="R204" s="46"/>
      <c r="S204" s="46"/>
      <c r="T204" s="46"/>
      <c r="U204" s="47"/>
      <c r="V204" s="88"/>
      <c r="W204" s="88"/>
      <c r="X204" s="25" t="str">
        <f aca="false">IF(Tasks[[#This Row],[Task Name]]="","",IF(N(Tasks[[#This Row],[Baseline Start]])&gt;0,Tasks[[#This Row],[Baseline Start]],Tasks[[#This Row],[_CalcStart]]))</f>
        <v/>
      </c>
      <c r="Y204" s="25" t="str">
        <f aca="false">IF(Tasks[[#This Row],[Task Name]]="","",IF(N(Tasks[[#This Row],[Baseline Finish]])&gt;0,Tasks[[#This Row],[Baseline Finish]],Tasks[[#This Row],[_CalcFinish]]))</f>
        <v/>
      </c>
      <c r="Z204" s="88"/>
      <c r="AA204" s="88"/>
      <c r="AB204" s="25" t="str">
        <f aca="false">IF(Tasks[[#This Row],[Task Name]]="","",IF(Tasks[[#This Row],[_IsSummary]],MIN(INDEX(Tasks[_ShownFcstStart],Tasks[[#This Row],[_Row]]+1):INDEX(Tasks[_ShownFcstStart],Tasks[[#This Row],[_Row]]+Tasks[[#This Row],[_Descendants]])),Tasks[[#This Row],[_ShownFcstStart]]))</f>
        <v/>
      </c>
      <c r="AC204" s="25" t="str">
        <f aca="false">IF(Tasks[[#This Row],[Task Name]]="","",IF(Tasks[[#This Row],[_IsSummary]],MAX(INDEX(Tasks[_ShownFcstFinish],Tasks[[#This Row],[_Row]]+1):INDEX(Tasks[_ShownFcstFinish],Tasks[[#This Row],[_Row]]+Tasks[[#This Row],[_Descendants]])),Tasks[[#This Row],[_ShownFcstFinish]]))</f>
        <v/>
      </c>
      <c r="AD204"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4"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4" s="25" t="str">
        <f aca="false">IF(Tasks[[#This Row],[Task Name]]="","",IF(Tasks[[#This Row],[_IsSummary]],MIN(INDEX(Tasks[_LeafLateStart],Tasks[[#This Row],[_Row]]+1):INDEX(Tasks[_LeafLateStart],Tasks[[#This Row],[_Row]]+Tasks[[#This Row],[_Descendants]])),Tasks[[#This Row],[_LeafLateStart]]))</f>
        <v/>
      </c>
      <c r="AG204" s="25" t="str">
        <f aca="false">IF(Tasks[[#This Row],[Task Name]]="","",IF(Tasks[[#This Row],[_IsSummary]],MAX(INDEX(Tasks[_LeafLateFinish],Tasks[[#This Row],[_Row]]+1):INDEX(Tasks[_LeafLateFinish],Tasks[[#This Row],[_Row]]+Tasks[[#This Row],[_Descendants]])),Tasks[[#This Row],[_LeafLateFinish]]))</f>
        <v/>
      </c>
      <c r="AH204" s="56" t="str">
        <f aca="false">IF(Tasks[[#This Row],[Task Name]]="","",IF(Tasks[[#This Row],[_IsSummary]],MIN(INDEX(Tasks[_LeafTotalSlack],Tasks[[#This Row],[_Row]]+1):INDEX(Tasks[_LeafTotalSlack],Tasks[[#This Row],[_Row]]+Tasks[[#This Row],[_Descendants]])),Tasks[[#This Row],[_LeafTotalSlack]]))</f>
        <v/>
      </c>
      <c r="AI204"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4" s="45" t="str">
        <f aca="false">IF(Tasks[[#This Row],[Task Name]]="","",IF(IF(Tasks[[#This Row],[_IsSummary]],COUNTIF(INDEX(Tasks[_LeafCritical],Tasks[[#This Row],[_Row]]+1):INDEX(Tasks[_LeafCritical],Tasks[[#This Row],[_Row]]+Tasks[[#This Row],[_Descendants]]),TRUE())&gt;0,Tasks[[#This Row],[_LeafCritical]]),"Yes",""))</f>
        <v/>
      </c>
      <c r="AK204"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4"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4" s="102"/>
      <c r="AN204"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4" s="45" t="str">
        <f aca="false">IF(Tasks[[#This Row],[Task Name]]="","",IF(Tasks[[#This Row],[Progress]]&gt;=1,"Complete",IF(OR(N(Tasks[[#This Row],[Actual Start]])&gt;0,Tasks[[#This Row],[Progress]]&gt;0),IF(Tasks[[#This Row],[Finish Var]]&gt;0,"Behind","In Progress"),IF(Tasks[[#This Row],[Planned Start]]&lt;StatusDate,"Late Start","Not Started"))))</f>
        <v/>
      </c>
      <c r="AP204" s="47"/>
      <c r="AQ204" s="102"/>
      <c r="AR204"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4"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4" s="110" t="str">
        <f aca="false">IF(Tasks[[#This Row],[Task Name]]="","",IF(Tasks[[#This Row],[_IsSummary]],SUM(INDEX(Tasks[_LeafTotalWork],Tasks[[#This Row],[_Row]]+1):INDEX(Tasks[_LeafTotalWork],Tasks[[#This Row],[_Row]]+Tasks[[#This Row],[_Descendants]])),Tasks[[#This Row],[_LeafTotalWork]]))</f>
        <v/>
      </c>
      <c r="AU204" s="111" t="str">
        <f aca="false">IF(Tasks[[#This Row],[Task Name]]="","",IF(Tasks[[#This Row],[_IsSummary]],SUM(INDEX(Tasks[_LeafTotalCost],Tasks[[#This Row],[_Row]]+1):INDEX(Tasks[_LeafTotalCost],Tasks[[#This Row],[_Row]]+Tasks[[#This Row],[_Descendants]])),Tasks[[#This Row],[_LeafTotalCost]]))</f>
        <v/>
      </c>
      <c r="AV204" s="112"/>
      <c r="AW204" s="46"/>
      <c r="AX204"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4" s="96"/>
      <c r="AZ204"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4" s="47"/>
      <c r="BB204" s="25" t="str">
        <f aca="false">IF(Tasks[[#This Row],[Task Name]]="","",Tasks[[#This Row],[Forecast Start]])</f>
        <v/>
      </c>
      <c r="BC204" s="25" t="str">
        <f aca="false">IF(Tasks[[#This Row],[Task Name]]="","",Tasks[[#This Row],[Forecast Finish]])</f>
        <v/>
      </c>
      <c r="BD204" s="45" t="str">
        <f aca="false">IF(Tasks[[#This Row],[Task Name]]="","",IF(Tasks[[#This Row],[_IsSummary]],NETWORKDAYS.INTL(Tasks[[#This Row],[Forecast Start]],Tasks[[#This Row],[Forecast Finish]],WorkWeek,Holidays),N(Tasks[[#This Row],[Duration]])))</f>
        <v/>
      </c>
      <c r="BE204" s="110" t="str">
        <f aca="false">IF(Tasks[[#This Row],[Task Name]]="","",Tasks[[#This Row],[Work]])</f>
        <v/>
      </c>
      <c r="BF204" s="111" t="str">
        <f aca="false">IF(Tasks[[#This Row],[Task Name]]="","",Tasks[[#This Row],[Cost]])</f>
        <v/>
      </c>
      <c r="BG204" s="88"/>
      <c r="BH204" s="88"/>
      <c r="BI204" s="46"/>
      <c r="BJ204" s="113"/>
      <c r="BK204" s="112"/>
      <c r="BL204" s="45" t="str">
        <f aca="false">IF(OR(Tasks[[#This Row],[Task Name]]="",Tasks[[#This Row],[Baseline Duration]]=""),"",Tasks[[#This Row],[BL Source Duration]]-N(Tasks[[#This Row],[Baseline Duration]]))</f>
        <v/>
      </c>
      <c r="BM204" s="110" t="str">
        <f aca="false">IF(OR(Tasks[[#This Row],[Task Name]]="",Tasks[[#This Row],[Baseline Work]]=""),"",Tasks[[#This Row],[Work]]-N(Tasks[[#This Row],[Baseline Work]]))</f>
        <v/>
      </c>
      <c r="BN204" s="111" t="str">
        <f aca="false">IF(OR(Tasks[[#This Row],[Task Name]]="",Tasks[[#This Row],[Baseline Cost]]=""),"",Tasks[[#This Row],[Cost]]-N(Tasks[[#This Row],[Baseline Cost]]))</f>
        <v/>
      </c>
      <c r="BO204" s="111" t="str">
        <f aca="false">IF(Tasks[[#This Row],[Task Name]]="","",IF(Tasks[[#This Row],[_IsSummary]],SUM(INDEX(Tasks[_LeafBudget],Tasks[[#This Row],[_Row]]+1):INDEX(Tasks[_LeafBudget],Tasks[[#This Row],[_Row]]+Tasks[[#This Row],[_Descendants]])),Tasks[[#This Row],[_LeafBudget]]))</f>
        <v/>
      </c>
      <c r="BP204" s="111" t="str">
        <f aca="false">IF(Tasks[[#This Row],[Task Name]]="","",IF(Tasks[[#This Row],[_IsSummary]],SUM(INDEX(Tasks[_LeafPV],Tasks[[#This Row],[_Row]]+1):INDEX(Tasks[_LeafPV],Tasks[[#This Row],[_Row]]+Tasks[[#This Row],[_Descendants]])),Tasks[[#This Row],[_LeafPV]]))</f>
        <v/>
      </c>
      <c r="BQ204" s="111" t="str">
        <f aca="false">IF(Tasks[[#This Row],[Task Name]]="","",IF(Tasks[[#This Row],[_IsSummary]],SUM(INDEX(Tasks[_LeafEV],Tasks[[#This Row],[_Row]]+1):INDEX(Tasks[_LeafEV],Tasks[[#This Row],[_Row]]+Tasks[[#This Row],[_Descendants]])),Tasks[[#This Row],[_LeafEV]]))</f>
        <v/>
      </c>
      <c r="BR204" s="111" t="str">
        <f aca="false">IF(Tasks[[#This Row],[Task Name]]="","",IF(Tasks[[#This Row],[_IsSummary]],SUM(INDEX(Tasks[_LeafAC],Tasks[[#This Row],[_Row]]+1):INDEX(Tasks[_LeafAC],Tasks[[#This Row],[_Row]]+Tasks[[#This Row],[_Descendants]])),Tasks[[#This Row],[_LeafAC]]))</f>
        <v/>
      </c>
      <c r="BS204" s="32" t="str">
        <f aca="false">IF(Tasks[[#This Row],[Task Name]]="","",MAX(1,N(Tasks[[#This Row],[Level]])))</f>
        <v/>
      </c>
      <c r="BT204" s="32" t="n">
        <f aca="false">ROW()-ROW(Tasks[[#Headers],[ID]])</f>
        <v>199</v>
      </c>
      <c r="BU204" s="32" t="n">
        <f aca="false">IF(OR(Tasks[[#This Row],[Task Name]]="",Tasks[[#This Row],[_Level]]&lt;=1),0,IFERROR(LOOKUP(2,1/(Tasks[[#Headers],[_Level]]:Tasks[[#This Row],[_Level]]=Tasks[[#This Row],[_Level]]-1),ROW(Tasks[[#Headers],[_Level]]:Tasks[[#This Row],[_Level]])),0))</f>
        <v>0</v>
      </c>
      <c r="BV204" s="32" t="n">
        <f aca="false">IFERROR(N(INDEX(Tasks[_Level],Tasks[[#This Row],[_Row]]+1)),0)</f>
        <v>0</v>
      </c>
      <c r="BW204" s="114" t="b">
        <f aca="false">AND(Tasks[[#This Row],[Task Name]]&lt;&gt;"",Tasks[[#This Row],[_NextLevel]]&gt;Tasks[[#This Row],[_Level]])</f>
        <v>0</v>
      </c>
      <c r="BX204" s="32" t="n">
        <f aca="false">IF(Tasks[[#This Row],[_IsSummary]],COUNTIF(Tasks[WBS],Tasks[[#This Row],[WBS]]&amp;".*"),0)</f>
        <v>0</v>
      </c>
      <c r="BY204" s="32" t="n">
        <f aca="false">IF(AND(Tasks[[#This Row],[Task Name]]&lt;&gt;"",NOT(Tasks[[#This Row],[_IsSummary]])),1,0)</f>
        <v>0</v>
      </c>
      <c r="BZ204" s="32" t="n">
        <f aca="false">IF(N(Tasks[[#This Row],[Pred1 UID]])=0,0,IFERROR(MATCH(Tasks[[#This Row],[Pred1 UID]],Tasks[UID],0),-1))</f>
        <v>0</v>
      </c>
      <c r="CA204" s="32" t="n">
        <f aca="false">IF(N(Tasks[[#This Row],[Pred2 UID]])=0,0,IFERROR(MATCH(Tasks[[#This Row],[Pred2 UID]],Tasks[UID],0),-1))</f>
        <v>0</v>
      </c>
      <c r="CB204" s="32" t="n">
        <f aca="false">IF(N(Tasks[[#This Row],[Pred3 UID]])=0,0,IFERROR(MATCH(Tasks[[#This Row],[Pred3 UID]],Tasks[UID],0),-1))</f>
        <v>0</v>
      </c>
      <c r="CC204" s="32" t="n">
        <f aca="false">IF(N(Tasks[[#This Row],[Pred4 UID]])=0,0,IFERROR(MATCH(Tasks[[#This Row],[Pred4 UID]],Tasks[UID],0),-1))</f>
        <v>0</v>
      </c>
      <c r="CD204"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4"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4" s="115" t="n">
        <f aca="false">IF(OR(Tasks[[#This Row],[_ConstraintCode]]=2,Tasks[[#This Row],[_ConstraintCode]]=3,Tasks[[#This Row],[_ConstraintCode]]=4,Tasks[[#This Row],[_ConstraintCode]]=6),Tasks[[#This Row],[_ConstraintStart]],0)</f>
        <v>0</v>
      </c>
      <c r="CG204" s="115" t="n">
        <f aca="false">IF(OR(Tasks[[#This Row],[_ConstraintCode]]=2,Tasks[[#This Row],[_ConstraintCode]]=3,Tasks[[#This Row],[_ConstraintCode]]=5,Tasks[[#This Row],[_ConstraintCode]]=7),Tasks[[#This Row],[_ConstraintStart]],2958465)</f>
        <v>2958465</v>
      </c>
      <c r="CH204"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4" s="115" t="str">
        <f aca="false">IF(NOT(Tasks[[#This Row],[_IsLeaf]]=1),"",IF(N(Tasks[[#This Row],[Duration]])&lt;=0,Tasks[[#This Row],[_LeafCalcStart]],WORKDAY.INTL(Tasks[[#This Row],[_LeafCalcStart]],Tasks[[#This Row],[Duration]]-1,WorkWeek,Holidays)))</f>
        <v/>
      </c>
      <c r="CJ204"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4"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4" s="32" t="n">
        <f aca="false">IF(NOT(Tasks[[#This Row],[_IsLeaf]]=1),0,IF(N(Tasks[[#This Row],[Actual Finish]])&gt;0,1,MIN(1,N(Tasks[[#This Row],[% Complete]]))))</f>
        <v>0</v>
      </c>
      <c r="CM204" s="32" t="n">
        <f aca="false">IF(OR(NOT(Tasks[[#This Row],[_IsLeaf]]=1),Tasks[[#This Row],[Resource]]=""),0,N(Tasks[[#This Row],[Duration]])*HoursPerDay*IF(Tasks[[#This Row],[Units]]="",DefaultUnits,Tasks[[#This Row],[Units]]))</f>
        <v>0</v>
      </c>
      <c r="CN204" s="32" t="n">
        <f aca="false">IF(Tasks[[#This Row],[_LeafWork]]=0,0,Tasks[[#This Row],[_LeafWork]]*IFERROR(INDEX(res_Rate,MATCH(Tasks[[#This Row],[Resource]],res_Name,0)),0))</f>
        <v>0</v>
      </c>
      <c r="CO204" s="32" t="n">
        <f aca="false">Tasks[[#This Row],[_LeafWork]]+IF(Tasks[[#This Row],[_IsLeaf]]=1,SUMIFS(asg_Work,asg_TaskUID,Tasks[[#This Row],[UID]],asg_Valid,1),0)</f>
        <v>0</v>
      </c>
      <c r="CP204" s="32" t="n">
        <f aca="false">Tasks[[#This Row],[_LeafCost]]+IF(Tasks[[#This Row],[_IsLeaf]]=1,SUMIFS(asg_Cost,asg_TaskUID,Tasks[[#This Row],[UID]],asg_Valid,1),0)</f>
        <v>0</v>
      </c>
      <c r="CQ204" s="32" t="n">
        <f aca="false">IF(Tasks[[#This Row],[_LeafTotalCost]]=0,Tasks[[#This Row],[_LeafAC]],Tasks[[#This Row],[_LeafAC]]*Tasks[[#This Row],[_LeafCost]]/Tasks[[#This Row],[_LeafTotalCost]])</f>
        <v>0</v>
      </c>
      <c r="CR204"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4"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4"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4"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4"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4"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4"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4"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4" s="32" t="n">
        <f aca="false">IF(NOT(Tasks[[#This Row],[_IsLeaf]]=1),0,MAX(_xlfn.MAXIFS(Tasks[_Row],Tasks[Pred1 UID],Tasks[[#This Row],[UID]]),_xlfn.MAXIFS(Tasks[_Row],Tasks[Pred2 UID],Tasks[[#This Row],[UID]]),_xlfn.MAXIFS(Tasks[_Row],Tasks[Pred3 UID],Tasks[[#This Row],[UID]]),_xlfn.MAXIFS(Tasks[_Row],Tasks[Pred4 UID],Tasks[[#This Row],[UID]])))</f>
        <v>0</v>
      </c>
      <c r="DA204"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4"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4" s="115" t="str">
        <f aca="false">IF(NOT(Tasks[[#This Row],[_IsLeaf]]=1),"",IF(N(Tasks[[#This Row],[Duration]])&lt;=0,Tasks[[#This Row],[_LeafLateFinish]],WORKDAY.INTL(Tasks[[#This Row],[_LeafLateFinish]],-(Tasks[[#This Row],[Duration]]-1),WorkWeek,Holidays)))</f>
        <v/>
      </c>
      <c r="DD204"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4" s="114" t="b">
        <f aca="false">AND(Tasks[[#This Row],[_IsLeaf]]=1,Tasks[[#This Row],[_LeafProgress]]&lt;1,N(Tasks[[#This Row],[_LeafTotalSlack]])&lt;=CriticalSlackDays)</f>
        <v>0</v>
      </c>
      <c r="DF204" s="32" t="n">
        <f aca="false">IF(AND(Tasks[[#This Row],[_IsLeaf]]=1,Tasks[[#This Row],[_ConstraintCode]]=1,Tasks[[#This Row],[Mode]]&lt;&gt;"Manual",N(Tasks[[#This Row],[Actual Start]])=0),MAX(0,N(Tasks[[#This Row],[Free Slack]])),0)</f>
        <v>0</v>
      </c>
      <c r="DG204" s="115" t="str">
        <f aca="false">IF(NOT(Tasks[[#This Row],[_IsLeaf]]=1),"",IF(Tasks[[#This Row],[_AlapShift]]=0,Tasks[[#This Row],[_LeafCalcStart]],WORKDAY.INTL(Tasks[[#This Row],[_LeafCalcStart]],Tasks[[#This Row],[_AlapShift]],WorkWeek,Holidays)))</f>
        <v/>
      </c>
      <c r="DH204" s="115" t="str">
        <f aca="false">IF(NOT(Tasks[[#This Row],[_IsLeaf]]=1),"",IF(Tasks[[#This Row],[_AlapShift]]=0,Tasks[[#This Row],[_LeafCalcFinish]],WORKDAY.INTL(Tasks[[#This Row],[_LeafCalcFinish]],Tasks[[#This Row],[_AlapShift]],WorkWeek,Holidays)))</f>
        <v/>
      </c>
      <c r="DI204" s="115" t="str">
        <f aca="false">IF(NOT(Tasks[[#This Row],[_IsLeaf]]=1),"",IF(Tasks[[#This Row],[_AlapShift]]=0,Tasks[[#This Row],[_LeafFcstStart]],WORKDAY.INTL(Tasks[[#This Row],[_LeafFcstStart]],Tasks[[#This Row],[_AlapShift]],WorkWeek,Holidays)))</f>
        <v/>
      </c>
      <c r="DJ204" s="115" t="str">
        <f aca="false">IF(NOT(Tasks[[#This Row],[_IsLeaf]]=1),"",IF(Tasks[[#This Row],[_AlapShift]]=0,Tasks[[#This Row],[_LeafFcstFinish]],WORKDAY.INTL(Tasks[[#This Row],[_LeafFcstFinish]],Tasks[[#This Row],[_AlapShift]],WorkWeek,Holidays)))</f>
        <v/>
      </c>
      <c r="DK204" s="115" t="str">
        <f aca="false">IF(Tasks[[#This Row],[Task Name]]="","",IF(Tasks[[#This Row],[_IsSummary]],MIN(INDEX(Tasks[_ShownCalcStart],Tasks[[#This Row],[_Row]]+1):INDEX(Tasks[_ShownCalcStart],Tasks[[#This Row],[_Row]]+Tasks[[#This Row],[_Descendants]])),Tasks[[#This Row],[_ShownCalcStart]]))</f>
        <v/>
      </c>
      <c r="DL204" s="115" t="str">
        <f aca="false">IF(Tasks[[#This Row],[Task Name]]="","",IF(Tasks[[#This Row],[_IsSummary]],MAX(INDEX(Tasks[_ShownCalcFinish],Tasks[[#This Row],[_Row]]+1):INDEX(Tasks[_ShownCalcFinish],Tasks[[#This Row],[_Row]]+Tasks[[#This Row],[_Descendants]])),Tasks[[#This Row],[_ShownCalcFinish]]))</f>
        <v/>
      </c>
      <c r="DM204"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4"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4"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4"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4"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4"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4"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4"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4"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4"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4"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4"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4" s="32" t="n">
        <f aca="false">IF(AND(Tasks[[#This Row],[_IsLeaf]]=1,Tasks[[#This Row],[_LeafTotalWork]]&gt;0),NETWORKDAYS.INTL(ProjectStart,Tasks[[#This Row],[_ShownFcstStart]],WorkWeek,Holidays),0)</f>
        <v>0</v>
      </c>
      <c r="DZ204" s="32" t="n">
        <f aca="false">IF(AND(Tasks[[#This Row],[_IsLeaf]]=1,Tasks[[#This Row],[_LeafTotalWork]]&gt;0),MAX(Tasks[[#This Row],[_StartWorkday]],NETWORKDAYS.INTL(ProjectStart,Tasks[[#This Row],[_ShownFcstFinish]],WorkWeek,Holidays)),0)</f>
        <v>0</v>
      </c>
      <c r="EA204" s="32" t="n">
        <f aca="false">IF(AND(Tasks[[#This Row],[_IsLeaf]]=1,Tasks[[#This Row],[_LeafTotalWork]]&gt;0),Tasks[[#This Row],[_LeafWork]]/(Tasks[[#This Row],[_FinishWorkday]]-Tasks[[#This Row],[_StartWorkday]]+1),0)</f>
        <v>0</v>
      </c>
      <c r="EB204" s="32" t="n">
        <f aca="false">Tasks[[#This Row],[_WorkPerWorkday]]*(Tasks[[#This Row],[_StartWorkday]]-1)</f>
        <v>-0</v>
      </c>
      <c r="EC204" s="32" t="n">
        <f aca="false">IF(Tasks[[#This Row],[_IsLeaf]]=1,MAX(N(Tasks[[#This Row],[Duration]]),0.1),0)</f>
        <v>0</v>
      </c>
      <c r="ED204" s="32" t="n">
        <f aca="false">Tasks[[#This Row],[_WeightDur]]*Tasks[[#This Row],[_LeafProgress]]</f>
        <v>0</v>
      </c>
      <c r="EE204"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4" s="32" t="str">
        <f aca="false">IF(AND(Tasks[[#This Row],[_IsLeaf]]=1,N(Tasks[[#This Row],[Duration]])=0,Tasks[[#This Row],[_LeafProgress]]&lt;1),Tasks[[#This Row],[_ShownFcstFinish]]+Tasks[[#This Row],[_Row]]/100000,"")</f>
        <v/>
      </c>
      <c r="EG204"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4" s="32" t="n">
        <f aca="false">IF(NOT(Tasks[[#This Row],[_IsLeaf]]=1),0,IF(Tasks[[#This Row],[Baseline Cost]]="",Tasks[[#This Row],[_LeafTotalCost]],N(Tasks[[#This Row],[Baseline Cost]])))</f>
        <v>0</v>
      </c>
      <c r="EI204" s="32" t="n">
        <f aca="false">Tasks[[#This Row],[_LeafBudget]]*Tasks[[#This Row],[_PlannedPct]]</f>
        <v>0</v>
      </c>
      <c r="EJ204" s="32" t="n">
        <f aca="false">Tasks[[#This Row],[_LeafBudget]]*Tasks[[#This Row],[_LeafProgress]]</f>
        <v>0</v>
      </c>
      <c r="EK204" s="32" t="n">
        <f aca="false">IF(NOT(Tasks[[#This Row],[_IsLeaf]]=1),0,IF(Tasks[[#This Row],[Actual Cost]]="",Tasks[[#This Row],[_LeafTotalCost]]*Tasks[[#This Row],[_LeafProgress]],N(Tasks[[#This Row],[Actual Cost]])))</f>
        <v>0</v>
      </c>
      <c r="EL204" s="32" t="str">
        <f aca="false">IF(Tasks[[#This Row],[Task Name]]="","",LEFT(Tasks[[#This Row],[WBS]],FIND(".",Tasks[[#This Row],[WBS]]&amp;".")-1))</f>
        <v/>
      </c>
      <c r="EM204" s="32" t="str">
        <f aca="false">IF(AND(Tasks[[#This Row],[Task Name]]&lt;&gt;"",Tasks[[#This Row],[_Level]]=1),Tasks[[#This Row],[_Row]],"")</f>
        <v/>
      </c>
      <c r="EN204" s="32" t="str">
        <f aca="false">IF(AND(Tasks[[#This Row],[_IsLeaf]]=1,N(Tasks[[#This Row],[Duration]])=0),Tasks[[#This Row],[Planned Finish]]+Tasks[[#This Row],[_Row]]/100000,"")</f>
        <v/>
      </c>
      <c r="EO204" s="32" t="str">
        <f aca="false">IF(AND(Tasks[[#This Row],[_IsLeaf]]=1,Tasks[[#This Row],[_LeafProgress]]&lt;1,OR(N(Tasks[[#This Row],[Finish Var]])&gt;0,Tasks[[#This Row],[Status]]="Late Start")),MAX(0,Tasks[[#This Row],[Finish Var]])+1-Tasks[[#This Row],[_Row]]/1000000,"")</f>
        <v/>
      </c>
      <c r="EP204" s="32" t="str">
        <f aca="false">IF(AND(Tasks[[#This Row],[_IsLeaf]]=1,N(Tasks[[#This Row],[Actual Start]])=0,Tasks[[#This Row],[_ShownFcstStart]]&gt;=StatusDate,Tasks[[#This Row],[_ShownFcstStart]]&lt;=LookaheadEnd),Tasks[[#This Row],[_ShownFcstStart]]+Tasks[[#This Row],[_Row]]/100000,"")</f>
        <v/>
      </c>
      <c r="EQ204" s="32" t="str">
        <f aca="false">IF(AND(Tasks[[#This Row],[_IsLeaf]]=1,Tasks[[#This Row],[_LeafProgress]]&lt;1,Tasks[[#This Row],[_ShownFcstFinish]]&gt;=StatusDate,Tasks[[#This Row],[_ShownFcstFinish]]&lt;=LookaheadEnd),Tasks[[#This Row],[_ShownFcstFinish]]+Tasks[[#This Row],[_Row]]/100000,"")</f>
        <v/>
      </c>
      <c r="ER204" s="32" t="str">
        <f aca="false">IF(Tasks[[#This Row],[_LeafCritical]],Tasks[[#This Row],[_ShownFcstStart]]+Tasks[[#This Row],[_Row]]/100000,"")</f>
        <v/>
      </c>
      <c r="ES204" s="32" t="n">
        <f aca="false">Tasks[[#This Row],[_LeafWork]]*Tasks[[#This Row],[_LeafProgress]]</f>
        <v>0</v>
      </c>
      <c r="ET204" s="115" t="str">
        <f aca="false">IF(AND(Tasks[[#This Row],[_IsLeaf]]=1,Tasks[[#This Row],[_LeafProgress]]&gt;=1),IF(N(Tasks[[#This Row],[Actual Finish]])&gt;0,Tasks[[#This Row],[Actual Finish]],Tasks[[#This Row],[_ShownFcstFinish]]),"")</f>
        <v/>
      </c>
      <c r="EU204" s="32" t="n">
        <f aca="false">IF(Tasks[[#This Row],[_IsLeaf]]=1,N(Tasks[[#This Row],[Story Points]]),0)</f>
        <v>0</v>
      </c>
      <c r="EV204" s="32" t="str">
        <f aca="false">IF(AND(Tasks[[#This Row],[_IsLeaf]]=1,CurrentSprint&lt;&gt;"",Tasks[[#This Row],[Sprint]]=CurrentSprint),Tasks[[#This Row],[_Row]],"")</f>
        <v/>
      </c>
    </row>
    <row r="205" customFormat="false" ht="15" hidden="false" customHeight="false" outlineLevel="0" collapsed="false">
      <c r="A205" s="45" t="str">
        <f aca="false">IF(Tasks[[#This Row],[Task Name]]="","",COUNTA(Tasks[[#Headers],[Task Name]]:Tasks[[#This Row],[Task Name]])-1)</f>
        <v/>
      </c>
      <c r="B205" s="46" t="n">
        <v>200</v>
      </c>
      <c r="C205" s="45"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D205" s="46"/>
      <c r="E205" s="45" t="str">
        <f aca="false">IF(Tasks[[#This Row],[Task Name]]="","",IF(Tasks[[#This Row],[_Level]]&lt;=OutlineShowLevel,"Yes","No"))</f>
        <v/>
      </c>
      <c r="F205" s="47"/>
      <c r="G205" s="46"/>
      <c r="H205" s="46"/>
      <c r="I205" s="46"/>
      <c r="J205" s="46"/>
      <c r="K205" s="46"/>
      <c r="L205" s="46"/>
      <c r="M205" s="46"/>
      <c r="N205" s="46"/>
      <c r="O205" s="46"/>
      <c r="P205" s="46"/>
      <c r="Q205" s="46"/>
      <c r="R205" s="46"/>
      <c r="S205" s="46"/>
      <c r="T205" s="46"/>
      <c r="U205" s="47"/>
      <c r="V205" s="88"/>
      <c r="W205" s="88"/>
      <c r="X205" s="25" t="str">
        <f aca="false">IF(Tasks[[#This Row],[Task Name]]="","",IF(N(Tasks[[#This Row],[Baseline Start]])&gt;0,Tasks[[#This Row],[Baseline Start]],Tasks[[#This Row],[_CalcStart]]))</f>
        <v/>
      </c>
      <c r="Y205" s="25" t="str">
        <f aca="false">IF(Tasks[[#This Row],[Task Name]]="","",IF(N(Tasks[[#This Row],[Baseline Finish]])&gt;0,Tasks[[#This Row],[Baseline Finish]],Tasks[[#This Row],[_CalcFinish]]))</f>
        <v/>
      </c>
      <c r="Z205" s="88"/>
      <c r="AA205" s="88"/>
      <c r="AB205" s="25" t="str">
        <f aca="false">IF(Tasks[[#This Row],[Task Name]]="","",IF(Tasks[[#This Row],[_IsSummary]],MIN(INDEX(Tasks[_ShownFcstStart],Tasks[[#This Row],[_Row]]+1):INDEX(Tasks[_ShownFcstStart],Tasks[[#This Row],[_Row]]+Tasks[[#This Row],[_Descendants]])),Tasks[[#This Row],[_ShownFcstStart]]))</f>
        <v/>
      </c>
      <c r="AC205" s="25" t="str">
        <f aca="false">IF(Tasks[[#This Row],[Task Name]]="","",IF(Tasks[[#This Row],[_IsSummary]],MAX(INDEX(Tasks[_ShownFcstFinish],Tasks[[#This Row],[_Row]]+1):INDEX(Tasks[_ShownFcstFinish],Tasks[[#This Row],[_Row]]+Tasks[[#This Row],[_Descendants]])),Tasks[[#This Row],[_ShownFcstFinish]]))</f>
        <v/>
      </c>
      <c r="AD205" s="56" t="str">
        <f aca="false">IF(Tasks[[#This Row],[Task Name]]="","",IF(Tasks[[#This Row],[Forecast Start]]&gt;=Tasks[[#This Row],[Planned Start]],NETWORKDAYS.INTL(Tasks[[#This Row],[Planned Start]],Tasks[[#This Row],[Forecast Start]],WorkWeek,Holidays)-1,1-NETWORKDAYS.INTL(Tasks[[#This Row],[Forecast Start]],Tasks[[#This Row],[Planned Start]],WorkWeek,Holidays)))</f>
        <v/>
      </c>
      <c r="AE205" s="56" t="str">
        <f aca="false">IF(Tasks[[#This Row],[Task Name]]="","",IF(Tasks[[#This Row],[Forecast Finish]]&gt;=Tasks[[#This Row],[Planned Finish]],NETWORKDAYS.INTL(Tasks[[#This Row],[Planned Finish]],Tasks[[#This Row],[Forecast Finish]],WorkWeek,Holidays)-1,1-NETWORKDAYS.INTL(Tasks[[#This Row],[Forecast Finish]],Tasks[[#This Row],[Planned Finish]],WorkWeek,Holidays)))</f>
        <v/>
      </c>
      <c r="AF205" s="25" t="str">
        <f aca="false">IF(Tasks[[#This Row],[Task Name]]="","",IF(Tasks[[#This Row],[_IsSummary]],MIN(INDEX(Tasks[_LeafLateStart],Tasks[[#This Row],[_Row]]+1):INDEX(Tasks[_LeafLateStart],Tasks[[#This Row],[_Row]]+Tasks[[#This Row],[_Descendants]])),Tasks[[#This Row],[_LeafLateStart]]))</f>
        <v/>
      </c>
      <c r="AG205" s="25" t="str">
        <f aca="false">IF(Tasks[[#This Row],[Task Name]]="","",IF(Tasks[[#This Row],[_IsSummary]],MAX(INDEX(Tasks[_LeafLateFinish],Tasks[[#This Row],[_Row]]+1):INDEX(Tasks[_LeafLateFinish],Tasks[[#This Row],[_Row]]+Tasks[[#This Row],[_Descendants]])),Tasks[[#This Row],[_LeafLateFinish]]))</f>
        <v/>
      </c>
      <c r="AH205" s="56" t="str">
        <f aca="false">IF(Tasks[[#This Row],[Task Name]]="","",IF(Tasks[[#This Row],[_IsSummary]],MIN(INDEX(Tasks[_LeafTotalSlack],Tasks[[#This Row],[_Row]]+1):INDEX(Tasks[_LeafTotalSlack],Tasks[[#This Row],[_Row]]+Tasks[[#This Row],[_Descendants]])),Tasks[[#This Row],[_LeafTotalSlack]]))</f>
        <v/>
      </c>
      <c r="AI205" s="45" t="str">
        <f aca="false">IF(NOT(Tasks[[#This Row],[_IsLeaf]]=1),"",IF(MAX(IF(Tasks[[#This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Row],[_Row]]),1),OFFSET(Tasks[[#Headers],[Pred1 UID]],Tasks[[#This Row],[_Row]]+1,0,MAX(1,Tasks[[#This Row],[_LastSuccessorRow]]-Tasks[[#This Row],[_Row]]),1),Tasks[[#This Row],[UID]])),IF(Tasks[[#This Row],[_LastSuccessorRow]]&lt;=Tasks[[#This Row],[_Row]],0,_xlfn.MAXIFS(OFFSET(Tasks[[#Headers],[_Pred2SlackKey]],Tasks[[#This Row],[_Row]]+1,0,MAX(1,Tasks[[#This Row],[_LastSuccessorRow]]-Tasks[[#This Row],[_Row]]),1),OFFSET(Tasks[[#Headers],[Pred2 UID]],Tasks[[#This Row],[_Row]]+1,0,MAX(1,Tasks[[#This Row],[_LastSuccessorRow]]-Tasks[[#This Row],[_Row]]),1),Tasks[[#This Row],[UID]])),IF(Tasks[[#This Row],[_LastSuccessorRow]]&lt;=Tasks[[#This Row],[_Row]],0,_xlfn.MAXIFS(OFFSET(Tasks[[#Headers],[_Pred3SlackKey]],Tasks[[#This Row],[_Row]]+1,0,MAX(1,Tasks[[#This Row],[_LastSuccessorRow]]-Tasks[[#This Row],[_Row]]),1),OFFSET(Tasks[[#Headers],[Pred3 UID]],Tasks[[#This Row],[_Row]]+1,0,MAX(1,Tasks[[#This Row],[_LastSuccessorRow]]-Tasks[[#This Row],[_Row]]),1),Tasks[[#This Row],[UID]])),IF(Tasks[[#This Row],[_LastSuccessorRow]]&lt;=Tasks[[#This Row],[_Row]],0,_xlfn.MAXIFS(OFFSET(Tasks[[#Headers],[_Pred4SlackKey]],Tasks[[#This Row],[_Row]]+1,0,MAX(1,Tasks[[#This Row],[_LastSuccessorRow]]-Tasks[[#This Row],[_Row]]),1),OFFSET(Tasks[[#Headers],[Pred4 UID]],Tasks[[#This Row],[_Row]]+1,0,MAX(1,Tasks[[#This Row],[_LastSuccessorRow]]-Tasks[[#This Row],[_Row]]),1),Tasks[[#This Row],[UID]]))))))</f>
        <v/>
      </c>
      <c r="AJ205" s="45" t="str">
        <f aca="false">IF(Tasks[[#This Row],[Task Name]]="","",IF(IF(Tasks[[#This Row],[_IsSummary]],COUNTIF(INDEX(Tasks[_LeafCritical],Tasks[[#This Row],[_Row]]+1):INDEX(Tasks[_LeafCritical],Tasks[[#This Row],[_Row]]+Tasks[[#This Row],[_Descendants]]),TRUE())&gt;0,Tasks[[#This Row],[_LeafCritical]]),"Yes",""))</f>
        <v/>
      </c>
      <c r="AK205" s="45" t="str">
        <f aca="false">IF(OR(Tasks[[#This Row],[Task Name]]="",N(Tasks[[#This Row],[Deadline]])=0),"",IF(Tasks[[#This Row],[Forecast Finish]]&gt;Tasks[[#This Row],[Deadline]],"Late by "&amp;(IF(Tasks[[#This Row],[Forecast Finish]]&gt;=Tasks[[#This Row],[Deadline]],NETWORKDAYS.INTL(Tasks[[#This Row],[Deadline]],Tasks[[#This Row],[Forecast Finish]],WorkWeek,Holidays)-1,1-NETWORKDAYS.INTL(Tasks[[#This Row],[Forecast Finish]],Tasks[[#This Row],[Deadline]],WorkWeek,Holidays)))&amp;"d","OK"))</f>
        <v/>
      </c>
      <c r="AL205" s="24"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f>
        <v/>
      </c>
      <c r="AM205" s="102"/>
      <c r="AN205" s="109"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O205" s="45" t="str">
        <f aca="false">IF(Tasks[[#This Row],[Task Name]]="","",IF(Tasks[[#This Row],[Progress]]&gt;=1,"Complete",IF(OR(N(Tasks[[#This Row],[Actual Start]])&gt;0,Tasks[[#This Row],[Progress]]&gt;0),IF(Tasks[[#This Row],[Finish Var]]&gt;0,"Behind","In Progress"),IF(Tasks[[#This Row],[Planned Start]]&lt;StatusDate,"Late Start","Not Started"))))</f>
        <v/>
      </c>
      <c r="AP205" s="47"/>
      <c r="AQ205" s="102"/>
      <c r="AR205" s="24" t="str">
        <f aca="false">IF(OR(Tasks[[#This Row],[Task Name]]="",Tasks[[#This Row],[_IsSummary]]),"",MID(IF(Tasks[[#This Row],[Resource]]="","",", "&amp;Tasks[[#This Row],[Resource]]&amp;IF(OR(Tasks[[#This Row],[Units]]="",Tasks[[#This Row],[Units]]=1),"","["&amp;ROUND(Tasks[[#This Row],[Units]]*100,0)&amp;"%]"))&amp;IFERROR(", "&amp;INDEX(asg_Text,MATCH(Tasks[[#This Row],[UID]]*1000+1,asg_Key,0)),"")&amp;IFERROR(", "&amp;INDEX(asg_Text,MATCH(Tasks[[#This Row],[UID]]*1000+2,asg_Key,0)),"")&amp;IFERROR(", "&amp;INDEX(asg_Text,MATCH(Tasks[[#This Row],[UID]]*1000+3,asg_Key,0)),"")&amp;IFERROR(", "&amp;INDEX(asg_Text,MATCH(Tasks[[#This Row],[UID]]*1000+4,asg_Key,0)),"")&amp;IF(COUNTIFS(asg_TaskUID,Tasks[[#This Row],[UID]],asg_Valid,1)-4&gt;0," +"&amp;COUNTIFS(asg_TaskUID,Tasks[[#This Row],[UID]],asg_Valid,1)-4&amp;" more",""),3,999))</f>
        <v/>
      </c>
      <c r="AS205" s="45" t="str">
        <f aca="false">IF(OR(NOT(Tasks[[#This Row],[_IsLeaf]]=1),Tasks[[#This Row],[_LeafProgress]]&gt;=1),"",IF(OR(AND(Tasks[[#This Row],[Resource]]&lt;&gt;"",IFERROR(IF(MAX(1,(INT((Tasks[[#This Row],[_ShownFcstStart]]-ResourceWeekStart)/7)+1))&gt;MIN(COLUMNS(rw_Util),(INT((Tasks[[#This Row],[_ShownFcstFinish]]-ResourceWeekStart)/7)+1)),FALSE(),COUNTIF(INDEX(rw_Util,MATCH(Tasks[[#This Row],[Resource]],res_Name,0),MAX(1,(INT((Tasks[[#This Row],[_ShownFcstStart]]-ResourceWeekStart)/7)+1))):INDEX(rw_Util,MATCH(Tasks[[#This Row],[Resource]],res_Name,0),MIN(COLUMNS(rw_Util),(INT((Tasks[[#This Row],[_ShownFcstFinish]]-ResourceWeekStart)/7)+1))),"&gt;1")&gt;0),FALSE())),COUNTIFS(asg_TaskUID,Tasks[[#This Row],[UID]],asg_OverAllocated,"Yes")&gt;0),"Yes",""))</f>
        <v/>
      </c>
      <c r="AT205" s="110" t="str">
        <f aca="false">IF(Tasks[[#This Row],[Task Name]]="","",IF(Tasks[[#This Row],[_IsSummary]],SUM(INDEX(Tasks[_LeafTotalWork],Tasks[[#This Row],[_Row]]+1):INDEX(Tasks[_LeafTotalWork],Tasks[[#This Row],[_Row]]+Tasks[[#This Row],[_Descendants]])),Tasks[[#This Row],[_LeafTotalWork]]))</f>
        <v/>
      </c>
      <c r="AU205" s="111" t="str">
        <f aca="false">IF(Tasks[[#This Row],[Task Name]]="","",IF(Tasks[[#This Row],[_IsSummary]],SUM(INDEX(Tasks[_LeafTotalCost],Tasks[[#This Row],[_Row]]+1):INDEX(Tasks[_LeafTotalCost],Tasks[[#This Row],[_Row]]+Tasks[[#This Row],[_Descendants]])),Tasks[[#This Row],[_LeafTotalCost]]))</f>
        <v/>
      </c>
      <c r="AV205" s="112"/>
      <c r="AW205" s="46"/>
      <c r="AX205" s="45" t="str">
        <f aca="false">IF(OR(Tasks[[#This Row],[Task Name]]="",Tasks[[#This Row],[_IsSummary]]),"",IF(Tasks[[#This Row],[Planned Sprint]]&lt;&gt;"",Tasks[[#This Row],[Planned Sprint]],IF(OR(Tasks[[#This Row],[Forecast Start]]&lt;Sprint1Start,Tasks[[#This Row],[Forecast Start]]&gt;SprintLastEnd),"Backlog",INDEX(spr_Name,MATCH(Tasks[[#This Row],[Forecast Start]],spr_Start,1)))))</f>
        <v/>
      </c>
      <c r="AY205" s="96"/>
      <c r="AZ205" s="24" t="str">
        <f aca="false">IF(Tasks[[#This Row],[Task Name]]="","",MID(IF(OR(N(Tasks[[#This Row],[Pred1 UID]])=0,Tasks[[#This Row],[_Pred1Problem]]&lt;&gt;""),"",","&amp;INDEX(Tasks[ID],Tasks[[#This Row],[_Pred1Pos]])&amp;IF(AND(IF(Tasks[[#This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Row],[_Pred2Problem]]&lt;&gt;""),"",","&amp;INDEX(Tasks[ID],Tasks[[#This Row],[_Pred2Pos]])&amp;IF(AND(IF(Tasks[[#This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Row],[_Pred3Problem]]&lt;&gt;""),"",","&amp;INDEX(Tasks[ID],Tasks[[#This Row],[_Pred3Pos]])&amp;IF(AND(IF(Tasks[[#This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Row],[_Pred4Problem]]&lt;&gt;""),"",","&amp;INDEX(Tasks[ID],Tasks[[#This Row],[_Pred4Pos]])&amp;IF(AND(IF(Tasks[[#This Row],[Pred4 Type]]="","FS",Tasks[[#This Row],[Pred4 Type]])="FS",N(Tasks[[#This Row],[Pred4 Lag]])=0),"",IF(Tasks[[#This Row],[Pred4 Type]]="","FS",Tasks[[#This Row],[Pred4 Type]])&amp;IF(N(Tasks[[#This Row],[Pred4 Lag]])=0,"",IF(N(Tasks[[#This Row],[Pred4 Lag]])&gt;0,"+","")&amp;N(Tasks[[#This Row],[Pred4 Lag]])&amp;"d"))),2,999))</f>
        <v/>
      </c>
      <c r="BA205" s="47"/>
      <c r="BB205" s="25" t="str">
        <f aca="false">IF(Tasks[[#This Row],[Task Name]]="","",Tasks[[#This Row],[Forecast Start]])</f>
        <v/>
      </c>
      <c r="BC205" s="25" t="str">
        <f aca="false">IF(Tasks[[#This Row],[Task Name]]="","",Tasks[[#This Row],[Forecast Finish]])</f>
        <v/>
      </c>
      <c r="BD205" s="45" t="str">
        <f aca="false">IF(Tasks[[#This Row],[Task Name]]="","",IF(Tasks[[#This Row],[_IsSummary]],NETWORKDAYS.INTL(Tasks[[#This Row],[Forecast Start]],Tasks[[#This Row],[Forecast Finish]],WorkWeek,Holidays),N(Tasks[[#This Row],[Duration]])))</f>
        <v/>
      </c>
      <c r="BE205" s="110" t="str">
        <f aca="false">IF(Tasks[[#This Row],[Task Name]]="","",Tasks[[#This Row],[Work]])</f>
        <v/>
      </c>
      <c r="BF205" s="111" t="str">
        <f aca="false">IF(Tasks[[#This Row],[Task Name]]="","",Tasks[[#This Row],[Cost]])</f>
        <v/>
      </c>
      <c r="BG205" s="88"/>
      <c r="BH205" s="88"/>
      <c r="BI205" s="46"/>
      <c r="BJ205" s="113"/>
      <c r="BK205" s="112"/>
      <c r="BL205" s="45" t="str">
        <f aca="false">IF(OR(Tasks[[#This Row],[Task Name]]="",Tasks[[#This Row],[Baseline Duration]]=""),"",Tasks[[#This Row],[BL Source Duration]]-N(Tasks[[#This Row],[Baseline Duration]]))</f>
        <v/>
      </c>
      <c r="BM205" s="110" t="str">
        <f aca="false">IF(OR(Tasks[[#This Row],[Task Name]]="",Tasks[[#This Row],[Baseline Work]]=""),"",Tasks[[#This Row],[Work]]-N(Tasks[[#This Row],[Baseline Work]]))</f>
        <v/>
      </c>
      <c r="BN205" s="111" t="str">
        <f aca="false">IF(OR(Tasks[[#This Row],[Task Name]]="",Tasks[[#This Row],[Baseline Cost]]=""),"",Tasks[[#This Row],[Cost]]-N(Tasks[[#This Row],[Baseline Cost]]))</f>
        <v/>
      </c>
      <c r="BO205" s="111" t="str">
        <f aca="false">IF(Tasks[[#This Row],[Task Name]]="","",IF(Tasks[[#This Row],[_IsSummary]],SUM(INDEX(Tasks[_LeafBudget],Tasks[[#This Row],[_Row]]+1):INDEX(Tasks[_LeafBudget],Tasks[[#This Row],[_Row]]+Tasks[[#This Row],[_Descendants]])),Tasks[[#This Row],[_LeafBudget]]))</f>
        <v/>
      </c>
      <c r="BP205" s="111" t="str">
        <f aca="false">IF(Tasks[[#This Row],[Task Name]]="","",IF(Tasks[[#This Row],[_IsSummary]],SUM(INDEX(Tasks[_LeafPV],Tasks[[#This Row],[_Row]]+1):INDEX(Tasks[_LeafPV],Tasks[[#This Row],[_Row]]+Tasks[[#This Row],[_Descendants]])),Tasks[[#This Row],[_LeafPV]]))</f>
        <v/>
      </c>
      <c r="BQ205" s="111" t="str">
        <f aca="false">IF(Tasks[[#This Row],[Task Name]]="","",IF(Tasks[[#This Row],[_IsSummary]],SUM(INDEX(Tasks[_LeafEV],Tasks[[#This Row],[_Row]]+1):INDEX(Tasks[_LeafEV],Tasks[[#This Row],[_Row]]+Tasks[[#This Row],[_Descendants]])),Tasks[[#This Row],[_LeafEV]]))</f>
        <v/>
      </c>
      <c r="BR205" s="111" t="str">
        <f aca="false">IF(Tasks[[#This Row],[Task Name]]="","",IF(Tasks[[#This Row],[_IsSummary]],SUM(INDEX(Tasks[_LeafAC],Tasks[[#This Row],[_Row]]+1):INDEX(Tasks[_LeafAC],Tasks[[#This Row],[_Row]]+Tasks[[#This Row],[_Descendants]])),Tasks[[#This Row],[_LeafAC]]))</f>
        <v/>
      </c>
      <c r="BS205" s="32" t="str">
        <f aca="false">IF(Tasks[[#This Row],[Task Name]]="","",MAX(1,N(Tasks[[#This Row],[Level]])))</f>
        <v/>
      </c>
      <c r="BT205" s="32" t="n">
        <f aca="false">ROW()-ROW(Tasks[[#Headers],[ID]])</f>
        <v>200</v>
      </c>
      <c r="BU205" s="32" t="n">
        <f aca="false">IF(OR(Tasks[[#This Row],[Task Name]]="",Tasks[[#This Row],[_Level]]&lt;=1),0,IFERROR(LOOKUP(2,1/(Tasks[[#Headers],[_Level]]:Tasks[[#This Row],[_Level]]=Tasks[[#This Row],[_Level]]-1),ROW(Tasks[[#Headers],[_Level]]:Tasks[[#This Row],[_Level]])),0))</f>
        <v>0</v>
      </c>
      <c r="BV205" s="32" t="n">
        <f aca="false">IFERROR(N(INDEX(Tasks[_Level],Tasks[[#This Row],[_Row]]+1)),0)</f>
        <v>0</v>
      </c>
      <c r="BW205" s="114" t="b">
        <f aca="false">AND(Tasks[[#This Row],[Task Name]]&lt;&gt;"",Tasks[[#This Row],[_NextLevel]]&gt;Tasks[[#This Row],[_Level]])</f>
        <v>0</v>
      </c>
      <c r="BX205" s="32" t="n">
        <f aca="false">IF(Tasks[[#This Row],[_IsSummary]],COUNTIF(Tasks[WBS],Tasks[[#This Row],[WBS]]&amp;".*"),0)</f>
        <v>0</v>
      </c>
      <c r="BY205" s="32" t="n">
        <f aca="false">IF(AND(Tasks[[#This Row],[Task Name]]&lt;&gt;"",NOT(Tasks[[#This Row],[_IsSummary]])),1,0)</f>
        <v>0</v>
      </c>
      <c r="BZ205" s="32" t="n">
        <f aca="false">IF(N(Tasks[[#This Row],[Pred1 UID]])=0,0,IFERROR(MATCH(Tasks[[#This Row],[Pred1 UID]],Tasks[UID],0),-1))</f>
        <v>0</v>
      </c>
      <c r="CA205" s="32" t="n">
        <f aca="false">IF(N(Tasks[[#This Row],[Pred2 UID]])=0,0,IFERROR(MATCH(Tasks[[#This Row],[Pred2 UID]],Tasks[UID],0),-1))</f>
        <v>0</v>
      </c>
      <c r="CB205" s="32" t="n">
        <f aca="false">IF(N(Tasks[[#This Row],[Pred3 UID]])=0,0,IFERROR(MATCH(Tasks[[#This Row],[Pred3 UID]],Tasks[UID],0),-1))</f>
        <v>0</v>
      </c>
      <c r="CC205" s="32" t="n">
        <f aca="false">IF(N(Tasks[[#This Row],[Pred4 UID]])=0,0,IFERROR(MATCH(Tasks[[#This Row],[Pred4 UID]],Tasks[UID],0),-1))</f>
        <v>0</v>
      </c>
      <c r="CD205" s="3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E205" s="115"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CF205" s="115" t="n">
        <f aca="false">IF(OR(Tasks[[#This Row],[_ConstraintCode]]=2,Tasks[[#This Row],[_ConstraintCode]]=3,Tasks[[#This Row],[_ConstraintCode]]=4,Tasks[[#This Row],[_ConstraintCode]]=6),Tasks[[#This Row],[_ConstraintStart]],0)</f>
        <v>0</v>
      </c>
      <c r="CG205" s="115" t="n">
        <f aca="false">IF(OR(Tasks[[#This Row],[_ConstraintCode]]=2,Tasks[[#This Row],[_ConstraintCode]]=3,Tasks[[#This Row],[_ConstraintCode]]=5,Tasks[[#This Row],[_ConstraintCode]]=7),Tasks[[#This Row],[_ConstraintStart]],2958465)</f>
        <v>2958465</v>
      </c>
      <c r="CH205" s="115"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I205" s="115" t="str">
        <f aca="false">IF(NOT(Tasks[[#This Row],[_IsLeaf]]=1),"",IF(N(Tasks[[#This Row],[Duration]])&lt;=0,Tasks[[#This Row],[_LeafCalcStart]],WORKDAY.INTL(Tasks[[#This Row],[_LeafCalcStart]],Tasks[[#This Row],[Duration]]-1,WorkWeek,Holidays)))</f>
        <v/>
      </c>
      <c r="CJ205" s="115"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K205" s="115"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Row],[Duration]]*(1-MIN(1,N(Tasks[[#This Row],[% Complete]]))),0)-1),WorkWeek,Holidays)),WORKDAY.INTL(Tasks[[#This Row],[_LeafFcstStart]],Tasks[[#This Row],[Duration]]-1,WorkWeek,Holidays)))))</f>
        <v/>
      </c>
      <c r="CL205" s="32" t="n">
        <f aca="false">IF(NOT(Tasks[[#This Row],[_IsLeaf]]=1),0,IF(N(Tasks[[#This Row],[Actual Finish]])&gt;0,1,MIN(1,N(Tasks[[#This Row],[% Complete]]))))</f>
        <v>0</v>
      </c>
      <c r="CM205" s="32" t="n">
        <f aca="false">IF(OR(NOT(Tasks[[#This Row],[_IsLeaf]]=1),Tasks[[#This Row],[Resource]]=""),0,N(Tasks[[#This Row],[Duration]])*HoursPerDay*IF(Tasks[[#This Row],[Units]]="",DefaultUnits,Tasks[[#This Row],[Units]]))</f>
        <v>0</v>
      </c>
      <c r="CN205" s="32" t="n">
        <f aca="false">IF(Tasks[[#This Row],[_LeafWork]]=0,0,Tasks[[#This Row],[_LeafWork]]*IFERROR(INDEX(res_Rate,MATCH(Tasks[[#This Row],[Resource]],res_Name,0)),0))</f>
        <v>0</v>
      </c>
      <c r="CO205" s="32" t="n">
        <f aca="false">Tasks[[#This Row],[_LeafWork]]+IF(Tasks[[#This Row],[_IsLeaf]]=1,SUMIFS(asg_Work,asg_TaskUID,Tasks[[#This Row],[UID]],asg_Valid,1),0)</f>
        <v>0</v>
      </c>
      <c r="CP205" s="32" t="n">
        <f aca="false">Tasks[[#This Row],[_LeafCost]]+IF(Tasks[[#This Row],[_IsLeaf]]=1,SUMIFS(asg_Cost,asg_TaskUID,Tasks[[#This Row],[UID]],asg_Valid,1),0)</f>
        <v>0</v>
      </c>
      <c r="CQ205" s="32" t="n">
        <f aca="false">IF(Tasks[[#This Row],[_LeafTotalCost]]=0,Tasks[[#This Row],[_LeafAC]],Tasks[[#This Row],[_LeafAC]]*Tasks[[#This Row],[_LeafCost]]/Tasks[[#This Row],[_LeafTotalCost]])</f>
        <v>0</v>
      </c>
      <c r="CR205" s="32" t="str">
        <f aca="false">IF(AND(Tasks[[#This Row],[_IsLeaf]]=1,Tasks[[#This Row],[_Pred1Pos]]&gt;0,Tasks[[#This Row],[_Pred1Problem]]=""),2958465-IF(IF(Tasks[[#This Row],[Pred1 Type]]="","FS",Tasks[[#This Row],[Pred1 Type]])="FS",WORKDAY.INTL(Tasks[[#This Row],[_LeafLateStart]],-(IF(N(Tasks[[#This Row],[Duration]])=0,0,1)+N(Tasks[[#This Row],[Pred1 Lag]])),WorkWeek,Holidays),IF(IF(Tasks[[#This Row],[Pred1 Type]]="","FS",Tasks[[#This Row],[Pred1 Type]])="FF",WORKDAY.INTL(Tasks[[#This Row],[_LeafLateFinish]],-N(Tasks[[#This Row],[Pred1 Lag]]),WorkWeek,Holidays),IF(N(INDEX(Tasks[Duration],Tasks[[#This Row],[_Pred1Pos]]))&lt;=0,WORKDAY.INTL(IF(IF(Tasks[[#This Row],[Pred1 Type]]="","FS",Tasks[[#This Row],[Pred1 Type]])="SS",Tasks[[#This Row],[_LeafLateStart]],Tasks[[#This Row],[_LeafLateFinish]]),-N(Tasks[[#This Row],[Pred1 Lag]]),WorkWeek,Holidays),WORKDAY.INTL(WORKDAY.INTL(IF(IF(Tasks[[#This Row],[Pred1 Type]]="","FS",Tasks[[#This Row],[Pred1 Type]])="SS",Tasks[[#This Row],[_LeafLateStart]],Tasks[[#This Row],[_LeafLateFinish]]),-N(Tasks[[#This Row],[Pred1 Lag]]),WorkWeek,Holidays),N(INDEX(Tasks[Duration],Tasks[[#This Row],[_Pred1Pos]]))-1,WorkWeek,Holidays)))),"")</f>
        <v/>
      </c>
      <c r="CS205" s="32" t="str">
        <f aca="false">IF(AND(Tasks[[#This Row],[_IsLeaf]]=1,Tasks[[#This Row],[_Pred2Pos]]&gt;0,Tasks[[#This Row],[_Pred2Problem]]=""),2958465-IF(IF(Tasks[[#This Row],[Pred2 Type]]="","FS",Tasks[[#This Row],[Pred2 Type]])="FS",WORKDAY.INTL(Tasks[[#This Row],[_LeafLateStart]],-(IF(N(Tasks[[#This Row],[Duration]])=0,0,1)+N(Tasks[[#This Row],[Pred2 Lag]])),WorkWeek,Holidays),IF(IF(Tasks[[#This Row],[Pred2 Type]]="","FS",Tasks[[#This Row],[Pred2 Type]])="FF",WORKDAY.INTL(Tasks[[#This Row],[_LeafLateFinish]],-N(Tasks[[#This Row],[Pred2 Lag]]),WorkWeek,Holidays),IF(N(INDEX(Tasks[Duration],Tasks[[#This Row],[_Pred2Pos]]))&lt;=0,WORKDAY.INTL(IF(IF(Tasks[[#This Row],[Pred2 Type]]="","FS",Tasks[[#This Row],[Pred2 Type]])="SS",Tasks[[#This Row],[_LeafLateStart]],Tasks[[#This Row],[_LeafLateFinish]]),-N(Tasks[[#This Row],[Pred2 Lag]]),WorkWeek,Holidays),WORKDAY.INTL(WORKDAY.INTL(IF(IF(Tasks[[#This Row],[Pred2 Type]]="","FS",Tasks[[#This Row],[Pred2 Type]])="SS",Tasks[[#This Row],[_LeafLateStart]],Tasks[[#This Row],[_LeafLateFinish]]),-N(Tasks[[#This Row],[Pred2 Lag]]),WorkWeek,Holidays),N(INDEX(Tasks[Duration],Tasks[[#This Row],[_Pred2Pos]]))-1,WorkWeek,Holidays)))),"")</f>
        <v/>
      </c>
      <c r="CT205" s="32" t="str">
        <f aca="false">IF(AND(Tasks[[#This Row],[_IsLeaf]]=1,Tasks[[#This Row],[_Pred3Pos]]&gt;0,Tasks[[#This Row],[_Pred3Problem]]=""),2958465-IF(IF(Tasks[[#This Row],[Pred3 Type]]="","FS",Tasks[[#This Row],[Pred3 Type]])="FS",WORKDAY.INTL(Tasks[[#This Row],[_LeafLateStart]],-(IF(N(Tasks[[#This Row],[Duration]])=0,0,1)+N(Tasks[[#This Row],[Pred3 Lag]])),WorkWeek,Holidays),IF(IF(Tasks[[#This Row],[Pred3 Type]]="","FS",Tasks[[#This Row],[Pred3 Type]])="FF",WORKDAY.INTL(Tasks[[#This Row],[_LeafLateFinish]],-N(Tasks[[#This Row],[Pred3 Lag]]),WorkWeek,Holidays),IF(N(INDEX(Tasks[Duration],Tasks[[#This Row],[_Pred3Pos]]))&lt;=0,WORKDAY.INTL(IF(IF(Tasks[[#This Row],[Pred3 Type]]="","FS",Tasks[[#This Row],[Pred3 Type]])="SS",Tasks[[#This Row],[_LeafLateStart]],Tasks[[#This Row],[_LeafLateFinish]]),-N(Tasks[[#This Row],[Pred3 Lag]]),WorkWeek,Holidays),WORKDAY.INTL(WORKDAY.INTL(IF(IF(Tasks[[#This Row],[Pred3 Type]]="","FS",Tasks[[#This Row],[Pred3 Type]])="SS",Tasks[[#This Row],[_LeafLateStart]],Tasks[[#This Row],[_LeafLateFinish]]),-N(Tasks[[#This Row],[Pred3 Lag]]),WorkWeek,Holidays),N(INDEX(Tasks[Duration],Tasks[[#This Row],[_Pred3Pos]]))-1,WorkWeek,Holidays)))),"")</f>
        <v/>
      </c>
      <c r="CU205" s="32" t="str">
        <f aca="false">IF(AND(Tasks[[#This Row],[_IsLeaf]]=1,Tasks[[#This Row],[_Pred4Pos]]&gt;0,Tasks[[#This Row],[_Pred4Problem]]=""),2958465-IF(IF(Tasks[[#This Row],[Pred4 Type]]="","FS",Tasks[[#This Row],[Pred4 Type]])="FS",WORKDAY.INTL(Tasks[[#This Row],[_LeafLateStart]],-(IF(N(Tasks[[#This Row],[Duration]])=0,0,1)+N(Tasks[[#This Row],[Pred4 Lag]])),WorkWeek,Holidays),IF(IF(Tasks[[#This Row],[Pred4 Type]]="","FS",Tasks[[#This Row],[Pred4 Type]])="FF",WORKDAY.INTL(Tasks[[#This Row],[_LeafLateFinish]],-N(Tasks[[#This Row],[Pred4 Lag]]),WorkWeek,Holidays),IF(N(INDEX(Tasks[Duration],Tasks[[#This Row],[_Pred4Pos]]))&lt;=0,WORKDAY.INTL(IF(IF(Tasks[[#This Row],[Pred4 Type]]="","FS",Tasks[[#This Row],[Pred4 Type]])="SS",Tasks[[#This Row],[_LeafLateStart]],Tasks[[#This Row],[_LeafLateFinish]]),-N(Tasks[[#This Row],[Pred4 Lag]]),WorkWeek,Holidays),WORKDAY.INTL(WORKDAY.INTL(IF(IF(Tasks[[#This Row],[Pred4 Type]]="","FS",Tasks[[#This Row],[Pred4 Type]])="SS",Tasks[[#This Row],[_LeafLateStart]],Tasks[[#This Row],[_LeafLateFinish]]),-N(Tasks[[#This Row],[Pred4 Lag]]),WorkWeek,Holidays),N(INDEX(Tasks[Duration],Tasks[[#This Row],[_Pred4Pos]]))-1,WorkWeek,Holidays)))),"")</f>
        <v/>
      </c>
      <c r="CV205" s="3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CW205" s="3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CX205" s="3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CY205" s="3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CZ205" s="32" t="n">
        <f aca="false">IF(NOT(Tasks[[#This Row],[_IsLeaf]]=1),0,MAX(_xlfn.MAXIFS(Tasks[_Row],Tasks[Pred1 UID],Tasks[[#This Row],[UID]]),_xlfn.MAXIFS(Tasks[_Row],Tasks[Pred2 UID],Tasks[[#This Row],[UID]]),_xlfn.MAXIFS(Tasks[_Row],Tasks[Pred3 UID],Tasks[[#This Row],[UID]]),_xlfn.MAXIFS(Tasks[_Row],Tasks[Pred4 UID],Tasks[[#This Row],[UID]])))</f>
        <v>0</v>
      </c>
      <c r="DA205" s="115" t="str">
        <f aca="false">IF(NOT(Tasks[[#This Row],[_IsLeaf]]=1),"",2958465-MAX(IF(Tasks[[#This Row],[_LastSuccessorRow]]&lt;=Tasks[[#This Row],[_Row]],0,_xlfn.MAXIFS(OFFSET(Tasks[[#Headers],[_Pred1FinishKey]],Tasks[[#This Row],[_Row]]+1,0,MAX(1,Tasks[[#This Row],[_LastSuccessorRow]]-Tasks[[#This Row],[_Row]]),1),OFFSET(Tasks[[#Headers],[Pred1 UID]],Tasks[[#This Row],[_Row]]+1,0,MAX(1,Tasks[[#This Row],[_LastSuccessorRow]]-Tasks[[#This Row],[_Row]]),1),Tasks[[#This Row],[UID]])),IF(Tasks[[#This Row],[_LastSuccessorRow]]&lt;=Tasks[[#This Row],[_Row]],0,_xlfn.MAXIFS(OFFSET(Tasks[[#Headers],[_Pred2FinishKey]],Tasks[[#This Row],[_Row]]+1,0,MAX(1,Tasks[[#This Row],[_LastSuccessorRow]]-Tasks[[#This Row],[_Row]]),1),OFFSET(Tasks[[#Headers],[Pred2 UID]],Tasks[[#This Row],[_Row]]+1,0,MAX(1,Tasks[[#This Row],[_LastSuccessorRow]]-Tasks[[#This Row],[_Row]]),1),Tasks[[#This Row],[UID]])),IF(Tasks[[#This Row],[_LastSuccessorRow]]&lt;=Tasks[[#This Row],[_Row]],0,_xlfn.MAXIFS(OFFSET(Tasks[[#Headers],[_Pred3FinishKey]],Tasks[[#This Row],[_Row]]+1,0,MAX(1,Tasks[[#This Row],[_LastSuccessorRow]]-Tasks[[#This Row],[_Row]]),1),OFFSET(Tasks[[#Headers],[Pred3 UID]],Tasks[[#This Row],[_Row]]+1,0,MAX(1,Tasks[[#This Row],[_LastSuccessorRow]]-Tasks[[#This Row],[_Row]]),1),Tasks[[#This Row],[UID]])),IF(Tasks[[#This Row],[_LastSuccessorRow]]&lt;=Tasks[[#This Row],[_Row]],0,_xlfn.MAXIFS(OFFSET(Tasks[[#Headers],[_Pred4FinishKey]],Tasks[[#This Row],[_Row]]+1,0,MAX(1,Tasks[[#This Row],[_LastSuccessorRow]]-Tasks[[#This Row],[_Row]]),1),OFFSET(Tasks[[#Headers],[Pred4 UID]],Tasks[[#This Row],[_Row]]+1,0,MAX(1,Tasks[[#This Row],[_LastSuccessorRow]]-Tasks[[#This Row],[_Row]]),1),Tasks[[#This Row],[UID]]))))</f>
        <v/>
      </c>
      <c r="DB205" s="115"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DC205" s="115" t="str">
        <f aca="false">IF(NOT(Tasks[[#This Row],[_IsLeaf]]=1),"",IF(N(Tasks[[#This Row],[Duration]])&lt;=0,Tasks[[#This Row],[_LeafLateFinish]],WORKDAY.INTL(Tasks[[#This Row],[_LeafLateFinish]],-(Tasks[[#This Row],[Duration]]-1),WorkWeek,Holidays)))</f>
        <v/>
      </c>
      <c r="DD205" s="3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DE205" s="114" t="b">
        <f aca="false">AND(Tasks[[#This Row],[_IsLeaf]]=1,Tasks[[#This Row],[_LeafProgress]]&lt;1,N(Tasks[[#This Row],[_LeafTotalSlack]])&lt;=CriticalSlackDays)</f>
        <v>0</v>
      </c>
      <c r="DF205" s="32" t="n">
        <f aca="false">IF(AND(Tasks[[#This Row],[_IsLeaf]]=1,Tasks[[#This Row],[_ConstraintCode]]=1,Tasks[[#This Row],[Mode]]&lt;&gt;"Manual",N(Tasks[[#This Row],[Actual Start]])=0),MAX(0,N(Tasks[[#This Row],[Free Slack]])),0)</f>
        <v>0</v>
      </c>
      <c r="DG205" s="115" t="str">
        <f aca="false">IF(NOT(Tasks[[#This Row],[_IsLeaf]]=1),"",IF(Tasks[[#This Row],[_AlapShift]]=0,Tasks[[#This Row],[_LeafCalcStart]],WORKDAY.INTL(Tasks[[#This Row],[_LeafCalcStart]],Tasks[[#This Row],[_AlapShift]],WorkWeek,Holidays)))</f>
        <v/>
      </c>
      <c r="DH205" s="115" t="str">
        <f aca="false">IF(NOT(Tasks[[#This Row],[_IsLeaf]]=1),"",IF(Tasks[[#This Row],[_AlapShift]]=0,Tasks[[#This Row],[_LeafCalcFinish]],WORKDAY.INTL(Tasks[[#This Row],[_LeafCalcFinish]],Tasks[[#This Row],[_AlapShift]],WorkWeek,Holidays)))</f>
        <v/>
      </c>
      <c r="DI205" s="115" t="str">
        <f aca="false">IF(NOT(Tasks[[#This Row],[_IsLeaf]]=1),"",IF(Tasks[[#This Row],[_AlapShift]]=0,Tasks[[#This Row],[_LeafFcstStart]],WORKDAY.INTL(Tasks[[#This Row],[_LeafFcstStart]],Tasks[[#This Row],[_AlapShift]],WorkWeek,Holidays)))</f>
        <v/>
      </c>
      <c r="DJ205" s="115" t="str">
        <f aca="false">IF(NOT(Tasks[[#This Row],[_IsLeaf]]=1),"",IF(Tasks[[#This Row],[_AlapShift]]=0,Tasks[[#This Row],[_LeafFcstFinish]],WORKDAY.INTL(Tasks[[#This Row],[_LeafFcstFinish]],Tasks[[#This Row],[_AlapShift]],WorkWeek,Holidays)))</f>
        <v/>
      </c>
      <c r="DK205" s="115" t="str">
        <f aca="false">IF(Tasks[[#This Row],[Task Name]]="","",IF(Tasks[[#This Row],[_IsSummary]],MIN(INDEX(Tasks[_ShownCalcStart],Tasks[[#This Row],[_Row]]+1):INDEX(Tasks[_ShownCalcStart],Tasks[[#This Row],[_Row]]+Tasks[[#This Row],[_Descendants]])),Tasks[[#This Row],[_ShownCalcStart]]))</f>
        <v/>
      </c>
      <c r="DL205" s="115" t="str">
        <f aca="false">IF(Tasks[[#This Row],[Task Name]]="","",IF(Tasks[[#This Row],[_IsSummary]],MAX(INDEX(Tasks[_ShownCalcFinish],Tasks[[#This Row],[_Row]]+1):INDEX(Tasks[_ShownCalcFinish],Tasks[[#This Row],[_Row]]+Tasks[[#This Row],[_Descendants]])),Tasks[[#This Row],[_ShownCalcFinish]]))</f>
        <v/>
      </c>
      <c r="DM205" s="32" t="str">
        <f aca="false">IF(OR(N(Tasks[[#This Row],[Pred1 UID]])=0,Tasks[[#This Row],[Task Name]]=""),"",IF(Tasks[[#This Row],[_IsSummary]],"ignored: summary tasks roll up",IF(Tasks[[#This Row],[Pred1 UID]]=Tasks[[#This Row],[UID]],"links to itself",IF(Tasks[[#This Row],[_Pred1Pos]]&lt;0,"UID "&amp;Tasks[[#This Row],[Pred1 UID]]&amp;" not found",IF(INDEX(Tasks[Task Name],Tasks[[#This Row],[_Pred1Pos]])="","UID "&amp;Tasks[[#This Row],[Pred1 UID]]&amp;" is an empty row",IF(Tasks[[#This Row],[_Pred1Pos]]&gt;Tasks[[#This Row],[_Row]],"UID "&amp;Tasks[[#This Row],[Pred1 UID]]&amp;" is below this task: move it above",IF(INDEX(Tasks[_IsSummary],Tasks[[#This Row],[_Pred1Pos]]),"UID "&amp;Tasks[[#This Row],[Pred1 UID]]&amp;" is a summary: link to one of its tasks","")))))))</f>
        <v/>
      </c>
      <c r="DN205" s="32" t="str">
        <f aca="false">IF(OR(N(Tasks[[#This Row],[Pred2 UID]])=0,Tasks[[#This Row],[Task Name]]=""),"",IF(Tasks[[#This Row],[_IsSummary]],"ignored: summary tasks roll up",IF(Tasks[[#This Row],[Pred2 UID]]=Tasks[[#This Row],[UID]],"links to itself",IF(Tasks[[#This Row],[_Pred2Pos]]&lt;0,"UID "&amp;Tasks[[#This Row],[Pred2 UID]]&amp;" not found",IF(INDEX(Tasks[Task Name],Tasks[[#This Row],[_Pred2Pos]])="","UID "&amp;Tasks[[#This Row],[Pred2 UID]]&amp;" is an empty row",IF(Tasks[[#This Row],[_Pred2Pos]]&gt;Tasks[[#This Row],[_Row]],"UID "&amp;Tasks[[#This Row],[Pred2 UID]]&amp;" is below this task: move it above",IF(INDEX(Tasks[_IsSummary],Tasks[[#This Row],[_Pred2Pos]]),"UID "&amp;Tasks[[#This Row],[Pred2 UID]]&amp;" is a summary: link to one of its tasks","")))))))</f>
        <v/>
      </c>
      <c r="DO205" s="32" t="str">
        <f aca="false">IF(OR(N(Tasks[[#This Row],[Pred3 UID]])=0,Tasks[[#This Row],[Task Name]]=""),"",IF(Tasks[[#This Row],[_IsSummary]],"ignored: summary tasks roll up",IF(Tasks[[#This Row],[Pred3 UID]]=Tasks[[#This Row],[UID]],"links to itself",IF(Tasks[[#This Row],[_Pred3Pos]]&lt;0,"UID "&amp;Tasks[[#This Row],[Pred3 UID]]&amp;" not found",IF(INDEX(Tasks[Task Name],Tasks[[#This Row],[_Pred3Pos]])="","UID "&amp;Tasks[[#This Row],[Pred3 UID]]&amp;" is an empty row",IF(Tasks[[#This Row],[_Pred3Pos]]&gt;Tasks[[#This Row],[_Row]],"UID "&amp;Tasks[[#This Row],[Pred3 UID]]&amp;" is below this task: move it above",IF(INDEX(Tasks[_IsSummary],Tasks[[#This Row],[_Pred3Pos]]),"UID "&amp;Tasks[[#This Row],[Pred3 UID]]&amp;" is a summary: link to one of its tasks","")))))))</f>
        <v/>
      </c>
      <c r="DP205" s="32" t="str">
        <f aca="false">IF(OR(N(Tasks[[#This Row],[Pred4 UID]])=0,Tasks[[#This Row],[Task Name]]=""),"",IF(Tasks[[#This Row],[_IsSummary]],"ignored: summary tasks roll up",IF(Tasks[[#This Row],[Pred4 UID]]=Tasks[[#This Row],[UID]],"links to itself",IF(Tasks[[#This Row],[_Pred4Pos]]&lt;0,"UID "&amp;Tasks[[#This Row],[Pred4 UID]]&amp;" not found",IF(INDEX(Tasks[Task Name],Tasks[[#This Row],[_Pred4Pos]])="","UID "&amp;Tasks[[#This Row],[Pred4 UID]]&amp;" is an empty row",IF(Tasks[[#This Row],[_Pred4Pos]]&gt;Tasks[[#This Row],[_Row]],"UID "&amp;Tasks[[#This Row],[Pred4 UID]]&amp;" is below this task: move it above",IF(INDEX(Tasks[_IsSummary],Tasks[[#This Row],[_Pred4Pos]]),"UID "&amp;Tasks[[#This Row],[Pred4 UID]]&amp;" is a summary: link to one of its tasks","")))))))</f>
        <v/>
      </c>
      <c r="DQ205" s="115" t="n">
        <f aca="false">IF(OR(Tasks[[#This Row],[_Pred1Pos]]&lt;=0,Tasks[[#This Row],[_Pred1Problem]]&lt;&gt;"",Tasks[[#This Row],[_IsSummary]],Tasks[[#This Row],[Task Name]]=""),0,IFERROR(CHOOSE(MATCH(IF(Tasks[[#This Row],[Pred1 Type]]="","FS",Tasks[[#This Row],[Pred1 Type]]),{"FS","SS","FF","SF"},0),WORKDAY.INTL(OFFSET(Tasks[[#Headers],[_LeafCalcFinish]],Tasks[[#This Row],[_Pred1Pos]],0),IF(N(Tasks[[#This Row],[Duration]])=0,0,1)+N(Tasks[[#This Row],[Pred1 Lag]]),WorkWeek,Holidays),WORKDAY.INTL(OFFSET(Tasks[[#Headers],[_LeafCalcStart]],Tasks[[#This Row],[_Pred1Pos]],0),N(Tasks[[#This Row],[Pred1 Lag]]),WorkWeek,Holidays),WORKDAY.INTL(WORKDAY.INTL(OFFSET(Tasks[[#Headers],[_LeafCalcFinish]],Tasks[[#This Row],[_Pred1Pos]],0),N(Tasks[[#This Row],[Pred1 Lag]]),WorkWeek,Holidays),-MAX(0,N(Tasks[[#This Row],[Duration]])-1),WorkWeek,Holidays),WORKDAY.INTL(WORKDAY.INTL(OFFSET(Tasks[[#Headers],[_LeafCalcStart]],Tasks[[#This Row],[_Pred1Pos]],0),N(Tasks[[#This Row],[Pred1 Lag]]),WorkWeek,Holidays),-MAX(0,N(Tasks[[#This Row],[Duration]])-1),WorkWeek,Holidays)),0))</f>
        <v>0</v>
      </c>
      <c r="DR205" s="115" t="n">
        <f aca="false">IF(OR(Tasks[[#This Row],[_Pred2Pos]]&lt;=0,Tasks[[#This Row],[_Pred2Problem]]&lt;&gt;"",Tasks[[#This Row],[_IsSummary]],Tasks[[#This Row],[Task Name]]=""),0,IFERROR(CHOOSE(MATCH(IF(Tasks[[#This Row],[Pred2 Type]]="","FS",Tasks[[#This Row],[Pred2 Type]]),{"FS","SS","FF","SF"},0),WORKDAY.INTL(OFFSET(Tasks[[#Headers],[_LeafCalcFinish]],Tasks[[#This Row],[_Pred2Pos]],0),IF(N(Tasks[[#This Row],[Duration]])=0,0,1)+N(Tasks[[#This Row],[Pred2 Lag]]),WorkWeek,Holidays),WORKDAY.INTL(OFFSET(Tasks[[#Headers],[_LeafCalcStart]],Tasks[[#This Row],[_Pred2Pos]],0),N(Tasks[[#This Row],[Pred2 Lag]]),WorkWeek,Holidays),WORKDAY.INTL(WORKDAY.INTL(OFFSET(Tasks[[#Headers],[_LeafCalcFinish]],Tasks[[#This Row],[_Pred2Pos]],0),N(Tasks[[#This Row],[Pred2 Lag]]),WorkWeek,Holidays),-MAX(0,N(Tasks[[#This Row],[Duration]])-1),WorkWeek,Holidays),WORKDAY.INTL(WORKDAY.INTL(OFFSET(Tasks[[#Headers],[_LeafCalcStart]],Tasks[[#This Row],[_Pred2Pos]],0),N(Tasks[[#This Row],[Pred2 Lag]]),WorkWeek,Holidays),-MAX(0,N(Tasks[[#This Row],[Duration]])-1),WorkWeek,Holidays)),0))</f>
        <v>0</v>
      </c>
      <c r="DS205" s="115" t="n">
        <f aca="false">IF(OR(Tasks[[#This Row],[_Pred3Pos]]&lt;=0,Tasks[[#This Row],[_Pred3Problem]]&lt;&gt;"",Tasks[[#This Row],[_IsSummary]],Tasks[[#This Row],[Task Name]]=""),0,IFERROR(CHOOSE(MATCH(IF(Tasks[[#This Row],[Pred3 Type]]="","FS",Tasks[[#This Row],[Pred3 Type]]),{"FS","SS","FF","SF"},0),WORKDAY.INTL(OFFSET(Tasks[[#Headers],[_LeafCalcFinish]],Tasks[[#This Row],[_Pred3Pos]],0),IF(N(Tasks[[#This Row],[Duration]])=0,0,1)+N(Tasks[[#This Row],[Pred3 Lag]]),WorkWeek,Holidays),WORKDAY.INTL(OFFSET(Tasks[[#Headers],[_LeafCalcStart]],Tasks[[#This Row],[_Pred3Pos]],0),N(Tasks[[#This Row],[Pred3 Lag]]),WorkWeek,Holidays),WORKDAY.INTL(WORKDAY.INTL(OFFSET(Tasks[[#Headers],[_LeafCalcFinish]],Tasks[[#This Row],[_Pred3Pos]],0),N(Tasks[[#This Row],[Pred3 Lag]]),WorkWeek,Holidays),-MAX(0,N(Tasks[[#This Row],[Duration]])-1),WorkWeek,Holidays),WORKDAY.INTL(WORKDAY.INTL(OFFSET(Tasks[[#Headers],[_LeafCalcStart]],Tasks[[#This Row],[_Pred3Pos]],0),N(Tasks[[#This Row],[Pred3 Lag]]),WorkWeek,Holidays),-MAX(0,N(Tasks[[#This Row],[Duration]])-1),WorkWeek,Holidays)),0))</f>
        <v>0</v>
      </c>
      <c r="DT205" s="115" t="n">
        <f aca="false">IF(OR(Tasks[[#This Row],[_Pred4Pos]]&lt;=0,Tasks[[#This Row],[_Pred4Problem]]&lt;&gt;"",Tasks[[#This Row],[_IsSummary]],Tasks[[#This Row],[Task Name]]=""),0,IFERROR(CHOOSE(MATCH(IF(Tasks[[#This Row],[Pred4 Type]]="","FS",Tasks[[#This Row],[Pred4 Type]]),{"FS","SS","FF","SF"},0),WORKDAY.INTL(OFFSET(Tasks[[#Headers],[_LeafCalcFinish]],Tasks[[#This Row],[_Pred4Pos]],0),IF(N(Tasks[[#This Row],[Duration]])=0,0,1)+N(Tasks[[#This Row],[Pred4 Lag]]),WorkWeek,Holidays),WORKDAY.INTL(OFFSET(Tasks[[#Headers],[_LeafCalcStart]],Tasks[[#This Row],[_Pred4Pos]],0),N(Tasks[[#This Row],[Pred4 Lag]]),WorkWeek,Holidays),WORKDAY.INTL(WORKDAY.INTL(OFFSET(Tasks[[#Headers],[_LeafCalcFinish]],Tasks[[#This Row],[_Pred4Pos]],0),N(Tasks[[#This Row],[Pred4 Lag]]),WorkWeek,Holidays),-MAX(0,N(Tasks[[#This Row],[Duration]])-1),WorkWeek,Holidays),WORKDAY.INTL(WORKDAY.INTL(OFFSET(Tasks[[#Headers],[_LeafCalcStart]],Tasks[[#This Row],[_Pred4Pos]],0),N(Tasks[[#This Row],[Pred4 Lag]]),WorkWeek,Holidays),-MAX(0,N(Tasks[[#This Row],[Duration]])-1),WorkWeek,Holidays)),0))</f>
        <v>0</v>
      </c>
      <c r="DU205" s="115" t="n">
        <f aca="false">IF(OR(Tasks[[#This Row],[_Pred1Pos]]&lt;=0,Tasks[[#This Row],[_Pred1Problem]]&lt;&gt;"",Tasks[[#This Row],[_IsSummary]],Tasks[[#This Row],[Task Name]]=""),0,IFERROR(CHOOSE(MATCH(IF(Tasks[[#This Row],[Pred1 Type]]="","FS",Tasks[[#This Row],[Pred1 Type]]),{"FS","SS","FF","SF"},0),WORKDAY.INTL(OFFSET(Tasks[[#Headers],[_LeafFcstFinish]],Tasks[[#This Row],[_Pred1Pos]],0),IF(N(Tasks[[#This Row],[Duration]])=0,0,1)+N(Tasks[[#This Row],[Pred1 Lag]]),WorkWeek,Holidays),WORKDAY.INTL(OFFSET(Tasks[[#Headers],[_LeafFcstStart]],Tasks[[#This Row],[_Pred1Pos]],0),N(Tasks[[#This Row],[Pred1 Lag]]),WorkWeek,Holidays),WORKDAY.INTL(WORKDAY.INTL(OFFSET(Tasks[[#Headers],[_LeafFcstFinish]],Tasks[[#This Row],[_Pred1Pos]],0),N(Tasks[[#This Row],[Pred1 Lag]]),WorkWeek,Holidays),-MAX(0,N(Tasks[[#This Row],[Duration]])-1),WorkWeek,Holidays),WORKDAY.INTL(WORKDAY.INTL(OFFSET(Tasks[[#Headers],[_LeafFcstStart]],Tasks[[#This Row],[_Pred1Pos]],0),N(Tasks[[#This Row],[Pred1 Lag]]),WorkWeek,Holidays),-MAX(0,N(Tasks[[#This Row],[Duration]])-1),WorkWeek,Holidays)),0))</f>
        <v>0</v>
      </c>
      <c r="DV205" s="115" t="n">
        <f aca="false">IF(OR(Tasks[[#This Row],[_Pred2Pos]]&lt;=0,Tasks[[#This Row],[_Pred2Problem]]&lt;&gt;"",Tasks[[#This Row],[_IsSummary]],Tasks[[#This Row],[Task Name]]=""),0,IFERROR(CHOOSE(MATCH(IF(Tasks[[#This Row],[Pred2 Type]]="","FS",Tasks[[#This Row],[Pred2 Type]]),{"FS","SS","FF","SF"},0),WORKDAY.INTL(OFFSET(Tasks[[#Headers],[_LeafFcstFinish]],Tasks[[#This Row],[_Pred2Pos]],0),IF(N(Tasks[[#This Row],[Duration]])=0,0,1)+N(Tasks[[#This Row],[Pred2 Lag]]),WorkWeek,Holidays),WORKDAY.INTL(OFFSET(Tasks[[#Headers],[_LeafFcstStart]],Tasks[[#This Row],[_Pred2Pos]],0),N(Tasks[[#This Row],[Pred2 Lag]]),WorkWeek,Holidays),WORKDAY.INTL(WORKDAY.INTL(OFFSET(Tasks[[#Headers],[_LeafFcstFinish]],Tasks[[#This Row],[_Pred2Pos]],0),N(Tasks[[#This Row],[Pred2 Lag]]),WorkWeek,Holidays),-MAX(0,N(Tasks[[#This Row],[Duration]])-1),WorkWeek,Holidays),WORKDAY.INTL(WORKDAY.INTL(OFFSET(Tasks[[#Headers],[_LeafFcstStart]],Tasks[[#This Row],[_Pred2Pos]],0),N(Tasks[[#This Row],[Pred2 Lag]]),WorkWeek,Holidays),-MAX(0,N(Tasks[[#This Row],[Duration]])-1),WorkWeek,Holidays)),0))</f>
        <v>0</v>
      </c>
      <c r="DW205" s="115" t="n">
        <f aca="false">IF(OR(Tasks[[#This Row],[_Pred3Pos]]&lt;=0,Tasks[[#This Row],[_Pred3Problem]]&lt;&gt;"",Tasks[[#This Row],[_IsSummary]],Tasks[[#This Row],[Task Name]]=""),0,IFERROR(CHOOSE(MATCH(IF(Tasks[[#This Row],[Pred3 Type]]="","FS",Tasks[[#This Row],[Pred3 Type]]),{"FS","SS","FF","SF"},0),WORKDAY.INTL(OFFSET(Tasks[[#Headers],[_LeafFcstFinish]],Tasks[[#This Row],[_Pred3Pos]],0),IF(N(Tasks[[#This Row],[Duration]])=0,0,1)+N(Tasks[[#This Row],[Pred3 Lag]]),WorkWeek,Holidays),WORKDAY.INTL(OFFSET(Tasks[[#Headers],[_LeafFcstStart]],Tasks[[#This Row],[_Pred3Pos]],0),N(Tasks[[#This Row],[Pred3 Lag]]),WorkWeek,Holidays),WORKDAY.INTL(WORKDAY.INTL(OFFSET(Tasks[[#Headers],[_LeafFcstFinish]],Tasks[[#This Row],[_Pred3Pos]],0),N(Tasks[[#This Row],[Pred3 Lag]]),WorkWeek,Holidays),-MAX(0,N(Tasks[[#This Row],[Duration]])-1),WorkWeek,Holidays),WORKDAY.INTL(WORKDAY.INTL(OFFSET(Tasks[[#Headers],[_LeafFcstStart]],Tasks[[#This Row],[_Pred3Pos]],0),N(Tasks[[#This Row],[Pred3 Lag]]),WorkWeek,Holidays),-MAX(0,N(Tasks[[#This Row],[Duration]])-1),WorkWeek,Holidays)),0))</f>
        <v>0</v>
      </c>
      <c r="DX205" s="115" t="n">
        <f aca="false">IF(OR(Tasks[[#This Row],[_Pred4Pos]]&lt;=0,Tasks[[#This Row],[_Pred4Problem]]&lt;&gt;"",Tasks[[#This Row],[_IsSummary]],Tasks[[#This Row],[Task Name]]=""),0,IFERROR(CHOOSE(MATCH(IF(Tasks[[#This Row],[Pred4 Type]]="","FS",Tasks[[#This Row],[Pred4 Type]]),{"FS","SS","FF","SF"},0),WORKDAY.INTL(OFFSET(Tasks[[#Headers],[_LeafFcstFinish]],Tasks[[#This Row],[_Pred4Pos]],0),IF(N(Tasks[[#This Row],[Duration]])=0,0,1)+N(Tasks[[#This Row],[Pred4 Lag]]),WorkWeek,Holidays),WORKDAY.INTL(OFFSET(Tasks[[#Headers],[_LeafFcstStart]],Tasks[[#This Row],[_Pred4Pos]],0),N(Tasks[[#This Row],[Pred4 Lag]]),WorkWeek,Holidays),WORKDAY.INTL(WORKDAY.INTL(OFFSET(Tasks[[#Headers],[_LeafFcstFinish]],Tasks[[#This Row],[_Pred4Pos]],0),N(Tasks[[#This Row],[Pred4 Lag]]),WorkWeek,Holidays),-MAX(0,N(Tasks[[#This Row],[Duration]])-1),WorkWeek,Holidays),WORKDAY.INTL(WORKDAY.INTL(OFFSET(Tasks[[#Headers],[_LeafFcstStart]],Tasks[[#This Row],[_Pred4Pos]],0),N(Tasks[[#This Row],[Pred4 Lag]]),WorkWeek,Holidays),-MAX(0,N(Tasks[[#This Row],[Duration]])-1),WorkWeek,Holidays)),0))</f>
        <v>0</v>
      </c>
      <c r="DY205" s="32" t="n">
        <f aca="false">IF(AND(Tasks[[#This Row],[_IsLeaf]]=1,Tasks[[#This Row],[_LeafTotalWork]]&gt;0),NETWORKDAYS.INTL(ProjectStart,Tasks[[#This Row],[_ShownFcstStart]],WorkWeek,Holidays),0)</f>
        <v>0</v>
      </c>
      <c r="DZ205" s="32" t="n">
        <f aca="false">IF(AND(Tasks[[#This Row],[_IsLeaf]]=1,Tasks[[#This Row],[_LeafTotalWork]]&gt;0),MAX(Tasks[[#This Row],[_StartWorkday]],NETWORKDAYS.INTL(ProjectStart,Tasks[[#This Row],[_ShownFcstFinish]],WorkWeek,Holidays)),0)</f>
        <v>0</v>
      </c>
      <c r="EA205" s="32" t="n">
        <f aca="false">IF(AND(Tasks[[#This Row],[_IsLeaf]]=1,Tasks[[#This Row],[_LeafTotalWork]]&gt;0),Tasks[[#This Row],[_LeafWork]]/(Tasks[[#This Row],[_FinishWorkday]]-Tasks[[#This Row],[_StartWorkday]]+1),0)</f>
        <v>0</v>
      </c>
      <c r="EB205" s="32" t="n">
        <f aca="false">Tasks[[#This Row],[_WorkPerWorkday]]*(Tasks[[#This Row],[_StartWorkday]]-1)</f>
        <v>-0</v>
      </c>
      <c r="EC205" s="32" t="n">
        <f aca="false">IF(Tasks[[#This Row],[_IsLeaf]]=1,MAX(N(Tasks[[#This Row],[Duration]]),0.1),0)</f>
        <v>0</v>
      </c>
      <c r="ED205" s="32" t="n">
        <f aca="false">Tasks[[#This Row],[_WeightDur]]*Tasks[[#This Row],[_LeafProgress]]</f>
        <v>0</v>
      </c>
      <c r="EE205" s="32" t="str">
        <f aca="false">IF(Tasks[[#This Row],[Task Name]]="","",MID(IF(OR(N(Tasks[[#This Row],[Pred1 UID]])=0,Tasks[[#This Row],[_Pred1Problem]]&lt;&gt;""),"",","&amp;Tasks[[#This Row],[Pred1 UID]]&amp;IF(AND(IF(Tasks[[#This Row],[Pred1 Type]]="","FS",Tasks[[#This Row],[Pred1 Type]])="FS",N(Tasks[[#This Row],[Pred1 Lag]])=0),"",IF(Tasks[[#This Row],[Pred1 Type]]="","FS",Tasks[[#This Row],[Pred1 Type]])&amp;IF(N(Tasks[[#This Row],[Pred1 Lag]])=0,"",IF(N(Tasks[[#This Row],[Pred1 Lag]])&gt;0,"+","")&amp;N(Tasks[[#This Row],[Pred1 Lag]])&amp;"d")))&amp;IF(OR(N(Tasks[[#This Row],[Pred2 UID]])=0,Tasks[[#This Row],[_Pred2Problem]]&lt;&gt;""),"",","&amp;Tasks[[#This Row],[Pred2 UID]]&amp;IF(AND(IF(Tasks[[#This Row],[Pred2 Type]]="","FS",Tasks[[#This Row],[Pred2 Type]])="FS",N(Tasks[[#This Row],[Pred2 Lag]])=0),"",IF(Tasks[[#This Row],[Pred2 Type]]="","FS",Tasks[[#This Row],[Pred2 Type]])&amp;IF(N(Tasks[[#This Row],[Pred2 Lag]])=0,"",IF(N(Tasks[[#This Row],[Pred2 Lag]])&gt;0,"+","")&amp;N(Tasks[[#This Row],[Pred2 Lag]])&amp;"d")))&amp;IF(OR(N(Tasks[[#This Row],[Pred3 UID]])=0,Tasks[[#This Row],[_Pred3Problem]]&lt;&gt;""),"",","&amp;Tasks[[#This Row],[Pred3 UID]]&amp;IF(AND(IF(Tasks[[#This Row],[Pred3 Type]]="","FS",Tasks[[#This Row],[Pred3 Type]])="FS",N(Tasks[[#This Row],[Pred3 Lag]])=0),"",IF(Tasks[[#This Row],[Pred3 Type]]="","FS",Tasks[[#This Row],[Pred3 Type]])&amp;IF(N(Tasks[[#This Row],[Pred3 Lag]])=0,"",IF(N(Tasks[[#This Row],[Pred3 Lag]])&gt;0,"+","")&amp;N(Tasks[[#This Row],[Pred3 Lag]])&amp;"d")))&amp;IF(OR(N(Tasks[[#This Row],[Pred4 UID]])=0,Tasks[[#This Row],[_Pred4Problem]]&lt;&gt;""),"",","&amp;Tasks[[#This Row],[Pred4 UID]]&amp;IF(AND(IF(Tasks[[#This Row],[Pred4 Type]]="","FS",Tasks[[#This Row],[Pred4 Type]])="FS",N(Tasks[[#This Row],[Pred4 Lag]])=0),"",IF(Tasks[[#This Row],[Pred4 Type]]="","FS",Tasks[[#This Row],[Pred4 Type]])&amp;IF(N(Tasks[[#This Row],[Pred4 Lag]])=0,"",IF(N(Tasks[[#This Row],[Pred4 Lag]])&gt;0,"+","")&amp;N(Tasks[[#This Row],[Pred4 Lag]])&amp;"d"))),2,999))</f>
        <v/>
      </c>
      <c r="EF205" s="32" t="str">
        <f aca="false">IF(AND(Tasks[[#This Row],[_IsLeaf]]=1,N(Tasks[[#This Row],[Duration]])=0,Tasks[[#This Row],[_LeafProgress]]&lt;1),Tasks[[#This Row],[_ShownFcstFinish]]+Tasks[[#This Row],[_Row]]/100000,"")</f>
        <v/>
      </c>
      <c r="EG205" s="3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EH205" s="32" t="n">
        <f aca="false">IF(NOT(Tasks[[#This Row],[_IsLeaf]]=1),0,IF(Tasks[[#This Row],[Baseline Cost]]="",Tasks[[#This Row],[_LeafTotalCost]],N(Tasks[[#This Row],[Baseline Cost]])))</f>
        <v>0</v>
      </c>
      <c r="EI205" s="32" t="n">
        <f aca="false">Tasks[[#This Row],[_LeafBudget]]*Tasks[[#This Row],[_PlannedPct]]</f>
        <v>0</v>
      </c>
      <c r="EJ205" s="32" t="n">
        <f aca="false">Tasks[[#This Row],[_LeafBudget]]*Tasks[[#This Row],[_LeafProgress]]</f>
        <v>0</v>
      </c>
      <c r="EK205" s="32" t="n">
        <f aca="false">IF(NOT(Tasks[[#This Row],[_IsLeaf]]=1),0,IF(Tasks[[#This Row],[Actual Cost]]="",Tasks[[#This Row],[_LeafTotalCost]]*Tasks[[#This Row],[_LeafProgress]],N(Tasks[[#This Row],[Actual Cost]])))</f>
        <v>0</v>
      </c>
      <c r="EL205" s="32" t="str">
        <f aca="false">IF(Tasks[[#This Row],[Task Name]]="","",LEFT(Tasks[[#This Row],[WBS]],FIND(".",Tasks[[#This Row],[WBS]]&amp;".")-1))</f>
        <v/>
      </c>
      <c r="EM205" s="32" t="str">
        <f aca="false">IF(AND(Tasks[[#This Row],[Task Name]]&lt;&gt;"",Tasks[[#This Row],[_Level]]=1),Tasks[[#This Row],[_Row]],"")</f>
        <v/>
      </c>
      <c r="EN205" s="32" t="str">
        <f aca="false">IF(AND(Tasks[[#This Row],[_IsLeaf]]=1,N(Tasks[[#This Row],[Duration]])=0),Tasks[[#This Row],[Planned Finish]]+Tasks[[#This Row],[_Row]]/100000,"")</f>
        <v/>
      </c>
      <c r="EO205" s="32" t="str">
        <f aca="false">IF(AND(Tasks[[#This Row],[_IsLeaf]]=1,Tasks[[#This Row],[_LeafProgress]]&lt;1,OR(N(Tasks[[#This Row],[Finish Var]])&gt;0,Tasks[[#This Row],[Status]]="Late Start")),MAX(0,Tasks[[#This Row],[Finish Var]])+1-Tasks[[#This Row],[_Row]]/1000000,"")</f>
        <v/>
      </c>
      <c r="EP205" s="32" t="str">
        <f aca="false">IF(AND(Tasks[[#This Row],[_IsLeaf]]=1,N(Tasks[[#This Row],[Actual Start]])=0,Tasks[[#This Row],[_ShownFcstStart]]&gt;=StatusDate,Tasks[[#This Row],[_ShownFcstStart]]&lt;=LookaheadEnd),Tasks[[#This Row],[_ShownFcstStart]]+Tasks[[#This Row],[_Row]]/100000,"")</f>
        <v/>
      </c>
      <c r="EQ205" s="32" t="str">
        <f aca="false">IF(AND(Tasks[[#This Row],[_IsLeaf]]=1,Tasks[[#This Row],[_LeafProgress]]&lt;1,Tasks[[#This Row],[_ShownFcstFinish]]&gt;=StatusDate,Tasks[[#This Row],[_ShownFcstFinish]]&lt;=LookaheadEnd),Tasks[[#This Row],[_ShownFcstFinish]]+Tasks[[#This Row],[_Row]]/100000,"")</f>
        <v/>
      </c>
      <c r="ER205" s="32" t="str">
        <f aca="false">IF(Tasks[[#This Row],[_LeafCritical]],Tasks[[#This Row],[_ShownFcstStart]]+Tasks[[#This Row],[_Row]]/100000,"")</f>
        <v/>
      </c>
      <c r="ES205" s="32" t="n">
        <f aca="false">Tasks[[#This Row],[_LeafWork]]*Tasks[[#This Row],[_LeafProgress]]</f>
        <v>0</v>
      </c>
      <c r="ET205" s="115" t="str">
        <f aca="false">IF(AND(Tasks[[#This Row],[_IsLeaf]]=1,Tasks[[#This Row],[_LeafProgress]]&gt;=1),IF(N(Tasks[[#This Row],[Actual Finish]])&gt;0,Tasks[[#This Row],[Actual Finish]],Tasks[[#This Row],[_ShownFcstFinish]]),"")</f>
        <v/>
      </c>
      <c r="EU205" s="32" t="n">
        <f aca="false">IF(Tasks[[#This Row],[_IsLeaf]]=1,N(Tasks[[#This Row],[Story Points]]),0)</f>
        <v>0</v>
      </c>
      <c r="EV205" s="32" t="str">
        <f aca="false">IF(AND(Tasks[[#This Row],[_IsLeaf]]=1,CurrentSprint&lt;&gt;"",Tasks[[#This Row],[Sprint]]=CurrentSprint),Tasks[[#This Row],[_Row]],"")</f>
        <v/>
      </c>
    </row>
  </sheetData>
  <conditionalFormatting sqref="A6:BR205">
    <cfRule type="expression" priority="2" aboveAverage="0" equalAverage="0" bottom="0" percent="0" rank="0" text="" dxfId="43">
      <formula>$BW6=1</formula>
    </cfRule>
  </conditionalFormatting>
  <conditionalFormatting sqref="H6:H205">
    <cfRule type="expression" priority="3" aboveAverage="0" equalAverage="0" bottom="0" percent="0" rank="0" text="" dxfId="44">
      <formula>$BW6=1</formula>
    </cfRule>
  </conditionalFormatting>
  <conditionalFormatting sqref="I6:I205">
    <cfRule type="expression" priority="4" aboveAverage="0" equalAverage="0" bottom="0" percent="0" rank="0" text="" dxfId="44">
      <formula>$BW6=1</formula>
    </cfRule>
  </conditionalFormatting>
  <conditionalFormatting sqref="L6:L205">
    <cfRule type="expression" priority="5" aboveAverage="0" equalAverage="0" bottom="0" percent="0" rank="0" text="" dxfId="44">
      <formula>$BW6=1</formula>
    </cfRule>
  </conditionalFormatting>
  <conditionalFormatting sqref="O6:O205">
    <cfRule type="expression" priority="6" aboveAverage="0" equalAverage="0" bottom="0" percent="0" rank="0" text="" dxfId="44">
      <formula>$BW6=1</formula>
    </cfRule>
  </conditionalFormatting>
  <conditionalFormatting sqref="R6:R205">
    <cfRule type="expression" priority="7" aboveAverage="0" equalAverage="0" bottom="0" percent="0" rank="0" text="" dxfId="44">
      <formula>$BW6=1</formula>
    </cfRule>
  </conditionalFormatting>
  <conditionalFormatting sqref="J6:J205">
    <cfRule type="expression" priority="8" aboveAverage="0" equalAverage="0" bottom="0" percent="0" rank="0" text="" dxfId="44">
      <formula>$BW6=1</formula>
    </cfRule>
  </conditionalFormatting>
  <conditionalFormatting sqref="M6:M205">
    <cfRule type="expression" priority="9" aboveAverage="0" equalAverage="0" bottom="0" percent="0" rank="0" text="" dxfId="44">
      <formula>$BW6=1</formula>
    </cfRule>
  </conditionalFormatting>
  <conditionalFormatting sqref="P6:P205">
    <cfRule type="expression" priority="10" aboveAverage="0" equalAverage="0" bottom="0" percent="0" rank="0" text="" dxfId="44">
      <formula>$BW6=1</formula>
    </cfRule>
  </conditionalFormatting>
  <conditionalFormatting sqref="S6:S205">
    <cfRule type="expression" priority="11" aboveAverage="0" equalAverage="0" bottom="0" percent="0" rank="0" text="" dxfId="44">
      <formula>$BW6=1</formula>
    </cfRule>
  </conditionalFormatting>
  <conditionalFormatting sqref="K6:K205">
    <cfRule type="expression" priority="12" aboveAverage="0" equalAverage="0" bottom="0" percent="0" rank="0" text="" dxfId="44">
      <formula>$BW6=1</formula>
    </cfRule>
  </conditionalFormatting>
  <conditionalFormatting sqref="N6:N205">
    <cfRule type="expression" priority="13" aboveAverage="0" equalAverage="0" bottom="0" percent="0" rank="0" text="" dxfId="44">
      <formula>$BW6=1</formula>
    </cfRule>
  </conditionalFormatting>
  <conditionalFormatting sqref="Q6:Q205">
    <cfRule type="expression" priority="14" aboveAverage="0" equalAverage="0" bottom="0" percent="0" rank="0" text="" dxfId="44">
      <formula>$BW6=1</formula>
    </cfRule>
  </conditionalFormatting>
  <conditionalFormatting sqref="T6:T205">
    <cfRule type="expression" priority="15" aboveAverage="0" equalAverage="0" bottom="0" percent="0" rank="0" text="" dxfId="44">
      <formula>$BW6=1</formula>
    </cfRule>
  </conditionalFormatting>
  <conditionalFormatting sqref="U6:U205">
    <cfRule type="expression" priority="16" aboveAverage="0" equalAverage="0" bottom="0" percent="0" rank="0" text="" dxfId="44">
      <formula>$BW6=1</formula>
    </cfRule>
  </conditionalFormatting>
  <conditionalFormatting sqref="V6:V205">
    <cfRule type="expression" priority="17" aboveAverage="0" equalAverage="0" bottom="0" percent="0" rank="0" text="" dxfId="44">
      <formula>$BW6=1</formula>
    </cfRule>
  </conditionalFormatting>
  <conditionalFormatting sqref="Z6:Z205">
    <cfRule type="expression" priority="18" aboveAverage="0" equalAverage="0" bottom="0" percent="0" rank="0" text="" dxfId="44">
      <formula>$BW6=1</formula>
    </cfRule>
  </conditionalFormatting>
  <conditionalFormatting sqref="AA6:AA205">
    <cfRule type="expression" priority="19" aboveAverage="0" equalAverage="0" bottom="0" percent="0" rank="0" text="" dxfId="44">
      <formula>$BW6=1</formula>
    </cfRule>
  </conditionalFormatting>
  <conditionalFormatting sqref="AM6:AM205">
    <cfRule type="expression" priority="20" aboveAverage="0" equalAverage="0" bottom="0" percent="0" rank="0" text="" dxfId="44">
      <formula>$BW6=1</formula>
    </cfRule>
  </conditionalFormatting>
  <conditionalFormatting sqref="AP6:AP205">
    <cfRule type="expression" priority="21" aboveAverage="0" equalAverage="0" bottom="0" percent="0" rank="0" text="" dxfId="44">
      <formula>$BW6=1</formula>
    </cfRule>
  </conditionalFormatting>
  <conditionalFormatting sqref="AQ6:AQ205">
    <cfRule type="expression" priority="22" aboveAverage="0" equalAverage="0" bottom="0" percent="0" rank="0" text="" dxfId="44">
      <formula>$BW6=1</formula>
    </cfRule>
  </conditionalFormatting>
  <conditionalFormatting sqref="AV6:AV205">
    <cfRule type="expression" priority="23" aboveAverage="0" equalAverage="0" bottom="0" percent="0" rank="0" text="" dxfId="44">
      <formula>$BW6=1</formula>
    </cfRule>
  </conditionalFormatting>
  <conditionalFormatting sqref="AW6:AW205">
    <cfRule type="expression" priority="24" aboveAverage="0" equalAverage="0" bottom="0" percent="0" rank="0" text="" dxfId="44">
      <formula>$BW6=1</formula>
    </cfRule>
  </conditionalFormatting>
  <conditionalFormatting sqref="AY6:AY205">
    <cfRule type="expression" priority="25" aboveAverage="0" equalAverage="0" bottom="0" percent="0" rank="0" text="" dxfId="44">
      <formula>$BW6=1</formula>
    </cfRule>
  </conditionalFormatting>
  <conditionalFormatting sqref="AO6:AO205">
    <cfRule type="expression" priority="26" aboveAverage="0" equalAverage="0" bottom="0" percent="0" rank="0" text="" dxfId="12">
      <formula>$AO6="Complete"</formula>
    </cfRule>
    <cfRule type="expression" priority="27" aboveAverage="0" equalAverage="0" bottom="0" percent="0" rank="0" text="" dxfId="45">
      <formula>$AO6="In Progress"</formula>
    </cfRule>
    <cfRule type="expression" priority="28" aboveAverage="0" equalAverage="0" bottom="0" percent="0" rank="0" text="" dxfId="26">
      <formula>$AO6="Behind"</formula>
    </cfRule>
    <cfRule type="expression" priority="29" aboveAverage="0" equalAverage="0" bottom="0" percent="0" rank="0" text="" dxfId="38">
      <formula>$AO6="Late Start"</formula>
    </cfRule>
    <cfRule type="expression" priority="30" aboveAverage="0" equalAverage="0" bottom="0" percent="0" rank="0" text="" dxfId="46">
      <formula>$AO6="Not Started"</formula>
    </cfRule>
  </conditionalFormatting>
  <conditionalFormatting sqref="AD6:AD205">
    <cfRule type="expression" priority="31" aboveAverage="0" equalAverage="0" bottom="0" percent="0" rank="0" text="" dxfId="26">
      <formula>AND(ISNUMBER($AD6),$AD6&gt;0)</formula>
    </cfRule>
    <cfRule type="expression" priority="32" aboveAverage="0" equalAverage="0" bottom="0" percent="0" rank="0" text="" dxfId="12">
      <formula>AND(ISNUMBER($AD6),$AD6&lt;0)</formula>
    </cfRule>
  </conditionalFormatting>
  <conditionalFormatting sqref="AE6:AE205">
    <cfRule type="expression" priority="33" aboveAverage="0" equalAverage="0" bottom="0" percent="0" rank="0" text="" dxfId="26">
      <formula>AND(ISNUMBER($AE6),$AE6&gt;0)</formula>
    </cfRule>
    <cfRule type="expression" priority="34" aboveAverage="0" equalAverage="0" bottom="0" percent="0" rank="0" text="" dxfId="12">
      <formula>AND(ISNUMBER($AE6),$AE6&lt;0)</formula>
    </cfRule>
  </conditionalFormatting>
  <conditionalFormatting sqref="BL6:BL205">
    <cfRule type="expression" priority="35" aboveAverage="0" equalAverage="0" bottom="0" percent="0" rank="0" text="" dxfId="26">
      <formula>AND(ISNUMBER($BL6),$BL6&gt;0)</formula>
    </cfRule>
    <cfRule type="expression" priority="36" aboveAverage="0" equalAverage="0" bottom="0" percent="0" rank="0" text="" dxfId="12">
      <formula>AND(ISNUMBER($BL6),$BL6&lt;0)</formula>
    </cfRule>
  </conditionalFormatting>
  <conditionalFormatting sqref="BM6:BM205">
    <cfRule type="expression" priority="37" aboveAverage="0" equalAverage="0" bottom="0" percent="0" rank="0" text="" dxfId="26">
      <formula>AND(ISNUMBER($BM6),$BM6&gt;0)</formula>
    </cfRule>
    <cfRule type="expression" priority="38" aboveAverage="0" equalAverage="0" bottom="0" percent="0" rank="0" text="" dxfId="12">
      <formula>AND(ISNUMBER($BM6),$BM6&lt;0)</formula>
    </cfRule>
  </conditionalFormatting>
  <conditionalFormatting sqref="BN6:BN205">
    <cfRule type="expression" priority="39" aboveAverage="0" equalAverage="0" bottom="0" percent="0" rank="0" text="" dxfId="26">
      <formula>AND(ISNUMBER($BN6),$BN6&gt;0)</formula>
    </cfRule>
    <cfRule type="expression" priority="40" aboveAverage="0" equalAverage="0" bottom="0" percent="0" rank="0" text="" dxfId="12">
      <formula>AND(ISNUMBER($BN6),$BN6&lt;0)</formula>
    </cfRule>
  </conditionalFormatting>
  <conditionalFormatting sqref="F6:F205">
    <cfRule type="expression" priority="41" aboveAverage="0" equalAverage="0" bottom="0" percent="0" rank="0" text="" dxfId="47">
      <formula>AND($BY6=1,N($H6)=0)</formula>
    </cfRule>
  </conditionalFormatting>
  <conditionalFormatting sqref="C6:C205">
    <cfRule type="expression" priority="42" aboveAverage="0" equalAverage="0" bottom="0" percent="0" rank="0" text="" dxfId="48">
      <formula>$C6="?"</formula>
    </cfRule>
  </conditionalFormatting>
  <conditionalFormatting sqref="B6:B205">
    <cfRule type="expression" priority="43" aboveAverage="0" equalAverage="0" bottom="0" percent="0" rank="0" text="" dxfId="15">
      <formula>OR(AND($F6&lt;&gt;"",$B6=""),AND($B6&lt;&gt;"",COUNTIF(tsk_UID,$B6)&gt;1))</formula>
    </cfRule>
  </conditionalFormatting>
  <conditionalFormatting sqref="AL6:AL205">
    <cfRule type="expression" priority="44" aboveAverage="0" equalAverage="0" bottom="0" percent="0" rank="0" text="" dxfId="49">
      <formula>$AL6&lt;&gt;""</formula>
    </cfRule>
  </conditionalFormatting>
  <conditionalFormatting sqref="AK6:AK205">
    <cfRule type="expression" priority="45" aboveAverage="0" equalAverage="0" bottom="0" percent="0" rank="0" text="" dxfId="26">
      <formula>LEFT($AK6,4)="Late"</formula>
    </cfRule>
    <cfRule type="expression" priority="46" aboveAverage="0" equalAverage="0" bottom="0" percent="0" rank="0" text="" dxfId="12">
      <formula>$AK6="OK"</formula>
    </cfRule>
  </conditionalFormatting>
  <conditionalFormatting sqref="AS6:AS205">
    <cfRule type="expression" priority="47" aboveAverage="0" equalAverage="0" bottom="0" percent="0" rank="0" text="" dxfId="15">
      <formula>$AS6="Yes"</formula>
    </cfRule>
  </conditionalFormatting>
  <conditionalFormatting sqref="AJ6:AJ205">
    <cfRule type="expression" priority="48" aboveAverage="0" equalAverage="0" bottom="0" percent="0" rank="0" text="" dxfId="33">
      <formula>$AJ6="Yes"</formula>
    </cfRule>
  </conditionalFormatting>
  <conditionalFormatting sqref="AH6:AH205">
    <cfRule type="expression" priority="49" aboveAverage="0" equalAverage="0" bottom="0" percent="0" rank="0" text="" dxfId="26">
      <formula>AND(ISNUMBER($AH6),$AH6&lt;0)</formula>
    </cfRule>
  </conditionalFormatting>
  <conditionalFormatting sqref="AI6:AI205">
    <cfRule type="expression" priority="50" aboveAverage="0" equalAverage="0" bottom="0" percent="0" rank="0" text="" dxfId="26">
      <formula>AND(ISNUMBER($AI6),$AI6&lt;0)</formula>
    </cfRule>
  </conditionalFormatting>
  <dataValidations count="14">
    <dataValidation allowBlank="false" errorStyle="stop" operator="greaterThan" showDropDown="false" showErrorMessage="false" showInputMessage="false" sqref="V6:W205 Z6:AA205" type="date">
      <formula1>1</formula1>
      <formula2>0</formula2>
    </dataValidation>
    <dataValidation allowBlank="false" errorStyle="stop" operator="between" showDropDown="false" showErrorMessage="false" showInputMessage="false" sqref="AQ6:AQ205" type="decimal">
      <formula1>0</formula1>
      <formula2>10</formula2>
    </dataValidation>
    <dataValidation allowBlank="false" error="UID must be a whole number; give each task a different one (see Settings &gt; NextFreeUID)." errorStyle="stop" errorTitle="UID" operator="greaterThanOrEqual" showDropDown="false" showErrorMessage="true" showInputMessage="false" sqref="B6:B205" type="whole">
      <formula1>1</formula1>
      <formula2>0</formula2>
    </dataValidation>
    <dataValidation allowBlank="false" error="Outline level must be 1-9 and at most 1 more than the row above." errorStyle="stop" errorTitle="Level" operator="between" showDropDown="false" showErrorMessage="true" showInputMessage="false" sqref="D6:D205" type="whole">
      <formula1>1</formula1>
      <formula2>9</formula2>
    </dataValidation>
    <dataValidation allowBlank="false" errorStyle="stop" operator="between" showDropDown="false" showErrorMessage="false" showInputMessage="false" sqref="G6:G205" type="list">
      <formula1>L_Mode</formula1>
      <formula2>0</formula2>
    </dataValidation>
    <dataValidation allowBlank="false" error="Duration is in working days (0 = milestone)." errorStyle="stop" operator="greaterThanOrEqual" showDropDown="false" showErrorMessage="true" showInputMessage="false" sqref="H6:H205" type="decimal">
      <formula1>0</formula1>
      <formula2>0</formula2>
    </dataValidation>
    <dataValidation allowBlank="false" error="Enter the UID of another task. Problems are explained in the Link Check column." errorStyle="stop" operator="greaterThanOrEqual" showDropDown="false" showErrorMessage="true" showInputMessage="false" sqref="I6:I205 L6:L205 O6:O205 R6:R205" type="whole">
      <formula1>1</formula1>
      <formula2>0</formula2>
    </dataValidation>
    <dataValidation allowBlank="false" errorStyle="stop" operator="between" showDropDown="false" showErrorMessage="false" showInputMessage="false" sqref="J6:J205 M6:M205 P6:P205 S6:S205" type="list">
      <formula1>L_DepType</formula1>
      <formula2>0</formula2>
    </dataValidation>
    <dataValidation allowBlank="false" errorStyle="stop" operator="between" showDropDown="false" showErrorMessage="false" showInputMessage="false" sqref="K6:K205 N6:N205 Q6:Q205 T6:T205" type="whole">
      <formula1>-365</formula1>
      <formula2>365</formula2>
    </dataValidation>
    <dataValidation allowBlank="false" errorStyle="stop" operator="between" showDropDown="false" showErrorMessage="false" showInputMessage="false" sqref="U6:U205" type="list">
      <formula1>L_Constraint</formula1>
      <formula2>0</formula2>
    </dataValidation>
    <dataValidation allowBlank="false" error="Enter 0% - 100%." errorStyle="stop" operator="between" showDropDown="false" showErrorMessage="true" showInputMessage="false" sqref="AM6:AM205" type="decimal">
      <formula1>0</formula1>
      <formula2>1</formula2>
    </dataValidation>
    <dataValidation allowBlank="false" errorStyle="stop" operator="between" showDropDown="false" showErrorMessage="false" showInputMessage="false" sqref="AP6:AP205" type="list">
      <formula1>res_Name</formula1>
      <formula2>0</formula2>
    </dataValidation>
    <dataValidation allowBlank="false" errorStyle="stop" operator="greaterThanOrEqual" showDropDown="false" showErrorMessage="false" showInputMessage="false" sqref="AV6:AV205 AY6:AY205" type="decimal">
      <formula1>0</formula1>
      <formula2>0</formula2>
    </dataValidation>
    <dataValidation allowBlank="false" errorStyle="stop" operator="between" showDropDown="false" showErrorMessage="false" showInputMessage="false" sqref="AW6:AW205" type="list">
      <formula1>spr_Name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FQ2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3" ySplit="5" topLeftCell="X6" activePane="bottomRight" state="frozen"/>
      <selection pane="topLeft" activeCell="A1" activeCellId="0" sqref="A1"/>
      <selection pane="topRight" activeCell="X1" activeCellId="0" sqref="X1"/>
      <selection pane="bottomLeft" activeCell="A6" activeCellId="0" sqref="A6"/>
      <selection pane="bottomRight" activeCell="A1" activeCellId="0" sqref="A1"/>
    </sheetView>
  </sheetViews>
  <sheetFormatPr defaultColWidth="8.6796875" defaultRowHeight="15" zeroHeight="false" outlineLevelRow="2" outlineLevelCol="1"/>
  <cols>
    <col collapsed="false" customWidth="true" hidden="false" outlineLevel="0" max="1" min="1" style="0" width="5"/>
    <col collapsed="false" customWidth="true" hidden="false" outlineLevel="0" max="2" min="2" style="0" width="7"/>
    <col collapsed="false" customWidth="true" hidden="false" outlineLevel="0" max="3" min="3" style="0" width="34"/>
    <col collapsed="false" customWidth="true" hidden="false" outlineLevel="0" max="4" min="4" style="0" width="5"/>
    <col collapsed="false" customWidth="true" hidden="false" outlineLevel="0" max="8" min="5" style="0" width="10"/>
    <col collapsed="false" customWidth="true" hidden="false" outlineLevel="0" max="9" min="9" style="0" width="6"/>
    <col collapsed="false" customWidth="true" hidden="false" outlineLevel="0" max="10" min="10" style="0" width="13"/>
    <col collapsed="false" customWidth="true" hidden="false" outlineLevel="0" max="11" min="11" style="0" width="11"/>
    <col collapsed="false" customWidth="true" hidden="false" outlineLevel="0" max="12" min="12" style="0" width="6"/>
    <col collapsed="false" customWidth="true" hidden="true" outlineLevel="1" max="22" min="13" style="0" width="5"/>
    <col collapsed="false" customWidth="true" hidden="false" outlineLevel="0" max="23" min="23" style="0" width="1"/>
    <col collapsed="false" customWidth="true" hidden="false" outlineLevel="0" max="173" min="24" style="0" width="2.9"/>
  </cols>
  <sheetData>
    <row r="1" customFormat="false" ht="19.7" hidden="false" customHeight="false" outlineLevel="0" collapsed="false">
      <c r="A1" s="26" t="str">
        <f aca="false">ProjectName&amp;"  -  Gantt Chart"</f>
        <v>Customer Portal Implementation  -  Gantt Chart</v>
      </c>
      <c r="X1" s="117"/>
      <c r="Y1" s="118" t="s">
        <v>147</v>
      </c>
      <c r="AJ1" s="38"/>
      <c r="AK1" s="118" t="s">
        <v>692</v>
      </c>
      <c r="AV1" s="119"/>
      <c r="AW1" s="118" t="s">
        <v>693</v>
      </c>
      <c r="BH1" s="39"/>
      <c r="BI1" s="118" t="s">
        <v>694</v>
      </c>
      <c r="BT1" s="120"/>
      <c r="BU1" s="118" t="s">
        <v>695</v>
      </c>
    </row>
    <row r="2" customFormat="false" ht="15" hidden="false" customHeight="false" outlineLevel="0" collapsed="false">
      <c r="A2" s="27" t="str">
        <f aca="false">"Status date: "&amp;TEXT(StatusDate,"ddd dd-mmm-yyyy")&amp;"   |   Forecast finish: "&amp;TEXT(MAX(tsk_FcFinish),"dd-mmm-yyyy")&amp;"   |   Planned finish: "&amp;TEXT(MAX(tsk_PlanFinish),"dd-mmm-yyyy")&amp;IF(COUNTA(tsk_Name)&gt;ROWS(GanttView[ID]),"   |   Showing the first "&amp;ROWS(GanttView[ID])&amp;" tasks","")</f>
        <v>Status date: Sun 25-Oct-2026   |   Forecast finish: 06-Jan-2027   |   Planned finish: 06-Jan-2027</v>
      </c>
      <c r="X2" s="121"/>
      <c r="Y2" s="118" t="s">
        <v>696</v>
      </c>
      <c r="AJ2" s="41"/>
      <c r="AK2" s="118" t="s">
        <v>697</v>
      </c>
      <c r="AV2" s="42"/>
      <c r="AW2" s="118" t="s">
        <v>142</v>
      </c>
      <c r="BH2" s="122"/>
      <c r="BI2" s="118" t="s">
        <v>390</v>
      </c>
      <c r="BT2" s="123"/>
      <c r="BU2" s="118" t="s">
        <v>698</v>
      </c>
    </row>
    <row r="3" customFormat="false" ht="15" hidden="false" customHeight="false" outlineLevel="0" collapsed="false">
      <c r="A3" s="8" t="s">
        <v>699</v>
      </c>
      <c r="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A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A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A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A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A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A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A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A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R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S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AT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U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AV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AW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A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A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B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B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B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B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B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B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B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B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R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BS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T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BU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BV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W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B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B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B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C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C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C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C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C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C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C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R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CS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T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CU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V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CW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C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C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C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D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D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D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D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D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D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D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R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DS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T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DU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DV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DW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D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D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E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E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E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E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E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E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E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ER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S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T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EU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V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EW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EX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EY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EZ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FA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FB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FC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FD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FE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FF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FG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FH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FI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FJ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FK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FL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FM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FN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FO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FP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FQ3" s="124"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row>
    <row r="4" customFormat="false" ht="15" hidden="false" customHeight="false" outlineLevel="0" collapsed="false">
      <c r="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Sep 26</v>
      </c>
      <c r="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R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S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T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U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V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Oct 26</v>
      </c>
      <c r="AW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A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R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S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T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U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V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W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B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Nov 26</v>
      </c>
      <c r="C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R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S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T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U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V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W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C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Dec 26</v>
      </c>
      <c r="D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R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S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T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U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V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W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D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Jan 27</v>
      </c>
      <c r="E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R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S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T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U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V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W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X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Y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EZ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A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B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C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D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E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F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G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H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I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J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K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L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M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N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O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Feb 27</v>
      </c>
      <c r="FP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FQ4" s="125"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customFormat="false" ht="30" hidden="false" customHeight="true" outlineLevel="0" collapsed="false">
      <c r="A5" s="9" t="s">
        <v>515</v>
      </c>
      <c r="B5" s="9" t="s">
        <v>132</v>
      </c>
      <c r="C5" s="9" t="s">
        <v>208</v>
      </c>
      <c r="D5" s="9" t="s">
        <v>700</v>
      </c>
      <c r="E5" s="9" t="s">
        <v>134</v>
      </c>
      <c r="F5" s="9" t="s">
        <v>135</v>
      </c>
      <c r="G5" s="9" t="s">
        <v>238</v>
      </c>
      <c r="H5" s="9" t="s">
        <v>228</v>
      </c>
      <c r="I5" s="9" t="s">
        <v>701</v>
      </c>
      <c r="J5" s="9" t="s">
        <v>236</v>
      </c>
      <c r="K5" s="9" t="s">
        <v>99</v>
      </c>
      <c r="L5" s="9" t="s">
        <v>518</v>
      </c>
      <c r="M5" s="31" t="s">
        <v>560</v>
      </c>
      <c r="N5" s="31" t="s">
        <v>563</v>
      </c>
      <c r="O5" s="31" t="s">
        <v>702</v>
      </c>
      <c r="P5" s="31" t="s">
        <v>703</v>
      </c>
      <c r="Q5" s="31" t="s">
        <v>704</v>
      </c>
      <c r="R5" s="31" t="s">
        <v>705</v>
      </c>
      <c r="S5" s="31" t="s">
        <v>706</v>
      </c>
      <c r="T5" s="31" t="s">
        <v>707</v>
      </c>
      <c r="U5" s="31" t="s">
        <v>708</v>
      </c>
      <c r="V5" s="31" t="s">
        <v>709</v>
      </c>
      <c r="X5" s="126" t="n">
        <f aca="false">IF(GanttPeriod&lt;28,GanttStart+((COLUMN()-COLUMN(gantt_Origin))-1)*GanttPeriod,EDATE(DATE(YEAR(GanttStart),MONTH(GanttStart)-IF(GanttPeriod&gt;=90,MOD(MONTH(GanttStart)-1,3),0),1),((COLUMN()-COLUMN(gantt_Origin))-1)*IF(GanttPeriod&gt;=90,3,1)))</f>
        <v>46272</v>
      </c>
      <c r="Y5" s="126" t="n">
        <f aca="false">IF(GanttPeriod&lt;28,GanttStart+((COLUMN()-COLUMN(gantt_Origin))-1)*GanttPeriod,EDATE(DATE(YEAR(GanttStart),MONTH(GanttStart)-IF(GanttPeriod&gt;=90,MOD(MONTH(GanttStart)-1,3),0),1),((COLUMN()-COLUMN(gantt_Origin))-1)*IF(GanttPeriod&gt;=90,3,1)))</f>
        <v>46273</v>
      </c>
      <c r="Z5" s="126" t="n">
        <f aca="false">IF(GanttPeriod&lt;28,GanttStart+((COLUMN()-COLUMN(gantt_Origin))-1)*GanttPeriod,EDATE(DATE(YEAR(GanttStart),MONTH(GanttStart)-IF(GanttPeriod&gt;=90,MOD(MONTH(GanttStart)-1,3),0),1),((COLUMN()-COLUMN(gantt_Origin))-1)*IF(GanttPeriod&gt;=90,3,1)))</f>
        <v>46274</v>
      </c>
      <c r="AA5" s="126" t="n">
        <f aca="false">IF(GanttPeriod&lt;28,GanttStart+((COLUMN()-COLUMN(gantt_Origin))-1)*GanttPeriod,EDATE(DATE(YEAR(GanttStart),MONTH(GanttStart)-IF(GanttPeriod&gt;=90,MOD(MONTH(GanttStart)-1,3),0),1),((COLUMN()-COLUMN(gantt_Origin))-1)*IF(GanttPeriod&gt;=90,3,1)))</f>
        <v>46275</v>
      </c>
      <c r="AB5" s="126" t="n">
        <f aca="false">IF(GanttPeriod&lt;28,GanttStart+((COLUMN()-COLUMN(gantt_Origin))-1)*GanttPeriod,EDATE(DATE(YEAR(GanttStart),MONTH(GanttStart)-IF(GanttPeriod&gt;=90,MOD(MONTH(GanttStart)-1,3),0),1),((COLUMN()-COLUMN(gantt_Origin))-1)*IF(GanttPeriod&gt;=90,3,1)))</f>
        <v>46276</v>
      </c>
      <c r="AC5" s="126" t="n">
        <f aca="false">IF(GanttPeriod&lt;28,GanttStart+((COLUMN()-COLUMN(gantt_Origin))-1)*GanttPeriod,EDATE(DATE(YEAR(GanttStart),MONTH(GanttStart)-IF(GanttPeriod&gt;=90,MOD(MONTH(GanttStart)-1,3),0),1),((COLUMN()-COLUMN(gantt_Origin))-1)*IF(GanttPeriod&gt;=90,3,1)))</f>
        <v>46277</v>
      </c>
      <c r="AD5" s="126" t="n">
        <f aca="false">IF(GanttPeriod&lt;28,GanttStart+((COLUMN()-COLUMN(gantt_Origin))-1)*GanttPeriod,EDATE(DATE(YEAR(GanttStart),MONTH(GanttStart)-IF(GanttPeriod&gt;=90,MOD(MONTH(GanttStart)-1,3),0),1),((COLUMN()-COLUMN(gantt_Origin))-1)*IF(GanttPeriod&gt;=90,3,1)))</f>
        <v>46278</v>
      </c>
      <c r="AE5" s="126" t="n">
        <f aca="false">IF(GanttPeriod&lt;28,GanttStart+((COLUMN()-COLUMN(gantt_Origin))-1)*GanttPeriod,EDATE(DATE(YEAR(GanttStart),MONTH(GanttStart)-IF(GanttPeriod&gt;=90,MOD(MONTH(GanttStart)-1,3),0),1),((COLUMN()-COLUMN(gantt_Origin))-1)*IF(GanttPeriod&gt;=90,3,1)))</f>
        <v>46279</v>
      </c>
      <c r="AF5" s="126" t="n">
        <f aca="false">IF(GanttPeriod&lt;28,GanttStart+((COLUMN()-COLUMN(gantt_Origin))-1)*GanttPeriod,EDATE(DATE(YEAR(GanttStart),MONTH(GanttStart)-IF(GanttPeriod&gt;=90,MOD(MONTH(GanttStart)-1,3),0),1),((COLUMN()-COLUMN(gantt_Origin))-1)*IF(GanttPeriod&gt;=90,3,1)))</f>
        <v>46280</v>
      </c>
      <c r="AG5" s="126" t="n">
        <f aca="false">IF(GanttPeriod&lt;28,GanttStart+((COLUMN()-COLUMN(gantt_Origin))-1)*GanttPeriod,EDATE(DATE(YEAR(GanttStart),MONTH(GanttStart)-IF(GanttPeriod&gt;=90,MOD(MONTH(GanttStart)-1,3),0),1),((COLUMN()-COLUMN(gantt_Origin))-1)*IF(GanttPeriod&gt;=90,3,1)))</f>
        <v>46281</v>
      </c>
      <c r="AH5" s="126" t="n">
        <f aca="false">IF(GanttPeriod&lt;28,GanttStart+((COLUMN()-COLUMN(gantt_Origin))-1)*GanttPeriod,EDATE(DATE(YEAR(GanttStart),MONTH(GanttStart)-IF(GanttPeriod&gt;=90,MOD(MONTH(GanttStart)-1,3),0),1),((COLUMN()-COLUMN(gantt_Origin))-1)*IF(GanttPeriod&gt;=90,3,1)))</f>
        <v>46282</v>
      </c>
      <c r="AI5" s="126" t="n">
        <f aca="false">IF(GanttPeriod&lt;28,GanttStart+((COLUMN()-COLUMN(gantt_Origin))-1)*GanttPeriod,EDATE(DATE(YEAR(GanttStart),MONTH(GanttStart)-IF(GanttPeriod&gt;=90,MOD(MONTH(GanttStart)-1,3),0),1),((COLUMN()-COLUMN(gantt_Origin))-1)*IF(GanttPeriod&gt;=90,3,1)))</f>
        <v>46283</v>
      </c>
      <c r="AJ5" s="126" t="n">
        <f aca="false">IF(GanttPeriod&lt;28,GanttStart+((COLUMN()-COLUMN(gantt_Origin))-1)*GanttPeriod,EDATE(DATE(YEAR(GanttStart),MONTH(GanttStart)-IF(GanttPeriod&gt;=90,MOD(MONTH(GanttStart)-1,3),0),1),((COLUMN()-COLUMN(gantt_Origin))-1)*IF(GanttPeriod&gt;=90,3,1)))</f>
        <v>46284</v>
      </c>
      <c r="AK5" s="126" t="n">
        <f aca="false">IF(GanttPeriod&lt;28,GanttStart+((COLUMN()-COLUMN(gantt_Origin))-1)*GanttPeriod,EDATE(DATE(YEAR(GanttStart),MONTH(GanttStart)-IF(GanttPeriod&gt;=90,MOD(MONTH(GanttStart)-1,3),0),1),((COLUMN()-COLUMN(gantt_Origin))-1)*IF(GanttPeriod&gt;=90,3,1)))</f>
        <v>46285</v>
      </c>
      <c r="AL5" s="126" t="n">
        <f aca="false">IF(GanttPeriod&lt;28,GanttStart+((COLUMN()-COLUMN(gantt_Origin))-1)*GanttPeriod,EDATE(DATE(YEAR(GanttStart),MONTH(GanttStart)-IF(GanttPeriod&gt;=90,MOD(MONTH(GanttStart)-1,3),0),1),((COLUMN()-COLUMN(gantt_Origin))-1)*IF(GanttPeriod&gt;=90,3,1)))</f>
        <v>46286</v>
      </c>
      <c r="AM5" s="126" t="n">
        <f aca="false">IF(GanttPeriod&lt;28,GanttStart+((COLUMN()-COLUMN(gantt_Origin))-1)*GanttPeriod,EDATE(DATE(YEAR(GanttStart),MONTH(GanttStart)-IF(GanttPeriod&gt;=90,MOD(MONTH(GanttStart)-1,3),0),1),((COLUMN()-COLUMN(gantt_Origin))-1)*IF(GanttPeriod&gt;=90,3,1)))</f>
        <v>46287</v>
      </c>
      <c r="AN5" s="126" t="n">
        <f aca="false">IF(GanttPeriod&lt;28,GanttStart+((COLUMN()-COLUMN(gantt_Origin))-1)*GanttPeriod,EDATE(DATE(YEAR(GanttStart),MONTH(GanttStart)-IF(GanttPeriod&gt;=90,MOD(MONTH(GanttStart)-1,3),0),1),((COLUMN()-COLUMN(gantt_Origin))-1)*IF(GanttPeriod&gt;=90,3,1)))</f>
        <v>46288</v>
      </c>
      <c r="AO5" s="126" t="n">
        <f aca="false">IF(GanttPeriod&lt;28,GanttStart+((COLUMN()-COLUMN(gantt_Origin))-1)*GanttPeriod,EDATE(DATE(YEAR(GanttStart),MONTH(GanttStart)-IF(GanttPeriod&gt;=90,MOD(MONTH(GanttStart)-1,3),0),1),((COLUMN()-COLUMN(gantt_Origin))-1)*IF(GanttPeriod&gt;=90,3,1)))</f>
        <v>46289</v>
      </c>
      <c r="AP5" s="126" t="n">
        <f aca="false">IF(GanttPeriod&lt;28,GanttStart+((COLUMN()-COLUMN(gantt_Origin))-1)*GanttPeriod,EDATE(DATE(YEAR(GanttStart),MONTH(GanttStart)-IF(GanttPeriod&gt;=90,MOD(MONTH(GanttStart)-1,3),0),1),((COLUMN()-COLUMN(gantt_Origin))-1)*IF(GanttPeriod&gt;=90,3,1)))</f>
        <v>46290</v>
      </c>
      <c r="AQ5" s="126" t="n">
        <f aca="false">IF(GanttPeriod&lt;28,GanttStart+((COLUMN()-COLUMN(gantt_Origin))-1)*GanttPeriod,EDATE(DATE(YEAR(GanttStart),MONTH(GanttStart)-IF(GanttPeriod&gt;=90,MOD(MONTH(GanttStart)-1,3),0),1),((COLUMN()-COLUMN(gantt_Origin))-1)*IF(GanttPeriod&gt;=90,3,1)))</f>
        <v>46291</v>
      </c>
      <c r="AR5" s="126" t="n">
        <f aca="false">IF(GanttPeriod&lt;28,GanttStart+((COLUMN()-COLUMN(gantt_Origin))-1)*GanttPeriod,EDATE(DATE(YEAR(GanttStart),MONTH(GanttStart)-IF(GanttPeriod&gt;=90,MOD(MONTH(GanttStart)-1,3),0),1),((COLUMN()-COLUMN(gantt_Origin))-1)*IF(GanttPeriod&gt;=90,3,1)))</f>
        <v>46292</v>
      </c>
      <c r="AS5" s="126" t="n">
        <f aca="false">IF(GanttPeriod&lt;28,GanttStart+((COLUMN()-COLUMN(gantt_Origin))-1)*GanttPeriod,EDATE(DATE(YEAR(GanttStart),MONTH(GanttStart)-IF(GanttPeriod&gt;=90,MOD(MONTH(GanttStart)-1,3),0),1),((COLUMN()-COLUMN(gantt_Origin))-1)*IF(GanttPeriod&gt;=90,3,1)))</f>
        <v>46293</v>
      </c>
      <c r="AT5" s="126" t="n">
        <f aca="false">IF(GanttPeriod&lt;28,GanttStart+((COLUMN()-COLUMN(gantt_Origin))-1)*GanttPeriod,EDATE(DATE(YEAR(GanttStart),MONTH(GanttStart)-IF(GanttPeriod&gt;=90,MOD(MONTH(GanttStart)-1,3),0),1),((COLUMN()-COLUMN(gantt_Origin))-1)*IF(GanttPeriod&gt;=90,3,1)))</f>
        <v>46294</v>
      </c>
      <c r="AU5" s="126" t="n">
        <f aca="false">IF(GanttPeriod&lt;28,GanttStart+((COLUMN()-COLUMN(gantt_Origin))-1)*GanttPeriod,EDATE(DATE(YEAR(GanttStart),MONTH(GanttStart)-IF(GanttPeriod&gt;=90,MOD(MONTH(GanttStart)-1,3),0),1),((COLUMN()-COLUMN(gantt_Origin))-1)*IF(GanttPeriod&gt;=90,3,1)))</f>
        <v>46295</v>
      </c>
      <c r="AV5" s="126" t="n">
        <f aca="false">IF(GanttPeriod&lt;28,GanttStart+((COLUMN()-COLUMN(gantt_Origin))-1)*GanttPeriod,EDATE(DATE(YEAR(GanttStart),MONTH(GanttStart)-IF(GanttPeriod&gt;=90,MOD(MONTH(GanttStart)-1,3),0),1),((COLUMN()-COLUMN(gantt_Origin))-1)*IF(GanttPeriod&gt;=90,3,1)))</f>
        <v>46296</v>
      </c>
      <c r="AW5" s="126" t="n">
        <f aca="false">IF(GanttPeriod&lt;28,GanttStart+((COLUMN()-COLUMN(gantt_Origin))-1)*GanttPeriod,EDATE(DATE(YEAR(GanttStart),MONTH(GanttStart)-IF(GanttPeriod&gt;=90,MOD(MONTH(GanttStart)-1,3),0),1),((COLUMN()-COLUMN(gantt_Origin))-1)*IF(GanttPeriod&gt;=90,3,1)))</f>
        <v>46297</v>
      </c>
      <c r="AX5" s="126" t="n">
        <f aca="false">IF(GanttPeriod&lt;28,GanttStart+((COLUMN()-COLUMN(gantt_Origin))-1)*GanttPeriod,EDATE(DATE(YEAR(GanttStart),MONTH(GanttStart)-IF(GanttPeriod&gt;=90,MOD(MONTH(GanttStart)-1,3),0),1),((COLUMN()-COLUMN(gantt_Origin))-1)*IF(GanttPeriod&gt;=90,3,1)))</f>
        <v>46298</v>
      </c>
      <c r="AY5" s="126" t="n">
        <f aca="false">IF(GanttPeriod&lt;28,GanttStart+((COLUMN()-COLUMN(gantt_Origin))-1)*GanttPeriod,EDATE(DATE(YEAR(GanttStart),MONTH(GanttStart)-IF(GanttPeriod&gt;=90,MOD(MONTH(GanttStart)-1,3),0),1),((COLUMN()-COLUMN(gantt_Origin))-1)*IF(GanttPeriod&gt;=90,3,1)))</f>
        <v>46299</v>
      </c>
      <c r="AZ5" s="126" t="n">
        <f aca="false">IF(GanttPeriod&lt;28,GanttStart+((COLUMN()-COLUMN(gantt_Origin))-1)*GanttPeriod,EDATE(DATE(YEAR(GanttStart),MONTH(GanttStart)-IF(GanttPeriod&gt;=90,MOD(MONTH(GanttStart)-1,3),0),1),((COLUMN()-COLUMN(gantt_Origin))-1)*IF(GanttPeriod&gt;=90,3,1)))</f>
        <v>46300</v>
      </c>
      <c r="BA5" s="126" t="n">
        <f aca="false">IF(GanttPeriod&lt;28,GanttStart+((COLUMN()-COLUMN(gantt_Origin))-1)*GanttPeriod,EDATE(DATE(YEAR(GanttStart),MONTH(GanttStart)-IF(GanttPeriod&gt;=90,MOD(MONTH(GanttStart)-1,3),0),1),((COLUMN()-COLUMN(gantt_Origin))-1)*IF(GanttPeriod&gt;=90,3,1)))</f>
        <v>46301</v>
      </c>
      <c r="BB5" s="126" t="n">
        <f aca="false">IF(GanttPeriod&lt;28,GanttStart+((COLUMN()-COLUMN(gantt_Origin))-1)*GanttPeriod,EDATE(DATE(YEAR(GanttStart),MONTH(GanttStart)-IF(GanttPeriod&gt;=90,MOD(MONTH(GanttStart)-1,3),0),1),((COLUMN()-COLUMN(gantt_Origin))-1)*IF(GanttPeriod&gt;=90,3,1)))</f>
        <v>46302</v>
      </c>
      <c r="BC5" s="126" t="n">
        <f aca="false">IF(GanttPeriod&lt;28,GanttStart+((COLUMN()-COLUMN(gantt_Origin))-1)*GanttPeriod,EDATE(DATE(YEAR(GanttStart),MONTH(GanttStart)-IF(GanttPeriod&gt;=90,MOD(MONTH(GanttStart)-1,3),0),1),((COLUMN()-COLUMN(gantt_Origin))-1)*IF(GanttPeriod&gt;=90,3,1)))</f>
        <v>46303</v>
      </c>
      <c r="BD5" s="126" t="n">
        <f aca="false">IF(GanttPeriod&lt;28,GanttStart+((COLUMN()-COLUMN(gantt_Origin))-1)*GanttPeriod,EDATE(DATE(YEAR(GanttStart),MONTH(GanttStart)-IF(GanttPeriod&gt;=90,MOD(MONTH(GanttStart)-1,3),0),1),((COLUMN()-COLUMN(gantt_Origin))-1)*IF(GanttPeriod&gt;=90,3,1)))</f>
        <v>46304</v>
      </c>
      <c r="BE5" s="126" t="n">
        <f aca="false">IF(GanttPeriod&lt;28,GanttStart+((COLUMN()-COLUMN(gantt_Origin))-1)*GanttPeriod,EDATE(DATE(YEAR(GanttStart),MONTH(GanttStart)-IF(GanttPeriod&gt;=90,MOD(MONTH(GanttStart)-1,3),0),1),((COLUMN()-COLUMN(gantt_Origin))-1)*IF(GanttPeriod&gt;=90,3,1)))</f>
        <v>46305</v>
      </c>
      <c r="BF5" s="126" t="n">
        <f aca="false">IF(GanttPeriod&lt;28,GanttStart+((COLUMN()-COLUMN(gantt_Origin))-1)*GanttPeriod,EDATE(DATE(YEAR(GanttStart),MONTH(GanttStart)-IF(GanttPeriod&gt;=90,MOD(MONTH(GanttStart)-1,3),0),1),((COLUMN()-COLUMN(gantt_Origin))-1)*IF(GanttPeriod&gt;=90,3,1)))</f>
        <v>46306</v>
      </c>
      <c r="BG5" s="126" t="n">
        <f aca="false">IF(GanttPeriod&lt;28,GanttStart+((COLUMN()-COLUMN(gantt_Origin))-1)*GanttPeriod,EDATE(DATE(YEAR(GanttStart),MONTH(GanttStart)-IF(GanttPeriod&gt;=90,MOD(MONTH(GanttStart)-1,3),0),1),((COLUMN()-COLUMN(gantt_Origin))-1)*IF(GanttPeriod&gt;=90,3,1)))</f>
        <v>46307</v>
      </c>
      <c r="BH5" s="126" t="n">
        <f aca="false">IF(GanttPeriod&lt;28,GanttStart+((COLUMN()-COLUMN(gantt_Origin))-1)*GanttPeriod,EDATE(DATE(YEAR(GanttStart),MONTH(GanttStart)-IF(GanttPeriod&gt;=90,MOD(MONTH(GanttStart)-1,3),0),1),((COLUMN()-COLUMN(gantt_Origin))-1)*IF(GanttPeriod&gt;=90,3,1)))</f>
        <v>46308</v>
      </c>
      <c r="BI5" s="126" t="n">
        <f aca="false">IF(GanttPeriod&lt;28,GanttStart+((COLUMN()-COLUMN(gantt_Origin))-1)*GanttPeriod,EDATE(DATE(YEAR(GanttStart),MONTH(GanttStart)-IF(GanttPeriod&gt;=90,MOD(MONTH(GanttStart)-1,3),0),1),((COLUMN()-COLUMN(gantt_Origin))-1)*IF(GanttPeriod&gt;=90,3,1)))</f>
        <v>46309</v>
      </c>
      <c r="BJ5" s="126" t="n">
        <f aca="false">IF(GanttPeriod&lt;28,GanttStart+((COLUMN()-COLUMN(gantt_Origin))-1)*GanttPeriod,EDATE(DATE(YEAR(GanttStart),MONTH(GanttStart)-IF(GanttPeriod&gt;=90,MOD(MONTH(GanttStart)-1,3),0),1),((COLUMN()-COLUMN(gantt_Origin))-1)*IF(GanttPeriod&gt;=90,3,1)))</f>
        <v>46310</v>
      </c>
      <c r="BK5" s="126" t="n">
        <f aca="false">IF(GanttPeriod&lt;28,GanttStart+((COLUMN()-COLUMN(gantt_Origin))-1)*GanttPeriod,EDATE(DATE(YEAR(GanttStart),MONTH(GanttStart)-IF(GanttPeriod&gt;=90,MOD(MONTH(GanttStart)-1,3),0),1),((COLUMN()-COLUMN(gantt_Origin))-1)*IF(GanttPeriod&gt;=90,3,1)))</f>
        <v>46311</v>
      </c>
      <c r="BL5" s="126" t="n">
        <f aca="false">IF(GanttPeriod&lt;28,GanttStart+((COLUMN()-COLUMN(gantt_Origin))-1)*GanttPeriod,EDATE(DATE(YEAR(GanttStart),MONTH(GanttStart)-IF(GanttPeriod&gt;=90,MOD(MONTH(GanttStart)-1,3),0),1),((COLUMN()-COLUMN(gantt_Origin))-1)*IF(GanttPeriod&gt;=90,3,1)))</f>
        <v>46312</v>
      </c>
      <c r="BM5" s="126" t="n">
        <f aca="false">IF(GanttPeriod&lt;28,GanttStart+((COLUMN()-COLUMN(gantt_Origin))-1)*GanttPeriod,EDATE(DATE(YEAR(GanttStart),MONTH(GanttStart)-IF(GanttPeriod&gt;=90,MOD(MONTH(GanttStart)-1,3),0),1),((COLUMN()-COLUMN(gantt_Origin))-1)*IF(GanttPeriod&gt;=90,3,1)))</f>
        <v>46313</v>
      </c>
      <c r="BN5" s="126" t="n">
        <f aca="false">IF(GanttPeriod&lt;28,GanttStart+((COLUMN()-COLUMN(gantt_Origin))-1)*GanttPeriod,EDATE(DATE(YEAR(GanttStart),MONTH(GanttStart)-IF(GanttPeriod&gt;=90,MOD(MONTH(GanttStart)-1,3),0),1),((COLUMN()-COLUMN(gantt_Origin))-1)*IF(GanttPeriod&gt;=90,3,1)))</f>
        <v>46314</v>
      </c>
      <c r="BO5" s="126" t="n">
        <f aca="false">IF(GanttPeriod&lt;28,GanttStart+((COLUMN()-COLUMN(gantt_Origin))-1)*GanttPeriod,EDATE(DATE(YEAR(GanttStart),MONTH(GanttStart)-IF(GanttPeriod&gt;=90,MOD(MONTH(GanttStart)-1,3),0),1),((COLUMN()-COLUMN(gantt_Origin))-1)*IF(GanttPeriod&gt;=90,3,1)))</f>
        <v>46315</v>
      </c>
      <c r="BP5" s="126" t="n">
        <f aca="false">IF(GanttPeriod&lt;28,GanttStart+((COLUMN()-COLUMN(gantt_Origin))-1)*GanttPeriod,EDATE(DATE(YEAR(GanttStart),MONTH(GanttStart)-IF(GanttPeriod&gt;=90,MOD(MONTH(GanttStart)-1,3),0),1),((COLUMN()-COLUMN(gantt_Origin))-1)*IF(GanttPeriod&gt;=90,3,1)))</f>
        <v>46316</v>
      </c>
      <c r="BQ5" s="126" t="n">
        <f aca="false">IF(GanttPeriod&lt;28,GanttStart+((COLUMN()-COLUMN(gantt_Origin))-1)*GanttPeriod,EDATE(DATE(YEAR(GanttStart),MONTH(GanttStart)-IF(GanttPeriod&gt;=90,MOD(MONTH(GanttStart)-1,3),0),1),((COLUMN()-COLUMN(gantt_Origin))-1)*IF(GanttPeriod&gt;=90,3,1)))</f>
        <v>46317</v>
      </c>
      <c r="BR5" s="126" t="n">
        <f aca="false">IF(GanttPeriod&lt;28,GanttStart+((COLUMN()-COLUMN(gantt_Origin))-1)*GanttPeriod,EDATE(DATE(YEAR(GanttStart),MONTH(GanttStart)-IF(GanttPeriod&gt;=90,MOD(MONTH(GanttStart)-1,3),0),1),((COLUMN()-COLUMN(gantt_Origin))-1)*IF(GanttPeriod&gt;=90,3,1)))</f>
        <v>46318</v>
      </c>
      <c r="BS5" s="126" t="n">
        <f aca="false">IF(GanttPeriod&lt;28,GanttStart+((COLUMN()-COLUMN(gantt_Origin))-1)*GanttPeriod,EDATE(DATE(YEAR(GanttStart),MONTH(GanttStart)-IF(GanttPeriod&gt;=90,MOD(MONTH(GanttStart)-1,3),0),1),((COLUMN()-COLUMN(gantt_Origin))-1)*IF(GanttPeriod&gt;=90,3,1)))</f>
        <v>46319</v>
      </c>
      <c r="BT5" s="126" t="n">
        <f aca="false">IF(GanttPeriod&lt;28,GanttStart+((COLUMN()-COLUMN(gantt_Origin))-1)*GanttPeriod,EDATE(DATE(YEAR(GanttStart),MONTH(GanttStart)-IF(GanttPeriod&gt;=90,MOD(MONTH(GanttStart)-1,3),0),1),((COLUMN()-COLUMN(gantt_Origin))-1)*IF(GanttPeriod&gt;=90,3,1)))</f>
        <v>46320</v>
      </c>
      <c r="BU5" s="126" t="n">
        <f aca="false">IF(GanttPeriod&lt;28,GanttStart+((COLUMN()-COLUMN(gantt_Origin))-1)*GanttPeriod,EDATE(DATE(YEAR(GanttStart),MONTH(GanttStart)-IF(GanttPeriod&gt;=90,MOD(MONTH(GanttStart)-1,3),0),1),((COLUMN()-COLUMN(gantt_Origin))-1)*IF(GanttPeriod&gt;=90,3,1)))</f>
        <v>46321</v>
      </c>
      <c r="BV5" s="126" t="n">
        <f aca="false">IF(GanttPeriod&lt;28,GanttStart+((COLUMN()-COLUMN(gantt_Origin))-1)*GanttPeriod,EDATE(DATE(YEAR(GanttStart),MONTH(GanttStart)-IF(GanttPeriod&gt;=90,MOD(MONTH(GanttStart)-1,3),0),1),((COLUMN()-COLUMN(gantt_Origin))-1)*IF(GanttPeriod&gt;=90,3,1)))</f>
        <v>46322</v>
      </c>
      <c r="BW5" s="126" t="n">
        <f aca="false">IF(GanttPeriod&lt;28,GanttStart+((COLUMN()-COLUMN(gantt_Origin))-1)*GanttPeriod,EDATE(DATE(YEAR(GanttStart),MONTH(GanttStart)-IF(GanttPeriod&gt;=90,MOD(MONTH(GanttStart)-1,3),0),1),((COLUMN()-COLUMN(gantt_Origin))-1)*IF(GanttPeriod&gt;=90,3,1)))</f>
        <v>46323</v>
      </c>
      <c r="BX5" s="126" t="n">
        <f aca="false">IF(GanttPeriod&lt;28,GanttStart+((COLUMN()-COLUMN(gantt_Origin))-1)*GanttPeriod,EDATE(DATE(YEAR(GanttStart),MONTH(GanttStart)-IF(GanttPeriod&gt;=90,MOD(MONTH(GanttStart)-1,3),0),1),((COLUMN()-COLUMN(gantt_Origin))-1)*IF(GanttPeriod&gt;=90,3,1)))</f>
        <v>46324</v>
      </c>
      <c r="BY5" s="126" t="n">
        <f aca="false">IF(GanttPeriod&lt;28,GanttStart+((COLUMN()-COLUMN(gantt_Origin))-1)*GanttPeriod,EDATE(DATE(YEAR(GanttStart),MONTH(GanttStart)-IF(GanttPeriod&gt;=90,MOD(MONTH(GanttStart)-1,3),0),1),((COLUMN()-COLUMN(gantt_Origin))-1)*IF(GanttPeriod&gt;=90,3,1)))</f>
        <v>46325</v>
      </c>
      <c r="BZ5" s="126" t="n">
        <f aca="false">IF(GanttPeriod&lt;28,GanttStart+((COLUMN()-COLUMN(gantt_Origin))-1)*GanttPeriod,EDATE(DATE(YEAR(GanttStart),MONTH(GanttStart)-IF(GanttPeriod&gt;=90,MOD(MONTH(GanttStart)-1,3),0),1),((COLUMN()-COLUMN(gantt_Origin))-1)*IF(GanttPeriod&gt;=90,3,1)))</f>
        <v>46326</v>
      </c>
      <c r="CA5" s="126" t="n">
        <f aca="false">IF(GanttPeriod&lt;28,GanttStart+((COLUMN()-COLUMN(gantt_Origin))-1)*GanttPeriod,EDATE(DATE(YEAR(GanttStart),MONTH(GanttStart)-IF(GanttPeriod&gt;=90,MOD(MONTH(GanttStart)-1,3),0),1),((COLUMN()-COLUMN(gantt_Origin))-1)*IF(GanttPeriod&gt;=90,3,1)))</f>
        <v>46327</v>
      </c>
      <c r="CB5" s="126" t="n">
        <f aca="false">IF(GanttPeriod&lt;28,GanttStart+((COLUMN()-COLUMN(gantt_Origin))-1)*GanttPeriod,EDATE(DATE(YEAR(GanttStart),MONTH(GanttStart)-IF(GanttPeriod&gt;=90,MOD(MONTH(GanttStart)-1,3),0),1),((COLUMN()-COLUMN(gantt_Origin))-1)*IF(GanttPeriod&gt;=90,3,1)))</f>
        <v>46328</v>
      </c>
      <c r="CC5" s="126" t="n">
        <f aca="false">IF(GanttPeriod&lt;28,GanttStart+((COLUMN()-COLUMN(gantt_Origin))-1)*GanttPeriod,EDATE(DATE(YEAR(GanttStart),MONTH(GanttStart)-IF(GanttPeriod&gt;=90,MOD(MONTH(GanttStart)-1,3),0),1),((COLUMN()-COLUMN(gantt_Origin))-1)*IF(GanttPeriod&gt;=90,3,1)))</f>
        <v>46329</v>
      </c>
      <c r="CD5" s="126" t="n">
        <f aca="false">IF(GanttPeriod&lt;28,GanttStart+((COLUMN()-COLUMN(gantt_Origin))-1)*GanttPeriod,EDATE(DATE(YEAR(GanttStart),MONTH(GanttStart)-IF(GanttPeriod&gt;=90,MOD(MONTH(GanttStart)-1,3),0),1),((COLUMN()-COLUMN(gantt_Origin))-1)*IF(GanttPeriod&gt;=90,3,1)))</f>
        <v>46330</v>
      </c>
      <c r="CE5" s="126" t="n">
        <f aca="false">IF(GanttPeriod&lt;28,GanttStart+((COLUMN()-COLUMN(gantt_Origin))-1)*GanttPeriod,EDATE(DATE(YEAR(GanttStart),MONTH(GanttStart)-IF(GanttPeriod&gt;=90,MOD(MONTH(GanttStart)-1,3),0),1),((COLUMN()-COLUMN(gantt_Origin))-1)*IF(GanttPeriod&gt;=90,3,1)))</f>
        <v>46331</v>
      </c>
      <c r="CF5" s="126" t="n">
        <f aca="false">IF(GanttPeriod&lt;28,GanttStart+((COLUMN()-COLUMN(gantt_Origin))-1)*GanttPeriod,EDATE(DATE(YEAR(GanttStart),MONTH(GanttStart)-IF(GanttPeriod&gt;=90,MOD(MONTH(GanttStart)-1,3),0),1),((COLUMN()-COLUMN(gantt_Origin))-1)*IF(GanttPeriod&gt;=90,3,1)))</f>
        <v>46332</v>
      </c>
      <c r="CG5" s="126" t="n">
        <f aca="false">IF(GanttPeriod&lt;28,GanttStart+((COLUMN()-COLUMN(gantt_Origin))-1)*GanttPeriod,EDATE(DATE(YEAR(GanttStart),MONTH(GanttStart)-IF(GanttPeriod&gt;=90,MOD(MONTH(GanttStart)-1,3),0),1),((COLUMN()-COLUMN(gantt_Origin))-1)*IF(GanttPeriod&gt;=90,3,1)))</f>
        <v>46333</v>
      </c>
      <c r="CH5" s="126" t="n">
        <f aca="false">IF(GanttPeriod&lt;28,GanttStart+((COLUMN()-COLUMN(gantt_Origin))-1)*GanttPeriod,EDATE(DATE(YEAR(GanttStart),MONTH(GanttStart)-IF(GanttPeriod&gt;=90,MOD(MONTH(GanttStart)-1,3),0),1),((COLUMN()-COLUMN(gantt_Origin))-1)*IF(GanttPeriod&gt;=90,3,1)))</f>
        <v>46334</v>
      </c>
      <c r="CI5" s="126" t="n">
        <f aca="false">IF(GanttPeriod&lt;28,GanttStart+((COLUMN()-COLUMN(gantt_Origin))-1)*GanttPeriod,EDATE(DATE(YEAR(GanttStart),MONTH(GanttStart)-IF(GanttPeriod&gt;=90,MOD(MONTH(GanttStart)-1,3),0),1),((COLUMN()-COLUMN(gantt_Origin))-1)*IF(GanttPeriod&gt;=90,3,1)))</f>
        <v>46335</v>
      </c>
      <c r="CJ5" s="126" t="n">
        <f aca="false">IF(GanttPeriod&lt;28,GanttStart+((COLUMN()-COLUMN(gantt_Origin))-1)*GanttPeriod,EDATE(DATE(YEAR(GanttStart),MONTH(GanttStart)-IF(GanttPeriod&gt;=90,MOD(MONTH(GanttStart)-1,3),0),1),((COLUMN()-COLUMN(gantt_Origin))-1)*IF(GanttPeriod&gt;=90,3,1)))</f>
        <v>46336</v>
      </c>
      <c r="CK5" s="126" t="n">
        <f aca="false">IF(GanttPeriod&lt;28,GanttStart+((COLUMN()-COLUMN(gantt_Origin))-1)*GanttPeriod,EDATE(DATE(YEAR(GanttStart),MONTH(GanttStart)-IF(GanttPeriod&gt;=90,MOD(MONTH(GanttStart)-1,3),0),1),((COLUMN()-COLUMN(gantt_Origin))-1)*IF(GanttPeriod&gt;=90,3,1)))</f>
        <v>46337</v>
      </c>
      <c r="CL5" s="126" t="n">
        <f aca="false">IF(GanttPeriod&lt;28,GanttStart+((COLUMN()-COLUMN(gantt_Origin))-1)*GanttPeriod,EDATE(DATE(YEAR(GanttStart),MONTH(GanttStart)-IF(GanttPeriod&gt;=90,MOD(MONTH(GanttStart)-1,3),0),1),((COLUMN()-COLUMN(gantt_Origin))-1)*IF(GanttPeriod&gt;=90,3,1)))</f>
        <v>46338</v>
      </c>
      <c r="CM5" s="126" t="n">
        <f aca="false">IF(GanttPeriod&lt;28,GanttStart+((COLUMN()-COLUMN(gantt_Origin))-1)*GanttPeriod,EDATE(DATE(YEAR(GanttStart),MONTH(GanttStart)-IF(GanttPeriod&gt;=90,MOD(MONTH(GanttStart)-1,3),0),1),((COLUMN()-COLUMN(gantt_Origin))-1)*IF(GanttPeriod&gt;=90,3,1)))</f>
        <v>46339</v>
      </c>
      <c r="CN5" s="126" t="n">
        <f aca="false">IF(GanttPeriod&lt;28,GanttStart+((COLUMN()-COLUMN(gantt_Origin))-1)*GanttPeriod,EDATE(DATE(YEAR(GanttStart),MONTH(GanttStart)-IF(GanttPeriod&gt;=90,MOD(MONTH(GanttStart)-1,3),0),1),((COLUMN()-COLUMN(gantt_Origin))-1)*IF(GanttPeriod&gt;=90,3,1)))</f>
        <v>46340</v>
      </c>
      <c r="CO5" s="126" t="n">
        <f aca="false">IF(GanttPeriod&lt;28,GanttStart+((COLUMN()-COLUMN(gantt_Origin))-1)*GanttPeriod,EDATE(DATE(YEAR(GanttStart),MONTH(GanttStart)-IF(GanttPeriod&gt;=90,MOD(MONTH(GanttStart)-1,3),0),1),((COLUMN()-COLUMN(gantt_Origin))-1)*IF(GanttPeriod&gt;=90,3,1)))</f>
        <v>46341</v>
      </c>
      <c r="CP5" s="126" t="n">
        <f aca="false">IF(GanttPeriod&lt;28,GanttStart+((COLUMN()-COLUMN(gantt_Origin))-1)*GanttPeriod,EDATE(DATE(YEAR(GanttStart),MONTH(GanttStart)-IF(GanttPeriod&gt;=90,MOD(MONTH(GanttStart)-1,3),0),1),((COLUMN()-COLUMN(gantt_Origin))-1)*IF(GanttPeriod&gt;=90,3,1)))</f>
        <v>46342</v>
      </c>
      <c r="CQ5" s="126" t="n">
        <f aca="false">IF(GanttPeriod&lt;28,GanttStart+((COLUMN()-COLUMN(gantt_Origin))-1)*GanttPeriod,EDATE(DATE(YEAR(GanttStart),MONTH(GanttStart)-IF(GanttPeriod&gt;=90,MOD(MONTH(GanttStart)-1,3),0),1),((COLUMN()-COLUMN(gantt_Origin))-1)*IF(GanttPeriod&gt;=90,3,1)))</f>
        <v>46343</v>
      </c>
      <c r="CR5" s="126" t="n">
        <f aca="false">IF(GanttPeriod&lt;28,GanttStart+((COLUMN()-COLUMN(gantt_Origin))-1)*GanttPeriod,EDATE(DATE(YEAR(GanttStart),MONTH(GanttStart)-IF(GanttPeriod&gt;=90,MOD(MONTH(GanttStart)-1,3),0),1),((COLUMN()-COLUMN(gantt_Origin))-1)*IF(GanttPeriod&gt;=90,3,1)))</f>
        <v>46344</v>
      </c>
      <c r="CS5" s="126" t="n">
        <f aca="false">IF(GanttPeriod&lt;28,GanttStart+((COLUMN()-COLUMN(gantt_Origin))-1)*GanttPeriod,EDATE(DATE(YEAR(GanttStart),MONTH(GanttStart)-IF(GanttPeriod&gt;=90,MOD(MONTH(GanttStart)-1,3),0),1),((COLUMN()-COLUMN(gantt_Origin))-1)*IF(GanttPeriod&gt;=90,3,1)))</f>
        <v>46345</v>
      </c>
      <c r="CT5" s="126" t="n">
        <f aca="false">IF(GanttPeriod&lt;28,GanttStart+((COLUMN()-COLUMN(gantt_Origin))-1)*GanttPeriod,EDATE(DATE(YEAR(GanttStart),MONTH(GanttStart)-IF(GanttPeriod&gt;=90,MOD(MONTH(GanttStart)-1,3),0),1),((COLUMN()-COLUMN(gantt_Origin))-1)*IF(GanttPeriod&gt;=90,3,1)))</f>
        <v>46346</v>
      </c>
      <c r="CU5" s="126" t="n">
        <f aca="false">IF(GanttPeriod&lt;28,GanttStart+((COLUMN()-COLUMN(gantt_Origin))-1)*GanttPeriod,EDATE(DATE(YEAR(GanttStart),MONTH(GanttStart)-IF(GanttPeriod&gt;=90,MOD(MONTH(GanttStart)-1,3),0),1),((COLUMN()-COLUMN(gantt_Origin))-1)*IF(GanttPeriod&gt;=90,3,1)))</f>
        <v>46347</v>
      </c>
      <c r="CV5" s="126" t="n">
        <f aca="false">IF(GanttPeriod&lt;28,GanttStart+((COLUMN()-COLUMN(gantt_Origin))-1)*GanttPeriod,EDATE(DATE(YEAR(GanttStart),MONTH(GanttStart)-IF(GanttPeriod&gt;=90,MOD(MONTH(GanttStart)-1,3),0),1),((COLUMN()-COLUMN(gantt_Origin))-1)*IF(GanttPeriod&gt;=90,3,1)))</f>
        <v>46348</v>
      </c>
      <c r="CW5" s="126" t="n">
        <f aca="false">IF(GanttPeriod&lt;28,GanttStart+((COLUMN()-COLUMN(gantt_Origin))-1)*GanttPeriod,EDATE(DATE(YEAR(GanttStart),MONTH(GanttStart)-IF(GanttPeriod&gt;=90,MOD(MONTH(GanttStart)-1,3),0),1),((COLUMN()-COLUMN(gantt_Origin))-1)*IF(GanttPeriod&gt;=90,3,1)))</f>
        <v>46349</v>
      </c>
      <c r="CX5" s="126" t="n">
        <f aca="false">IF(GanttPeriod&lt;28,GanttStart+((COLUMN()-COLUMN(gantt_Origin))-1)*GanttPeriod,EDATE(DATE(YEAR(GanttStart),MONTH(GanttStart)-IF(GanttPeriod&gt;=90,MOD(MONTH(GanttStart)-1,3),0),1),((COLUMN()-COLUMN(gantt_Origin))-1)*IF(GanttPeriod&gt;=90,3,1)))</f>
        <v>46350</v>
      </c>
      <c r="CY5" s="126" t="n">
        <f aca="false">IF(GanttPeriod&lt;28,GanttStart+((COLUMN()-COLUMN(gantt_Origin))-1)*GanttPeriod,EDATE(DATE(YEAR(GanttStart),MONTH(GanttStart)-IF(GanttPeriod&gt;=90,MOD(MONTH(GanttStart)-1,3),0),1),((COLUMN()-COLUMN(gantt_Origin))-1)*IF(GanttPeriod&gt;=90,3,1)))</f>
        <v>46351</v>
      </c>
      <c r="CZ5" s="126" t="n">
        <f aca="false">IF(GanttPeriod&lt;28,GanttStart+((COLUMN()-COLUMN(gantt_Origin))-1)*GanttPeriod,EDATE(DATE(YEAR(GanttStart),MONTH(GanttStart)-IF(GanttPeriod&gt;=90,MOD(MONTH(GanttStart)-1,3),0),1),((COLUMN()-COLUMN(gantt_Origin))-1)*IF(GanttPeriod&gt;=90,3,1)))</f>
        <v>46352</v>
      </c>
      <c r="DA5" s="126" t="n">
        <f aca="false">IF(GanttPeriod&lt;28,GanttStart+((COLUMN()-COLUMN(gantt_Origin))-1)*GanttPeriod,EDATE(DATE(YEAR(GanttStart),MONTH(GanttStart)-IF(GanttPeriod&gt;=90,MOD(MONTH(GanttStart)-1,3),0),1),((COLUMN()-COLUMN(gantt_Origin))-1)*IF(GanttPeriod&gt;=90,3,1)))</f>
        <v>46353</v>
      </c>
      <c r="DB5" s="126" t="n">
        <f aca="false">IF(GanttPeriod&lt;28,GanttStart+((COLUMN()-COLUMN(gantt_Origin))-1)*GanttPeriod,EDATE(DATE(YEAR(GanttStart),MONTH(GanttStart)-IF(GanttPeriod&gt;=90,MOD(MONTH(GanttStart)-1,3),0),1),((COLUMN()-COLUMN(gantt_Origin))-1)*IF(GanttPeriod&gt;=90,3,1)))</f>
        <v>46354</v>
      </c>
      <c r="DC5" s="126" t="n">
        <f aca="false">IF(GanttPeriod&lt;28,GanttStart+((COLUMN()-COLUMN(gantt_Origin))-1)*GanttPeriod,EDATE(DATE(YEAR(GanttStart),MONTH(GanttStart)-IF(GanttPeriod&gt;=90,MOD(MONTH(GanttStart)-1,3),0),1),((COLUMN()-COLUMN(gantt_Origin))-1)*IF(GanttPeriod&gt;=90,3,1)))</f>
        <v>46355</v>
      </c>
      <c r="DD5" s="126" t="n">
        <f aca="false">IF(GanttPeriod&lt;28,GanttStart+((COLUMN()-COLUMN(gantt_Origin))-1)*GanttPeriod,EDATE(DATE(YEAR(GanttStart),MONTH(GanttStart)-IF(GanttPeriod&gt;=90,MOD(MONTH(GanttStart)-1,3),0),1),((COLUMN()-COLUMN(gantt_Origin))-1)*IF(GanttPeriod&gt;=90,3,1)))</f>
        <v>46356</v>
      </c>
      <c r="DE5" s="126" t="n">
        <f aca="false">IF(GanttPeriod&lt;28,GanttStart+((COLUMN()-COLUMN(gantt_Origin))-1)*GanttPeriod,EDATE(DATE(YEAR(GanttStart),MONTH(GanttStart)-IF(GanttPeriod&gt;=90,MOD(MONTH(GanttStart)-1,3),0),1),((COLUMN()-COLUMN(gantt_Origin))-1)*IF(GanttPeriod&gt;=90,3,1)))</f>
        <v>46357</v>
      </c>
      <c r="DF5" s="126" t="n">
        <f aca="false">IF(GanttPeriod&lt;28,GanttStart+((COLUMN()-COLUMN(gantt_Origin))-1)*GanttPeriod,EDATE(DATE(YEAR(GanttStart),MONTH(GanttStart)-IF(GanttPeriod&gt;=90,MOD(MONTH(GanttStart)-1,3),0),1),((COLUMN()-COLUMN(gantt_Origin))-1)*IF(GanttPeriod&gt;=90,3,1)))</f>
        <v>46358</v>
      </c>
      <c r="DG5" s="126" t="n">
        <f aca="false">IF(GanttPeriod&lt;28,GanttStart+((COLUMN()-COLUMN(gantt_Origin))-1)*GanttPeriod,EDATE(DATE(YEAR(GanttStart),MONTH(GanttStart)-IF(GanttPeriod&gt;=90,MOD(MONTH(GanttStart)-1,3),0),1),((COLUMN()-COLUMN(gantt_Origin))-1)*IF(GanttPeriod&gt;=90,3,1)))</f>
        <v>46359</v>
      </c>
      <c r="DH5" s="126" t="n">
        <f aca="false">IF(GanttPeriod&lt;28,GanttStart+((COLUMN()-COLUMN(gantt_Origin))-1)*GanttPeriod,EDATE(DATE(YEAR(GanttStart),MONTH(GanttStart)-IF(GanttPeriod&gt;=90,MOD(MONTH(GanttStart)-1,3),0),1),((COLUMN()-COLUMN(gantt_Origin))-1)*IF(GanttPeriod&gt;=90,3,1)))</f>
        <v>46360</v>
      </c>
      <c r="DI5" s="126" t="n">
        <f aca="false">IF(GanttPeriod&lt;28,GanttStart+((COLUMN()-COLUMN(gantt_Origin))-1)*GanttPeriod,EDATE(DATE(YEAR(GanttStart),MONTH(GanttStart)-IF(GanttPeriod&gt;=90,MOD(MONTH(GanttStart)-1,3),0),1),((COLUMN()-COLUMN(gantt_Origin))-1)*IF(GanttPeriod&gt;=90,3,1)))</f>
        <v>46361</v>
      </c>
      <c r="DJ5" s="126" t="n">
        <f aca="false">IF(GanttPeriod&lt;28,GanttStart+((COLUMN()-COLUMN(gantt_Origin))-1)*GanttPeriod,EDATE(DATE(YEAR(GanttStart),MONTH(GanttStart)-IF(GanttPeriod&gt;=90,MOD(MONTH(GanttStart)-1,3),0),1),((COLUMN()-COLUMN(gantt_Origin))-1)*IF(GanttPeriod&gt;=90,3,1)))</f>
        <v>46362</v>
      </c>
      <c r="DK5" s="126" t="n">
        <f aca="false">IF(GanttPeriod&lt;28,GanttStart+((COLUMN()-COLUMN(gantt_Origin))-1)*GanttPeriod,EDATE(DATE(YEAR(GanttStart),MONTH(GanttStart)-IF(GanttPeriod&gt;=90,MOD(MONTH(GanttStart)-1,3),0),1),((COLUMN()-COLUMN(gantt_Origin))-1)*IF(GanttPeriod&gt;=90,3,1)))</f>
        <v>46363</v>
      </c>
      <c r="DL5" s="126" t="n">
        <f aca="false">IF(GanttPeriod&lt;28,GanttStart+((COLUMN()-COLUMN(gantt_Origin))-1)*GanttPeriod,EDATE(DATE(YEAR(GanttStart),MONTH(GanttStart)-IF(GanttPeriod&gt;=90,MOD(MONTH(GanttStart)-1,3),0),1),((COLUMN()-COLUMN(gantt_Origin))-1)*IF(GanttPeriod&gt;=90,3,1)))</f>
        <v>46364</v>
      </c>
      <c r="DM5" s="126" t="n">
        <f aca="false">IF(GanttPeriod&lt;28,GanttStart+((COLUMN()-COLUMN(gantt_Origin))-1)*GanttPeriod,EDATE(DATE(YEAR(GanttStart),MONTH(GanttStart)-IF(GanttPeriod&gt;=90,MOD(MONTH(GanttStart)-1,3),0),1),((COLUMN()-COLUMN(gantt_Origin))-1)*IF(GanttPeriod&gt;=90,3,1)))</f>
        <v>46365</v>
      </c>
      <c r="DN5" s="126" t="n">
        <f aca="false">IF(GanttPeriod&lt;28,GanttStart+((COLUMN()-COLUMN(gantt_Origin))-1)*GanttPeriod,EDATE(DATE(YEAR(GanttStart),MONTH(GanttStart)-IF(GanttPeriod&gt;=90,MOD(MONTH(GanttStart)-1,3),0),1),((COLUMN()-COLUMN(gantt_Origin))-1)*IF(GanttPeriod&gt;=90,3,1)))</f>
        <v>46366</v>
      </c>
      <c r="DO5" s="126" t="n">
        <f aca="false">IF(GanttPeriod&lt;28,GanttStart+((COLUMN()-COLUMN(gantt_Origin))-1)*GanttPeriod,EDATE(DATE(YEAR(GanttStart),MONTH(GanttStart)-IF(GanttPeriod&gt;=90,MOD(MONTH(GanttStart)-1,3),0),1),((COLUMN()-COLUMN(gantt_Origin))-1)*IF(GanttPeriod&gt;=90,3,1)))</f>
        <v>46367</v>
      </c>
      <c r="DP5" s="126" t="n">
        <f aca="false">IF(GanttPeriod&lt;28,GanttStart+((COLUMN()-COLUMN(gantt_Origin))-1)*GanttPeriod,EDATE(DATE(YEAR(GanttStart),MONTH(GanttStart)-IF(GanttPeriod&gt;=90,MOD(MONTH(GanttStart)-1,3),0),1),((COLUMN()-COLUMN(gantt_Origin))-1)*IF(GanttPeriod&gt;=90,3,1)))</f>
        <v>46368</v>
      </c>
      <c r="DQ5" s="126" t="n">
        <f aca="false">IF(GanttPeriod&lt;28,GanttStart+((COLUMN()-COLUMN(gantt_Origin))-1)*GanttPeriod,EDATE(DATE(YEAR(GanttStart),MONTH(GanttStart)-IF(GanttPeriod&gt;=90,MOD(MONTH(GanttStart)-1,3),0),1),((COLUMN()-COLUMN(gantt_Origin))-1)*IF(GanttPeriod&gt;=90,3,1)))</f>
        <v>46369</v>
      </c>
      <c r="DR5" s="126" t="n">
        <f aca="false">IF(GanttPeriod&lt;28,GanttStart+((COLUMN()-COLUMN(gantt_Origin))-1)*GanttPeriod,EDATE(DATE(YEAR(GanttStart),MONTH(GanttStart)-IF(GanttPeriod&gt;=90,MOD(MONTH(GanttStart)-1,3),0),1),((COLUMN()-COLUMN(gantt_Origin))-1)*IF(GanttPeriod&gt;=90,3,1)))</f>
        <v>46370</v>
      </c>
      <c r="DS5" s="126" t="n">
        <f aca="false">IF(GanttPeriod&lt;28,GanttStart+((COLUMN()-COLUMN(gantt_Origin))-1)*GanttPeriod,EDATE(DATE(YEAR(GanttStart),MONTH(GanttStart)-IF(GanttPeriod&gt;=90,MOD(MONTH(GanttStart)-1,3),0),1),((COLUMN()-COLUMN(gantt_Origin))-1)*IF(GanttPeriod&gt;=90,3,1)))</f>
        <v>46371</v>
      </c>
      <c r="DT5" s="126" t="n">
        <f aca="false">IF(GanttPeriod&lt;28,GanttStart+((COLUMN()-COLUMN(gantt_Origin))-1)*GanttPeriod,EDATE(DATE(YEAR(GanttStart),MONTH(GanttStart)-IF(GanttPeriod&gt;=90,MOD(MONTH(GanttStart)-1,3),0),1),((COLUMN()-COLUMN(gantt_Origin))-1)*IF(GanttPeriod&gt;=90,3,1)))</f>
        <v>46372</v>
      </c>
      <c r="DU5" s="126" t="n">
        <f aca="false">IF(GanttPeriod&lt;28,GanttStart+((COLUMN()-COLUMN(gantt_Origin))-1)*GanttPeriod,EDATE(DATE(YEAR(GanttStart),MONTH(GanttStart)-IF(GanttPeriod&gt;=90,MOD(MONTH(GanttStart)-1,3),0),1),((COLUMN()-COLUMN(gantt_Origin))-1)*IF(GanttPeriod&gt;=90,3,1)))</f>
        <v>46373</v>
      </c>
      <c r="DV5" s="126" t="n">
        <f aca="false">IF(GanttPeriod&lt;28,GanttStart+((COLUMN()-COLUMN(gantt_Origin))-1)*GanttPeriod,EDATE(DATE(YEAR(GanttStart),MONTH(GanttStart)-IF(GanttPeriod&gt;=90,MOD(MONTH(GanttStart)-1,3),0),1),((COLUMN()-COLUMN(gantt_Origin))-1)*IF(GanttPeriod&gt;=90,3,1)))</f>
        <v>46374</v>
      </c>
      <c r="DW5" s="126" t="n">
        <f aca="false">IF(GanttPeriod&lt;28,GanttStart+((COLUMN()-COLUMN(gantt_Origin))-1)*GanttPeriod,EDATE(DATE(YEAR(GanttStart),MONTH(GanttStart)-IF(GanttPeriod&gt;=90,MOD(MONTH(GanttStart)-1,3),0),1),((COLUMN()-COLUMN(gantt_Origin))-1)*IF(GanttPeriod&gt;=90,3,1)))</f>
        <v>46375</v>
      </c>
      <c r="DX5" s="126" t="n">
        <f aca="false">IF(GanttPeriod&lt;28,GanttStart+((COLUMN()-COLUMN(gantt_Origin))-1)*GanttPeriod,EDATE(DATE(YEAR(GanttStart),MONTH(GanttStart)-IF(GanttPeriod&gt;=90,MOD(MONTH(GanttStart)-1,3),0),1),((COLUMN()-COLUMN(gantt_Origin))-1)*IF(GanttPeriod&gt;=90,3,1)))</f>
        <v>46376</v>
      </c>
      <c r="DY5" s="126" t="n">
        <f aca="false">IF(GanttPeriod&lt;28,GanttStart+((COLUMN()-COLUMN(gantt_Origin))-1)*GanttPeriod,EDATE(DATE(YEAR(GanttStart),MONTH(GanttStart)-IF(GanttPeriod&gt;=90,MOD(MONTH(GanttStart)-1,3),0),1),((COLUMN()-COLUMN(gantt_Origin))-1)*IF(GanttPeriod&gt;=90,3,1)))</f>
        <v>46377</v>
      </c>
      <c r="DZ5" s="126" t="n">
        <f aca="false">IF(GanttPeriod&lt;28,GanttStart+((COLUMN()-COLUMN(gantt_Origin))-1)*GanttPeriod,EDATE(DATE(YEAR(GanttStart),MONTH(GanttStart)-IF(GanttPeriod&gt;=90,MOD(MONTH(GanttStart)-1,3),0),1),((COLUMN()-COLUMN(gantt_Origin))-1)*IF(GanttPeriod&gt;=90,3,1)))</f>
        <v>46378</v>
      </c>
      <c r="EA5" s="126" t="n">
        <f aca="false">IF(GanttPeriod&lt;28,GanttStart+((COLUMN()-COLUMN(gantt_Origin))-1)*GanttPeriod,EDATE(DATE(YEAR(GanttStart),MONTH(GanttStart)-IF(GanttPeriod&gt;=90,MOD(MONTH(GanttStart)-1,3),0),1),((COLUMN()-COLUMN(gantt_Origin))-1)*IF(GanttPeriod&gt;=90,3,1)))</f>
        <v>46379</v>
      </c>
      <c r="EB5" s="126" t="n">
        <f aca="false">IF(GanttPeriod&lt;28,GanttStart+((COLUMN()-COLUMN(gantt_Origin))-1)*GanttPeriod,EDATE(DATE(YEAR(GanttStart),MONTH(GanttStart)-IF(GanttPeriod&gt;=90,MOD(MONTH(GanttStart)-1,3),0),1),((COLUMN()-COLUMN(gantt_Origin))-1)*IF(GanttPeriod&gt;=90,3,1)))</f>
        <v>46380</v>
      </c>
      <c r="EC5" s="126" t="n">
        <f aca="false">IF(GanttPeriod&lt;28,GanttStart+((COLUMN()-COLUMN(gantt_Origin))-1)*GanttPeriod,EDATE(DATE(YEAR(GanttStart),MONTH(GanttStart)-IF(GanttPeriod&gt;=90,MOD(MONTH(GanttStart)-1,3),0),1),((COLUMN()-COLUMN(gantt_Origin))-1)*IF(GanttPeriod&gt;=90,3,1)))</f>
        <v>46381</v>
      </c>
      <c r="ED5" s="126" t="n">
        <f aca="false">IF(GanttPeriod&lt;28,GanttStart+((COLUMN()-COLUMN(gantt_Origin))-1)*GanttPeriod,EDATE(DATE(YEAR(GanttStart),MONTH(GanttStart)-IF(GanttPeriod&gt;=90,MOD(MONTH(GanttStart)-1,3),0),1),((COLUMN()-COLUMN(gantt_Origin))-1)*IF(GanttPeriod&gt;=90,3,1)))</f>
        <v>46382</v>
      </c>
      <c r="EE5" s="126" t="n">
        <f aca="false">IF(GanttPeriod&lt;28,GanttStart+((COLUMN()-COLUMN(gantt_Origin))-1)*GanttPeriod,EDATE(DATE(YEAR(GanttStart),MONTH(GanttStart)-IF(GanttPeriod&gt;=90,MOD(MONTH(GanttStart)-1,3),0),1),((COLUMN()-COLUMN(gantt_Origin))-1)*IF(GanttPeriod&gt;=90,3,1)))</f>
        <v>46383</v>
      </c>
      <c r="EF5" s="126" t="n">
        <f aca="false">IF(GanttPeriod&lt;28,GanttStart+((COLUMN()-COLUMN(gantt_Origin))-1)*GanttPeriod,EDATE(DATE(YEAR(GanttStart),MONTH(GanttStart)-IF(GanttPeriod&gt;=90,MOD(MONTH(GanttStart)-1,3),0),1),((COLUMN()-COLUMN(gantt_Origin))-1)*IF(GanttPeriod&gt;=90,3,1)))</f>
        <v>46384</v>
      </c>
      <c r="EG5" s="126" t="n">
        <f aca="false">IF(GanttPeriod&lt;28,GanttStart+((COLUMN()-COLUMN(gantt_Origin))-1)*GanttPeriod,EDATE(DATE(YEAR(GanttStart),MONTH(GanttStart)-IF(GanttPeriod&gt;=90,MOD(MONTH(GanttStart)-1,3),0),1),((COLUMN()-COLUMN(gantt_Origin))-1)*IF(GanttPeriod&gt;=90,3,1)))</f>
        <v>46385</v>
      </c>
      <c r="EH5" s="126" t="n">
        <f aca="false">IF(GanttPeriod&lt;28,GanttStart+((COLUMN()-COLUMN(gantt_Origin))-1)*GanttPeriod,EDATE(DATE(YEAR(GanttStart),MONTH(GanttStart)-IF(GanttPeriod&gt;=90,MOD(MONTH(GanttStart)-1,3),0),1),((COLUMN()-COLUMN(gantt_Origin))-1)*IF(GanttPeriod&gt;=90,3,1)))</f>
        <v>46386</v>
      </c>
      <c r="EI5" s="126" t="n">
        <f aca="false">IF(GanttPeriod&lt;28,GanttStart+((COLUMN()-COLUMN(gantt_Origin))-1)*GanttPeriod,EDATE(DATE(YEAR(GanttStart),MONTH(GanttStart)-IF(GanttPeriod&gt;=90,MOD(MONTH(GanttStart)-1,3),0),1),((COLUMN()-COLUMN(gantt_Origin))-1)*IF(GanttPeriod&gt;=90,3,1)))</f>
        <v>46387</v>
      </c>
      <c r="EJ5" s="126" t="n">
        <f aca="false">IF(GanttPeriod&lt;28,GanttStart+((COLUMN()-COLUMN(gantt_Origin))-1)*GanttPeriod,EDATE(DATE(YEAR(GanttStart),MONTH(GanttStart)-IF(GanttPeriod&gt;=90,MOD(MONTH(GanttStart)-1,3),0),1),((COLUMN()-COLUMN(gantt_Origin))-1)*IF(GanttPeriod&gt;=90,3,1)))</f>
        <v>46388</v>
      </c>
      <c r="EK5" s="126" t="n">
        <f aca="false">IF(GanttPeriod&lt;28,GanttStart+((COLUMN()-COLUMN(gantt_Origin))-1)*GanttPeriod,EDATE(DATE(YEAR(GanttStart),MONTH(GanttStart)-IF(GanttPeriod&gt;=90,MOD(MONTH(GanttStart)-1,3),0),1),((COLUMN()-COLUMN(gantt_Origin))-1)*IF(GanttPeriod&gt;=90,3,1)))</f>
        <v>46389</v>
      </c>
      <c r="EL5" s="126" t="n">
        <f aca="false">IF(GanttPeriod&lt;28,GanttStart+((COLUMN()-COLUMN(gantt_Origin))-1)*GanttPeriod,EDATE(DATE(YEAR(GanttStart),MONTH(GanttStart)-IF(GanttPeriod&gt;=90,MOD(MONTH(GanttStart)-1,3),0),1),((COLUMN()-COLUMN(gantt_Origin))-1)*IF(GanttPeriod&gt;=90,3,1)))</f>
        <v>46390</v>
      </c>
      <c r="EM5" s="126" t="n">
        <f aca="false">IF(GanttPeriod&lt;28,GanttStart+((COLUMN()-COLUMN(gantt_Origin))-1)*GanttPeriod,EDATE(DATE(YEAR(GanttStart),MONTH(GanttStart)-IF(GanttPeriod&gt;=90,MOD(MONTH(GanttStart)-1,3),0),1),((COLUMN()-COLUMN(gantt_Origin))-1)*IF(GanttPeriod&gt;=90,3,1)))</f>
        <v>46391</v>
      </c>
      <c r="EN5" s="126" t="n">
        <f aca="false">IF(GanttPeriod&lt;28,GanttStart+((COLUMN()-COLUMN(gantt_Origin))-1)*GanttPeriod,EDATE(DATE(YEAR(GanttStart),MONTH(GanttStart)-IF(GanttPeriod&gt;=90,MOD(MONTH(GanttStart)-1,3),0),1),((COLUMN()-COLUMN(gantt_Origin))-1)*IF(GanttPeriod&gt;=90,3,1)))</f>
        <v>46392</v>
      </c>
      <c r="EO5" s="126" t="n">
        <f aca="false">IF(GanttPeriod&lt;28,GanttStart+((COLUMN()-COLUMN(gantt_Origin))-1)*GanttPeriod,EDATE(DATE(YEAR(GanttStart),MONTH(GanttStart)-IF(GanttPeriod&gt;=90,MOD(MONTH(GanttStart)-1,3),0),1),((COLUMN()-COLUMN(gantt_Origin))-1)*IF(GanttPeriod&gt;=90,3,1)))</f>
        <v>46393</v>
      </c>
      <c r="EP5" s="126" t="n">
        <f aca="false">IF(GanttPeriod&lt;28,GanttStart+((COLUMN()-COLUMN(gantt_Origin))-1)*GanttPeriod,EDATE(DATE(YEAR(GanttStart),MONTH(GanttStart)-IF(GanttPeriod&gt;=90,MOD(MONTH(GanttStart)-1,3),0),1),((COLUMN()-COLUMN(gantt_Origin))-1)*IF(GanttPeriod&gt;=90,3,1)))</f>
        <v>46394</v>
      </c>
      <c r="EQ5" s="126" t="n">
        <f aca="false">IF(GanttPeriod&lt;28,GanttStart+((COLUMN()-COLUMN(gantt_Origin))-1)*GanttPeriod,EDATE(DATE(YEAR(GanttStart),MONTH(GanttStart)-IF(GanttPeriod&gt;=90,MOD(MONTH(GanttStart)-1,3),0),1),((COLUMN()-COLUMN(gantt_Origin))-1)*IF(GanttPeriod&gt;=90,3,1)))</f>
        <v>46395</v>
      </c>
      <c r="ER5" s="126" t="n">
        <f aca="false">IF(GanttPeriod&lt;28,GanttStart+((COLUMN()-COLUMN(gantt_Origin))-1)*GanttPeriod,EDATE(DATE(YEAR(GanttStart),MONTH(GanttStart)-IF(GanttPeriod&gt;=90,MOD(MONTH(GanttStart)-1,3),0),1),((COLUMN()-COLUMN(gantt_Origin))-1)*IF(GanttPeriod&gt;=90,3,1)))</f>
        <v>46396</v>
      </c>
      <c r="ES5" s="126" t="n">
        <f aca="false">IF(GanttPeriod&lt;28,GanttStart+((COLUMN()-COLUMN(gantt_Origin))-1)*GanttPeriod,EDATE(DATE(YEAR(GanttStart),MONTH(GanttStart)-IF(GanttPeriod&gt;=90,MOD(MONTH(GanttStart)-1,3),0),1),((COLUMN()-COLUMN(gantt_Origin))-1)*IF(GanttPeriod&gt;=90,3,1)))</f>
        <v>46397</v>
      </c>
      <c r="ET5" s="126" t="n">
        <f aca="false">IF(GanttPeriod&lt;28,GanttStart+((COLUMN()-COLUMN(gantt_Origin))-1)*GanttPeriod,EDATE(DATE(YEAR(GanttStart),MONTH(GanttStart)-IF(GanttPeriod&gt;=90,MOD(MONTH(GanttStart)-1,3),0),1),((COLUMN()-COLUMN(gantt_Origin))-1)*IF(GanttPeriod&gt;=90,3,1)))</f>
        <v>46398</v>
      </c>
      <c r="EU5" s="126" t="n">
        <f aca="false">IF(GanttPeriod&lt;28,GanttStart+((COLUMN()-COLUMN(gantt_Origin))-1)*GanttPeriod,EDATE(DATE(YEAR(GanttStart),MONTH(GanttStart)-IF(GanttPeriod&gt;=90,MOD(MONTH(GanttStart)-1,3),0),1),((COLUMN()-COLUMN(gantt_Origin))-1)*IF(GanttPeriod&gt;=90,3,1)))</f>
        <v>46399</v>
      </c>
      <c r="EV5" s="126" t="n">
        <f aca="false">IF(GanttPeriod&lt;28,GanttStart+((COLUMN()-COLUMN(gantt_Origin))-1)*GanttPeriod,EDATE(DATE(YEAR(GanttStart),MONTH(GanttStart)-IF(GanttPeriod&gt;=90,MOD(MONTH(GanttStart)-1,3),0),1),((COLUMN()-COLUMN(gantt_Origin))-1)*IF(GanttPeriod&gt;=90,3,1)))</f>
        <v>46400</v>
      </c>
      <c r="EW5" s="126" t="n">
        <f aca="false">IF(GanttPeriod&lt;28,GanttStart+((COLUMN()-COLUMN(gantt_Origin))-1)*GanttPeriod,EDATE(DATE(YEAR(GanttStart),MONTH(GanttStart)-IF(GanttPeriod&gt;=90,MOD(MONTH(GanttStart)-1,3),0),1),((COLUMN()-COLUMN(gantt_Origin))-1)*IF(GanttPeriod&gt;=90,3,1)))</f>
        <v>46401</v>
      </c>
      <c r="EX5" s="126" t="n">
        <f aca="false">IF(GanttPeriod&lt;28,GanttStart+((COLUMN()-COLUMN(gantt_Origin))-1)*GanttPeriod,EDATE(DATE(YEAR(GanttStart),MONTH(GanttStart)-IF(GanttPeriod&gt;=90,MOD(MONTH(GanttStart)-1,3),0),1),((COLUMN()-COLUMN(gantt_Origin))-1)*IF(GanttPeriod&gt;=90,3,1)))</f>
        <v>46402</v>
      </c>
      <c r="EY5" s="126" t="n">
        <f aca="false">IF(GanttPeriod&lt;28,GanttStart+((COLUMN()-COLUMN(gantt_Origin))-1)*GanttPeriod,EDATE(DATE(YEAR(GanttStart),MONTH(GanttStart)-IF(GanttPeriod&gt;=90,MOD(MONTH(GanttStart)-1,3),0),1),((COLUMN()-COLUMN(gantt_Origin))-1)*IF(GanttPeriod&gt;=90,3,1)))</f>
        <v>46403</v>
      </c>
      <c r="EZ5" s="126" t="n">
        <f aca="false">IF(GanttPeriod&lt;28,GanttStart+((COLUMN()-COLUMN(gantt_Origin))-1)*GanttPeriod,EDATE(DATE(YEAR(GanttStart),MONTH(GanttStart)-IF(GanttPeriod&gt;=90,MOD(MONTH(GanttStart)-1,3),0),1),((COLUMN()-COLUMN(gantt_Origin))-1)*IF(GanttPeriod&gt;=90,3,1)))</f>
        <v>46404</v>
      </c>
      <c r="FA5" s="126" t="n">
        <f aca="false">IF(GanttPeriod&lt;28,GanttStart+((COLUMN()-COLUMN(gantt_Origin))-1)*GanttPeriod,EDATE(DATE(YEAR(GanttStart),MONTH(GanttStart)-IF(GanttPeriod&gt;=90,MOD(MONTH(GanttStart)-1,3),0),1),((COLUMN()-COLUMN(gantt_Origin))-1)*IF(GanttPeriod&gt;=90,3,1)))</f>
        <v>46405</v>
      </c>
      <c r="FB5" s="126" t="n">
        <f aca="false">IF(GanttPeriod&lt;28,GanttStart+((COLUMN()-COLUMN(gantt_Origin))-1)*GanttPeriod,EDATE(DATE(YEAR(GanttStart),MONTH(GanttStart)-IF(GanttPeriod&gt;=90,MOD(MONTH(GanttStart)-1,3),0),1),((COLUMN()-COLUMN(gantt_Origin))-1)*IF(GanttPeriod&gt;=90,3,1)))</f>
        <v>46406</v>
      </c>
      <c r="FC5" s="126" t="n">
        <f aca="false">IF(GanttPeriod&lt;28,GanttStart+((COLUMN()-COLUMN(gantt_Origin))-1)*GanttPeriod,EDATE(DATE(YEAR(GanttStart),MONTH(GanttStart)-IF(GanttPeriod&gt;=90,MOD(MONTH(GanttStart)-1,3),0),1),((COLUMN()-COLUMN(gantt_Origin))-1)*IF(GanttPeriod&gt;=90,3,1)))</f>
        <v>46407</v>
      </c>
      <c r="FD5" s="126" t="n">
        <f aca="false">IF(GanttPeriod&lt;28,GanttStart+((COLUMN()-COLUMN(gantt_Origin))-1)*GanttPeriod,EDATE(DATE(YEAR(GanttStart),MONTH(GanttStart)-IF(GanttPeriod&gt;=90,MOD(MONTH(GanttStart)-1,3),0),1),((COLUMN()-COLUMN(gantt_Origin))-1)*IF(GanttPeriod&gt;=90,3,1)))</f>
        <v>46408</v>
      </c>
      <c r="FE5" s="126" t="n">
        <f aca="false">IF(GanttPeriod&lt;28,GanttStart+((COLUMN()-COLUMN(gantt_Origin))-1)*GanttPeriod,EDATE(DATE(YEAR(GanttStart),MONTH(GanttStart)-IF(GanttPeriod&gt;=90,MOD(MONTH(GanttStart)-1,3),0),1),((COLUMN()-COLUMN(gantt_Origin))-1)*IF(GanttPeriod&gt;=90,3,1)))</f>
        <v>46409</v>
      </c>
      <c r="FF5" s="126" t="n">
        <f aca="false">IF(GanttPeriod&lt;28,GanttStart+((COLUMN()-COLUMN(gantt_Origin))-1)*GanttPeriod,EDATE(DATE(YEAR(GanttStart),MONTH(GanttStart)-IF(GanttPeriod&gt;=90,MOD(MONTH(GanttStart)-1,3),0),1),((COLUMN()-COLUMN(gantt_Origin))-1)*IF(GanttPeriod&gt;=90,3,1)))</f>
        <v>46410</v>
      </c>
      <c r="FG5" s="126" t="n">
        <f aca="false">IF(GanttPeriod&lt;28,GanttStart+((COLUMN()-COLUMN(gantt_Origin))-1)*GanttPeriod,EDATE(DATE(YEAR(GanttStart),MONTH(GanttStart)-IF(GanttPeriod&gt;=90,MOD(MONTH(GanttStart)-1,3),0),1),((COLUMN()-COLUMN(gantt_Origin))-1)*IF(GanttPeriod&gt;=90,3,1)))</f>
        <v>46411</v>
      </c>
      <c r="FH5" s="126" t="n">
        <f aca="false">IF(GanttPeriod&lt;28,GanttStart+((COLUMN()-COLUMN(gantt_Origin))-1)*GanttPeriod,EDATE(DATE(YEAR(GanttStart),MONTH(GanttStart)-IF(GanttPeriod&gt;=90,MOD(MONTH(GanttStart)-1,3),0),1),((COLUMN()-COLUMN(gantt_Origin))-1)*IF(GanttPeriod&gt;=90,3,1)))</f>
        <v>46412</v>
      </c>
      <c r="FI5" s="126" t="n">
        <f aca="false">IF(GanttPeriod&lt;28,GanttStart+((COLUMN()-COLUMN(gantt_Origin))-1)*GanttPeriod,EDATE(DATE(YEAR(GanttStart),MONTH(GanttStart)-IF(GanttPeriod&gt;=90,MOD(MONTH(GanttStart)-1,3),0),1),((COLUMN()-COLUMN(gantt_Origin))-1)*IF(GanttPeriod&gt;=90,3,1)))</f>
        <v>46413</v>
      </c>
      <c r="FJ5" s="126" t="n">
        <f aca="false">IF(GanttPeriod&lt;28,GanttStart+((COLUMN()-COLUMN(gantt_Origin))-1)*GanttPeriod,EDATE(DATE(YEAR(GanttStart),MONTH(GanttStart)-IF(GanttPeriod&gt;=90,MOD(MONTH(GanttStart)-1,3),0),1),((COLUMN()-COLUMN(gantt_Origin))-1)*IF(GanttPeriod&gt;=90,3,1)))</f>
        <v>46414</v>
      </c>
      <c r="FK5" s="126" t="n">
        <f aca="false">IF(GanttPeriod&lt;28,GanttStart+((COLUMN()-COLUMN(gantt_Origin))-1)*GanttPeriod,EDATE(DATE(YEAR(GanttStart),MONTH(GanttStart)-IF(GanttPeriod&gt;=90,MOD(MONTH(GanttStart)-1,3),0),1),((COLUMN()-COLUMN(gantt_Origin))-1)*IF(GanttPeriod&gt;=90,3,1)))</f>
        <v>46415</v>
      </c>
      <c r="FL5" s="126" t="n">
        <f aca="false">IF(GanttPeriod&lt;28,GanttStart+((COLUMN()-COLUMN(gantt_Origin))-1)*GanttPeriod,EDATE(DATE(YEAR(GanttStart),MONTH(GanttStart)-IF(GanttPeriod&gt;=90,MOD(MONTH(GanttStart)-1,3),0),1),((COLUMN()-COLUMN(gantt_Origin))-1)*IF(GanttPeriod&gt;=90,3,1)))</f>
        <v>46416</v>
      </c>
      <c r="FM5" s="126" t="n">
        <f aca="false">IF(GanttPeriod&lt;28,GanttStart+((COLUMN()-COLUMN(gantt_Origin))-1)*GanttPeriod,EDATE(DATE(YEAR(GanttStart),MONTH(GanttStart)-IF(GanttPeriod&gt;=90,MOD(MONTH(GanttStart)-1,3),0),1),((COLUMN()-COLUMN(gantt_Origin))-1)*IF(GanttPeriod&gt;=90,3,1)))</f>
        <v>46417</v>
      </c>
      <c r="FN5" s="126" t="n">
        <f aca="false">IF(GanttPeriod&lt;28,GanttStart+((COLUMN()-COLUMN(gantt_Origin))-1)*GanttPeriod,EDATE(DATE(YEAR(GanttStart),MONTH(GanttStart)-IF(GanttPeriod&gt;=90,MOD(MONTH(GanttStart)-1,3),0),1),((COLUMN()-COLUMN(gantt_Origin))-1)*IF(GanttPeriod&gt;=90,3,1)))</f>
        <v>46418</v>
      </c>
      <c r="FO5" s="126" t="n">
        <f aca="false">IF(GanttPeriod&lt;28,GanttStart+((COLUMN()-COLUMN(gantt_Origin))-1)*GanttPeriod,EDATE(DATE(YEAR(GanttStart),MONTH(GanttStart)-IF(GanttPeriod&gt;=90,MOD(MONTH(GanttStart)-1,3),0),1),((COLUMN()-COLUMN(gantt_Origin))-1)*IF(GanttPeriod&gt;=90,3,1)))</f>
        <v>46419</v>
      </c>
      <c r="FP5" s="126" t="n">
        <f aca="false">IF(GanttPeriod&lt;28,GanttStart+((COLUMN()-COLUMN(gantt_Origin))-1)*GanttPeriod,EDATE(DATE(YEAR(GanttStart),MONTH(GanttStart)-IF(GanttPeriod&gt;=90,MOD(MONTH(GanttStart)-1,3),0),1),((COLUMN()-COLUMN(gantt_Origin))-1)*IF(GanttPeriod&gt;=90,3,1)))</f>
        <v>46420</v>
      </c>
      <c r="FQ5" s="126" t="n">
        <f aca="false">IF(GanttPeriod&lt;28,GanttStart+((COLUMN()-COLUMN(gantt_Origin))-1)*GanttPeriod,EDATE(DATE(YEAR(GanttStart),MONTH(GanttStart)-IF(GanttPeriod&gt;=90,MOD(MONTH(GanttStart)-1,3),0),1),((COLUMN()-COLUMN(gantt_Origin))-1)*IF(GanttPeriod&gt;=90,3,1)))</f>
        <v>46421</v>
      </c>
    </row>
    <row r="6" customFormat="false" ht="15" hidden="false" customHeight="false" outlineLevel="0" collapsed="false">
      <c r="A6" s="127" t="n">
        <f aca="false">IF(IFERROR(INDEX(tsk_Name,GanttView[[#This Row],[_Row]])="",TRUE()),"",INDEX(tsk_ID,GanttView[[#This Row],[_Row]]))</f>
        <v>1</v>
      </c>
      <c r="B6" s="127" t="str">
        <f aca="false">IF(IFERROR(INDEX(tsk_Name,GanttView[[#This Row],[_Row]])="",TRUE()),"",INDEX(tsk_WBS,GanttView[[#This Row],[_Row]]))</f>
        <v>1</v>
      </c>
      <c r="C6" s="128" t="str">
        <f aca="false">IF(IFERROR(INDEX(tsk_Name,GanttView[[#This Row],[_Row]])="",TRUE()),"",REPT("    ",INDEX(tsk_Level,GanttView[[#This Row],[_Row]])-1)&amp;INDEX(tsk_Name,GanttView[[#This Row],[_Row]]))</f>
        <v>Initiation</v>
      </c>
      <c r="D6" s="127" t="n">
        <f aca="false">IF(IFERROR(INDEX(tsk_Name,GanttView[[#This Row],[_Row]])="",TRUE()),"",IF(INDEX(tsk_IsSummary,GanttView[[#This Row],[_Row]]),NETWORKDAYS.INTL(INDEX(tsk_FcStart,GanttView[[#This Row],[_Row]]),INDEX(tsk_FcFinish,GanttView[[#This Row],[_Row]]),WorkWeek,Holidays),N(INDEX(tsk_Duration,GanttView[[#This Row],[_Row]]))))</f>
        <v>6</v>
      </c>
      <c r="E6" s="129" t="n">
        <f aca="false">IF(IFERROR(INDEX(tsk_Name,GanttView[[#This Row],[_Row]])="",TRUE()),"",INDEX(tsk_PlanStart,GanttView[[#This Row],[_Row]]))</f>
        <v>46272</v>
      </c>
      <c r="F6" s="129" t="n">
        <f aca="false">IF(IFERROR(INDEX(tsk_Name,GanttView[[#This Row],[_Row]])="",TRUE()),"",INDEX(tsk_PlanFinish,GanttView[[#This Row],[_Row]]))</f>
        <v>46276</v>
      </c>
      <c r="G6" s="129" t="n">
        <f aca="false">IF(IFERROR(INDEX(tsk_Name,GanttView[[#This Row],[_Row]])="",TRUE()),"",INDEX(tsk_FcStart,GanttView[[#This Row],[_Row]]))</f>
        <v>46272</v>
      </c>
      <c r="H6" s="129" t="n">
        <f aca="false">IF(IFERROR(INDEX(tsk_Name,GanttView[[#This Row],[_Row]])="",TRUE()),"",INDEX(tsk_FcFinish,GanttView[[#This Row],[_Row]]))</f>
        <v>46279</v>
      </c>
      <c r="I6" s="130" t="n">
        <f aca="false">IF(IFERROR(INDEX(tsk_Name,GanttView[[#This Row],[_Row]])="",TRUE()),"",INDEX(tsk_Progress,GanttView[[#This Row],[_Row]]))</f>
        <v>1</v>
      </c>
      <c r="J6" s="128" t="str">
        <f aca="false">IF(IFERROR(INDEX(tsk_Name,GanttView[[#This Row],[_Row]])="",TRUE()),"",INDEX(tsk_ResourceNames,GanttView[[#This Row],[_Row]])&amp;"")</f>
        <v/>
      </c>
      <c r="K6" s="131" t="str">
        <f aca="false">IF(IFERROR(INDEX(tsk_Name,GanttView[[#This Row],[_Row]])="",TRUE()),"",INDEX(tsk_Status,GanttView[[#This Row],[_Row]]))</f>
        <v>Complete</v>
      </c>
      <c r="L6" s="131" t="str">
        <f aca="false">IF(IFERROR(INDEX(tsk_Name,GanttView[[#This Row],[_Row]])="",TRUE()),"",INDEX(tsk_Show,GanttView[[#This Row],[_Row]])&amp;"")</f>
        <v>Yes</v>
      </c>
      <c r="M6" s="132" t="n">
        <f aca="false">ROW()-ROW(GanttView[[#Headers],[ID]])</f>
        <v>1</v>
      </c>
      <c r="N6" s="133" t="b">
        <f aca="false">IF(IFERROR(INDEX(tsk_Name,GanttView[[#This Row],[_Row]])="",TRUE()),FALSE(),INDEX(tsk_IsSummary,GanttView[[#This Row],[_Row]]))</f>
        <v>1</v>
      </c>
      <c r="O6" s="133" t="b">
        <f aca="false">IF(IFERROR(INDEX(tsk_Name,GanttView[[#This Row],[_Row]])="",TRUE()),FALSE(),AND(INDEX(tsk_IsLeaf,GanttView[[#This Row],[_Row]])=1,N(INDEX(tsk_Duration,GanttView[[#This Row],[_Row]]))=0))</f>
        <v>0</v>
      </c>
      <c r="P6" s="134" t="n">
        <f aca="false">IF(IFERROR(INDEX(tsk_Name,GanttView[[#This Row],[_Row]])="",TRUE()),0,IF(AND(INDEX(tsk_IsLeaf,GanttView[[#This Row],[_Row]])=1,NOT(GanttView[[#This Row],[_IsMilestone]]),N(GanttView[[#This Row],[%]])&gt;0),GanttView[[#This Row],[Forecast Start]],0))</f>
        <v>0</v>
      </c>
      <c r="Q6" s="134" t="n">
        <f aca="false">IF(GanttView[[#This Row],[_DoneFrom]]=0,0,IF(GanttView[[#This Row],[%]]&gt;=1,GanttView[[#This Row],[Forecast Finish]],MAX(GanttView[[#This Row],[_DoneFrom]],GanttView[[#This Row],[Forecast Start]]+ROUND((GanttView[[#This Row],[Forecast Finish]]-GanttView[[#This Row],[Forecast Start]]+1)*GanttView[[#This Row],[%]],0)-1)))</f>
        <v>0</v>
      </c>
      <c r="R6" s="134" t="n">
        <f aca="false">IF(IFERROR(INDEX(tsk_Name,GanttView[[#This Row],[_Row]])="",TRUE()),0,IF(OR(INDEX(tsk_IsLeaf,GanttView[[#This Row],[_Row]])&lt;&gt;1,GanttView[[#This Row],[_IsMilestone]],N(GanttView[[#This Row],[%]])&gt;=1),0,IF(GanttView[[#This Row],[_DoneTo]]&gt;0,GanttView[[#This Row],[_DoneTo]]+1,GanttView[[#This Row],[Forecast Start]])))</f>
        <v>0</v>
      </c>
      <c r="S6" s="134" t="n">
        <f aca="false">IF(GanttView[[#This Row],[_RemFrom]]=0,0,GanttView[[#This Row],[Forecast Finish]])</f>
        <v>0</v>
      </c>
      <c r="T6" s="133" t="b">
        <f aca="false">IF(IFERROR(INDEX(tsk_Name,GanttView[[#This Row],[_Row]])="",TRUE()),FALSE(),N(INDEX(tsk_Variance,GanttView[[#This Row],[_Row]]))&gt;0)</f>
        <v>1</v>
      </c>
      <c r="U6" s="134" t="n">
        <f aca="false">IF(IFERROR(INDEX(tsk_Name,GanttView[[#This Row],[_Row]])="",TRUE()),0,N(INDEX(tsk_Deadline,GanttView[[#This Row],[_Row]])))</f>
        <v>0</v>
      </c>
      <c r="V6" s="133" t="b">
        <f aca="false">IF(IFERROR(INDEX(tsk_Name,GanttView[[#This Row],[_Row]])="",TRUE()),FALSE(),INDEX(tsk_Critical,GanttView[[#This Row],[_Row]])="Yes")</f>
        <v>0</v>
      </c>
    </row>
    <row r="7" customFormat="false" ht="15" hidden="false" customHeight="false" outlineLevel="1" collapsed="false">
      <c r="A7" s="127" t="n">
        <f aca="false">IF(IFERROR(INDEX(tsk_Name,GanttView[[#This Row],[_Row]])="",TRUE()),"",INDEX(tsk_ID,GanttView[[#This Row],[_Row]]))</f>
        <v>2</v>
      </c>
      <c r="B7" s="127" t="str">
        <f aca="false">IF(IFERROR(INDEX(tsk_Name,GanttView[[#This Row],[_Row]])="",TRUE()),"",INDEX(tsk_WBS,GanttView[[#This Row],[_Row]]))</f>
        <v>1.1</v>
      </c>
      <c r="C7" s="128" t="str">
        <f aca="false">IF(IFERROR(INDEX(tsk_Name,GanttView[[#This Row],[_Row]])="",TRUE()),"",REPT("    ",INDEX(tsk_Level,GanttView[[#This Row],[_Row]])-1)&amp;INDEX(tsk_Name,GanttView[[#This Row],[_Row]]))</f>
        <v>    Project charter &amp; scope statement</v>
      </c>
      <c r="D7" s="127" t="n">
        <f aca="false">IF(IFERROR(INDEX(tsk_Name,GanttView[[#This Row],[_Row]])="",TRUE()),"",IF(INDEX(tsk_IsSummary,GanttView[[#This Row],[_Row]]),NETWORKDAYS.INTL(INDEX(tsk_FcStart,GanttView[[#This Row],[_Row]]),INDEX(tsk_FcFinish,GanttView[[#This Row],[_Row]]),WorkWeek,Holidays),N(INDEX(tsk_Duration,GanttView[[#This Row],[_Row]]))))</f>
        <v>3</v>
      </c>
      <c r="E7" s="129" t="n">
        <f aca="false">IF(IFERROR(INDEX(tsk_Name,GanttView[[#This Row],[_Row]])="",TRUE()),"",INDEX(tsk_PlanStart,GanttView[[#This Row],[_Row]]))</f>
        <v>46272</v>
      </c>
      <c r="F7" s="129" t="n">
        <f aca="false">IF(IFERROR(INDEX(tsk_Name,GanttView[[#This Row],[_Row]])="",TRUE()),"",INDEX(tsk_PlanFinish,GanttView[[#This Row],[_Row]]))</f>
        <v>46274</v>
      </c>
      <c r="G7" s="129" t="n">
        <f aca="false">IF(IFERROR(INDEX(tsk_Name,GanttView[[#This Row],[_Row]])="",TRUE()),"",INDEX(tsk_FcStart,GanttView[[#This Row],[_Row]]))</f>
        <v>46272</v>
      </c>
      <c r="H7" s="129" t="n">
        <f aca="false">IF(IFERROR(INDEX(tsk_Name,GanttView[[#This Row],[_Row]])="",TRUE()),"",INDEX(tsk_FcFinish,GanttView[[#This Row],[_Row]]))</f>
        <v>46275</v>
      </c>
      <c r="I7" s="130" t="n">
        <f aca="false">IF(IFERROR(INDEX(tsk_Name,GanttView[[#This Row],[_Row]])="",TRUE()),"",INDEX(tsk_Progress,GanttView[[#This Row],[_Row]]))</f>
        <v>1</v>
      </c>
      <c r="J7" s="128" t="str">
        <f aca="false">IF(IFERROR(INDEX(tsk_Name,GanttView[[#This Row],[_Row]])="",TRUE()),"",INDEX(tsk_ResourceNames,GanttView[[#This Row],[_Row]])&amp;"")</f>
        <v>Priya Sharma</v>
      </c>
      <c r="K7" s="131" t="str">
        <f aca="false">IF(IFERROR(INDEX(tsk_Name,GanttView[[#This Row],[_Row]])="",TRUE()),"",INDEX(tsk_Status,GanttView[[#This Row],[_Row]]))</f>
        <v>Complete</v>
      </c>
      <c r="L7" s="131" t="str">
        <f aca="false">IF(IFERROR(INDEX(tsk_Name,GanttView[[#This Row],[_Row]])="",TRUE()),"",INDEX(tsk_Show,GanttView[[#This Row],[_Row]])&amp;"")</f>
        <v>Yes</v>
      </c>
      <c r="M7" s="132" t="n">
        <f aca="false">ROW()-ROW(GanttView[[#Headers],[ID]])</f>
        <v>2</v>
      </c>
      <c r="N7" s="133" t="b">
        <f aca="false">IF(IFERROR(INDEX(tsk_Name,GanttView[[#This Row],[_Row]])="",TRUE()),FALSE(),INDEX(tsk_IsSummary,GanttView[[#This Row],[_Row]]))</f>
        <v>0</v>
      </c>
      <c r="O7" s="133" t="b">
        <f aca="false">IF(IFERROR(INDEX(tsk_Name,GanttView[[#This Row],[_Row]])="",TRUE()),FALSE(),AND(INDEX(tsk_IsLeaf,GanttView[[#This Row],[_Row]])=1,N(INDEX(tsk_Duration,GanttView[[#This Row],[_Row]]))=0))</f>
        <v>0</v>
      </c>
      <c r="P7" s="134" t="n">
        <f aca="false">IF(IFERROR(INDEX(tsk_Name,GanttView[[#This Row],[_Row]])="",TRUE()),0,IF(AND(INDEX(tsk_IsLeaf,GanttView[[#This Row],[_Row]])=1,NOT(GanttView[[#This Row],[_IsMilestone]]),N(GanttView[[#This Row],[%]])&gt;0),GanttView[[#This Row],[Forecast Start]],0))</f>
        <v>46272</v>
      </c>
      <c r="Q7" s="134" t="n">
        <f aca="false">IF(GanttView[[#This Row],[_DoneFrom]]=0,0,IF(GanttView[[#This Row],[%]]&gt;=1,GanttView[[#This Row],[Forecast Finish]],MAX(GanttView[[#This Row],[_DoneFrom]],GanttView[[#This Row],[Forecast Start]]+ROUND((GanttView[[#This Row],[Forecast Finish]]-GanttView[[#This Row],[Forecast Start]]+1)*GanttView[[#This Row],[%]],0)-1)))</f>
        <v>46275</v>
      </c>
      <c r="R7" s="134" t="n">
        <f aca="false">IF(IFERROR(INDEX(tsk_Name,GanttView[[#This Row],[_Row]])="",TRUE()),0,IF(OR(INDEX(tsk_IsLeaf,GanttView[[#This Row],[_Row]])&lt;&gt;1,GanttView[[#This Row],[_IsMilestone]],N(GanttView[[#This Row],[%]])&gt;=1),0,IF(GanttView[[#This Row],[_DoneTo]]&gt;0,GanttView[[#This Row],[_DoneTo]]+1,GanttView[[#This Row],[Forecast Start]])))</f>
        <v>0</v>
      </c>
      <c r="S7" s="134" t="n">
        <f aca="false">IF(GanttView[[#This Row],[_RemFrom]]=0,0,GanttView[[#This Row],[Forecast Finish]])</f>
        <v>0</v>
      </c>
      <c r="T7" s="133" t="b">
        <f aca="false">IF(IFERROR(INDEX(tsk_Name,GanttView[[#This Row],[_Row]])="",TRUE()),FALSE(),N(INDEX(tsk_Variance,GanttView[[#This Row],[_Row]]))&gt;0)</f>
        <v>1</v>
      </c>
      <c r="U7" s="134" t="n">
        <f aca="false">IF(IFERROR(INDEX(tsk_Name,GanttView[[#This Row],[_Row]])="",TRUE()),0,N(INDEX(tsk_Deadline,GanttView[[#This Row],[_Row]])))</f>
        <v>0</v>
      </c>
      <c r="V7" s="133" t="b">
        <f aca="false">IF(IFERROR(INDEX(tsk_Name,GanttView[[#This Row],[_Row]])="",TRUE()),FALSE(),INDEX(tsk_Critical,GanttView[[#This Row],[_Row]])="Yes")</f>
        <v>0</v>
      </c>
    </row>
    <row r="8" customFormat="false" ht="15" hidden="false" customHeight="false" outlineLevel="1" collapsed="false">
      <c r="A8" s="127" t="n">
        <f aca="false">IF(IFERROR(INDEX(tsk_Name,GanttView[[#This Row],[_Row]])="",TRUE()),"",INDEX(tsk_ID,GanttView[[#This Row],[_Row]]))</f>
        <v>3</v>
      </c>
      <c r="B8" s="127" t="str">
        <f aca="false">IF(IFERROR(INDEX(tsk_Name,GanttView[[#This Row],[_Row]])="",TRUE()),"",INDEX(tsk_WBS,GanttView[[#This Row],[_Row]]))</f>
        <v>1.2</v>
      </c>
      <c r="C8" s="128" t="str">
        <f aca="false">IF(IFERROR(INDEX(tsk_Name,GanttView[[#This Row],[_Row]])="",TRUE()),"",REPT("    ",INDEX(tsk_Level,GanttView[[#This Row],[_Row]])-1)&amp;INDEX(tsk_Name,GanttView[[#This Row],[_Row]]))</f>
        <v>    Stakeholder kickoff workshop</v>
      </c>
      <c r="D8" s="127" t="n">
        <f aca="false">IF(IFERROR(INDEX(tsk_Name,GanttView[[#This Row],[_Row]])="",TRUE()),"",IF(INDEX(tsk_IsSummary,GanttView[[#This Row],[_Row]]),NETWORKDAYS.INTL(INDEX(tsk_FcStart,GanttView[[#This Row],[_Row]]),INDEX(tsk_FcFinish,GanttView[[#This Row],[_Row]]),WorkWeek,Holidays),N(INDEX(tsk_Duration,GanttView[[#This Row],[_Row]]))))</f>
        <v>2</v>
      </c>
      <c r="E8" s="129" t="n">
        <f aca="false">IF(IFERROR(INDEX(tsk_Name,GanttView[[#This Row],[_Row]])="",TRUE()),"",INDEX(tsk_PlanStart,GanttView[[#This Row],[_Row]]))</f>
        <v>46275</v>
      </c>
      <c r="F8" s="129" t="n">
        <f aca="false">IF(IFERROR(INDEX(tsk_Name,GanttView[[#This Row],[_Row]])="",TRUE()),"",INDEX(tsk_PlanFinish,GanttView[[#This Row],[_Row]]))</f>
        <v>46276</v>
      </c>
      <c r="G8" s="129" t="n">
        <f aca="false">IF(IFERROR(INDEX(tsk_Name,GanttView[[#This Row],[_Row]])="",TRUE()),"",INDEX(tsk_FcStart,GanttView[[#This Row],[_Row]]))</f>
        <v>46276</v>
      </c>
      <c r="H8" s="129" t="n">
        <f aca="false">IF(IFERROR(INDEX(tsk_Name,GanttView[[#This Row],[_Row]])="",TRUE()),"",INDEX(tsk_FcFinish,GanttView[[#This Row],[_Row]]))</f>
        <v>46279</v>
      </c>
      <c r="I8" s="130" t="n">
        <f aca="false">IF(IFERROR(INDEX(tsk_Name,GanttView[[#This Row],[_Row]])="",TRUE()),"",INDEX(tsk_Progress,GanttView[[#This Row],[_Row]]))</f>
        <v>1</v>
      </c>
      <c r="J8" s="128" t="str">
        <f aca="false">IF(IFERROR(INDEX(tsk_Name,GanttView[[#This Row],[_Row]])="",TRUE()),"",INDEX(tsk_ResourceNames,GanttView[[#This Row],[_Row]])&amp;"")</f>
        <v>Morgan Patel</v>
      </c>
      <c r="K8" s="131" t="str">
        <f aca="false">IF(IFERROR(INDEX(tsk_Name,GanttView[[#This Row],[_Row]])="",TRUE()),"",INDEX(tsk_Status,GanttView[[#This Row],[_Row]]))</f>
        <v>Complete</v>
      </c>
      <c r="L8" s="131" t="str">
        <f aca="false">IF(IFERROR(INDEX(tsk_Name,GanttView[[#This Row],[_Row]])="",TRUE()),"",INDEX(tsk_Show,GanttView[[#This Row],[_Row]])&amp;"")</f>
        <v>Yes</v>
      </c>
      <c r="M8" s="132" t="n">
        <f aca="false">ROW()-ROW(GanttView[[#Headers],[ID]])</f>
        <v>3</v>
      </c>
      <c r="N8" s="133" t="b">
        <f aca="false">IF(IFERROR(INDEX(tsk_Name,GanttView[[#This Row],[_Row]])="",TRUE()),FALSE(),INDEX(tsk_IsSummary,GanttView[[#This Row],[_Row]]))</f>
        <v>0</v>
      </c>
      <c r="O8" s="133" t="b">
        <f aca="false">IF(IFERROR(INDEX(tsk_Name,GanttView[[#This Row],[_Row]])="",TRUE()),FALSE(),AND(INDEX(tsk_IsLeaf,GanttView[[#This Row],[_Row]])=1,N(INDEX(tsk_Duration,GanttView[[#This Row],[_Row]]))=0))</f>
        <v>0</v>
      </c>
      <c r="P8" s="134" t="n">
        <f aca="false">IF(IFERROR(INDEX(tsk_Name,GanttView[[#This Row],[_Row]])="",TRUE()),0,IF(AND(INDEX(tsk_IsLeaf,GanttView[[#This Row],[_Row]])=1,NOT(GanttView[[#This Row],[_IsMilestone]]),N(GanttView[[#This Row],[%]])&gt;0),GanttView[[#This Row],[Forecast Start]],0))</f>
        <v>46276</v>
      </c>
      <c r="Q8" s="134" t="n">
        <f aca="false">IF(GanttView[[#This Row],[_DoneFrom]]=0,0,IF(GanttView[[#This Row],[%]]&gt;=1,GanttView[[#This Row],[Forecast Finish]],MAX(GanttView[[#This Row],[_DoneFrom]],GanttView[[#This Row],[Forecast Start]]+ROUND((GanttView[[#This Row],[Forecast Finish]]-GanttView[[#This Row],[Forecast Start]]+1)*GanttView[[#This Row],[%]],0)-1)))</f>
        <v>46279</v>
      </c>
      <c r="R8" s="134" t="n">
        <f aca="false">IF(IFERROR(INDEX(tsk_Name,GanttView[[#This Row],[_Row]])="",TRUE()),0,IF(OR(INDEX(tsk_IsLeaf,GanttView[[#This Row],[_Row]])&lt;&gt;1,GanttView[[#This Row],[_IsMilestone]],N(GanttView[[#This Row],[%]])&gt;=1),0,IF(GanttView[[#This Row],[_DoneTo]]&gt;0,GanttView[[#This Row],[_DoneTo]]+1,GanttView[[#This Row],[Forecast Start]])))</f>
        <v>0</v>
      </c>
      <c r="S8" s="134" t="n">
        <f aca="false">IF(GanttView[[#This Row],[_RemFrom]]=0,0,GanttView[[#This Row],[Forecast Finish]])</f>
        <v>0</v>
      </c>
      <c r="T8" s="133" t="b">
        <f aca="false">IF(IFERROR(INDEX(tsk_Name,GanttView[[#This Row],[_Row]])="",TRUE()),FALSE(),N(INDEX(tsk_Variance,GanttView[[#This Row],[_Row]]))&gt;0)</f>
        <v>1</v>
      </c>
      <c r="U8" s="134" t="n">
        <f aca="false">IF(IFERROR(INDEX(tsk_Name,GanttView[[#This Row],[_Row]])="",TRUE()),0,N(INDEX(tsk_Deadline,GanttView[[#This Row],[_Row]])))</f>
        <v>0</v>
      </c>
      <c r="V8" s="133" t="b">
        <f aca="false">IF(IFERROR(INDEX(tsk_Name,GanttView[[#This Row],[_Row]])="",TRUE()),FALSE(),INDEX(tsk_Critical,GanttView[[#This Row],[_Row]])="Yes")</f>
        <v>0</v>
      </c>
    </row>
    <row r="9" customFormat="false" ht="15" hidden="false" customHeight="false" outlineLevel="1" collapsed="false">
      <c r="A9" s="127" t="n">
        <f aca="false">IF(IFERROR(INDEX(tsk_Name,GanttView[[#This Row],[_Row]])="",TRUE()),"",INDEX(tsk_ID,GanttView[[#This Row],[_Row]]))</f>
        <v>4</v>
      </c>
      <c r="B9" s="127" t="str">
        <f aca="false">IF(IFERROR(INDEX(tsk_Name,GanttView[[#This Row],[_Row]])="",TRUE()),"",INDEX(tsk_WBS,GanttView[[#This Row],[_Row]]))</f>
        <v>1.3</v>
      </c>
      <c r="C9" s="128" t="str">
        <f aca="false">IF(IFERROR(INDEX(tsk_Name,GanttView[[#This Row],[_Row]])="",TRUE()),"",REPT("    ",INDEX(tsk_Level,GanttView[[#This Row],[_Row]])-1)&amp;INDEX(tsk_Name,GanttView[[#This Row],[_Row]]))</f>
        <v>    Kickoff complete</v>
      </c>
      <c r="D9" s="127" t="n">
        <f aca="false">IF(IFERROR(INDEX(tsk_Name,GanttView[[#This Row],[_Row]])="",TRUE()),"",IF(INDEX(tsk_IsSummary,GanttView[[#This Row],[_Row]]),NETWORKDAYS.INTL(INDEX(tsk_FcStart,GanttView[[#This Row],[_Row]]),INDEX(tsk_FcFinish,GanttView[[#This Row],[_Row]]),WorkWeek,Holidays),N(INDEX(tsk_Duration,GanttView[[#This Row],[_Row]]))))</f>
        <v>0</v>
      </c>
      <c r="E9" s="129" t="n">
        <f aca="false">IF(IFERROR(INDEX(tsk_Name,GanttView[[#This Row],[_Row]])="",TRUE()),"",INDEX(tsk_PlanStart,GanttView[[#This Row],[_Row]]))</f>
        <v>46276</v>
      </c>
      <c r="F9" s="129" t="n">
        <f aca="false">IF(IFERROR(INDEX(tsk_Name,GanttView[[#This Row],[_Row]])="",TRUE()),"",INDEX(tsk_PlanFinish,GanttView[[#This Row],[_Row]]))</f>
        <v>46276</v>
      </c>
      <c r="G9" s="129" t="n">
        <f aca="false">IF(IFERROR(INDEX(tsk_Name,GanttView[[#This Row],[_Row]])="",TRUE()),"",INDEX(tsk_FcStart,GanttView[[#This Row],[_Row]]))</f>
        <v>46279</v>
      </c>
      <c r="H9" s="129" t="n">
        <f aca="false">IF(IFERROR(INDEX(tsk_Name,GanttView[[#This Row],[_Row]])="",TRUE()),"",INDEX(tsk_FcFinish,GanttView[[#This Row],[_Row]]))</f>
        <v>46279</v>
      </c>
      <c r="I9" s="130" t="n">
        <f aca="false">IF(IFERROR(INDEX(tsk_Name,GanttView[[#This Row],[_Row]])="",TRUE()),"",INDEX(tsk_Progress,GanttView[[#This Row],[_Row]]))</f>
        <v>1</v>
      </c>
      <c r="J9" s="128" t="str">
        <f aca="false">IF(IFERROR(INDEX(tsk_Name,GanttView[[#This Row],[_Row]])="",TRUE()),"",INDEX(tsk_ResourceNames,GanttView[[#This Row],[_Row]])&amp;"")</f>
        <v/>
      </c>
      <c r="K9" s="131" t="str">
        <f aca="false">IF(IFERROR(INDEX(tsk_Name,GanttView[[#This Row],[_Row]])="",TRUE()),"",INDEX(tsk_Status,GanttView[[#This Row],[_Row]]))</f>
        <v>Complete</v>
      </c>
      <c r="L9" s="131" t="str">
        <f aca="false">IF(IFERROR(INDEX(tsk_Name,GanttView[[#This Row],[_Row]])="",TRUE()),"",INDEX(tsk_Show,GanttView[[#This Row],[_Row]])&amp;"")</f>
        <v>Yes</v>
      </c>
      <c r="M9" s="132" t="n">
        <f aca="false">ROW()-ROW(GanttView[[#Headers],[ID]])</f>
        <v>4</v>
      </c>
      <c r="N9" s="133" t="b">
        <f aca="false">IF(IFERROR(INDEX(tsk_Name,GanttView[[#This Row],[_Row]])="",TRUE()),FALSE(),INDEX(tsk_IsSummary,GanttView[[#This Row],[_Row]]))</f>
        <v>0</v>
      </c>
      <c r="O9" s="133" t="b">
        <f aca="false">IF(IFERROR(INDEX(tsk_Name,GanttView[[#This Row],[_Row]])="",TRUE()),FALSE(),AND(INDEX(tsk_IsLeaf,GanttView[[#This Row],[_Row]])=1,N(INDEX(tsk_Duration,GanttView[[#This Row],[_Row]]))=0))</f>
        <v>1</v>
      </c>
      <c r="P9" s="134" t="n">
        <f aca="false">IF(IFERROR(INDEX(tsk_Name,GanttView[[#This Row],[_Row]])="",TRUE()),0,IF(AND(INDEX(tsk_IsLeaf,GanttView[[#This Row],[_Row]])=1,NOT(GanttView[[#This Row],[_IsMilestone]]),N(GanttView[[#This Row],[%]])&gt;0),GanttView[[#This Row],[Forecast Start]],0))</f>
        <v>0</v>
      </c>
      <c r="Q9" s="134" t="n">
        <f aca="false">IF(GanttView[[#This Row],[_DoneFrom]]=0,0,IF(GanttView[[#This Row],[%]]&gt;=1,GanttView[[#This Row],[Forecast Finish]],MAX(GanttView[[#This Row],[_DoneFrom]],GanttView[[#This Row],[Forecast Start]]+ROUND((GanttView[[#This Row],[Forecast Finish]]-GanttView[[#This Row],[Forecast Start]]+1)*GanttView[[#This Row],[%]],0)-1)))</f>
        <v>0</v>
      </c>
      <c r="R9" s="134" t="n">
        <f aca="false">IF(IFERROR(INDEX(tsk_Name,GanttView[[#This Row],[_Row]])="",TRUE()),0,IF(OR(INDEX(tsk_IsLeaf,GanttView[[#This Row],[_Row]])&lt;&gt;1,GanttView[[#This Row],[_IsMilestone]],N(GanttView[[#This Row],[%]])&gt;=1),0,IF(GanttView[[#This Row],[_DoneTo]]&gt;0,GanttView[[#This Row],[_DoneTo]]+1,GanttView[[#This Row],[Forecast Start]])))</f>
        <v>0</v>
      </c>
      <c r="S9" s="134" t="n">
        <f aca="false">IF(GanttView[[#This Row],[_RemFrom]]=0,0,GanttView[[#This Row],[Forecast Finish]])</f>
        <v>0</v>
      </c>
      <c r="T9" s="133" t="b">
        <f aca="false">IF(IFERROR(INDEX(tsk_Name,GanttView[[#This Row],[_Row]])="",TRUE()),FALSE(),N(INDEX(tsk_Variance,GanttView[[#This Row],[_Row]]))&gt;0)</f>
        <v>1</v>
      </c>
      <c r="U9" s="134" t="n">
        <f aca="false">IF(IFERROR(INDEX(tsk_Name,GanttView[[#This Row],[_Row]])="",TRUE()),0,N(INDEX(tsk_Deadline,GanttView[[#This Row],[_Row]])))</f>
        <v>0</v>
      </c>
      <c r="V9" s="133" t="b">
        <f aca="false">IF(IFERROR(INDEX(tsk_Name,GanttView[[#This Row],[_Row]])="",TRUE()),FALSE(),INDEX(tsk_Critical,GanttView[[#This Row],[_Row]])="Yes")</f>
        <v>0</v>
      </c>
    </row>
    <row r="10" customFormat="false" ht="15" hidden="false" customHeight="false" outlineLevel="0" collapsed="false">
      <c r="A10" s="127" t="n">
        <f aca="false">IF(IFERROR(INDEX(tsk_Name,GanttView[[#This Row],[_Row]])="",TRUE()),"",INDEX(tsk_ID,GanttView[[#This Row],[_Row]]))</f>
        <v>5</v>
      </c>
      <c r="B10" s="127" t="str">
        <f aca="false">IF(IFERROR(INDEX(tsk_Name,GanttView[[#This Row],[_Row]])="",TRUE()),"",INDEX(tsk_WBS,GanttView[[#This Row],[_Row]]))</f>
        <v>2</v>
      </c>
      <c r="C10" s="128" t="str">
        <f aca="false">IF(IFERROR(INDEX(tsk_Name,GanttView[[#This Row],[_Row]])="",TRUE()),"",REPT("    ",INDEX(tsk_Level,GanttView[[#This Row],[_Row]])-1)&amp;INDEX(tsk_Name,GanttView[[#This Row],[_Row]]))</f>
        <v>Requirements &amp; Design</v>
      </c>
      <c r="D10" s="127" t="n">
        <f aca="false">IF(IFERROR(INDEX(tsk_Name,GanttView[[#This Row],[_Row]])="",TRUE()),"",IF(INDEX(tsk_IsSummary,GanttView[[#This Row],[_Row]]),NETWORKDAYS.INTL(INDEX(tsk_FcStart,GanttView[[#This Row],[_Row]]),INDEX(tsk_FcFinish,GanttView[[#This Row],[_Row]]),WorkWeek,Holidays),N(INDEX(tsk_Duration,GanttView[[#This Row],[_Row]]))))</f>
        <v>16</v>
      </c>
      <c r="E10" s="129" t="n">
        <f aca="false">IF(IFERROR(INDEX(tsk_Name,GanttView[[#This Row],[_Row]])="",TRUE()),"",INDEX(tsk_PlanStart,GanttView[[#This Row],[_Row]]))</f>
        <v>46279</v>
      </c>
      <c r="F10" s="129" t="n">
        <f aca="false">IF(IFERROR(INDEX(tsk_Name,GanttView[[#This Row],[_Row]])="",TRUE()),"",INDEX(tsk_PlanFinish,GanttView[[#This Row],[_Row]]))</f>
        <v>46296</v>
      </c>
      <c r="G10" s="129" t="n">
        <f aca="false">IF(IFERROR(INDEX(tsk_Name,GanttView[[#This Row],[_Row]])="",TRUE()),"",INDEX(tsk_FcStart,GanttView[[#This Row],[_Row]]))</f>
        <v>46280</v>
      </c>
      <c r="H10" s="129" t="n">
        <f aca="false">IF(IFERROR(INDEX(tsk_Name,GanttView[[#This Row],[_Row]])="",TRUE()),"",INDEX(tsk_FcFinish,GanttView[[#This Row],[_Row]]))</f>
        <v>46301</v>
      </c>
      <c r="I10" s="130" t="n">
        <f aca="false">IF(IFERROR(INDEX(tsk_Name,GanttView[[#This Row],[_Row]])="",TRUE()),"",INDEX(tsk_Progress,GanttView[[#This Row],[_Row]]))</f>
        <v>1</v>
      </c>
      <c r="J10" s="128" t="str">
        <f aca="false">IF(IFERROR(INDEX(tsk_Name,GanttView[[#This Row],[_Row]])="",TRUE()),"",INDEX(tsk_ResourceNames,GanttView[[#This Row],[_Row]])&amp;"")</f>
        <v/>
      </c>
      <c r="K10" s="131" t="str">
        <f aca="false">IF(IFERROR(INDEX(tsk_Name,GanttView[[#This Row],[_Row]])="",TRUE()),"",INDEX(tsk_Status,GanttView[[#This Row],[_Row]]))</f>
        <v>Complete</v>
      </c>
      <c r="L10" s="131" t="str">
        <f aca="false">IF(IFERROR(INDEX(tsk_Name,GanttView[[#This Row],[_Row]])="",TRUE()),"",INDEX(tsk_Show,GanttView[[#This Row],[_Row]])&amp;"")</f>
        <v>Yes</v>
      </c>
      <c r="M10" s="132" t="n">
        <f aca="false">ROW()-ROW(GanttView[[#Headers],[ID]])</f>
        <v>5</v>
      </c>
      <c r="N10" s="133" t="b">
        <f aca="false">IF(IFERROR(INDEX(tsk_Name,GanttView[[#This Row],[_Row]])="",TRUE()),FALSE(),INDEX(tsk_IsSummary,GanttView[[#This Row],[_Row]]))</f>
        <v>1</v>
      </c>
      <c r="O10" s="133" t="b">
        <f aca="false">IF(IFERROR(INDEX(tsk_Name,GanttView[[#This Row],[_Row]])="",TRUE()),FALSE(),AND(INDEX(tsk_IsLeaf,GanttView[[#This Row],[_Row]])=1,N(INDEX(tsk_Duration,GanttView[[#This Row],[_Row]]))=0))</f>
        <v>0</v>
      </c>
      <c r="P10" s="134" t="n">
        <f aca="false">IF(IFERROR(INDEX(tsk_Name,GanttView[[#This Row],[_Row]])="",TRUE()),0,IF(AND(INDEX(tsk_IsLeaf,GanttView[[#This Row],[_Row]])=1,NOT(GanttView[[#This Row],[_IsMilestone]]),N(GanttView[[#This Row],[%]])&gt;0),GanttView[[#This Row],[Forecast Start]],0))</f>
        <v>0</v>
      </c>
      <c r="Q10" s="134" t="n">
        <f aca="false">IF(GanttView[[#This Row],[_DoneFrom]]=0,0,IF(GanttView[[#This Row],[%]]&gt;=1,GanttView[[#This Row],[Forecast Finish]],MAX(GanttView[[#This Row],[_DoneFrom]],GanttView[[#This Row],[Forecast Start]]+ROUND((GanttView[[#This Row],[Forecast Finish]]-GanttView[[#This Row],[Forecast Start]]+1)*GanttView[[#This Row],[%]],0)-1)))</f>
        <v>0</v>
      </c>
      <c r="R10" s="134" t="n">
        <f aca="false">IF(IFERROR(INDEX(tsk_Name,GanttView[[#This Row],[_Row]])="",TRUE()),0,IF(OR(INDEX(tsk_IsLeaf,GanttView[[#This Row],[_Row]])&lt;&gt;1,GanttView[[#This Row],[_IsMilestone]],N(GanttView[[#This Row],[%]])&gt;=1),0,IF(GanttView[[#This Row],[_DoneTo]]&gt;0,GanttView[[#This Row],[_DoneTo]]+1,GanttView[[#This Row],[Forecast Start]])))</f>
        <v>0</v>
      </c>
      <c r="S10" s="134" t="n">
        <f aca="false">IF(GanttView[[#This Row],[_RemFrom]]=0,0,GanttView[[#This Row],[Forecast Finish]])</f>
        <v>0</v>
      </c>
      <c r="T10" s="133" t="b">
        <f aca="false">IF(IFERROR(INDEX(tsk_Name,GanttView[[#This Row],[_Row]])="",TRUE()),FALSE(),N(INDEX(tsk_Variance,GanttView[[#This Row],[_Row]]))&gt;0)</f>
        <v>1</v>
      </c>
      <c r="U10" s="134" t="n">
        <f aca="false">IF(IFERROR(INDEX(tsk_Name,GanttView[[#This Row],[_Row]])="",TRUE()),0,N(INDEX(tsk_Deadline,GanttView[[#This Row],[_Row]])))</f>
        <v>0</v>
      </c>
      <c r="V10" s="133" t="b">
        <f aca="false">IF(IFERROR(INDEX(tsk_Name,GanttView[[#This Row],[_Row]])="",TRUE()),FALSE(),INDEX(tsk_Critical,GanttView[[#This Row],[_Row]])="Yes")</f>
        <v>0</v>
      </c>
    </row>
    <row r="11" customFormat="false" ht="15" hidden="false" customHeight="false" outlineLevel="1" collapsed="false">
      <c r="A11" s="127" t="n">
        <f aca="false">IF(IFERROR(INDEX(tsk_Name,GanttView[[#This Row],[_Row]])="",TRUE()),"",INDEX(tsk_ID,GanttView[[#This Row],[_Row]]))</f>
        <v>6</v>
      </c>
      <c r="B11" s="127" t="str">
        <f aca="false">IF(IFERROR(INDEX(tsk_Name,GanttView[[#This Row],[_Row]])="",TRUE()),"",INDEX(tsk_WBS,GanttView[[#This Row],[_Row]]))</f>
        <v>2.1</v>
      </c>
      <c r="C11" s="128" t="str">
        <f aca="false">IF(IFERROR(INDEX(tsk_Name,GanttView[[#This Row],[_Row]])="",TRUE()),"",REPT("    ",INDEX(tsk_Level,GanttView[[#This Row],[_Row]])-1)&amp;INDEX(tsk_Name,GanttView[[#This Row],[_Row]]))</f>
        <v>    Requirements gathering</v>
      </c>
      <c r="D11" s="127" t="n">
        <f aca="false">IF(IFERROR(INDEX(tsk_Name,GanttView[[#This Row],[_Row]])="",TRUE()),"",IF(INDEX(tsk_IsSummary,GanttView[[#This Row],[_Row]]),NETWORKDAYS.INTL(INDEX(tsk_FcStart,GanttView[[#This Row],[_Row]]),INDEX(tsk_FcFinish,GanttView[[#This Row],[_Row]]),WorkWeek,Holidays),N(INDEX(tsk_Duration,GanttView[[#This Row],[_Row]]))))</f>
        <v>8</v>
      </c>
      <c r="E11" s="129" t="n">
        <f aca="false">IF(IFERROR(INDEX(tsk_Name,GanttView[[#This Row],[_Row]])="",TRUE()),"",INDEX(tsk_PlanStart,GanttView[[#This Row],[_Row]]))</f>
        <v>46279</v>
      </c>
      <c r="F11" s="129" t="n">
        <f aca="false">IF(IFERROR(INDEX(tsk_Name,GanttView[[#This Row],[_Row]])="",TRUE()),"",INDEX(tsk_PlanFinish,GanttView[[#This Row],[_Row]]))</f>
        <v>46288</v>
      </c>
      <c r="G11" s="129" t="n">
        <f aca="false">IF(IFERROR(INDEX(tsk_Name,GanttView[[#This Row],[_Row]])="",TRUE()),"",INDEX(tsk_FcStart,GanttView[[#This Row],[_Row]]))</f>
        <v>46280</v>
      </c>
      <c r="H11" s="129" t="n">
        <f aca="false">IF(IFERROR(INDEX(tsk_Name,GanttView[[#This Row],[_Row]])="",TRUE()),"",INDEX(tsk_FcFinish,GanttView[[#This Row],[_Row]]))</f>
        <v>46290</v>
      </c>
      <c r="I11" s="130" t="n">
        <f aca="false">IF(IFERROR(INDEX(tsk_Name,GanttView[[#This Row],[_Row]])="",TRUE()),"",INDEX(tsk_Progress,GanttView[[#This Row],[_Row]]))</f>
        <v>1</v>
      </c>
      <c r="J11" s="128" t="str">
        <f aca="false">IF(IFERROR(INDEX(tsk_Name,GanttView[[#This Row],[_Row]])="",TRUE()),"",INDEX(tsk_ResourceNames,GanttView[[#This Row],[_Row]])&amp;"")</f>
        <v>Morgan Patel</v>
      </c>
      <c r="K11" s="131" t="str">
        <f aca="false">IF(IFERROR(INDEX(tsk_Name,GanttView[[#This Row],[_Row]])="",TRUE()),"",INDEX(tsk_Status,GanttView[[#This Row],[_Row]]))</f>
        <v>Complete</v>
      </c>
      <c r="L11" s="131" t="str">
        <f aca="false">IF(IFERROR(INDEX(tsk_Name,GanttView[[#This Row],[_Row]])="",TRUE()),"",INDEX(tsk_Show,GanttView[[#This Row],[_Row]])&amp;"")</f>
        <v>Yes</v>
      </c>
      <c r="M11" s="132" t="n">
        <f aca="false">ROW()-ROW(GanttView[[#Headers],[ID]])</f>
        <v>6</v>
      </c>
      <c r="N11" s="133" t="b">
        <f aca="false">IF(IFERROR(INDEX(tsk_Name,GanttView[[#This Row],[_Row]])="",TRUE()),FALSE(),INDEX(tsk_IsSummary,GanttView[[#This Row],[_Row]]))</f>
        <v>0</v>
      </c>
      <c r="O11" s="133" t="b">
        <f aca="false">IF(IFERROR(INDEX(tsk_Name,GanttView[[#This Row],[_Row]])="",TRUE()),FALSE(),AND(INDEX(tsk_IsLeaf,GanttView[[#This Row],[_Row]])=1,N(INDEX(tsk_Duration,GanttView[[#This Row],[_Row]]))=0))</f>
        <v>0</v>
      </c>
      <c r="P11" s="134" t="n">
        <f aca="false">IF(IFERROR(INDEX(tsk_Name,GanttView[[#This Row],[_Row]])="",TRUE()),0,IF(AND(INDEX(tsk_IsLeaf,GanttView[[#This Row],[_Row]])=1,NOT(GanttView[[#This Row],[_IsMilestone]]),N(GanttView[[#This Row],[%]])&gt;0),GanttView[[#This Row],[Forecast Start]],0))</f>
        <v>46280</v>
      </c>
      <c r="Q11" s="134" t="n">
        <f aca="false">IF(GanttView[[#This Row],[_DoneFrom]]=0,0,IF(GanttView[[#This Row],[%]]&gt;=1,GanttView[[#This Row],[Forecast Finish]],MAX(GanttView[[#This Row],[_DoneFrom]],GanttView[[#This Row],[Forecast Start]]+ROUND((GanttView[[#This Row],[Forecast Finish]]-GanttView[[#This Row],[Forecast Start]]+1)*GanttView[[#This Row],[%]],0)-1)))</f>
        <v>46290</v>
      </c>
      <c r="R11" s="134" t="n">
        <f aca="false">IF(IFERROR(INDEX(tsk_Name,GanttView[[#This Row],[_Row]])="",TRUE()),0,IF(OR(INDEX(tsk_IsLeaf,GanttView[[#This Row],[_Row]])&lt;&gt;1,GanttView[[#This Row],[_IsMilestone]],N(GanttView[[#This Row],[%]])&gt;=1),0,IF(GanttView[[#This Row],[_DoneTo]]&gt;0,GanttView[[#This Row],[_DoneTo]]+1,GanttView[[#This Row],[Forecast Start]])))</f>
        <v>0</v>
      </c>
      <c r="S11" s="134" t="n">
        <f aca="false">IF(GanttView[[#This Row],[_RemFrom]]=0,0,GanttView[[#This Row],[Forecast Finish]])</f>
        <v>0</v>
      </c>
      <c r="T11" s="133" t="b">
        <f aca="false">IF(IFERROR(INDEX(tsk_Name,GanttView[[#This Row],[_Row]])="",TRUE()),FALSE(),N(INDEX(tsk_Variance,GanttView[[#This Row],[_Row]]))&gt;0)</f>
        <v>1</v>
      </c>
      <c r="U11" s="134" t="n">
        <f aca="false">IF(IFERROR(INDEX(tsk_Name,GanttView[[#This Row],[_Row]])="",TRUE()),0,N(INDEX(tsk_Deadline,GanttView[[#This Row],[_Row]])))</f>
        <v>0</v>
      </c>
      <c r="V11" s="133" t="b">
        <f aca="false">IF(IFERROR(INDEX(tsk_Name,GanttView[[#This Row],[_Row]])="",TRUE()),FALSE(),INDEX(tsk_Critical,GanttView[[#This Row],[_Row]])="Yes")</f>
        <v>0</v>
      </c>
    </row>
    <row r="12" customFormat="false" ht="15" hidden="false" customHeight="false" outlineLevel="1" collapsed="false">
      <c r="A12" s="127" t="n">
        <f aca="false">IF(IFERROR(INDEX(tsk_Name,GanttView[[#This Row],[_Row]])="",TRUE()),"",INDEX(tsk_ID,GanttView[[#This Row],[_Row]]))</f>
        <v>7</v>
      </c>
      <c r="B12" s="127" t="str">
        <f aca="false">IF(IFERROR(INDEX(tsk_Name,GanttView[[#This Row],[_Row]])="",TRUE()),"",INDEX(tsk_WBS,GanttView[[#This Row],[_Row]]))</f>
        <v>2.2</v>
      </c>
      <c r="C12" s="128" t="str">
        <f aca="false">IF(IFERROR(INDEX(tsk_Name,GanttView[[#This Row],[_Row]])="",TRUE()),"",REPT("    ",INDEX(tsk_Level,GanttView[[#This Row],[_Row]])-1)&amp;INDEX(tsk_Name,GanttView[[#This Row],[_Row]]))</f>
        <v>    Solution architecture</v>
      </c>
      <c r="D12" s="127" t="n">
        <f aca="false">IF(IFERROR(INDEX(tsk_Name,GanttView[[#This Row],[_Row]])="",TRUE()),"",IF(INDEX(tsk_IsSummary,GanttView[[#This Row],[_Row]]),NETWORKDAYS.INTL(INDEX(tsk_FcStart,GanttView[[#This Row],[_Row]]),INDEX(tsk_FcFinish,GanttView[[#This Row],[_Row]]),WorkWeek,Holidays),N(INDEX(tsk_Duration,GanttView[[#This Row],[_Row]]))))</f>
        <v>5</v>
      </c>
      <c r="E12" s="129" t="n">
        <f aca="false">IF(IFERROR(INDEX(tsk_Name,GanttView[[#This Row],[_Row]])="",TRUE()),"",INDEX(tsk_PlanStart,GanttView[[#This Row],[_Row]]))</f>
        <v>46282</v>
      </c>
      <c r="F12" s="129" t="n">
        <f aca="false">IF(IFERROR(INDEX(tsk_Name,GanttView[[#This Row],[_Row]])="",TRUE()),"",INDEX(tsk_PlanFinish,GanttView[[#This Row],[_Row]]))</f>
        <v>46288</v>
      </c>
      <c r="G12" s="129" t="n">
        <f aca="false">IF(IFERROR(INDEX(tsk_Name,GanttView[[#This Row],[_Row]])="",TRUE()),"",INDEX(tsk_FcStart,GanttView[[#This Row],[_Row]]))</f>
        <v>46283</v>
      </c>
      <c r="H12" s="129" t="n">
        <f aca="false">IF(IFERROR(INDEX(tsk_Name,GanttView[[#This Row],[_Row]])="",TRUE()),"",INDEX(tsk_FcFinish,GanttView[[#This Row],[_Row]]))</f>
        <v>46290</v>
      </c>
      <c r="I12" s="130" t="n">
        <f aca="false">IF(IFERROR(INDEX(tsk_Name,GanttView[[#This Row],[_Row]])="",TRUE()),"",INDEX(tsk_Progress,GanttView[[#This Row],[_Row]]))</f>
        <v>1</v>
      </c>
      <c r="J12" s="128" t="str">
        <f aca="false">IF(IFERROR(INDEX(tsk_Name,GanttView[[#This Row],[_Row]])="",TRUE()),"",INDEX(tsk_ResourceNames,GanttView[[#This Row],[_Row]])&amp;"")</f>
        <v>Alex Chen, Jordan Lee[50%]</v>
      </c>
      <c r="K12" s="131" t="str">
        <f aca="false">IF(IFERROR(INDEX(tsk_Name,GanttView[[#This Row],[_Row]])="",TRUE()),"",INDEX(tsk_Status,GanttView[[#This Row],[_Row]]))</f>
        <v>Complete</v>
      </c>
      <c r="L12" s="131" t="str">
        <f aca="false">IF(IFERROR(INDEX(tsk_Name,GanttView[[#This Row],[_Row]])="",TRUE()),"",INDEX(tsk_Show,GanttView[[#This Row],[_Row]])&amp;"")</f>
        <v>Yes</v>
      </c>
      <c r="M12" s="132" t="n">
        <f aca="false">ROW()-ROW(GanttView[[#Headers],[ID]])</f>
        <v>7</v>
      </c>
      <c r="N12" s="133" t="b">
        <f aca="false">IF(IFERROR(INDEX(tsk_Name,GanttView[[#This Row],[_Row]])="",TRUE()),FALSE(),INDEX(tsk_IsSummary,GanttView[[#This Row],[_Row]]))</f>
        <v>0</v>
      </c>
      <c r="O12" s="133" t="b">
        <f aca="false">IF(IFERROR(INDEX(tsk_Name,GanttView[[#This Row],[_Row]])="",TRUE()),FALSE(),AND(INDEX(tsk_IsLeaf,GanttView[[#This Row],[_Row]])=1,N(INDEX(tsk_Duration,GanttView[[#This Row],[_Row]]))=0))</f>
        <v>0</v>
      </c>
      <c r="P12" s="134" t="n">
        <f aca="false">IF(IFERROR(INDEX(tsk_Name,GanttView[[#This Row],[_Row]])="",TRUE()),0,IF(AND(INDEX(tsk_IsLeaf,GanttView[[#This Row],[_Row]])=1,NOT(GanttView[[#This Row],[_IsMilestone]]),N(GanttView[[#This Row],[%]])&gt;0),GanttView[[#This Row],[Forecast Start]],0))</f>
        <v>46283</v>
      </c>
      <c r="Q12" s="134" t="n">
        <f aca="false">IF(GanttView[[#This Row],[_DoneFrom]]=0,0,IF(GanttView[[#This Row],[%]]&gt;=1,GanttView[[#This Row],[Forecast Finish]],MAX(GanttView[[#This Row],[_DoneFrom]],GanttView[[#This Row],[Forecast Start]]+ROUND((GanttView[[#This Row],[Forecast Finish]]-GanttView[[#This Row],[Forecast Start]]+1)*GanttView[[#This Row],[%]],0)-1)))</f>
        <v>46290</v>
      </c>
      <c r="R12" s="134" t="n">
        <f aca="false">IF(IFERROR(INDEX(tsk_Name,GanttView[[#This Row],[_Row]])="",TRUE()),0,IF(OR(INDEX(tsk_IsLeaf,GanttView[[#This Row],[_Row]])&lt;&gt;1,GanttView[[#This Row],[_IsMilestone]],N(GanttView[[#This Row],[%]])&gt;=1),0,IF(GanttView[[#This Row],[_DoneTo]]&gt;0,GanttView[[#This Row],[_DoneTo]]+1,GanttView[[#This Row],[Forecast Start]])))</f>
        <v>0</v>
      </c>
      <c r="S12" s="134" t="n">
        <f aca="false">IF(GanttView[[#This Row],[_RemFrom]]=0,0,GanttView[[#This Row],[Forecast Finish]])</f>
        <v>0</v>
      </c>
      <c r="T12" s="133" t="b">
        <f aca="false">IF(IFERROR(INDEX(tsk_Name,GanttView[[#This Row],[_Row]])="",TRUE()),FALSE(),N(INDEX(tsk_Variance,GanttView[[#This Row],[_Row]]))&gt;0)</f>
        <v>1</v>
      </c>
      <c r="U12" s="134" t="n">
        <f aca="false">IF(IFERROR(INDEX(tsk_Name,GanttView[[#This Row],[_Row]])="",TRUE()),0,N(INDEX(tsk_Deadline,GanttView[[#This Row],[_Row]])))</f>
        <v>0</v>
      </c>
      <c r="V12" s="133" t="b">
        <f aca="false">IF(IFERROR(INDEX(tsk_Name,GanttView[[#This Row],[_Row]])="",TRUE()),FALSE(),INDEX(tsk_Critical,GanttView[[#This Row],[_Row]])="Yes")</f>
        <v>0</v>
      </c>
    </row>
    <row r="13" customFormat="false" ht="15" hidden="false" customHeight="false" outlineLevel="1" collapsed="false">
      <c r="A13" s="127" t="n">
        <f aca="false">IF(IFERROR(INDEX(tsk_Name,GanttView[[#This Row],[_Row]])="",TRUE()),"",INDEX(tsk_ID,GanttView[[#This Row],[_Row]]))</f>
        <v>8</v>
      </c>
      <c r="B13" s="127" t="str">
        <f aca="false">IF(IFERROR(INDEX(tsk_Name,GanttView[[#This Row],[_Row]])="",TRUE()),"",INDEX(tsk_WBS,GanttView[[#This Row],[_Row]]))</f>
        <v>2.3</v>
      </c>
      <c r="C13" s="128" t="str">
        <f aca="false">IF(IFERROR(INDEX(tsk_Name,GanttView[[#This Row],[_Row]])="",TRUE()),"",REPT("    ",INDEX(tsk_Level,GanttView[[#This Row],[_Row]])-1)&amp;INDEX(tsk_Name,GanttView[[#This Row],[_Row]]))</f>
        <v>    UX wireframes &amp; prototype</v>
      </c>
      <c r="D13" s="127" t="n">
        <f aca="false">IF(IFERROR(INDEX(tsk_Name,GanttView[[#This Row],[_Row]])="",TRUE()),"",IF(INDEX(tsk_IsSummary,GanttView[[#This Row],[_Row]]),NETWORKDAYS.INTL(INDEX(tsk_FcStart,GanttView[[#This Row],[_Row]]),INDEX(tsk_FcFinish,GanttView[[#This Row],[_Row]]),WorkWeek,Holidays),N(INDEX(tsk_Duration,GanttView[[#This Row],[_Row]]))))</f>
        <v>6</v>
      </c>
      <c r="E13" s="129" t="n">
        <f aca="false">IF(IFERROR(INDEX(tsk_Name,GanttView[[#This Row],[_Row]])="",TRUE()),"",INDEX(tsk_PlanStart,GanttView[[#This Row],[_Row]]))</f>
        <v>46289</v>
      </c>
      <c r="F13" s="129" t="n">
        <f aca="false">IF(IFERROR(INDEX(tsk_Name,GanttView[[#This Row],[_Row]])="",TRUE()),"",INDEX(tsk_PlanFinish,GanttView[[#This Row],[_Row]]))</f>
        <v>46296</v>
      </c>
      <c r="G13" s="129" t="n">
        <f aca="false">IF(IFERROR(INDEX(tsk_Name,GanttView[[#This Row],[_Row]])="",TRUE()),"",INDEX(tsk_FcStart,GanttView[[#This Row],[_Row]]))</f>
        <v>46293</v>
      </c>
      <c r="H13" s="129" t="n">
        <f aca="false">IF(IFERROR(INDEX(tsk_Name,GanttView[[#This Row],[_Row]])="",TRUE()),"",INDEX(tsk_FcFinish,GanttView[[#This Row],[_Row]]))</f>
        <v>46301</v>
      </c>
      <c r="I13" s="130" t="n">
        <f aca="false">IF(IFERROR(INDEX(tsk_Name,GanttView[[#This Row],[_Row]])="",TRUE()),"",INDEX(tsk_Progress,GanttView[[#This Row],[_Row]]))</f>
        <v>1</v>
      </c>
      <c r="J13" s="128" t="str">
        <f aca="false">IF(IFERROR(INDEX(tsk_Name,GanttView[[#This Row],[_Row]])="",TRUE()),"",INDEX(tsk_ResourceNames,GanttView[[#This Row],[_Row]])&amp;"")</f>
        <v>Casey Kim</v>
      </c>
      <c r="K13" s="131" t="str">
        <f aca="false">IF(IFERROR(INDEX(tsk_Name,GanttView[[#This Row],[_Row]])="",TRUE()),"",INDEX(tsk_Status,GanttView[[#This Row],[_Row]]))</f>
        <v>Complete</v>
      </c>
      <c r="L13" s="131" t="str">
        <f aca="false">IF(IFERROR(INDEX(tsk_Name,GanttView[[#This Row],[_Row]])="",TRUE()),"",INDEX(tsk_Show,GanttView[[#This Row],[_Row]])&amp;"")</f>
        <v>Yes</v>
      </c>
      <c r="M13" s="132" t="n">
        <f aca="false">ROW()-ROW(GanttView[[#Headers],[ID]])</f>
        <v>8</v>
      </c>
      <c r="N13" s="133" t="b">
        <f aca="false">IF(IFERROR(INDEX(tsk_Name,GanttView[[#This Row],[_Row]])="",TRUE()),FALSE(),INDEX(tsk_IsSummary,GanttView[[#This Row],[_Row]]))</f>
        <v>0</v>
      </c>
      <c r="O13" s="133" t="b">
        <f aca="false">IF(IFERROR(INDEX(tsk_Name,GanttView[[#This Row],[_Row]])="",TRUE()),FALSE(),AND(INDEX(tsk_IsLeaf,GanttView[[#This Row],[_Row]])=1,N(INDEX(tsk_Duration,GanttView[[#This Row],[_Row]]))=0))</f>
        <v>0</v>
      </c>
      <c r="P13" s="134" t="n">
        <f aca="false">IF(IFERROR(INDEX(tsk_Name,GanttView[[#This Row],[_Row]])="",TRUE()),0,IF(AND(INDEX(tsk_IsLeaf,GanttView[[#This Row],[_Row]])=1,NOT(GanttView[[#This Row],[_IsMilestone]]),N(GanttView[[#This Row],[%]])&gt;0),GanttView[[#This Row],[Forecast Start]],0))</f>
        <v>46293</v>
      </c>
      <c r="Q13" s="134" t="n">
        <f aca="false">IF(GanttView[[#This Row],[_DoneFrom]]=0,0,IF(GanttView[[#This Row],[%]]&gt;=1,GanttView[[#This Row],[Forecast Finish]],MAX(GanttView[[#This Row],[_DoneFrom]],GanttView[[#This Row],[Forecast Start]]+ROUND((GanttView[[#This Row],[Forecast Finish]]-GanttView[[#This Row],[Forecast Start]]+1)*GanttView[[#This Row],[%]],0)-1)))</f>
        <v>46301</v>
      </c>
      <c r="R13" s="134" t="n">
        <f aca="false">IF(IFERROR(INDEX(tsk_Name,GanttView[[#This Row],[_Row]])="",TRUE()),0,IF(OR(INDEX(tsk_IsLeaf,GanttView[[#This Row],[_Row]])&lt;&gt;1,GanttView[[#This Row],[_IsMilestone]],N(GanttView[[#This Row],[%]])&gt;=1),0,IF(GanttView[[#This Row],[_DoneTo]]&gt;0,GanttView[[#This Row],[_DoneTo]]+1,GanttView[[#This Row],[Forecast Start]])))</f>
        <v>0</v>
      </c>
      <c r="S13" s="134" t="n">
        <f aca="false">IF(GanttView[[#This Row],[_RemFrom]]=0,0,GanttView[[#This Row],[Forecast Finish]])</f>
        <v>0</v>
      </c>
      <c r="T13" s="133" t="b">
        <f aca="false">IF(IFERROR(INDEX(tsk_Name,GanttView[[#This Row],[_Row]])="",TRUE()),FALSE(),N(INDEX(tsk_Variance,GanttView[[#This Row],[_Row]]))&gt;0)</f>
        <v>1</v>
      </c>
      <c r="U13" s="134" t="n">
        <f aca="false">IF(IFERROR(INDEX(tsk_Name,GanttView[[#This Row],[_Row]])="",TRUE()),0,N(INDEX(tsk_Deadline,GanttView[[#This Row],[_Row]])))</f>
        <v>0</v>
      </c>
      <c r="V13" s="133" t="b">
        <f aca="false">IF(IFERROR(INDEX(tsk_Name,GanttView[[#This Row],[_Row]])="",TRUE()),FALSE(),INDEX(tsk_Critical,GanttView[[#This Row],[_Row]])="Yes")</f>
        <v>0</v>
      </c>
    </row>
    <row r="14" customFormat="false" ht="15" hidden="false" customHeight="false" outlineLevel="1" collapsed="false">
      <c r="A14" s="127" t="n">
        <f aca="false">IF(IFERROR(INDEX(tsk_Name,GanttView[[#This Row],[_Row]])="",TRUE()),"",INDEX(tsk_ID,GanttView[[#This Row],[_Row]]))</f>
        <v>9</v>
      </c>
      <c r="B14" s="127" t="str">
        <f aca="false">IF(IFERROR(INDEX(tsk_Name,GanttView[[#This Row],[_Row]])="",TRUE()),"",INDEX(tsk_WBS,GanttView[[#This Row],[_Row]]))</f>
        <v>2.4</v>
      </c>
      <c r="C14" s="128" t="str">
        <f aca="false">IF(IFERROR(INDEX(tsk_Name,GanttView[[#This Row],[_Row]])="",TRUE()),"",REPT("    ",INDEX(tsk_Level,GanttView[[#This Row],[_Row]])-1)&amp;INDEX(tsk_Name,GanttView[[#This Row],[_Row]]))</f>
        <v>    Design sign-off</v>
      </c>
      <c r="D14" s="127" t="n">
        <f aca="false">IF(IFERROR(INDEX(tsk_Name,GanttView[[#This Row],[_Row]])="",TRUE()),"",IF(INDEX(tsk_IsSummary,GanttView[[#This Row],[_Row]]),NETWORKDAYS.INTL(INDEX(tsk_FcStart,GanttView[[#This Row],[_Row]]),INDEX(tsk_FcFinish,GanttView[[#This Row],[_Row]]),WorkWeek,Holidays),N(INDEX(tsk_Duration,GanttView[[#This Row],[_Row]]))))</f>
        <v>0</v>
      </c>
      <c r="E14" s="129" t="n">
        <f aca="false">IF(IFERROR(INDEX(tsk_Name,GanttView[[#This Row],[_Row]])="",TRUE()),"",INDEX(tsk_PlanStart,GanttView[[#This Row],[_Row]]))</f>
        <v>46296</v>
      </c>
      <c r="F14" s="129" t="n">
        <f aca="false">IF(IFERROR(INDEX(tsk_Name,GanttView[[#This Row],[_Row]])="",TRUE()),"",INDEX(tsk_PlanFinish,GanttView[[#This Row],[_Row]]))</f>
        <v>46296</v>
      </c>
      <c r="G14" s="129" t="n">
        <f aca="false">IF(IFERROR(INDEX(tsk_Name,GanttView[[#This Row],[_Row]])="",TRUE()),"",INDEX(tsk_FcStart,GanttView[[#This Row],[_Row]]))</f>
        <v>46301</v>
      </c>
      <c r="H14" s="129" t="n">
        <f aca="false">IF(IFERROR(INDEX(tsk_Name,GanttView[[#This Row],[_Row]])="",TRUE()),"",INDEX(tsk_FcFinish,GanttView[[#This Row],[_Row]]))</f>
        <v>46301</v>
      </c>
      <c r="I14" s="130" t="n">
        <f aca="false">IF(IFERROR(INDEX(tsk_Name,GanttView[[#This Row],[_Row]])="",TRUE()),"",INDEX(tsk_Progress,GanttView[[#This Row],[_Row]]))</f>
        <v>1</v>
      </c>
      <c r="J14" s="128" t="str">
        <f aca="false">IF(IFERROR(INDEX(tsk_Name,GanttView[[#This Row],[_Row]])="",TRUE()),"",INDEX(tsk_ResourceNames,GanttView[[#This Row],[_Row]])&amp;"")</f>
        <v/>
      </c>
      <c r="K14" s="131" t="str">
        <f aca="false">IF(IFERROR(INDEX(tsk_Name,GanttView[[#This Row],[_Row]])="",TRUE()),"",INDEX(tsk_Status,GanttView[[#This Row],[_Row]]))</f>
        <v>Complete</v>
      </c>
      <c r="L14" s="131" t="str">
        <f aca="false">IF(IFERROR(INDEX(tsk_Name,GanttView[[#This Row],[_Row]])="",TRUE()),"",INDEX(tsk_Show,GanttView[[#This Row],[_Row]])&amp;"")</f>
        <v>Yes</v>
      </c>
      <c r="M14" s="132" t="n">
        <f aca="false">ROW()-ROW(GanttView[[#Headers],[ID]])</f>
        <v>9</v>
      </c>
      <c r="N14" s="133" t="b">
        <f aca="false">IF(IFERROR(INDEX(tsk_Name,GanttView[[#This Row],[_Row]])="",TRUE()),FALSE(),INDEX(tsk_IsSummary,GanttView[[#This Row],[_Row]]))</f>
        <v>0</v>
      </c>
      <c r="O14" s="133" t="b">
        <f aca="false">IF(IFERROR(INDEX(tsk_Name,GanttView[[#This Row],[_Row]])="",TRUE()),FALSE(),AND(INDEX(tsk_IsLeaf,GanttView[[#This Row],[_Row]])=1,N(INDEX(tsk_Duration,GanttView[[#This Row],[_Row]]))=0))</f>
        <v>1</v>
      </c>
      <c r="P14" s="134" t="n">
        <f aca="false">IF(IFERROR(INDEX(tsk_Name,GanttView[[#This Row],[_Row]])="",TRUE()),0,IF(AND(INDEX(tsk_IsLeaf,GanttView[[#This Row],[_Row]])=1,NOT(GanttView[[#This Row],[_IsMilestone]]),N(GanttView[[#This Row],[%]])&gt;0),GanttView[[#This Row],[Forecast Start]],0))</f>
        <v>0</v>
      </c>
      <c r="Q14" s="134" t="n">
        <f aca="false">IF(GanttView[[#This Row],[_DoneFrom]]=0,0,IF(GanttView[[#This Row],[%]]&gt;=1,GanttView[[#This Row],[Forecast Finish]],MAX(GanttView[[#This Row],[_DoneFrom]],GanttView[[#This Row],[Forecast Start]]+ROUND((GanttView[[#This Row],[Forecast Finish]]-GanttView[[#This Row],[Forecast Start]]+1)*GanttView[[#This Row],[%]],0)-1)))</f>
        <v>0</v>
      </c>
      <c r="R14" s="134" t="n">
        <f aca="false">IF(IFERROR(INDEX(tsk_Name,GanttView[[#This Row],[_Row]])="",TRUE()),0,IF(OR(INDEX(tsk_IsLeaf,GanttView[[#This Row],[_Row]])&lt;&gt;1,GanttView[[#This Row],[_IsMilestone]],N(GanttView[[#This Row],[%]])&gt;=1),0,IF(GanttView[[#This Row],[_DoneTo]]&gt;0,GanttView[[#This Row],[_DoneTo]]+1,GanttView[[#This Row],[Forecast Start]])))</f>
        <v>0</v>
      </c>
      <c r="S14" s="134" t="n">
        <f aca="false">IF(GanttView[[#This Row],[_RemFrom]]=0,0,GanttView[[#This Row],[Forecast Finish]])</f>
        <v>0</v>
      </c>
      <c r="T14" s="133" t="b">
        <f aca="false">IF(IFERROR(INDEX(tsk_Name,GanttView[[#This Row],[_Row]])="",TRUE()),FALSE(),N(INDEX(tsk_Variance,GanttView[[#This Row],[_Row]]))&gt;0)</f>
        <v>1</v>
      </c>
      <c r="U14" s="134" t="n">
        <f aca="false">IF(IFERROR(INDEX(tsk_Name,GanttView[[#This Row],[_Row]])="",TRUE()),0,N(INDEX(tsk_Deadline,GanttView[[#This Row],[_Row]])))</f>
        <v>0</v>
      </c>
      <c r="V14" s="133" t="b">
        <f aca="false">IF(IFERROR(INDEX(tsk_Name,GanttView[[#This Row],[_Row]])="",TRUE()),FALSE(),INDEX(tsk_Critical,GanttView[[#This Row],[_Row]])="Yes")</f>
        <v>0</v>
      </c>
    </row>
    <row r="15" customFormat="false" ht="15" hidden="false" customHeight="false" outlineLevel="0" collapsed="false">
      <c r="A15" s="127" t="n">
        <f aca="false">IF(IFERROR(INDEX(tsk_Name,GanttView[[#This Row],[_Row]])="",TRUE()),"",INDEX(tsk_ID,GanttView[[#This Row],[_Row]]))</f>
        <v>10</v>
      </c>
      <c r="B15" s="127" t="str">
        <f aca="false">IF(IFERROR(INDEX(tsk_Name,GanttView[[#This Row],[_Row]])="",TRUE()),"",INDEX(tsk_WBS,GanttView[[#This Row],[_Row]]))</f>
        <v>3</v>
      </c>
      <c r="C15" s="128" t="str">
        <f aca="false">IF(IFERROR(INDEX(tsk_Name,GanttView[[#This Row],[_Row]])="",TRUE()),"",REPT("    ",INDEX(tsk_Level,GanttView[[#This Row],[_Row]])-1)&amp;INDEX(tsk_Name,GanttView[[#This Row],[_Row]]))</f>
        <v>Build</v>
      </c>
      <c r="D15" s="127" t="n">
        <f aca="false">IF(IFERROR(INDEX(tsk_Name,GanttView[[#This Row],[_Row]])="",TRUE()),"",IF(INDEX(tsk_IsSummary,GanttView[[#This Row],[_Row]]),NETWORKDAYS.INTL(INDEX(tsk_FcStart,GanttView[[#This Row],[_Row]]),INDEX(tsk_FcFinish,GanttView[[#This Row],[_Row]]),WorkWeek,Holidays),N(INDEX(tsk_Duration,GanttView[[#This Row],[_Row]]))))</f>
        <v>24</v>
      </c>
      <c r="E15" s="129" t="n">
        <f aca="false">IF(IFERROR(INDEX(tsk_Name,GanttView[[#This Row],[_Row]])="",TRUE()),"",INDEX(tsk_PlanStart,GanttView[[#This Row],[_Row]]))</f>
        <v>46297</v>
      </c>
      <c r="F15" s="129" t="n">
        <f aca="false">IF(IFERROR(INDEX(tsk_Name,GanttView[[#This Row],[_Row]])="",TRUE()),"",INDEX(tsk_PlanFinish,GanttView[[#This Row],[_Row]]))</f>
        <v>46325</v>
      </c>
      <c r="G15" s="129" t="n">
        <f aca="false">IF(IFERROR(INDEX(tsk_Name,GanttView[[#This Row],[_Row]])="",TRUE()),"",INDEX(tsk_FcStart,GanttView[[#This Row],[_Row]]))</f>
        <v>46302</v>
      </c>
      <c r="H15" s="129" t="n">
        <f aca="false">IF(IFERROR(INDEX(tsk_Name,GanttView[[#This Row],[_Row]])="",TRUE()),"",INDEX(tsk_FcFinish,GanttView[[#This Row],[_Row]]))</f>
        <v>46335</v>
      </c>
      <c r="I15" s="130" t="n">
        <f aca="false">IF(IFERROR(INDEX(tsk_Name,GanttView[[#This Row],[_Row]])="",TRUE()),"",INDEX(tsk_Progress,GanttView[[#This Row],[_Row]]))</f>
        <v>0.451306413301663</v>
      </c>
      <c r="J15" s="128" t="str">
        <f aca="false">IF(IFERROR(INDEX(tsk_Name,GanttView[[#This Row],[_Row]])="",TRUE()),"",INDEX(tsk_ResourceNames,GanttView[[#This Row],[_Row]])&amp;"")</f>
        <v/>
      </c>
      <c r="K15" s="131" t="str">
        <f aca="false">IF(IFERROR(INDEX(tsk_Name,GanttView[[#This Row],[_Row]])="",TRUE()),"",INDEX(tsk_Status,GanttView[[#This Row],[_Row]]))</f>
        <v>Behind</v>
      </c>
      <c r="L15" s="131" t="str">
        <f aca="false">IF(IFERROR(INDEX(tsk_Name,GanttView[[#This Row],[_Row]])="",TRUE()),"",INDEX(tsk_Show,GanttView[[#This Row],[_Row]])&amp;"")</f>
        <v>Yes</v>
      </c>
      <c r="M15" s="132" t="n">
        <f aca="false">ROW()-ROW(GanttView[[#Headers],[ID]])</f>
        <v>10</v>
      </c>
      <c r="N15" s="133" t="b">
        <f aca="false">IF(IFERROR(INDEX(tsk_Name,GanttView[[#This Row],[_Row]])="",TRUE()),FALSE(),INDEX(tsk_IsSummary,GanttView[[#This Row],[_Row]]))</f>
        <v>1</v>
      </c>
      <c r="O15" s="133" t="b">
        <f aca="false">IF(IFERROR(INDEX(tsk_Name,GanttView[[#This Row],[_Row]])="",TRUE()),FALSE(),AND(INDEX(tsk_IsLeaf,GanttView[[#This Row],[_Row]])=1,N(INDEX(tsk_Duration,GanttView[[#This Row],[_Row]]))=0))</f>
        <v>0</v>
      </c>
      <c r="P15" s="134" t="n">
        <f aca="false">IF(IFERROR(INDEX(tsk_Name,GanttView[[#This Row],[_Row]])="",TRUE()),0,IF(AND(INDEX(tsk_IsLeaf,GanttView[[#This Row],[_Row]])=1,NOT(GanttView[[#This Row],[_IsMilestone]]),N(GanttView[[#This Row],[%]])&gt;0),GanttView[[#This Row],[Forecast Start]],0))</f>
        <v>0</v>
      </c>
      <c r="Q15" s="134" t="n">
        <f aca="false">IF(GanttView[[#This Row],[_DoneFrom]]=0,0,IF(GanttView[[#This Row],[%]]&gt;=1,GanttView[[#This Row],[Forecast Finish]],MAX(GanttView[[#This Row],[_DoneFrom]],GanttView[[#This Row],[Forecast Start]]+ROUND((GanttView[[#This Row],[Forecast Finish]]-GanttView[[#This Row],[Forecast Start]]+1)*GanttView[[#This Row],[%]],0)-1)))</f>
        <v>0</v>
      </c>
      <c r="R15" s="134" t="n">
        <f aca="false">IF(IFERROR(INDEX(tsk_Name,GanttView[[#This Row],[_Row]])="",TRUE()),0,IF(OR(INDEX(tsk_IsLeaf,GanttView[[#This Row],[_Row]])&lt;&gt;1,GanttView[[#This Row],[_IsMilestone]],N(GanttView[[#This Row],[%]])&gt;=1),0,IF(GanttView[[#This Row],[_DoneTo]]&gt;0,GanttView[[#This Row],[_DoneTo]]+1,GanttView[[#This Row],[Forecast Start]])))</f>
        <v>0</v>
      </c>
      <c r="S15" s="134" t="n">
        <f aca="false">IF(GanttView[[#This Row],[_RemFrom]]=0,0,GanttView[[#This Row],[Forecast Finish]])</f>
        <v>0</v>
      </c>
      <c r="T15" s="133" t="b">
        <f aca="false">IF(IFERROR(INDEX(tsk_Name,GanttView[[#This Row],[_Row]])="",TRUE()),FALSE(),N(INDEX(tsk_Variance,GanttView[[#This Row],[_Row]]))&gt;0)</f>
        <v>1</v>
      </c>
      <c r="U15" s="134" t="n">
        <f aca="false">IF(IFERROR(INDEX(tsk_Name,GanttView[[#This Row],[_Row]])="",TRUE()),0,N(INDEX(tsk_Deadline,GanttView[[#This Row],[_Row]])))</f>
        <v>0</v>
      </c>
      <c r="V15" s="133" t="b">
        <f aca="false">IF(IFERROR(INDEX(tsk_Name,GanttView[[#This Row],[_Row]])="",TRUE()),FALSE(),INDEX(tsk_Critical,GanttView[[#This Row],[_Row]])="Yes")</f>
        <v>1</v>
      </c>
    </row>
    <row r="16" customFormat="false" ht="15" hidden="false" customHeight="false" outlineLevel="1" collapsed="false">
      <c r="A16" s="127" t="n">
        <f aca="false">IF(IFERROR(INDEX(tsk_Name,GanttView[[#This Row],[_Row]])="",TRUE()),"",INDEX(tsk_ID,GanttView[[#This Row],[_Row]]))</f>
        <v>11</v>
      </c>
      <c r="B16" s="127" t="str">
        <f aca="false">IF(IFERROR(INDEX(tsk_Name,GanttView[[#This Row],[_Row]])="",TRUE()),"",INDEX(tsk_WBS,GanttView[[#This Row],[_Row]]))</f>
        <v>3.1</v>
      </c>
      <c r="C16" s="128" t="str">
        <f aca="false">IF(IFERROR(INDEX(tsk_Name,GanttView[[#This Row],[_Row]])="",TRUE()),"",REPT("    ",INDEX(tsk_Level,GanttView[[#This Row],[_Row]])-1)&amp;INDEX(tsk_Name,GanttView[[#This Row],[_Row]]))</f>
        <v>    Backend</v>
      </c>
      <c r="D16" s="127" t="n">
        <f aca="false">IF(IFERROR(INDEX(tsk_Name,GanttView[[#This Row],[_Row]])="",TRUE()),"",IF(INDEX(tsk_IsSummary,GanttView[[#This Row],[_Row]]),NETWORKDAYS.INTL(INDEX(tsk_FcStart,GanttView[[#This Row],[_Row]]),INDEX(tsk_FcFinish,GanttView[[#This Row],[_Row]]),WorkWeek,Holidays),N(INDEX(tsk_Duration,GanttView[[#This Row],[_Row]]))))</f>
        <v>24</v>
      </c>
      <c r="E16" s="129" t="n">
        <f aca="false">IF(IFERROR(INDEX(tsk_Name,GanttView[[#This Row],[_Row]])="",TRUE()),"",INDEX(tsk_PlanStart,GanttView[[#This Row],[_Row]]))</f>
        <v>46297</v>
      </c>
      <c r="F16" s="129" t="n">
        <f aca="false">IF(IFERROR(INDEX(tsk_Name,GanttView[[#This Row],[_Row]])="",TRUE()),"",INDEX(tsk_PlanFinish,GanttView[[#This Row],[_Row]]))</f>
        <v>46325</v>
      </c>
      <c r="G16" s="129" t="n">
        <f aca="false">IF(IFERROR(INDEX(tsk_Name,GanttView[[#This Row],[_Row]])="",TRUE()),"",INDEX(tsk_FcStart,GanttView[[#This Row],[_Row]]))</f>
        <v>46302</v>
      </c>
      <c r="H16" s="129" t="n">
        <f aca="false">IF(IFERROR(INDEX(tsk_Name,GanttView[[#This Row],[_Row]])="",TRUE()),"",INDEX(tsk_FcFinish,GanttView[[#This Row],[_Row]]))</f>
        <v>46335</v>
      </c>
      <c r="I16" s="130" t="n">
        <f aca="false">IF(IFERROR(INDEX(tsk_Name,GanttView[[#This Row],[_Row]])="",TRUE()),"",INDEX(tsk_Progress,GanttView[[#This Row],[_Row]]))</f>
        <v>0.476190476190476</v>
      </c>
      <c r="J16" s="128" t="str">
        <f aca="false">IF(IFERROR(INDEX(tsk_Name,GanttView[[#This Row],[_Row]])="",TRUE()),"",INDEX(tsk_ResourceNames,GanttView[[#This Row],[_Row]])&amp;"")</f>
        <v/>
      </c>
      <c r="K16" s="131" t="str">
        <f aca="false">IF(IFERROR(INDEX(tsk_Name,GanttView[[#This Row],[_Row]])="",TRUE()),"",INDEX(tsk_Status,GanttView[[#This Row],[_Row]]))</f>
        <v>Behind</v>
      </c>
      <c r="L16" s="131" t="str">
        <f aca="false">IF(IFERROR(INDEX(tsk_Name,GanttView[[#This Row],[_Row]])="",TRUE()),"",INDEX(tsk_Show,GanttView[[#This Row],[_Row]])&amp;"")</f>
        <v>Yes</v>
      </c>
      <c r="M16" s="132" t="n">
        <f aca="false">ROW()-ROW(GanttView[[#Headers],[ID]])</f>
        <v>11</v>
      </c>
      <c r="N16" s="133" t="b">
        <f aca="false">IF(IFERROR(INDEX(tsk_Name,GanttView[[#This Row],[_Row]])="",TRUE()),FALSE(),INDEX(tsk_IsSummary,GanttView[[#This Row],[_Row]]))</f>
        <v>1</v>
      </c>
      <c r="O16" s="133" t="b">
        <f aca="false">IF(IFERROR(INDEX(tsk_Name,GanttView[[#This Row],[_Row]])="",TRUE()),FALSE(),AND(INDEX(tsk_IsLeaf,GanttView[[#This Row],[_Row]])=1,N(INDEX(tsk_Duration,GanttView[[#This Row],[_Row]]))=0))</f>
        <v>0</v>
      </c>
      <c r="P16" s="134" t="n">
        <f aca="false">IF(IFERROR(INDEX(tsk_Name,GanttView[[#This Row],[_Row]])="",TRUE()),0,IF(AND(INDEX(tsk_IsLeaf,GanttView[[#This Row],[_Row]])=1,NOT(GanttView[[#This Row],[_IsMilestone]]),N(GanttView[[#This Row],[%]])&gt;0),GanttView[[#This Row],[Forecast Start]],0))</f>
        <v>0</v>
      </c>
      <c r="Q16" s="134" t="n">
        <f aca="false">IF(GanttView[[#This Row],[_DoneFrom]]=0,0,IF(GanttView[[#This Row],[%]]&gt;=1,GanttView[[#This Row],[Forecast Finish]],MAX(GanttView[[#This Row],[_DoneFrom]],GanttView[[#This Row],[Forecast Start]]+ROUND((GanttView[[#This Row],[Forecast Finish]]-GanttView[[#This Row],[Forecast Start]]+1)*GanttView[[#This Row],[%]],0)-1)))</f>
        <v>0</v>
      </c>
      <c r="R16" s="134" t="n">
        <f aca="false">IF(IFERROR(INDEX(tsk_Name,GanttView[[#This Row],[_Row]])="",TRUE()),0,IF(OR(INDEX(tsk_IsLeaf,GanttView[[#This Row],[_Row]])&lt;&gt;1,GanttView[[#This Row],[_IsMilestone]],N(GanttView[[#This Row],[%]])&gt;=1),0,IF(GanttView[[#This Row],[_DoneTo]]&gt;0,GanttView[[#This Row],[_DoneTo]]+1,GanttView[[#This Row],[Forecast Start]])))</f>
        <v>0</v>
      </c>
      <c r="S16" s="134" t="n">
        <f aca="false">IF(GanttView[[#This Row],[_RemFrom]]=0,0,GanttView[[#This Row],[Forecast Finish]])</f>
        <v>0</v>
      </c>
      <c r="T16" s="133" t="b">
        <f aca="false">IF(IFERROR(INDEX(tsk_Name,GanttView[[#This Row],[_Row]])="",TRUE()),FALSE(),N(INDEX(tsk_Variance,GanttView[[#This Row],[_Row]]))&gt;0)</f>
        <v>1</v>
      </c>
      <c r="U16" s="134" t="n">
        <f aca="false">IF(IFERROR(INDEX(tsk_Name,GanttView[[#This Row],[_Row]])="",TRUE()),0,N(INDEX(tsk_Deadline,GanttView[[#This Row],[_Row]])))</f>
        <v>0</v>
      </c>
      <c r="V16" s="133" t="b">
        <f aca="false">IF(IFERROR(INDEX(tsk_Name,GanttView[[#This Row],[_Row]])="",TRUE()),FALSE(),INDEX(tsk_Critical,GanttView[[#This Row],[_Row]])="Yes")</f>
        <v>1</v>
      </c>
    </row>
    <row r="17" customFormat="false" ht="15" hidden="false" customHeight="false" outlineLevel="2" collapsed="false">
      <c r="A17" s="127" t="n">
        <f aca="false">IF(IFERROR(INDEX(tsk_Name,GanttView[[#This Row],[_Row]])="",TRUE()),"",INDEX(tsk_ID,GanttView[[#This Row],[_Row]]))</f>
        <v>12</v>
      </c>
      <c r="B17" s="127" t="str">
        <f aca="false">IF(IFERROR(INDEX(tsk_Name,GanttView[[#This Row],[_Row]])="",TRUE()),"",INDEX(tsk_WBS,GanttView[[#This Row],[_Row]]))</f>
        <v>3.1.1</v>
      </c>
      <c r="C17" s="128" t="str">
        <f aca="false">IF(IFERROR(INDEX(tsk_Name,GanttView[[#This Row],[_Row]])="",TRUE()),"",REPT("    ",INDEX(tsk_Level,GanttView[[#This Row],[_Row]])-1)&amp;INDEX(tsk_Name,GanttView[[#This Row],[_Row]]))</f>
        <v>        Data model &amp; database setup</v>
      </c>
      <c r="D17" s="127" t="n">
        <f aca="false">IF(IFERROR(INDEX(tsk_Name,GanttView[[#This Row],[_Row]])="",TRUE()),"",IF(INDEX(tsk_IsSummary,GanttView[[#This Row],[_Row]]),NETWORKDAYS.INTL(INDEX(tsk_FcStart,GanttView[[#This Row],[_Row]]),INDEX(tsk_FcFinish,GanttView[[#This Row],[_Row]]),WorkWeek,Holidays),N(INDEX(tsk_Duration,GanttView[[#This Row],[_Row]]))))</f>
        <v>5</v>
      </c>
      <c r="E17" s="129" t="n">
        <f aca="false">IF(IFERROR(INDEX(tsk_Name,GanttView[[#This Row],[_Row]])="",TRUE()),"",INDEX(tsk_PlanStart,GanttView[[#This Row],[_Row]]))</f>
        <v>46297</v>
      </c>
      <c r="F17" s="129" t="n">
        <f aca="false">IF(IFERROR(INDEX(tsk_Name,GanttView[[#This Row],[_Row]])="",TRUE()),"",INDEX(tsk_PlanFinish,GanttView[[#This Row],[_Row]]))</f>
        <v>46303</v>
      </c>
      <c r="G17" s="129" t="n">
        <f aca="false">IF(IFERROR(INDEX(tsk_Name,GanttView[[#This Row],[_Row]])="",TRUE()),"",INDEX(tsk_FcStart,GanttView[[#This Row],[_Row]]))</f>
        <v>46302</v>
      </c>
      <c r="H17" s="129" t="n">
        <f aca="false">IF(IFERROR(INDEX(tsk_Name,GanttView[[#This Row],[_Row]])="",TRUE()),"",INDEX(tsk_FcFinish,GanttView[[#This Row],[_Row]]))</f>
        <v>46309</v>
      </c>
      <c r="I17" s="130" t="n">
        <f aca="false">IF(IFERROR(INDEX(tsk_Name,GanttView[[#This Row],[_Row]])="",TRUE()),"",INDEX(tsk_Progress,GanttView[[#This Row],[_Row]]))</f>
        <v>1</v>
      </c>
      <c r="J17" s="128" t="str">
        <f aca="false">IF(IFERROR(INDEX(tsk_Name,GanttView[[#This Row],[_Row]])="",TRUE()),"",INDEX(tsk_ResourceNames,GanttView[[#This Row],[_Row]])&amp;"")</f>
        <v>Jordan Lee</v>
      </c>
      <c r="K17" s="131" t="str">
        <f aca="false">IF(IFERROR(INDEX(tsk_Name,GanttView[[#This Row],[_Row]])="",TRUE()),"",INDEX(tsk_Status,GanttView[[#This Row],[_Row]]))</f>
        <v>Complete</v>
      </c>
      <c r="L17" s="131" t="str">
        <f aca="false">IF(IFERROR(INDEX(tsk_Name,GanttView[[#This Row],[_Row]])="",TRUE()),"",INDEX(tsk_Show,GanttView[[#This Row],[_Row]])&amp;"")</f>
        <v>Yes</v>
      </c>
      <c r="M17" s="132" t="n">
        <f aca="false">ROW()-ROW(GanttView[[#Headers],[ID]])</f>
        <v>12</v>
      </c>
      <c r="N17" s="133" t="b">
        <f aca="false">IF(IFERROR(INDEX(tsk_Name,GanttView[[#This Row],[_Row]])="",TRUE()),FALSE(),INDEX(tsk_IsSummary,GanttView[[#This Row],[_Row]]))</f>
        <v>0</v>
      </c>
      <c r="O17" s="133" t="b">
        <f aca="false">IF(IFERROR(INDEX(tsk_Name,GanttView[[#This Row],[_Row]])="",TRUE()),FALSE(),AND(INDEX(tsk_IsLeaf,GanttView[[#This Row],[_Row]])=1,N(INDEX(tsk_Duration,GanttView[[#This Row],[_Row]]))=0))</f>
        <v>0</v>
      </c>
      <c r="P17" s="134" t="n">
        <f aca="false">IF(IFERROR(INDEX(tsk_Name,GanttView[[#This Row],[_Row]])="",TRUE()),0,IF(AND(INDEX(tsk_IsLeaf,GanttView[[#This Row],[_Row]])=1,NOT(GanttView[[#This Row],[_IsMilestone]]),N(GanttView[[#This Row],[%]])&gt;0),GanttView[[#This Row],[Forecast Start]],0))</f>
        <v>46302</v>
      </c>
      <c r="Q17" s="134" t="n">
        <f aca="false">IF(GanttView[[#This Row],[_DoneFrom]]=0,0,IF(GanttView[[#This Row],[%]]&gt;=1,GanttView[[#This Row],[Forecast Finish]],MAX(GanttView[[#This Row],[_DoneFrom]],GanttView[[#This Row],[Forecast Start]]+ROUND((GanttView[[#This Row],[Forecast Finish]]-GanttView[[#This Row],[Forecast Start]]+1)*GanttView[[#This Row],[%]],0)-1)))</f>
        <v>46309</v>
      </c>
      <c r="R17" s="134" t="n">
        <f aca="false">IF(IFERROR(INDEX(tsk_Name,GanttView[[#This Row],[_Row]])="",TRUE()),0,IF(OR(INDEX(tsk_IsLeaf,GanttView[[#This Row],[_Row]])&lt;&gt;1,GanttView[[#This Row],[_IsMilestone]],N(GanttView[[#This Row],[%]])&gt;=1),0,IF(GanttView[[#This Row],[_DoneTo]]&gt;0,GanttView[[#This Row],[_DoneTo]]+1,GanttView[[#This Row],[Forecast Start]])))</f>
        <v>0</v>
      </c>
      <c r="S17" s="134" t="n">
        <f aca="false">IF(GanttView[[#This Row],[_RemFrom]]=0,0,GanttView[[#This Row],[Forecast Finish]])</f>
        <v>0</v>
      </c>
      <c r="T17" s="133" t="b">
        <f aca="false">IF(IFERROR(INDEX(tsk_Name,GanttView[[#This Row],[_Row]])="",TRUE()),FALSE(),N(INDEX(tsk_Variance,GanttView[[#This Row],[_Row]]))&gt;0)</f>
        <v>1</v>
      </c>
      <c r="U17" s="134" t="n">
        <f aca="false">IF(IFERROR(INDEX(tsk_Name,GanttView[[#This Row],[_Row]])="",TRUE()),0,N(INDEX(tsk_Deadline,GanttView[[#This Row],[_Row]])))</f>
        <v>0</v>
      </c>
      <c r="V17" s="133" t="b">
        <f aca="false">IF(IFERROR(INDEX(tsk_Name,GanttView[[#This Row],[_Row]])="",TRUE()),FALSE(),INDEX(tsk_Critical,GanttView[[#This Row],[_Row]])="Yes")</f>
        <v>0</v>
      </c>
    </row>
    <row r="18" customFormat="false" ht="15" hidden="false" customHeight="false" outlineLevel="2" collapsed="false">
      <c r="A18" s="127" t="n">
        <f aca="false">IF(IFERROR(INDEX(tsk_Name,GanttView[[#This Row],[_Row]])="",TRUE()),"",INDEX(tsk_ID,GanttView[[#This Row],[_Row]]))</f>
        <v>13</v>
      </c>
      <c r="B18" s="127" t="str">
        <f aca="false">IF(IFERROR(INDEX(tsk_Name,GanttView[[#This Row],[_Row]])="",TRUE()),"",INDEX(tsk_WBS,GanttView[[#This Row],[_Row]]))</f>
        <v>3.1.2</v>
      </c>
      <c r="C18" s="128" t="str">
        <f aca="false">IF(IFERROR(INDEX(tsk_Name,GanttView[[#This Row],[_Row]])="",TRUE()),"",REPT("    ",INDEX(tsk_Level,GanttView[[#This Row],[_Row]])-1)&amp;INDEX(tsk_Name,GanttView[[#This Row],[_Row]]))</f>
        <v>        Core API endpoints</v>
      </c>
      <c r="D18" s="127" t="n">
        <f aca="false">IF(IFERROR(INDEX(tsk_Name,GanttView[[#This Row],[_Row]])="",TRUE()),"",IF(INDEX(tsk_IsSummary,GanttView[[#This Row],[_Row]]),NETWORKDAYS.INTL(INDEX(tsk_FcStart,GanttView[[#This Row],[_Row]]),INDEX(tsk_FcFinish,GanttView[[#This Row],[_Row]]),WorkWeek,Holidays),N(INDEX(tsk_Duration,GanttView[[#This Row],[_Row]]))))</f>
        <v>10</v>
      </c>
      <c r="E18" s="129" t="n">
        <f aca="false">IF(IFERROR(INDEX(tsk_Name,GanttView[[#This Row],[_Row]])="",TRUE()),"",INDEX(tsk_PlanStart,GanttView[[#This Row],[_Row]]))</f>
        <v>46304</v>
      </c>
      <c r="F18" s="129" t="n">
        <f aca="false">IF(IFERROR(INDEX(tsk_Name,GanttView[[#This Row],[_Row]])="",TRUE()),"",INDEX(tsk_PlanFinish,GanttView[[#This Row],[_Row]]))</f>
        <v>46317</v>
      </c>
      <c r="G18" s="129" t="n">
        <f aca="false">IF(IFERROR(INDEX(tsk_Name,GanttView[[#This Row],[_Row]])="",TRUE()),"",INDEX(tsk_FcStart,GanttView[[#This Row],[_Row]]))</f>
        <v>46310</v>
      </c>
      <c r="H18" s="129" t="n">
        <f aca="false">IF(IFERROR(INDEX(tsk_Name,GanttView[[#This Row],[_Row]])="",TRUE()),"",INDEX(tsk_FcFinish,GanttView[[#This Row],[_Row]]))</f>
        <v>46325</v>
      </c>
      <c r="I18" s="130" t="n">
        <f aca="false">IF(IFERROR(INDEX(tsk_Name,GanttView[[#This Row],[_Row]])="",TRUE()),"",INDEX(tsk_Progress,GanttView[[#This Row],[_Row]]))</f>
        <v>0.5</v>
      </c>
      <c r="J18" s="128" t="str">
        <f aca="false">IF(IFERROR(INDEX(tsk_Name,GanttView[[#This Row],[_Row]])="",TRUE()),"",INDEX(tsk_ResourceNames,GanttView[[#This Row],[_Row]])&amp;"")</f>
        <v>Jordan Lee</v>
      </c>
      <c r="K18" s="131" t="str">
        <f aca="false">IF(IFERROR(INDEX(tsk_Name,GanttView[[#This Row],[_Row]])="",TRUE()),"",INDEX(tsk_Status,GanttView[[#This Row],[_Row]]))</f>
        <v>Behind</v>
      </c>
      <c r="L18" s="131" t="str">
        <f aca="false">IF(IFERROR(INDEX(tsk_Name,GanttView[[#This Row],[_Row]])="",TRUE()),"",INDEX(tsk_Show,GanttView[[#This Row],[_Row]])&amp;"")</f>
        <v>Yes</v>
      </c>
      <c r="M18" s="132" t="n">
        <f aca="false">ROW()-ROW(GanttView[[#Headers],[ID]])</f>
        <v>13</v>
      </c>
      <c r="N18" s="133" t="b">
        <f aca="false">IF(IFERROR(INDEX(tsk_Name,GanttView[[#This Row],[_Row]])="",TRUE()),FALSE(),INDEX(tsk_IsSummary,GanttView[[#This Row],[_Row]]))</f>
        <v>0</v>
      </c>
      <c r="O18" s="133" t="b">
        <f aca="false">IF(IFERROR(INDEX(tsk_Name,GanttView[[#This Row],[_Row]])="",TRUE()),FALSE(),AND(INDEX(tsk_IsLeaf,GanttView[[#This Row],[_Row]])=1,N(INDEX(tsk_Duration,GanttView[[#This Row],[_Row]]))=0))</f>
        <v>0</v>
      </c>
      <c r="P18" s="134" t="n">
        <f aca="false">IF(IFERROR(INDEX(tsk_Name,GanttView[[#This Row],[_Row]])="",TRUE()),0,IF(AND(INDEX(tsk_IsLeaf,GanttView[[#This Row],[_Row]])=1,NOT(GanttView[[#This Row],[_IsMilestone]]),N(GanttView[[#This Row],[%]])&gt;0),GanttView[[#This Row],[Forecast Start]],0))</f>
        <v>46310</v>
      </c>
      <c r="Q18" s="134" t="n">
        <f aca="false">IF(GanttView[[#This Row],[_DoneFrom]]=0,0,IF(GanttView[[#This Row],[%]]&gt;=1,GanttView[[#This Row],[Forecast Finish]],MAX(GanttView[[#This Row],[_DoneFrom]],GanttView[[#This Row],[Forecast Start]]+ROUND((GanttView[[#This Row],[Forecast Finish]]-GanttView[[#This Row],[Forecast Start]]+1)*GanttView[[#This Row],[%]],0)-1)))</f>
        <v>46317</v>
      </c>
      <c r="R18" s="134" t="n">
        <f aca="false">IF(IFERROR(INDEX(tsk_Name,GanttView[[#This Row],[_Row]])="",TRUE()),0,IF(OR(INDEX(tsk_IsLeaf,GanttView[[#This Row],[_Row]])&lt;&gt;1,GanttView[[#This Row],[_IsMilestone]],N(GanttView[[#This Row],[%]])&gt;=1),0,IF(GanttView[[#This Row],[_DoneTo]]&gt;0,GanttView[[#This Row],[_DoneTo]]+1,GanttView[[#This Row],[Forecast Start]])))</f>
        <v>46318</v>
      </c>
      <c r="S18" s="134" t="n">
        <f aca="false">IF(GanttView[[#This Row],[_RemFrom]]=0,0,GanttView[[#This Row],[Forecast Finish]])</f>
        <v>46325</v>
      </c>
      <c r="T18" s="133" t="b">
        <f aca="false">IF(IFERROR(INDEX(tsk_Name,GanttView[[#This Row],[_Row]])="",TRUE()),FALSE(),N(INDEX(tsk_Variance,GanttView[[#This Row],[_Row]]))&gt;0)</f>
        <v>1</v>
      </c>
      <c r="U18" s="134" t="n">
        <f aca="false">IF(IFERROR(INDEX(tsk_Name,GanttView[[#This Row],[_Row]])="",TRUE()),0,N(INDEX(tsk_Deadline,GanttView[[#This Row],[_Row]])))</f>
        <v>0</v>
      </c>
      <c r="V18" s="133" t="b">
        <f aca="false">IF(IFERROR(INDEX(tsk_Name,GanttView[[#This Row],[_Row]])="",TRUE()),FALSE(),INDEX(tsk_Critical,GanttView[[#This Row],[_Row]])="Yes")</f>
        <v>1</v>
      </c>
    </row>
    <row r="19" customFormat="false" ht="15" hidden="false" customHeight="false" outlineLevel="2" collapsed="false">
      <c r="A19" s="127" t="n">
        <f aca="false">IF(IFERROR(INDEX(tsk_Name,GanttView[[#This Row],[_Row]])="",TRUE()),"",INDEX(tsk_ID,GanttView[[#This Row],[_Row]]))</f>
        <v>14</v>
      </c>
      <c r="B19" s="127" t="str">
        <f aca="false">IF(IFERROR(INDEX(tsk_Name,GanttView[[#This Row],[_Row]])="",TRUE()),"",INDEX(tsk_WBS,GanttView[[#This Row],[_Row]]))</f>
        <v>3.1.3</v>
      </c>
      <c r="C19" s="128" t="str">
        <f aca="false">IF(IFERROR(INDEX(tsk_Name,GanttView[[#This Row],[_Row]])="",TRUE()),"",REPT("    ",INDEX(tsk_Level,GanttView[[#This Row],[_Row]])-1)&amp;INDEX(tsk_Name,GanttView[[#This Row],[_Row]]))</f>
        <v>        Payment gateway integration</v>
      </c>
      <c r="D19" s="127" t="n">
        <f aca="false">IF(IFERROR(INDEX(tsk_Name,GanttView[[#This Row],[_Row]])="",TRUE()),"",IF(INDEX(tsk_IsSummary,GanttView[[#This Row],[_Row]]),NETWORKDAYS.INTL(INDEX(tsk_FcStart,GanttView[[#This Row],[_Row]]),INDEX(tsk_FcFinish,GanttView[[#This Row],[_Row]]),WorkWeek,Holidays),N(INDEX(tsk_Duration,GanttView[[#This Row],[_Row]]))))</f>
        <v>6</v>
      </c>
      <c r="E19" s="129" t="n">
        <f aca="false">IF(IFERROR(INDEX(tsk_Name,GanttView[[#This Row],[_Row]])="",TRUE()),"",INDEX(tsk_PlanStart,GanttView[[#This Row],[_Row]]))</f>
        <v>46318</v>
      </c>
      <c r="F19" s="129" t="n">
        <f aca="false">IF(IFERROR(INDEX(tsk_Name,GanttView[[#This Row],[_Row]])="",TRUE()),"",INDEX(tsk_PlanFinish,GanttView[[#This Row],[_Row]]))</f>
        <v>46325</v>
      </c>
      <c r="G19" s="129" t="n">
        <f aca="false">IF(IFERROR(INDEX(tsk_Name,GanttView[[#This Row],[_Row]])="",TRUE()),"",INDEX(tsk_FcStart,GanttView[[#This Row],[_Row]]))</f>
        <v>46328</v>
      </c>
      <c r="H19" s="129" t="n">
        <f aca="false">IF(IFERROR(INDEX(tsk_Name,GanttView[[#This Row],[_Row]])="",TRUE()),"",INDEX(tsk_FcFinish,GanttView[[#This Row],[_Row]]))</f>
        <v>46335</v>
      </c>
      <c r="I19" s="130" t="n">
        <f aca="false">IF(IFERROR(INDEX(tsk_Name,GanttView[[#This Row],[_Row]])="",TRUE()),"",INDEX(tsk_Progress,GanttView[[#This Row],[_Row]]))</f>
        <v>0</v>
      </c>
      <c r="J19" s="128" t="str">
        <f aca="false">IF(IFERROR(INDEX(tsk_Name,GanttView[[#This Row],[_Row]])="",TRUE()),"",INDEX(tsk_ResourceNames,GanttView[[#This Row],[_Row]])&amp;"")</f>
        <v>Jordan Lee</v>
      </c>
      <c r="K19" s="131" t="str">
        <f aca="false">IF(IFERROR(INDEX(tsk_Name,GanttView[[#This Row],[_Row]])="",TRUE()),"",INDEX(tsk_Status,GanttView[[#This Row],[_Row]]))</f>
        <v>Late Start</v>
      </c>
      <c r="L19" s="131" t="str">
        <f aca="false">IF(IFERROR(INDEX(tsk_Name,GanttView[[#This Row],[_Row]])="",TRUE()),"",INDEX(tsk_Show,GanttView[[#This Row],[_Row]])&amp;"")</f>
        <v>Yes</v>
      </c>
      <c r="M19" s="132" t="n">
        <f aca="false">ROW()-ROW(GanttView[[#Headers],[ID]])</f>
        <v>14</v>
      </c>
      <c r="N19" s="133" t="b">
        <f aca="false">IF(IFERROR(INDEX(tsk_Name,GanttView[[#This Row],[_Row]])="",TRUE()),FALSE(),INDEX(tsk_IsSummary,GanttView[[#This Row],[_Row]]))</f>
        <v>0</v>
      </c>
      <c r="O19" s="133" t="b">
        <f aca="false">IF(IFERROR(INDEX(tsk_Name,GanttView[[#This Row],[_Row]])="",TRUE()),FALSE(),AND(INDEX(tsk_IsLeaf,GanttView[[#This Row],[_Row]])=1,N(INDEX(tsk_Duration,GanttView[[#This Row],[_Row]]))=0))</f>
        <v>0</v>
      </c>
      <c r="P19" s="134" t="n">
        <f aca="false">IF(IFERROR(INDEX(tsk_Name,GanttView[[#This Row],[_Row]])="",TRUE()),0,IF(AND(INDEX(tsk_IsLeaf,GanttView[[#This Row],[_Row]])=1,NOT(GanttView[[#This Row],[_IsMilestone]]),N(GanttView[[#This Row],[%]])&gt;0),GanttView[[#This Row],[Forecast Start]],0))</f>
        <v>0</v>
      </c>
      <c r="Q19" s="134" t="n">
        <f aca="false">IF(GanttView[[#This Row],[_DoneFrom]]=0,0,IF(GanttView[[#This Row],[%]]&gt;=1,GanttView[[#This Row],[Forecast Finish]],MAX(GanttView[[#This Row],[_DoneFrom]],GanttView[[#This Row],[Forecast Start]]+ROUND((GanttView[[#This Row],[Forecast Finish]]-GanttView[[#This Row],[Forecast Start]]+1)*GanttView[[#This Row],[%]],0)-1)))</f>
        <v>0</v>
      </c>
      <c r="R19" s="134" t="n">
        <f aca="false">IF(IFERROR(INDEX(tsk_Name,GanttView[[#This Row],[_Row]])="",TRUE()),0,IF(OR(INDEX(tsk_IsLeaf,GanttView[[#This Row],[_Row]])&lt;&gt;1,GanttView[[#This Row],[_IsMilestone]],N(GanttView[[#This Row],[%]])&gt;=1),0,IF(GanttView[[#This Row],[_DoneTo]]&gt;0,GanttView[[#This Row],[_DoneTo]]+1,GanttView[[#This Row],[Forecast Start]])))</f>
        <v>46328</v>
      </c>
      <c r="S19" s="134" t="n">
        <f aca="false">IF(GanttView[[#This Row],[_RemFrom]]=0,0,GanttView[[#This Row],[Forecast Finish]])</f>
        <v>46335</v>
      </c>
      <c r="T19" s="133" t="b">
        <f aca="false">IF(IFERROR(INDEX(tsk_Name,GanttView[[#This Row],[_Row]])="",TRUE()),FALSE(),N(INDEX(tsk_Variance,GanttView[[#This Row],[_Row]]))&gt;0)</f>
        <v>1</v>
      </c>
      <c r="U19" s="134" t="n">
        <f aca="false">IF(IFERROR(INDEX(tsk_Name,GanttView[[#This Row],[_Row]])="",TRUE()),0,N(INDEX(tsk_Deadline,GanttView[[#This Row],[_Row]])))</f>
        <v>0</v>
      </c>
      <c r="V19" s="133" t="b">
        <f aca="false">IF(IFERROR(INDEX(tsk_Name,GanttView[[#This Row],[_Row]])="",TRUE()),FALSE(),INDEX(tsk_Critical,GanttView[[#This Row],[_Row]])="Yes")</f>
        <v>1</v>
      </c>
    </row>
    <row r="20" customFormat="false" ht="15" hidden="false" customHeight="false" outlineLevel="1" collapsed="false">
      <c r="A20" s="127" t="n">
        <f aca="false">IF(IFERROR(INDEX(tsk_Name,GanttView[[#This Row],[_Row]])="",TRUE()),"",INDEX(tsk_ID,GanttView[[#This Row],[_Row]]))</f>
        <v>15</v>
      </c>
      <c r="B20" s="127" t="str">
        <f aca="false">IF(IFERROR(INDEX(tsk_Name,GanttView[[#This Row],[_Row]])="",TRUE()),"",INDEX(tsk_WBS,GanttView[[#This Row],[_Row]]))</f>
        <v>3.2</v>
      </c>
      <c r="C20" s="128" t="str">
        <f aca="false">IF(IFERROR(INDEX(tsk_Name,GanttView[[#This Row],[_Row]])="",TRUE()),"",REPT("    ",INDEX(tsk_Level,GanttView[[#This Row],[_Row]])-1)&amp;INDEX(tsk_Name,GanttView[[#This Row],[_Row]]))</f>
        <v>    Frontend</v>
      </c>
      <c r="D20" s="127" t="n">
        <f aca="false">IF(IFERROR(INDEX(tsk_Name,GanttView[[#This Row],[_Row]])="",TRUE()),"",IF(INDEX(tsk_IsSummary,GanttView[[#This Row],[_Row]]),NETWORKDAYS.INTL(INDEX(tsk_FcStart,GanttView[[#This Row],[_Row]]),INDEX(tsk_FcFinish,GanttView[[#This Row],[_Row]]),WorkWeek,Holidays),N(INDEX(tsk_Duration,GanttView[[#This Row],[_Row]]))))</f>
        <v>23</v>
      </c>
      <c r="E20" s="129" t="n">
        <f aca="false">IF(IFERROR(INDEX(tsk_Name,GanttView[[#This Row],[_Row]])="",TRUE()),"",INDEX(tsk_PlanStart,GanttView[[#This Row],[_Row]]))</f>
        <v>46297</v>
      </c>
      <c r="F20" s="129" t="n">
        <f aca="false">IF(IFERROR(INDEX(tsk_Name,GanttView[[#This Row],[_Row]])="",TRUE()),"",INDEX(tsk_PlanFinish,GanttView[[#This Row],[_Row]]))</f>
        <v>46324</v>
      </c>
      <c r="G20" s="129" t="n">
        <f aca="false">IF(IFERROR(INDEX(tsk_Name,GanttView[[#This Row],[_Row]])="",TRUE()),"",INDEX(tsk_FcStart,GanttView[[#This Row],[_Row]]))</f>
        <v>46302</v>
      </c>
      <c r="H20" s="129" t="n">
        <f aca="false">IF(IFERROR(INDEX(tsk_Name,GanttView[[#This Row],[_Row]])="",TRUE()),"",INDEX(tsk_FcFinish,GanttView[[#This Row],[_Row]]))</f>
        <v>46332</v>
      </c>
      <c r="I20" s="130" t="n">
        <f aca="false">IF(IFERROR(INDEX(tsk_Name,GanttView[[#This Row],[_Row]])="",TRUE()),"",INDEX(tsk_Progress,GanttView[[#This Row],[_Row]]))</f>
        <v>0.428571428571429</v>
      </c>
      <c r="J20" s="128" t="str">
        <f aca="false">IF(IFERROR(INDEX(tsk_Name,GanttView[[#This Row],[_Row]])="",TRUE()),"",INDEX(tsk_ResourceNames,GanttView[[#This Row],[_Row]])&amp;"")</f>
        <v/>
      </c>
      <c r="K20" s="131" t="str">
        <f aca="false">IF(IFERROR(INDEX(tsk_Name,GanttView[[#This Row],[_Row]])="",TRUE()),"",INDEX(tsk_Status,GanttView[[#This Row],[_Row]]))</f>
        <v>Behind</v>
      </c>
      <c r="L20" s="131" t="str">
        <f aca="false">IF(IFERROR(INDEX(tsk_Name,GanttView[[#This Row],[_Row]])="",TRUE()),"",INDEX(tsk_Show,GanttView[[#This Row],[_Row]])&amp;"")</f>
        <v>Yes</v>
      </c>
      <c r="M20" s="132" t="n">
        <f aca="false">ROW()-ROW(GanttView[[#Headers],[ID]])</f>
        <v>15</v>
      </c>
      <c r="N20" s="133" t="b">
        <f aca="false">IF(IFERROR(INDEX(tsk_Name,GanttView[[#This Row],[_Row]])="",TRUE()),FALSE(),INDEX(tsk_IsSummary,GanttView[[#This Row],[_Row]]))</f>
        <v>1</v>
      </c>
      <c r="O20" s="133" t="b">
        <f aca="false">IF(IFERROR(INDEX(tsk_Name,GanttView[[#This Row],[_Row]])="",TRUE()),FALSE(),AND(INDEX(tsk_IsLeaf,GanttView[[#This Row],[_Row]])=1,N(INDEX(tsk_Duration,GanttView[[#This Row],[_Row]]))=0))</f>
        <v>0</v>
      </c>
      <c r="P20" s="134" t="n">
        <f aca="false">IF(IFERROR(INDEX(tsk_Name,GanttView[[#This Row],[_Row]])="",TRUE()),0,IF(AND(INDEX(tsk_IsLeaf,GanttView[[#This Row],[_Row]])=1,NOT(GanttView[[#This Row],[_IsMilestone]]),N(GanttView[[#This Row],[%]])&gt;0),GanttView[[#This Row],[Forecast Start]],0))</f>
        <v>0</v>
      </c>
      <c r="Q20" s="134" t="n">
        <f aca="false">IF(GanttView[[#This Row],[_DoneFrom]]=0,0,IF(GanttView[[#This Row],[%]]&gt;=1,GanttView[[#This Row],[Forecast Finish]],MAX(GanttView[[#This Row],[_DoneFrom]],GanttView[[#This Row],[Forecast Start]]+ROUND((GanttView[[#This Row],[Forecast Finish]]-GanttView[[#This Row],[Forecast Start]]+1)*GanttView[[#This Row],[%]],0)-1)))</f>
        <v>0</v>
      </c>
      <c r="R20" s="134" t="n">
        <f aca="false">IF(IFERROR(INDEX(tsk_Name,GanttView[[#This Row],[_Row]])="",TRUE()),0,IF(OR(INDEX(tsk_IsLeaf,GanttView[[#This Row],[_Row]])&lt;&gt;1,GanttView[[#This Row],[_IsMilestone]],N(GanttView[[#This Row],[%]])&gt;=1),0,IF(GanttView[[#This Row],[_DoneTo]]&gt;0,GanttView[[#This Row],[_DoneTo]]+1,GanttView[[#This Row],[Forecast Start]])))</f>
        <v>0</v>
      </c>
      <c r="S20" s="134" t="n">
        <f aca="false">IF(GanttView[[#This Row],[_RemFrom]]=0,0,GanttView[[#This Row],[Forecast Finish]])</f>
        <v>0</v>
      </c>
      <c r="T20" s="133" t="b">
        <f aca="false">IF(IFERROR(INDEX(tsk_Name,GanttView[[#This Row],[_Row]])="",TRUE()),FALSE(),N(INDEX(tsk_Variance,GanttView[[#This Row],[_Row]]))&gt;0)</f>
        <v>1</v>
      </c>
      <c r="U20" s="134" t="n">
        <f aca="false">IF(IFERROR(INDEX(tsk_Name,GanttView[[#This Row],[_Row]])="",TRUE()),0,N(INDEX(tsk_Deadline,GanttView[[#This Row],[_Row]])))</f>
        <v>0</v>
      </c>
      <c r="V20" s="133" t="b">
        <f aca="false">IF(IFERROR(INDEX(tsk_Name,GanttView[[#This Row],[_Row]])="",TRUE()),FALSE(),INDEX(tsk_Critical,GanttView[[#This Row],[_Row]])="Yes")</f>
        <v>1</v>
      </c>
    </row>
    <row r="21" customFormat="false" ht="15" hidden="false" customHeight="false" outlineLevel="2" collapsed="false">
      <c r="A21" s="127" t="n">
        <f aca="false">IF(IFERROR(INDEX(tsk_Name,GanttView[[#This Row],[_Row]])="",TRUE()),"",INDEX(tsk_ID,GanttView[[#This Row],[_Row]]))</f>
        <v>16</v>
      </c>
      <c r="B21" s="127" t="str">
        <f aca="false">IF(IFERROR(INDEX(tsk_Name,GanttView[[#This Row],[_Row]])="",TRUE()),"",INDEX(tsk_WBS,GanttView[[#This Row],[_Row]]))</f>
        <v>3.2.1</v>
      </c>
      <c r="C21" s="128" t="str">
        <f aca="false">IF(IFERROR(INDEX(tsk_Name,GanttView[[#This Row],[_Row]])="",TRUE()),"",REPT("    ",INDEX(tsk_Level,GanttView[[#This Row],[_Row]])-1)&amp;INDEX(tsk_Name,GanttView[[#This Row],[_Row]]))</f>
        <v>        UI component library</v>
      </c>
      <c r="D21" s="127" t="n">
        <f aca="false">IF(IFERROR(INDEX(tsk_Name,GanttView[[#This Row],[_Row]])="",TRUE()),"",IF(INDEX(tsk_IsSummary,GanttView[[#This Row],[_Row]]),NETWORKDAYS.INTL(INDEX(tsk_FcStart,GanttView[[#This Row],[_Row]]),INDEX(tsk_FcFinish,GanttView[[#This Row],[_Row]]),WorkWeek,Holidays),N(INDEX(tsk_Duration,GanttView[[#This Row],[_Row]]))))</f>
        <v>6</v>
      </c>
      <c r="E21" s="129" t="n">
        <f aca="false">IF(IFERROR(INDEX(tsk_Name,GanttView[[#This Row],[_Row]])="",TRUE()),"",INDEX(tsk_PlanStart,GanttView[[#This Row],[_Row]]))</f>
        <v>46297</v>
      </c>
      <c r="F21" s="129" t="n">
        <f aca="false">IF(IFERROR(INDEX(tsk_Name,GanttView[[#This Row],[_Row]])="",TRUE()),"",INDEX(tsk_PlanFinish,GanttView[[#This Row],[_Row]]))</f>
        <v>46304</v>
      </c>
      <c r="G21" s="129" t="n">
        <f aca="false">IF(IFERROR(INDEX(tsk_Name,GanttView[[#This Row],[_Row]])="",TRUE()),"",INDEX(tsk_FcStart,GanttView[[#This Row],[_Row]]))</f>
        <v>46302</v>
      </c>
      <c r="H21" s="129" t="n">
        <f aca="false">IF(IFERROR(INDEX(tsk_Name,GanttView[[#This Row],[_Row]])="",TRUE()),"",INDEX(tsk_FcFinish,GanttView[[#This Row],[_Row]]))</f>
        <v>46311</v>
      </c>
      <c r="I21" s="130" t="n">
        <f aca="false">IF(IFERROR(INDEX(tsk_Name,GanttView[[#This Row],[_Row]])="",TRUE()),"",INDEX(tsk_Progress,GanttView[[#This Row],[_Row]]))</f>
        <v>1</v>
      </c>
      <c r="J21" s="128" t="str">
        <f aca="false">IF(IFERROR(INDEX(tsk_Name,GanttView[[#This Row],[_Row]])="",TRUE()),"",INDEX(tsk_ResourceNames,GanttView[[#This Row],[_Row]])&amp;"")</f>
        <v>Sam Rivera</v>
      </c>
      <c r="K21" s="131" t="str">
        <f aca="false">IF(IFERROR(INDEX(tsk_Name,GanttView[[#This Row],[_Row]])="",TRUE()),"",INDEX(tsk_Status,GanttView[[#This Row],[_Row]]))</f>
        <v>Complete</v>
      </c>
      <c r="L21" s="131" t="str">
        <f aca="false">IF(IFERROR(INDEX(tsk_Name,GanttView[[#This Row],[_Row]])="",TRUE()),"",INDEX(tsk_Show,GanttView[[#This Row],[_Row]])&amp;"")</f>
        <v>Yes</v>
      </c>
      <c r="M21" s="132" t="n">
        <f aca="false">ROW()-ROW(GanttView[[#Headers],[ID]])</f>
        <v>16</v>
      </c>
      <c r="N21" s="133" t="b">
        <f aca="false">IF(IFERROR(INDEX(tsk_Name,GanttView[[#This Row],[_Row]])="",TRUE()),FALSE(),INDEX(tsk_IsSummary,GanttView[[#This Row],[_Row]]))</f>
        <v>0</v>
      </c>
      <c r="O21" s="133" t="b">
        <f aca="false">IF(IFERROR(INDEX(tsk_Name,GanttView[[#This Row],[_Row]])="",TRUE()),FALSE(),AND(INDEX(tsk_IsLeaf,GanttView[[#This Row],[_Row]])=1,N(INDEX(tsk_Duration,GanttView[[#This Row],[_Row]]))=0))</f>
        <v>0</v>
      </c>
      <c r="P21" s="134" t="n">
        <f aca="false">IF(IFERROR(INDEX(tsk_Name,GanttView[[#This Row],[_Row]])="",TRUE()),0,IF(AND(INDEX(tsk_IsLeaf,GanttView[[#This Row],[_Row]])=1,NOT(GanttView[[#This Row],[_IsMilestone]]),N(GanttView[[#This Row],[%]])&gt;0),GanttView[[#This Row],[Forecast Start]],0))</f>
        <v>46302</v>
      </c>
      <c r="Q21" s="134" t="n">
        <f aca="false">IF(GanttView[[#This Row],[_DoneFrom]]=0,0,IF(GanttView[[#This Row],[%]]&gt;=1,GanttView[[#This Row],[Forecast Finish]],MAX(GanttView[[#This Row],[_DoneFrom]],GanttView[[#This Row],[Forecast Start]]+ROUND((GanttView[[#This Row],[Forecast Finish]]-GanttView[[#This Row],[Forecast Start]]+1)*GanttView[[#This Row],[%]],0)-1)))</f>
        <v>46311</v>
      </c>
      <c r="R21" s="134" t="n">
        <f aca="false">IF(IFERROR(INDEX(tsk_Name,GanttView[[#This Row],[_Row]])="",TRUE()),0,IF(OR(INDEX(tsk_IsLeaf,GanttView[[#This Row],[_Row]])&lt;&gt;1,GanttView[[#This Row],[_IsMilestone]],N(GanttView[[#This Row],[%]])&gt;=1),0,IF(GanttView[[#This Row],[_DoneTo]]&gt;0,GanttView[[#This Row],[_DoneTo]]+1,GanttView[[#This Row],[Forecast Start]])))</f>
        <v>0</v>
      </c>
      <c r="S21" s="134" t="n">
        <f aca="false">IF(GanttView[[#This Row],[_RemFrom]]=0,0,GanttView[[#This Row],[Forecast Finish]])</f>
        <v>0</v>
      </c>
      <c r="T21" s="133" t="b">
        <f aca="false">IF(IFERROR(INDEX(tsk_Name,GanttView[[#This Row],[_Row]])="",TRUE()),FALSE(),N(INDEX(tsk_Variance,GanttView[[#This Row],[_Row]]))&gt;0)</f>
        <v>1</v>
      </c>
      <c r="U21" s="134" t="n">
        <f aca="false">IF(IFERROR(INDEX(tsk_Name,GanttView[[#This Row],[_Row]])="",TRUE()),0,N(INDEX(tsk_Deadline,GanttView[[#This Row],[_Row]])))</f>
        <v>0</v>
      </c>
      <c r="V21" s="133" t="b">
        <f aca="false">IF(IFERROR(INDEX(tsk_Name,GanttView[[#This Row],[_Row]])="",TRUE()),FALSE(),INDEX(tsk_Critical,GanttView[[#This Row],[_Row]])="Yes")</f>
        <v>0</v>
      </c>
    </row>
    <row r="22" customFormat="false" ht="15" hidden="false" customHeight="false" outlineLevel="2" collapsed="false">
      <c r="A22" s="127" t="n">
        <f aca="false">IF(IFERROR(INDEX(tsk_Name,GanttView[[#This Row],[_Row]])="",TRUE()),"",INDEX(tsk_ID,GanttView[[#This Row],[_Row]]))</f>
        <v>17</v>
      </c>
      <c r="B22" s="127" t="str">
        <f aca="false">IF(IFERROR(INDEX(tsk_Name,GanttView[[#This Row],[_Row]])="",TRUE()),"",INDEX(tsk_WBS,GanttView[[#This Row],[_Row]]))</f>
        <v>3.2.2</v>
      </c>
      <c r="C22" s="128" t="str">
        <f aca="false">IF(IFERROR(INDEX(tsk_Name,GanttView[[#This Row],[_Row]])="",TRUE()),"",REPT("    ",INDEX(tsk_Level,GanttView[[#This Row],[_Row]])-1)&amp;INDEX(tsk_Name,GanttView[[#This Row],[_Row]]))</f>
        <v>        Feature screens</v>
      </c>
      <c r="D22" s="127" t="n">
        <f aca="false">IF(IFERROR(INDEX(tsk_Name,GanttView[[#This Row],[_Row]])="",TRUE()),"",IF(INDEX(tsk_IsSummary,GanttView[[#This Row],[_Row]]),NETWORKDAYS.INTL(INDEX(tsk_FcStart,GanttView[[#This Row],[_Row]]),INDEX(tsk_FcFinish,GanttView[[#This Row],[_Row]]),WorkWeek,Holidays),N(INDEX(tsk_Duration,GanttView[[#This Row],[_Row]]))))</f>
        <v>12</v>
      </c>
      <c r="E22" s="129" t="n">
        <f aca="false">IF(IFERROR(INDEX(tsk_Name,GanttView[[#This Row],[_Row]])="",TRUE()),"",INDEX(tsk_PlanStart,GanttView[[#This Row],[_Row]]))</f>
        <v>46308</v>
      </c>
      <c r="F22" s="129" t="n">
        <f aca="false">IF(IFERROR(INDEX(tsk_Name,GanttView[[#This Row],[_Row]])="",TRUE()),"",INDEX(tsk_PlanFinish,GanttView[[#This Row],[_Row]]))</f>
        <v>46323</v>
      </c>
      <c r="G22" s="129" t="n">
        <f aca="false">IF(IFERROR(INDEX(tsk_Name,GanttView[[#This Row],[_Row]])="",TRUE()),"",INDEX(tsk_FcStart,GanttView[[#This Row],[_Row]]))</f>
        <v>46314</v>
      </c>
      <c r="H22" s="129" t="n">
        <f aca="false">IF(IFERROR(INDEX(tsk_Name,GanttView[[#This Row],[_Row]])="",TRUE()),"",INDEX(tsk_FcFinish,GanttView[[#This Row],[_Row]]))</f>
        <v>46331</v>
      </c>
      <c r="I22" s="130" t="n">
        <f aca="false">IF(IFERROR(INDEX(tsk_Name,GanttView[[#This Row],[_Row]])="",TRUE()),"",INDEX(tsk_Progress,GanttView[[#This Row],[_Row]]))</f>
        <v>0.25</v>
      </c>
      <c r="J22" s="128" t="str">
        <f aca="false">IF(IFERROR(INDEX(tsk_Name,GanttView[[#This Row],[_Row]])="",TRUE()),"",INDEX(tsk_ResourceNames,GanttView[[#This Row],[_Row]])&amp;"")</f>
        <v>Sam Rivera, Casey Kim[50%]</v>
      </c>
      <c r="K22" s="131" t="str">
        <f aca="false">IF(IFERROR(INDEX(tsk_Name,GanttView[[#This Row],[_Row]])="",TRUE()),"",INDEX(tsk_Status,GanttView[[#This Row],[_Row]]))</f>
        <v>Behind</v>
      </c>
      <c r="L22" s="131" t="str">
        <f aca="false">IF(IFERROR(INDEX(tsk_Name,GanttView[[#This Row],[_Row]])="",TRUE()),"",INDEX(tsk_Show,GanttView[[#This Row],[_Row]])&amp;"")</f>
        <v>Yes</v>
      </c>
      <c r="M22" s="132" t="n">
        <f aca="false">ROW()-ROW(GanttView[[#Headers],[ID]])</f>
        <v>17</v>
      </c>
      <c r="N22" s="133" t="b">
        <f aca="false">IF(IFERROR(INDEX(tsk_Name,GanttView[[#This Row],[_Row]])="",TRUE()),FALSE(),INDEX(tsk_IsSummary,GanttView[[#This Row],[_Row]]))</f>
        <v>0</v>
      </c>
      <c r="O22" s="133" t="b">
        <f aca="false">IF(IFERROR(INDEX(tsk_Name,GanttView[[#This Row],[_Row]])="",TRUE()),FALSE(),AND(INDEX(tsk_IsLeaf,GanttView[[#This Row],[_Row]])=1,N(INDEX(tsk_Duration,GanttView[[#This Row],[_Row]]))=0))</f>
        <v>0</v>
      </c>
      <c r="P22" s="134" t="n">
        <f aca="false">IF(IFERROR(INDEX(tsk_Name,GanttView[[#This Row],[_Row]])="",TRUE()),0,IF(AND(INDEX(tsk_IsLeaf,GanttView[[#This Row],[_Row]])=1,NOT(GanttView[[#This Row],[_IsMilestone]]),N(GanttView[[#This Row],[%]])&gt;0),GanttView[[#This Row],[Forecast Start]],0))</f>
        <v>46314</v>
      </c>
      <c r="Q22" s="134" t="n">
        <f aca="false">IF(GanttView[[#This Row],[_DoneFrom]]=0,0,IF(GanttView[[#This Row],[%]]&gt;=1,GanttView[[#This Row],[Forecast Finish]],MAX(GanttView[[#This Row],[_DoneFrom]],GanttView[[#This Row],[Forecast Start]]+ROUND((GanttView[[#This Row],[Forecast Finish]]-GanttView[[#This Row],[Forecast Start]]+1)*GanttView[[#This Row],[%]],0)-1)))</f>
        <v>46318</v>
      </c>
      <c r="R22" s="134" t="n">
        <f aca="false">IF(IFERROR(INDEX(tsk_Name,GanttView[[#This Row],[_Row]])="",TRUE()),0,IF(OR(INDEX(tsk_IsLeaf,GanttView[[#This Row],[_Row]])&lt;&gt;1,GanttView[[#This Row],[_IsMilestone]],N(GanttView[[#This Row],[%]])&gt;=1),0,IF(GanttView[[#This Row],[_DoneTo]]&gt;0,GanttView[[#This Row],[_DoneTo]]+1,GanttView[[#This Row],[Forecast Start]])))</f>
        <v>46319</v>
      </c>
      <c r="S22" s="134" t="n">
        <f aca="false">IF(GanttView[[#This Row],[_RemFrom]]=0,0,GanttView[[#This Row],[Forecast Finish]])</f>
        <v>46331</v>
      </c>
      <c r="T22" s="133" t="b">
        <f aca="false">IF(IFERROR(INDEX(tsk_Name,GanttView[[#This Row],[_Row]])="",TRUE()),FALSE(),N(INDEX(tsk_Variance,GanttView[[#This Row],[_Row]]))&gt;0)</f>
        <v>1</v>
      </c>
      <c r="U22" s="134" t="n">
        <f aca="false">IF(IFERROR(INDEX(tsk_Name,GanttView[[#This Row],[_Row]])="",TRUE()),0,N(INDEX(tsk_Deadline,GanttView[[#This Row],[_Row]])))</f>
        <v>0</v>
      </c>
      <c r="V22" s="133" t="b">
        <f aca="false">IF(IFERROR(INDEX(tsk_Name,GanttView[[#This Row],[_Row]])="",TRUE()),FALSE(),INDEX(tsk_Critical,GanttView[[#This Row],[_Row]])="Yes")</f>
        <v>1</v>
      </c>
    </row>
    <row r="23" customFormat="false" ht="15" hidden="false" customHeight="false" outlineLevel="2" collapsed="false">
      <c r="A23" s="127" t="n">
        <f aca="false">IF(IFERROR(INDEX(tsk_Name,GanttView[[#This Row],[_Row]])="",TRUE()),"",INDEX(tsk_ID,GanttView[[#This Row],[_Row]]))</f>
        <v>18</v>
      </c>
      <c r="B23" s="127" t="str">
        <f aca="false">IF(IFERROR(INDEX(tsk_Name,GanttView[[#This Row],[_Row]])="",TRUE()),"",INDEX(tsk_WBS,GanttView[[#This Row],[_Row]]))</f>
        <v>3.2.3</v>
      </c>
      <c r="C23" s="128" t="str">
        <f aca="false">IF(IFERROR(INDEX(tsk_Name,GanttView[[#This Row],[_Row]])="",TRUE()),"",REPT("    ",INDEX(tsk_Level,GanttView[[#This Row],[_Row]])-1)&amp;INDEX(tsk_Name,GanttView[[#This Row],[_Row]]))</f>
        <v>        Accessibility review</v>
      </c>
      <c r="D23" s="127" t="n">
        <f aca="false">IF(IFERROR(INDEX(tsk_Name,GanttView[[#This Row],[_Row]])="",TRUE()),"",IF(INDEX(tsk_IsSummary,GanttView[[#This Row],[_Row]]),NETWORKDAYS.INTL(INDEX(tsk_FcStart,GanttView[[#This Row],[_Row]]),INDEX(tsk_FcFinish,GanttView[[#This Row],[_Row]]),WorkWeek,Holidays),N(INDEX(tsk_Duration,GanttView[[#This Row],[_Row]]))))</f>
        <v>3</v>
      </c>
      <c r="E23" s="129" t="n">
        <f aca="false">IF(IFERROR(INDEX(tsk_Name,GanttView[[#This Row],[_Row]])="",TRUE()),"",INDEX(tsk_PlanStart,GanttView[[#This Row],[_Row]]))</f>
        <v>46322</v>
      </c>
      <c r="F23" s="129" t="n">
        <f aca="false">IF(IFERROR(INDEX(tsk_Name,GanttView[[#This Row],[_Row]])="",TRUE()),"",INDEX(tsk_PlanFinish,GanttView[[#This Row],[_Row]]))</f>
        <v>46324</v>
      </c>
      <c r="G23" s="129" t="n">
        <f aca="false">IF(IFERROR(INDEX(tsk_Name,GanttView[[#This Row],[_Row]])="",TRUE()),"",INDEX(tsk_FcStart,GanttView[[#This Row],[_Row]]))</f>
        <v>46330</v>
      </c>
      <c r="H23" s="129" t="n">
        <f aca="false">IF(IFERROR(INDEX(tsk_Name,GanttView[[#This Row],[_Row]])="",TRUE()),"",INDEX(tsk_FcFinish,GanttView[[#This Row],[_Row]]))</f>
        <v>46332</v>
      </c>
      <c r="I23" s="130" t="n">
        <f aca="false">IF(IFERROR(INDEX(tsk_Name,GanttView[[#This Row],[_Row]])="",TRUE()),"",INDEX(tsk_Progress,GanttView[[#This Row],[_Row]]))</f>
        <v>0</v>
      </c>
      <c r="J23" s="128" t="str">
        <f aca="false">IF(IFERROR(INDEX(tsk_Name,GanttView[[#This Row],[_Row]])="",TRUE()),"",INDEX(tsk_ResourceNames,GanttView[[#This Row],[_Row]])&amp;"")</f>
        <v>Casey Kim[50%]</v>
      </c>
      <c r="K23" s="131" t="str">
        <f aca="false">IF(IFERROR(INDEX(tsk_Name,GanttView[[#This Row],[_Row]])="",TRUE()),"",INDEX(tsk_Status,GanttView[[#This Row],[_Row]]))</f>
        <v>Not Started</v>
      </c>
      <c r="L23" s="131" t="str">
        <f aca="false">IF(IFERROR(INDEX(tsk_Name,GanttView[[#This Row],[_Row]])="",TRUE()),"",INDEX(tsk_Show,GanttView[[#This Row],[_Row]])&amp;"")</f>
        <v>Yes</v>
      </c>
      <c r="M23" s="132" t="n">
        <f aca="false">ROW()-ROW(GanttView[[#Headers],[ID]])</f>
        <v>18</v>
      </c>
      <c r="N23" s="133" t="b">
        <f aca="false">IF(IFERROR(INDEX(tsk_Name,GanttView[[#This Row],[_Row]])="",TRUE()),FALSE(),INDEX(tsk_IsSummary,GanttView[[#This Row],[_Row]]))</f>
        <v>0</v>
      </c>
      <c r="O23" s="133" t="b">
        <f aca="false">IF(IFERROR(INDEX(tsk_Name,GanttView[[#This Row],[_Row]])="",TRUE()),FALSE(),AND(INDEX(tsk_IsLeaf,GanttView[[#This Row],[_Row]])=1,N(INDEX(tsk_Duration,GanttView[[#This Row],[_Row]]))=0))</f>
        <v>0</v>
      </c>
      <c r="P23" s="134" t="n">
        <f aca="false">IF(IFERROR(INDEX(tsk_Name,GanttView[[#This Row],[_Row]])="",TRUE()),0,IF(AND(INDEX(tsk_IsLeaf,GanttView[[#This Row],[_Row]])=1,NOT(GanttView[[#This Row],[_IsMilestone]]),N(GanttView[[#This Row],[%]])&gt;0),GanttView[[#This Row],[Forecast Start]],0))</f>
        <v>0</v>
      </c>
      <c r="Q23" s="134" t="n">
        <f aca="false">IF(GanttView[[#This Row],[_DoneFrom]]=0,0,IF(GanttView[[#This Row],[%]]&gt;=1,GanttView[[#This Row],[Forecast Finish]],MAX(GanttView[[#This Row],[_DoneFrom]],GanttView[[#This Row],[Forecast Start]]+ROUND((GanttView[[#This Row],[Forecast Finish]]-GanttView[[#This Row],[Forecast Start]]+1)*GanttView[[#This Row],[%]],0)-1)))</f>
        <v>0</v>
      </c>
      <c r="R23" s="134" t="n">
        <f aca="false">IF(IFERROR(INDEX(tsk_Name,GanttView[[#This Row],[_Row]])="",TRUE()),0,IF(OR(INDEX(tsk_IsLeaf,GanttView[[#This Row],[_Row]])&lt;&gt;1,GanttView[[#This Row],[_IsMilestone]],N(GanttView[[#This Row],[%]])&gt;=1),0,IF(GanttView[[#This Row],[_DoneTo]]&gt;0,GanttView[[#This Row],[_DoneTo]]+1,GanttView[[#This Row],[Forecast Start]])))</f>
        <v>46330</v>
      </c>
      <c r="S23" s="134" t="n">
        <f aca="false">IF(GanttView[[#This Row],[_RemFrom]]=0,0,GanttView[[#This Row],[Forecast Finish]])</f>
        <v>46332</v>
      </c>
      <c r="T23" s="133" t="b">
        <f aca="false">IF(IFERROR(INDEX(tsk_Name,GanttView[[#This Row],[_Row]])="",TRUE()),FALSE(),N(INDEX(tsk_Variance,GanttView[[#This Row],[_Row]]))&gt;0)</f>
        <v>1</v>
      </c>
      <c r="U23" s="134" t="n">
        <f aca="false">IF(IFERROR(INDEX(tsk_Name,GanttView[[#This Row],[_Row]])="",TRUE()),0,N(INDEX(tsk_Deadline,GanttView[[#This Row],[_Row]])))</f>
        <v>0</v>
      </c>
      <c r="V23" s="133" t="b">
        <f aca="false">IF(IFERROR(INDEX(tsk_Name,GanttView[[#This Row],[_Row]])="",TRUE()),FALSE(),INDEX(tsk_Critical,GanttView[[#This Row],[_Row]])="Yes")</f>
        <v>1</v>
      </c>
    </row>
    <row r="24" customFormat="false" ht="15" hidden="false" customHeight="false" outlineLevel="1" collapsed="false">
      <c r="A24" s="127" t="n">
        <f aca="false">IF(IFERROR(INDEX(tsk_Name,GanttView[[#This Row],[_Row]])="",TRUE()),"",INDEX(tsk_ID,GanttView[[#This Row],[_Row]]))</f>
        <v>19</v>
      </c>
      <c r="B24" s="127" t="str">
        <f aca="false">IF(IFERROR(INDEX(tsk_Name,GanttView[[#This Row],[_Row]])="",TRUE()),"",INDEX(tsk_WBS,GanttView[[#This Row],[_Row]]))</f>
        <v>3.3</v>
      </c>
      <c r="C24" s="128" t="str">
        <f aca="false">IF(IFERROR(INDEX(tsk_Name,GanttView[[#This Row],[_Row]])="",TRUE()),"",REPT("    ",INDEX(tsk_Level,GanttView[[#This Row],[_Row]])-1)&amp;INDEX(tsk_Name,GanttView[[#This Row],[_Row]]))</f>
        <v>    Build complete</v>
      </c>
      <c r="D24" s="127" t="n">
        <f aca="false">IF(IFERROR(INDEX(tsk_Name,GanttView[[#This Row],[_Row]])="",TRUE()),"",IF(INDEX(tsk_IsSummary,GanttView[[#This Row],[_Row]]),NETWORKDAYS.INTL(INDEX(tsk_FcStart,GanttView[[#This Row],[_Row]]),INDEX(tsk_FcFinish,GanttView[[#This Row],[_Row]]),WorkWeek,Holidays),N(INDEX(tsk_Duration,GanttView[[#This Row],[_Row]]))))</f>
        <v>0</v>
      </c>
      <c r="E24" s="129" t="n">
        <f aca="false">IF(IFERROR(INDEX(tsk_Name,GanttView[[#This Row],[_Row]])="",TRUE()),"",INDEX(tsk_PlanStart,GanttView[[#This Row],[_Row]]))</f>
        <v>46325</v>
      </c>
      <c r="F24" s="129" t="n">
        <f aca="false">IF(IFERROR(INDEX(tsk_Name,GanttView[[#This Row],[_Row]])="",TRUE()),"",INDEX(tsk_PlanFinish,GanttView[[#This Row],[_Row]]))</f>
        <v>46325</v>
      </c>
      <c r="G24" s="129" t="n">
        <f aca="false">IF(IFERROR(INDEX(tsk_Name,GanttView[[#This Row],[_Row]])="",TRUE()),"",INDEX(tsk_FcStart,GanttView[[#This Row],[_Row]]))</f>
        <v>46335</v>
      </c>
      <c r="H24" s="129" t="n">
        <f aca="false">IF(IFERROR(INDEX(tsk_Name,GanttView[[#This Row],[_Row]])="",TRUE()),"",INDEX(tsk_FcFinish,GanttView[[#This Row],[_Row]]))</f>
        <v>46335</v>
      </c>
      <c r="I24" s="130" t="n">
        <f aca="false">IF(IFERROR(INDEX(tsk_Name,GanttView[[#This Row],[_Row]])="",TRUE()),"",INDEX(tsk_Progress,GanttView[[#This Row],[_Row]]))</f>
        <v>0</v>
      </c>
      <c r="J24" s="128" t="str">
        <f aca="false">IF(IFERROR(INDEX(tsk_Name,GanttView[[#This Row],[_Row]])="",TRUE()),"",INDEX(tsk_ResourceNames,GanttView[[#This Row],[_Row]])&amp;"")</f>
        <v/>
      </c>
      <c r="K24" s="131" t="str">
        <f aca="false">IF(IFERROR(INDEX(tsk_Name,GanttView[[#This Row],[_Row]])="",TRUE()),"",INDEX(tsk_Status,GanttView[[#This Row],[_Row]]))</f>
        <v>Not Started</v>
      </c>
      <c r="L24" s="131" t="str">
        <f aca="false">IF(IFERROR(INDEX(tsk_Name,GanttView[[#This Row],[_Row]])="",TRUE()),"",INDEX(tsk_Show,GanttView[[#This Row],[_Row]])&amp;"")</f>
        <v>Yes</v>
      </c>
      <c r="M24" s="132" t="n">
        <f aca="false">ROW()-ROW(GanttView[[#Headers],[ID]])</f>
        <v>19</v>
      </c>
      <c r="N24" s="133" t="b">
        <f aca="false">IF(IFERROR(INDEX(tsk_Name,GanttView[[#This Row],[_Row]])="",TRUE()),FALSE(),INDEX(tsk_IsSummary,GanttView[[#This Row],[_Row]]))</f>
        <v>0</v>
      </c>
      <c r="O24" s="133" t="b">
        <f aca="false">IF(IFERROR(INDEX(tsk_Name,GanttView[[#This Row],[_Row]])="",TRUE()),FALSE(),AND(INDEX(tsk_IsLeaf,GanttView[[#This Row],[_Row]])=1,N(INDEX(tsk_Duration,GanttView[[#This Row],[_Row]]))=0))</f>
        <v>1</v>
      </c>
      <c r="P24" s="134" t="n">
        <f aca="false">IF(IFERROR(INDEX(tsk_Name,GanttView[[#This Row],[_Row]])="",TRUE()),0,IF(AND(INDEX(tsk_IsLeaf,GanttView[[#This Row],[_Row]])=1,NOT(GanttView[[#This Row],[_IsMilestone]]),N(GanttView[[#This Row],[%]])&gt;0),GanttView[[#This Row],[Forecast Start]],0))</f>
        <v>0</v>
      </c>
      <c r="Q24" s="134" t="n">
        <f aca="false">IF(GanttView[[#This Row],[_DoneFrom]]=0,0,IF(GanttView[[#This Row],[%]]&gt;=1,GanttView[[#This Row],[Forecast Finish]],MAX(GanttView[[#This Row],[_DoneFrom]],GanttView[[#This Row],[Forecast Start]]+ROUND((GanttView[[#This Row],[Forecast Finish]]-GanttView[[#This Row],[Forecast Start]]+1)*GanttView[[#This Row],[%]],0)-1)))</f>
        <v>0</v>
      </c>
      <c r="R24" s="134" t="n">
        <f aca="false">IF(IFERROR(INDEX(tsk_Name,GanttView[[#This Row],[_Row]])="",TRUE()),0,IF(OR(INDEX(tsk_IsLeaf,GanttView[[#This Row],[_Row]])&lt;&gt;1,GanttView[[#This Row],[_IsMilestone]],N(GanttView[[#This Row],[%]])&gt;=1),0,IF(GanttView[[#This Row],[_DoneTo]]&gt;0,GanttView[[#This Row],[_DoneTo]]+1,GanttView[[#This Row],[Forecast Start]])))</f>
        <v>0</v>
      </c>
      <c r="S24" s="134" t="n">
        <f aca="false">IF(GanttView[[#This Row],[_RemFrom]]=0,0,GanttView[[#This Row],[Forecast Finish]])</f>
        <v>0</v>
      </c>
      <c r="T24" s="133" t="b">
        <f aca="false">IF(IFERROR(INDEX(tsk_Name,GanttView[[#This Row],[_Row]])="",TRUE()),FALSE(),N(INDEX(tsk_Variance,GanttView[[#This Row],[_Row]]))&gt;0)</f>
        <v>1</v>
      </c>
      <c r="U24" s="134" t="n">
        <f aca="false">IF(IFERROR(INDEX(tsk_Name,GanttView[[#This Row],[_Row]])="",TRUE()),0,N(INDEX(tsk_Deadline,GanttView[[#This Row],[_Row]])))</f>
        <v>46332</v>
      </c>
      <c r="V24" s="133" t="b">
        <f aca="false">IF(IFERROR(INDEX(tsk_Name,GanttView[[#This Row],[_Row]])="",TRUE()),FALSE(),INDEX(tsk_Critical,GanttView[[#This Row],[_Row]])="Yes")</f>
        <v>1</v>
      </c>
    </row>
    <row r="25" customFormat="false" ht="15" hidden="false" customHeight="false" outlineLevel="0" collapsed="false">
      <c r="A25" s="127" t="n">
        <f aca="false">IF(IFERROR(INDEX(tsk_Name,GanttView[[#This Row],[_Row]])="",TRUE()),"",INDEX(tsk_ID,GanttView[[#This Row],[_Row]]))</f>
        <v>20</v>
      </c>
      <c r="B25" s="127" t="str">
        <f aca="false">IF(IFERROR(INDEX(tsk_Name,GanttView[[#This Row],[_Row]])="",TRUE()),"",INDEX(tsk_WBS,GanttView[[#This Row],[_Row]]))</f>
        <v>4</v>
      </c>
      <c r="C25" s="128" t="str">
        <f aca="false">IF(IFERROR(INDEX(tsk_Name,GanttView[[#This Row],[_Row]])="",TRUE()),"",REPT("    ",INDEX(tsk_Level,GanttView[[#This Row],[_Row]])-1)&amp;INDEX(tsk_Name,GanttView[[#This Row],[_Row]]))</f>
        <v>Test &amp; Release</v>
      </c>
      <c r="D25" s="127" t="n">
        <f aca="false">IF(IFERROR(INDEX(tsk_Name,GanttView[[#This Row],[_Row]])="",TRUE()),"",IF(INDEX(tsk_IsSummary,GanttView[[#This Row],[_Row]]),NETWORKDAYS.INTL(INDEX(tsk_FcStart,GanttView[[#This Row],[_Row]]),INDEX(tsk_FcFinish,GanttView[[#This Row],[_Row]]),WorkWeek,Holidays),N(INDEX(tsk_Duration,GanttView[[#This Row],[_Row]]))))</f>
        <v>36</v>
      </c>
      <c r="E25" s="129" t="n">
        <f aca="false">IF(IFERROR(INDEX(tsk_Name,GanttView[[#This Row],[_Row]])="",TRUE()),"",INDEX(tsk_PlanStart,GanttView[[#This Row],[_Row]]))</f>
        <v>46328</v>
      </c>
      <c r="F25" s="129" t="n">
        <f aca="false">IF(IFERROR(INDEX(tsk_Name,GanttView[[#This Row],[_Row]])="",TRUE()),"",INDEX(tsk_PlanFinish,GanttView[[#This Row],[_Row]]))</f>
        <v>46391</v>
      </c>
      <c r="G25" s="129" t="n">
        <f aca="false">IF(IFERROR(INDEX(tsk_Name,GanttView[[#This Row],[_Row]])="",TRUE()),"",INDEX(tsk_FcStart,GanttView[[#This Row],[_Row]]))</f>
        <v>46336</v>
      </c>
      <c r="H25" s="129" t="n">
        <f aca="false">IF(IFERROR(INDEX(tsk_Name,GanttView[[#This Row],[_Row]])="",TRUE()),"",INDEX(tsk_FcFinish,GanttView[[#This Row],[_Row]]))</f>
        <v>46391</v>
      </c>
      <c r="I25" s="130" t="n">
        <f aca="false">IF(IFERROR(INDEX(tsk_Name,GanttView[[#This Row],[_Row]])="",TRUE()),"",INDEX(tsk_Progress,GanttView[[#This Row],[_Row]]))</f>
        <v>0</v>
      </c>
      <c r="J25" s="128" t="str">
        <f aca="false">IF(IFERROR(INDEX(tsk_Name,GanttView[[#This Row],[_Row]])="",TRUE()),"",INDEX(tsk_ResourceNames,GanttView[[#This Row],[_Row]])&amp;"")</f>
        <v/>
      </c>
      <c r="K25" s="131" t="str">
        <f aca="false">IF(IFERROR(INDEX(tsk_Name,GanttView[[#This Row],[_Row]])="",TRUE()),"",INDEX(tsk_Status,GanttView[[#This Row],[_Row]]))</f>
        <v>Not Started</v>
      </c>
      <c r="L25" s="131" t="str">
        <f aca="false">IF(IFERROR(INDEX(tsk_Name,GanttView[[#This Row],[_Row]])="",TRUE()),"",INDEX(tsk_Show,GanttView[[#This Row],[_Row]])&amp;"")</f>
        <v>Yes</v>
      </c>
      <c r="M25" s="132" t="n">
        <f aca="false">ROW()-ROW(GanttView[[#Headers],[ID]])</f>
        <v>20</v>
      </c>
      <c r="N25" s="133" t="b">
        <f aca="false">IF(IFERROR(INDEX(tsk_Name,GanttView[[#This Row],[_Row]])="",TRUE()),FALSE(),INDEX(tsk_IsSummary,GanttView[[#This Row],[_Row]]))</f>
        <v>1</v>
      </c>
      <c r="O25" s="133" t="b">
        <f aca="false">IF(IFERROR(INDEX(tsk_Name,GanttView[[#This Row],[_Row]])="",TRUE()),FALSE(),AND(INDEX(tsk_IsLeaf,GanttView[[#This Row],[_Row]])=1,N(INDEX(tsk_Duration,GanttView[[#This Row],[_Row]]))=0))</f>
        <v>0</v>
      </c>
      <c r="P25" s="134" t="n">
        <f aca="false">IF(IFERROR(INDEX(tsk_Name,GanttView[[#This Row],[_Row]])="",TRUE()),0,IF(AND(INDEX(tsk_IsLeaf,GanttView[[#This Row],[_Row]])=1,NOT(GanttView[[#This Row],[_IsMilestone]]),N(GanttView[[#This Row],[%]])&gt;0),GanttView[[#This Row],[Forecast Start]],0))</f>
        <v>0</v>
      </c>
      <c r="Q25" s="134" t="n">
        <f aca="false">IF(GanttView[[#This Row],[_DoneFrom]]=0,0,IF(GanttView[[#This Row],[%]]&gt;=1,GanttView[[#This Row],[Forecast Finish]],MAX(GanttView[[#This Row],[_DoneFrom]],GanttView[[#This Row],[Forecast Start]]+ROUND((GanttView[[#This Row],[Forecast Finish]]-GanttView[[#This Row],[Forecast Start]]+1)*GanttView[[#This Row],[%]],0)-1)))</f>
        <v>0</v>
      </c>
      <c r="R25" s="134" t="n">
        <f aca="false">IF(IFERROR(INDEX(tsk_Name,GanttView[[#This Row],[_Row]])="",TRUE()),0,IF(OR(INDEX(tsk_IsLeaf,GanttView[[#This Row],[_Row]])&lt;&gt;1,GanttView[[#This Row],[_IsMilestone]],N(GanttView[[#This Row],[%]])&gt;=1),0,IF(GanttView[[#This Row],[_DoneTo]]&gt;0,GanttView[[#This Row],[_DoneTo]]+1,GanttView[[#This Row],[Forecast Start]])))</f>
        <v>0</v>
      </c>
      <c r="S25" s="134" t="n">
        <f aca="false">IF(GanttView[[#This Row],[_RemFrom]]=0,0,GanttView[[#This Row],[Forecast Finish]])</f>
        <v>0</v>
      </c>
      <c r="T25" s="133" t="b">
        <f aca="false">IF(IFERROR(INDEX(tsk_Name,GanttView[[#This Row],[_Row]])="",TRUE()),FALSE(),N(INDEX(tsk_Variance,GanttView[[#This Row],[_Row]]))&gt;0)</f>
        <v>0</v>
      </c>
      <c r="U25" s="134" t="n">
        <f aca="false">IF(IFERROR(INDEX(tsk_Name,GanttView[[#This Row],[_Row]])="",TRUE()),0,N(INDEX(tsk_Deadline,GanttView[[#This Row],[_Row]])))</f>
        <v>0</v>
      </c>
      <c r="V25" s="133" t="b">
        <f aca="false">IF(IFERROR(INDEX(tsk_Name,GanttView[[#This Row],[_Row]])="",TRUE()),FALSE(),INDEX(tsk_Critical,GanttView[[#This Row],[_Row]])="Yes")</f>
        <v>1</v>
      </c>
    </row>
    <row r="26" customFormat="false" ht="15" hidden="false" customHeight="false" outlineLevel="1" collapsed="false">
      <c r="A26" s="127" t="n">
        <f aca="false">IF(IFERROR(INDEX(tsk_Name,GanttView[[#This Row],[_Row]])="",TRUE()),"",INDEX(tsk_ID,GanttView[[#This Row],[_Row]]))</f>
        <v>21</v>
      </c>
      <c r="B26" s="127" t="str">
        <f aca="false">IF(IFERROR(INDEX(tsk_Name,GanttView[[#This Row],[_Row]])="",TRUE()),"",INDEX(tsk_WBS,GanttView[[#This Row],[_Row]]))</f>
        <v>4.1</v>
      </c>
      <c r="C26" s="128" t="str">
        <f aca="false">IF(IFERROR(INDEX(tsk_Name,GanttView[[#This Row],[_Row]])="",TRUE()),"",REPT("    ",INDEX(tsk_Level,GanttView[[#This Row],[_Row]])-1)&amp;INDEX(tsk_Name,GanttView[[#This Row],[_Row]]))</f>
        <v>    System integration testing</v>
      </c>
      <c r="D26" s="127" t="n">
        <f aca="false">IF(IFERROR(INDEX(tsk_Name,GanttView[[#This Row],[_Row]])="",TRUE()),"",IF(INDEX(tsk_IsSummary,GanttView[[#This Row],[_Row]]),NETWORKDAYS.INTL(INDEX(tsk_FcStart,GanttView[[#This Row],[_Row]]),INDEX(tsk_FcFinish,GanttView[[#This Row],[_Row]]),WorkWeek,Holidays),N(INDEX(tsk_Duration,GanttView[[#This Row],[_Row]]))))</f>
        <v>8</v>
      </c>
      <c r="E26" s="129" t="n">
        <f aca="false">IF(IFERROR(INDEX(tsk_Name,GanttView[[#This Row],[_Row]])="",TRUE()),"",INDEX(tsk_PlanStart,GanttView[[#This Row],[_Row]]))</f>
        <v>46328</v>
      </c>
      <c r="F26" s="129" t="n">
        <f aca="false">IF(IFERROR(INDEX(tsk_Name,GanttView[[#This Row],[_Row]])="",TRUE()),"",INDEX(tsk_PlanFinish,GanttView[[#This Row],[_Row]]))</f>
        <v>46337</v>
      </c>
      <c r="G26" s="129" t="n">
        <f aca="false">IF(IFERROR(INDEX(tsk_Name,GanttView[[#This Row],[_Row]])="",TRUE()),"",INDEX(tsk_FcStart,GanttView[[#This Row],[_Row]]))</f>
        <v>46336</v>
      </c>
      <c r="H26" s="129" t="n">
        <f aca="false">IF(IFERROR(INDEX(tsk_Name,GanttView[[#This Row],[_Row]])="",TRUE()),"",INDEX(tsk_FcFinish,GanttView[[#This Row],[_Row]]))</f>
        <v>46345</v>
      </c>
      <c r="I26" s="130" t="n">
        <f aca="false">IF(IFERROR(INDEX(tsk_Name,GanttView[[#This Row],[_Row]])="",TRUE()),"",INDEX(tsk_Progress,GanttView[[#This Row],[_Row]]))</f>
        <v>0</v>
      </c>
      <c r="J26" s="128" t="str">
        <f aca="false">IF(IFERROR(INDEX(tsk_Name,GanttView[[#This Row],[_Row]])="",TRUE()),"",INDEX(tsk_ResourceNames,GanttView[[#This Row],[_Row]])&amp;"")</f>
        <v>Taylor Morgan, Sam Rivera[50%]</v>
      </c>
      <c r="K26" s="131" t="str">
        <f aca="false">IF(IFERROR(INDEX(tsk_Name,GanttView[[#This Row],[_Row]])="",TRUE()),"",INDEX(tsk_Status,GanttView[[#This Row],[_Row]]))</f>
        <v>Not Started</v>
      </c>
      <c r="L26" s="131" t="str">
        <f aca="false">IF(IFERROR(INDEX(tsk_Name,GanttView[[#This Row],[_Row]])="",TRUE()),"",INDEX(tsk_Show,GanttView[[#This Row],[_Row]])&amp;"")</f>
        <v>Yes</v>
      </c>
      <c r="M26" s="132" t="n">
        <f aca="false">ROW()-ROW(GanttView[[#Headers],[ID]])</f>
        <v>21</v>
      </c>
      <c r="N26" s="133" t="b">
        <f aca="false">IF(IFERROR(INDEX(tsk_Name,GanttView[[#This Row],[_Row]])="",TRUE()),FALSE(),INDEX(tsk_IsSummary,GanttView[[#This Row],[_Row]]))</f>
        <v>0</v>
      </c>
      <c r="O26" s="133" t="b">
        <f aca="false">IF(IFERROR(INDEX(tsk_Name,GanttView[[#This Row],[_Row]])="",TRUE()),FALSE(),AND(INDEX(tsk_IsLeaf,GanttView[[#This Row],[_Row]])=1,N(INDEX(tsk_Duration,GanttView[[#This Row],[_Row]]))=0))</f>
        <v>0</v>
      </c>
      <c r="P26" s="134" t="n">
        <f aca="false">IF(IFERROR(INDEX(tsk_Name,GanttView[[#This Row],[_Row]])="",TRUE()),0,IF(AND(INDEX(tsk_IsLeaf,GanttView[[#This Row],[_Row]])=1,NOT(GanttView[[#This Row],[_IsMilestone]]),N(GanttView[[#This Row],[%]])&gt;0),GanttView[[#This Row],[Forecast Start]],0))</f>
        <v>0</v>
      </c>
      <c r="Q26" s="134" t="n">
        <f aca="false">IF(GanttView[[#This Row],[_DoneFrom]]=0,0,IF(GanttView[[#This Row],[%]]&gt;=1,GanttView[[#This Row],[Forecast Finish]],MAX(GanttView[[#This Row],[_DoneFrom]],GanttView[[#This Row],[Forecast Start]]+ROUND((GanttView[[#This Row],[Forecast Finish]]-GanttView[[#This Row],[Forecast Start]]+1)*GanttView[[#This Row],[%]],0)-1)))</f>
        <v>0</v>
      </c>
      <c r="R26" s="134" t="n">
        <f aca="false">IF(IFERROR(INDEX(tsk_Name,GanttView[[#This Row],[_Row]])="",TRUE()),0,IF(OR(INDEX(tsk_IsLeaf,GanttView[[#This Row],[_Row]])&lt;&gt;1,GanttView[[#This Row],[_IsMilestone]],N(GanttView[[#This Row],[%]])&gt;=1),0,IF(GanttView[[#This Row],[_DoneTo]]&gt;0,GanttView[[#This Row],[_DoneTo]]+1,GanttView[[#This Row],[Forecast Start]])))</f>
        <v>46336</v>
      </c>
      <c r="S26" s="134" t="n">
        <f aca="false">IF(GanttView[[#This Row],[_RemFrom]]=0,0,GanttView[[#This Row],[Forecast Finish]])</f>
        <v>46345</v>
      </c>
      <c r="T26" s="133" t="b">
        <f aca="false">IF(IFERROR(INDEX(tsk_Name,GanttView[[#This Row],[_Row]])="",TRUE()),FALSE(),N(INDEX(tsk_Variance,GanttView[[#This Row],[_Row]]))&gt;0)</f>
        <v>1</v>
      </c>
      <c r="U26" s="134" t="n">
        <f aca="false">IF(IFERROR(INDEX(tsk_Name,GanttView[[#This Row],[_Row]])="",TRUE()),0,N(INDEX(tsk_Deadline,GanttView[[#This Row],[_Row]])))</f>
        <v>0</v>
      </c>
      <c r="V26" s="133" t="b">
        <f aca="false">IF(IFERROR(INDEX(tsk_Name,GanttView[[#This Row],[_Row]])="",TRUE()),FALSE(),INDEX(tsk_Critical,GanttView[[#This Row],[_Row]])="Yes")</f>
        <v>0</v>
      </c>
    </row>
    <row r="27" customFormat="false" ht="15" hidden="false" customHeight="false" outlineLevel="1" collapsed="false">
      <c r="A27" s="127" t="n">
        <f aca="false">IF(IFERROR(INDEX(tsk_Name,GanttView[[#This Row],[_Row]])="",TRUE()),"",INDEX(tsk_ID,GanttView[[#This Row],[_Row]]))</f>
        <v>22</v>
      </c>
      <c r="B27" s="127" t="str">
        <f aca="false">IF(IFERROR(INDEX(tsk_Name,GanttView[[#This Row],[_Row]])="",TRUE()),"",INDEX(tsk_WBS,GanttView[[#This Row],[_Row]]))</f>
        <v>4.2</v>
      </c>
      <c r="C27" s="128" t="str">
        <f aca="false">IF(IFERROR(INDEX(tsk_Name,GanttView[[#This Row],[_Row]])="",TRUE()),"",REPT("    ",INDEX(tsk_Level,GanttView[[#This Row],[_Row]])-1)&amp;INDEX(tsk_Name,GanttView[[#This Row],[_Row]]))</f>
        <v>    User acceptance testing</v>
      </c>
      <c r="D27" s="127" t="n">
        <f aca="false">IF(IFERROR(INDEX(tsk_Name,GanttView[[#This Row],[_Row]])="",TRUE()),"",IF(INDEX(tsk_IsSummary,GanttView[[#This Row],[_Row]]),NETWORKDAYS.INTL(INDEX(tsk_FcStart,GanttView[[#This Row],[_Row]]),INDEX(tsk_FcFinish,GanttView[[#This Row],[_Row]]),WorkWeek,Holidays),N(INDEX(tsk_Duration,GanttView[[#This Row],[_Row]]))))</f>
        <v>6</v>
      </c>
      <c r="E27" s="129" t="n">
        <f aca="false">IF(IFERROR(INDEX(tsk_Name,GanttView[[#This Row],[_Row]])="",TRUE()),"",INDEX(tsk_PlanStart,GanttView[[#This Row],[_Row]]))</f>
        <v>46363</v>
      </c>
      <c r="F27" s="129" t="n">
        <f aca="false">IF(IFERROR(INDEX(tsk_Name,GanttView[[#This Row],[_Row]])="",TRUE()),"",INDEX(tsk_PlanFinish,GanttView[[#This Row],[_Row]]))</f>
        <v>46370</v>
      </c>
      <c r="G27" s="129" t="n">
        <f aca="false">IF(IFERROR(INDEX(tsk_Name,GanttView[[#This Row],[_Row]])="",TRUE()),"",INDEX(tsk_FcStart,GanttView[[#This Row],[_Row]]))</f>
        <v>46363</v>
      </c>
      <c r="H27" s="129" t="n">
        <f aca="false">IF(IFERROR(INDEX(tsk_Name,GanttView[[#This Row],[_Row]])="",TRUE()),"",INDEX(tsk_FcFinish,GanttView[[#This Row],[_Row]]))</f>
        <v>46370</v>
      </c>
      <c r="I27" s="130" t="n">
        <f aca="false">IF(IFERROR(INDEX(tsk_Name,GanttView[[#This Row],[_Row]])="",TRUE()),"",INDEX(tsk_Progress,GanttView[[#This Row],[_Row]]))</f>
        <v>0</v>
      </c>
      <c r="J27" s="128" t="str">
        <f aca="false">IF(IFERROR(INDEX(tsk_Name,GanttView[[#This Row],[_Row]])="",TRUE()),"",INDEX(tsk_ResourceNames,GanttView[[#This Row],[_Row]])&amp;"")</f>
        <v>Morgan Patel, Taylor Morgan</v>
      </c>
      <c r="K27" s="131" t="str">
        <f aca="false">IF(IFERROR(INDEX(tsk_Name,GanttView[[#This Row],[_Row]])="",TRUE()),"",INDEX(tsk_Status,GanttView[[#This Row],[_Row]]))</f>
        <v>Not Started</v>
      </c>
      <c r="L27" s="131" t="str">
        <f aca="false">IF(IFERROR(INDEX(tsk_Name,GanttView[[#This Row],[_Row]])="",TRUE()),"",INDEX(tsk_Show,GanttView[[#This Row],[_Row]])&amp;"")</f>
        <v>Yes</v>
      </c>
      <c r="M27" s="132" t="n">
        <f aca="false">ROW()-ROW(GanttView[[#Headers],[ID]])</f>
        <v>22</v>
      </c>
      <c r="N27" s="133" t="b">
        <f aca="false">IF(IFERROR(INDEX(tsk_Name,GanttView[[#This Row],[_Row]])="",TRUE()),FALSE(),INDEX(tsk_IsSummary,GanttView[[#This Row],[_Row]]))</f>
        <v>0</v>
      </c>
      <c r="O27" s="133" t="b">
        <f aca="false">IF(IFERROR(INDEX(tsk_Name,GanttView[[#This Row],[_Row]])="",TRUE()),FALSE(),AND(INDEX(tsk_IsLeaf,GanttView[[#This Row],[_Row]])=1,N(INDEX(tsk_Duration,GanttView[[#This Row],[_Row]]))=0))</f>
        <v>0</v>
      </c>
      <c r="P27" s="134" t="n">
        <f aca="false">IF(IFERROR(INDEX(tsk_Name,GanttView[[#This Row],[_Row]])="",TRUE()),0,IF(AND(INDEX(tsk_IsLeaf,GanttView[[#This Row],[_Row]])=1,NOT(GanttView[[#This Row],[_IsMilestone]]),N(GanttView[[#This Row],[%]])&gt;0),GanttView[[#This Row],[Forecast Start]],0))</f>
        <v>0</v>
      </c>
      <c r="Q27" s="134" t="n">
        <f aca="false">IF(GanttView[[#This Row],[_DoneFrom]]=0,0,IF(GanttView[[#This Row],[%]]&gt;=1,GanttView[[#This Row],[Forecast Finish]],MAX(GanttView[[#This Row],[_DoneFrom]],GanttView[[#This Row],[Forecast Start]]+ROUND((GanttView[[#This Row],[Forecast Finish]]-GanttView[[#This Row],[Forecast Start]]+1)*GanttView[[#This Row],[%]],0)-1)))</f>
        <v>0</v>
      </c>
      <c r="R27" s="134" t="n">
        <f aca="false">IF(IFERROR(INDEX(tsk_Name,GanttView[[#This Row],[_Row]])="",TRUE()),0,IF(OR(INDEX(tsk_IsLeaf,GanttView[[#This Row],[_Row]])&lt;&gt;1,GanttView[[#This Row],[_IsMilestone]],N(GanttView[[#This Row],[%]])&gt;=1),0,IF(GanttView[[#This Row],[_DoneTo]]&gt;0,GanttView[[#This Row],[_DoneTo]]+1,GanttView[[#This Row],[Forecast Start]])))</f>
        <v>46363</v>
      </c>
      <c r="S27" s="134" t="n">
        <f aca="false">IF(GanttView[[#This Row],[_RemFrom]]=0,0,GanttView[[#This Row],[Forecast Finish]])</f>
        <v>46370</v>
      </c>
      <c r="T27" s="133" t="b">
        <f aca="false">IF(IFERROR(INDEX(tsk_Name,GanttView[[#This Row],[_Row]])="",TRUE()),FALSE(),N(INDEX(tsk_Variance,GanttView[[#This Row],[_Row]]))&gt;0)</f>
        <v>0</v>
      </c>
      <c r="U27" s="134" t="n">
        <f aca="false">IF(IFERROR(INDEX(tsk_Name,GanttView[[#This Row],[_Row]])="",TRUE()),0,N(INDEX(tsk_Deadline,GanttView[[#This Row],[_Row]])))</f>
        <v>0</v>
      </c>
      <c r="V27" s="133" t="b">
        <f aca="false">IF(IFERROR(INDEX(tsk_Name,GanttView[[#This Row],[_Row]])="",TRUE()),FALSE(),INDEX(tsk_Critical,GanttView[[#This Row],[_Row]])="Yes")</f>
        <v>1</v>
      </c>
    </row>
    <row r="28" customFormat="false" ht="15" hidden="false" customHeight="false" outlineLevel="1" collapsed="false">
      <c r="A28" s="127" t="n">
        <f aca="false">IF(IFERROR(INDEX(tsk_Name,GanttView[[#This Row],[_Row]])="",TRUE()),"",INDEX(tsk_ID,GanttView[[#This Row],[_Row]]))</f>
        <v>23</v>
      </c>
      <c r="B28" s="127" t="str">
        <f aca="false">IF(IFERROR(INDEX(tsk_Name,GanttView[[#This Row],[_Row]])="",TRUE()),"",INDEX(tsk_WBS,GanttView[[#This Row],[_Row]]))</f>
        <v>4.3</v>
      </c>
      <c r="C28" s="128" t="str">
        <f aca="false">IF(IFERROR(INDEX(tsk_Name,GanttView[[#This Row],[_Row]])="",TRUE()),"",REPT("    ",INDEX(tsk_Level,GanttView[[#This Row],[_Row]])-1)&amp;INDEX(tsk_Name,GanttView[[#This Row],[_Row]]))</f>
        <v>    Training &amp; user guides</v>
      </c>
      <c r="D28" s="127" t="n">
        <f aca="false">IF(IFERROR(INDEX(tsk_Name,GanttView[[#This Row],[_Row]])="",TRUE()),"",IF(INDEX(tsk_IsSummary,GanttView[[#This Row],[_Row]]),NETWORKDAYS.INTL(INDEX(tsk_FcStart,GanttView[[#This Row],[_Row]]),INDEX(tsk_FcFinish,GanttView[[#This Row],[_Row]]),WorkWeek,Holidays),N(INDEX(tsk_Duration,GanttView[[#This Row],[_Row]]))))</f>
        <v>5</v>
      </c>
      <c r="E28" s="129" t="n">
        <f aca="false">IF(IFERROR(INDEX(tsk_Name,GanttView[[#This Row],[_Row]])="",TRUE()),"",INDEX(tsk_PlanStart,GanttView[[#This Row],[_Row]]))</f>
        <v>46330</v>
      </c>
      <c r="F28" s="129" t="n">
        <f aca="false">IF(IFERROR(INDEX(tsk_Name,GanttView[[#This Row],[_Row]])="",TRUE()),"",INDEX(tsk_PlanFinish,GanttView[[#This Row],[_Row]]))</f>
        <v>46336</v>
      </c>
      <c r="G28" s="129" t="n">
        <f aca="false">IF(IFERROR(INDEX(tsk_Name,GanttView[[#This Row],[_Row]])="",TRUE()),"",INDEX(tsk_FcStart,GanttView[[#This Row],[_Row]]))</f>
        <v>46338</v>
      </c>
      <c r="H28" s="129" t="n">
        <f aca="false">IF(IFERROR(INDEX(tsk_Name,GanttView[[#This Row],[_Row]])="",TRUE()),"",INDEX(tsk_FcFinish,GanttView[[#This Row],[_Row]]))</f>
        <v>46344</v>
      </c>
      <c r="I28" s="130" t="n">
        <f aca="false">IF(IFERROR(INDEX(tsk_Name,GanttView[[#This Row],[_Row]])="",TRUE()),"",INDEX(tsk_Progress,GanttView[[#This Row],[_Row]]))</f>
        <v>0</v>
      </c>
      <c r="J28" s="128" t="str">
        <f aca="false">IF(IFERROR(INDEX(tsk_Name,GanttView[[#This Row],[_Row]])="",TRUE()),"",INDEX(tsk_ResourceNames,GanttView[[#This Row],[_Row]])&amp;"")</f>
        <v>Casey Kim[50%]</v>
      </c>
      <c r="K28" s="131" t="str">
        <f aca="false">IF(IFERROR(INDEX(tsk_Name,GanttView[[#This Row],[_Row]])="",TRUE()),"",INDEX(tsk_Status,GanttView[[#This Row],[_Row]]))</f>
        <v>Not Started</v>
      </c>
      <c r="L28" s="131" t="str">
        <f aca="false">IF(IFERROR(INDEX(tsk_Name,GanttView[[#This Row],[_Row]])="",TRUE()),"",INDEX(tsk_Show,GanttView[[#This Row],[_Row]])&amp;"")</f>
        <v>Yes</v>
      </c>
      <c r="M28" s="132" t="n">
        <f aca="false">ROW()-ROW(GanttView[[#Headers],[ID]])</f>
        <v>23</v>
      </c>
      <c r="N28" s="133" t="b">
        <f aca="false">IF(IFERROR(INDEX(tsk_Name,GanttView[[#This Row],[_Row]])="",TRUE()),FALSE(),INDEX(tsk_IsSummary,GanttView[[#This Row],[_Row]]))</f>
        <v>0</v>
      </c>
      <c r="O28" s="133" t="b">
        <f aca="false">IF(IFERROR(INDEX(tsk_Name,GanttView[[#This Row],[_Row]])="",TRUE()),FALSE(),AND(INDEX(tsk_IsLeaf,GanttView[[#This Row],[_Row]])=1,N(INDEX(tsk_Duration,GanttView[[#This Row],[_Row]]))=0))</f>
        <v>0</v>
      </c>
      <c r="P28" s="134" t="n">
        <f aca="false">IF(IFERROR(INDEX(tsk_Name,GanttView[[#This Row],[_Row]])="",TRUE()),0,IF(AND(INDEX(tsk_IsLeaf,GanttView[[#This Row],[_Row]])=1,NOT(GanttView[[#This Row],[_IsMilestone]]),N(GanttView[[#This Row],[%]])&gt;0),GanttView[[#This Row],[Forecast Start]],0))</f>
        <v>0</v>
      </c>
      <c r="Q28" s="134" t="n">
        <f aca="false">IF(GanttView[[#This Row],[_DoneFrom]]=0,0,IF(GanttView[[#This Row],[%]]&gt;=1,GanttView[[#This Row],[Forecast Finish]],MAX(GanttView[[#This Row],[_DoneFrom]],GanttView[[#This Row],[Forecast Start]]+ROUND((GanttView[[#This Row],[Forecast Finish]]-GanttView[[#This Row],[Forecast Start]]+1)*GanttView[[#This Row],[%]],0)-1)))</f>
        <v>0</v>
      </c>
      <c r="R28" s="134" t="n">
        <f aca="false">IF(IFERROR(INDEX(tsk_Name,GanttView[[#This Row],[_Row]])="",TRUE()),0,IF(OR(INDEX(tsk_IsLeaf,GanttView[[#This Row],[_Row]])&lt;&gt;1,GanttView[[#This Row],[_IsMilestone]],N(GanttView[[#This Row],[%]])&gt;=1),0,IF(GanttView[[#This Row],[_DoneTo]]&gt;0,GanttView[[#This Row],[_DoneTo]]+1,GanttView[[#This Row],[Forecast Start]])))</f>
        <v>46338</v>
      </c>
      <c r="S28" s="134" t="n">
        <f aca="false">IF(GanttView[[#This Row],[_RemFrom]]=0,0,GanttView[[#This Row],[Forecast Finish]])</f>
        <v>46344</v>
      </c>
      <c r="T28" s="133" t="b">
        <f aca="false">IF(IFERROR(INDEX(tsk_Name,GanttView[[#This Row],[_Row]])="",TRUE()),FALSE(),N(INDEX(tsk_Variance,GanttView[[#This Row],[_Row]]))&gt;0)</f>
        <v>1</v>
      </c>
      <c r="U28" s="134" t="n">
        <f aca="false">IF(IFERROR(INDEX(tsk_Name,GanttView[[#This Row],[_Row]])="",TRUE()),0,N(INDEX(tsk_Deadline,GanttView[[#This Row],[_Row]])))</f>
        <v>0</v>
      </c>
      <c r="V28" s="133" t="b">
        <f aca="false">IF(IFERROR(INDEX(tsk_Name,GanttView[[#This Row],[_Row]])="",TRUE()),FALSE(),INDEX(tsk_Critical,GanttView[[#This Row],[_Row]])="Yes")</f>
        <v>0</v>
      </c>
    </row>
    <row r="29" customFormat="false" ht="15" hidden="false" customHeight="false" outlineLevel="1" collapsed="false">
      <c r="A29" s="127" t="n">
        <f aca="false">IF(IFERROR(INDEX(tsk_Name,GanttView[[#This Row],[_Row]])="",TRUE()),"",INDEX(tsk_ID,GanttView[[#This Row],[_Row]]))</f>
        <v>24</v>
      </c>
      <c r="B29" s="127" t="str">
        <f aca="false">IF(IFERROR(INDEX(tsk_Name,GanttView[[#This Row],[_Row]])="",TRUE()),"",INDEX(tsk_WBS,GanttView[[#This Row],[_Row]]))</f>
        <v>4.4</v>
      </c>
      <c r="C29" s="128" t="str">
        <f aca="false">IF(IFERROR(INDEX(tsk_Name,GanttView[[#This Row],[_Row]])="",TRUE()),"",REPT("    ",INDEX(tsk_Level,GanttView[[#This Row],[_Row]])-1)&amp;INDEX(tsk_Name,GanttView[[#This Row],[_Row]]))</f>
        <v>    Go-live readiness review</v>
      </c>
      <c r="D29" s="127" t="n">
        <f aca="false">IF(IFERROR(INDEX(tsk_Name,GanttView[[#This Row],[_Row]])="",TRUE()),"",IF(INDEX(tsk_IsSummary,GanttView[[#This Row],[_Row]]),NETWORKDAYS.INTL(INDEX(tsk_FcStart,GanttView[[#This Row],[_Row]]),INDEX(tsk_FcFinish,GanttView[[#This Row],[_Row]]),WorkWeek,Holidays),N(INDEX(tsk_Duration,GanttView[[#This Row],[_Row]]))))</f>
        <v>1</v>
      </c>
      <c r="E29" s="129" t="n">
        <f aca="false">IF(IFERROR(INDEX(tsk_Name,GanttView[[#This Row],[_Row]])="",TRUE()),"",INDEX(tsk_PlanStart,GanttView[[#This Row],[_Row]]))</f>
        <v>46371</v>
      </c>
      <c r="F29" s="129" t="n">
        <f aca="false">IF(IFERROR(INDEX(tsk_Name,GanttView[[#This Row],[_Row]])="",TRUE()),"",INDEX(tsk_PlanFinish,GanttView[[#This Row],[_Row]]))</f>
        <v>46371</v>
      </c>
      <c r="G29" s="129" t="n">
        <f aca="false">IF(IFERROR(INDEX(tsk_Name,GanttView[[#This Row],[_Row]])="",TRUE()),"",INDEX(tsk_FcStart,GanttView[[#This Row],[_Row]]))</f>
        <v>46371</v>
      </c>
      <c r="H29" s="129" t="n">
        <f aca="false">IF(IFERROR(INDEX(tsk_Name,GanttView[[#This Row],[_Row]])="",TRUE()),"",INDEX(tsk_FcFinish,GanttView[[#This Row],[_Row]]))</f>
        <v>46371</v>
      </c>
      <c r="I29" s="130" t="n">
        <f aca="false">IF(IFERROR(INDEX(tsk_Name,GanttView[[#This Row],[_Row]])="",TRUE()),"",INDEX(tsk_Progress,GanttView[[#This Row],[_Row]]))</f>
        <v>0</v>
      </c>
      <c r="J29" s="128" t="str">
        <f aca="false">IF(IFERROR(INDEX(tsk_Name,GanttView[[#This Row],[_Row]])="",TRUE()),"",INDEX(tsk_ResourceNames,GanttView[[#This Row],[_Row]])&amp;"")</f>
        <v>Priya Sharma</v>
      </c>
      <c r="K29" s="131" t="str">
        <f aca="false">IF(IFERROR(INDEX(tsk_Name,GanttView[[#This Row],[_Row]])="",TRUE()),"",INDEX(tsk_Status,GanttView[[#This Row],[_Row]]))</f>
        <v>Not Started</v>
      </c>
      <c r="L29" s="131" t="str">
        <f aca="false">IF(IFERROR(INDEX(tsk_Name,GanttView[[#This Row],[_Row]])="",TRUE()),"",INDEX(tsk_Show,GanttView[[#This Row],[_Row]])&amp;"")</f>
        <v>Yes</v>
      </c>
      <c r="M29" s="132" t="n">
        <f aca="false">ROW()-ROW(GanttView[[#Headers],[ID]])</f>
        <v>24</v>
      </c>
      <c r="N29" s="133" t="b">
        <f aca="false">IF(IFERROR(INDEX(tsk_Name,GanttView[[#This Row],[_Row]])="",TRUE()),FALSE(),INDEX(tsk_IsSummary,GanttView[[#This Row],[_Row]]))</f>
        <v>0</v>
      </c>
      <c r="O29" s="133" t="b">
        <f aca="false">IF(IFERROR(INDEX(tsk_Name,GanttView[[#This Row],[_Row]])="",TRUE()),FALSE(),AND(INDEX(tsk_IsLeaf,GanttView[[#This Row],[_Row]])=1,N(INDEX(tsk_Duration,GanttView[[#This Row],[_Row]]))=0))</f>
        <v>0</v>
      </c>
      <c r="P29" s="134" t="n">
        <f aca="false">IF(IFERROR(INDEX(tsk_Name,GanttView[[#This Row],[_Row]])="",TRUE()),0,IF(AND(INDEX(tsk_IsLeaf,GanttView[[#This Row],[_Row]])=1,NOT(GanttView[[#This Row],[_IsMilestone]]),N(GanttView[[#This Row],[%]])&gt;0),GanttView[[#This Row],[Forecast Start]],0))</f>
        <v>0</v>
      </c>
      <c r="Q29" s="134" t="n">
        <f aca="false">IF(GanttView[[#This Row],[_DoneFrom]]=0,0,IF(GanttView[[#This Row],[%]]&gt;=1,GanttView[[#This Row],[Forecast Finish]],MAX(GanttView[[#This Row],[_DoneFrom]],GanttView[[#This Row],[Forecast Start]]+ROUND((GanttView[[#This Row],[Forecast Finish]]-GanttView[[#This Row],[Forecast Start]]+1)*GanttView[[#This Row],[%]],0)-1)))</f>
        <v>0</v>
      </c>
      <c r="R29" s="134" t="n">
        <f aca="false">IF(IFERROR(INDEX(tsk_Name,GanttView[[#This Row],[_Row]])="",TRUE()),0,IF(OR(INDEX(tsk_IsLeaf,GanttView[[#This Row],[_Row]])&lt;&gt;1,GanttView[[#This Row],[_IsMilestone]],N(GanttView[[#This Row],[%]])&gt;=1),0,IF(GanttView[[#This Row],[_DoneTo]]&gt;0,GanttView[[#This Row],[_DoneTo]]+1,GanttView[[#This Row],[Forecast Start]])))</f>
        <v>46371</v>
      </c>
      <c r="S29" s="134" t="n">
        <f aca="false">IF(GanttView[[#This Row],[_RemFrom]]=0,0,GanttView[[#This Row],[Forecast Finish]])</f>
        <v>46371</v>
      </c>
      <c r="T29" s="133" t="b">
        <f aca="false">IF(IFERROR(INDEX(tsk_Name,GanttView[[#This Row],[_Row]])="",TRUE()),FALSE(),N(INDEX(tsk_Variance,GanttView[[#This Row],[_Row]]))&gt;0)</f>
        <v>0</v>
      </c>
      <c r="U29" s="134" t="n">
        <f aca="false">IF(IFERROR(INDEX(tsk_Name,GanttView[[#This Row],[_Row]])="",TRUE()),0,N(INDEX(tsk_Deadline,GanttView[[#This Row],[_Row]])))</f>
        <v>0</v>
      </c>
      <c r="V29" s="133" t="b">
        <f aca="false">IF(IFERROR(INDEX(tsk_Name,GanttView[[#This Row],[_Row]])="",TRUE()),FALSE(),INDEX(tsk_Critical,GanttView[[#This Row],[_Row]])="Yes")</f>
        <v>1</v>
      </c>
    </row>
    <row r="30" customFormat="false" ht="15" hidden="false" customHeight="false" outlineLevel="1" collapsed="false">
      <c r="A30" s="127" t="n">
        <f aca="false">IF(IFERROR(INDEX(tsk_Name,GanttView[[#This Row],[_Row]])="",TRUE()),"",INDEX(tsk_ID,GanttView[[#This Row],[_Row]]))</f>
        <v>25</v>
      </c>
      <c r="B30" s="127" t="str">
        <f aca="false">IF(IFERROR(INDEX(tsk_Name,GanttView[[#This Row],[_Row]])="",TRUE()),"",INDEX(tsk_WBS,GanttView[[#This Row],[_Row]]))</f>
        <v>4.5</v>
      </c>
      <c r="C30" s="128" t="str">
        <f aca="false">IF(IFERROR(INDEX(tsk_Name,GanttView[[#This Row],[_Row]])="",TRUE()),"",REPT("    ",INDEX(tsk_Level,GanttView[[#This Row],[_Row]])-1)&amp;INDEX(tsk_Name,GanttView[[#This Row],[_Row]]))</f>
        <v>    Go-live</v>
      </c>
      <c r="D30" s="127" t="n">
        <f aca="false">IF(IFERROR(INDEX(tsk_Name,GanttView[[#This Row],[_Row]])="",TRUE()),"",IF(INDEX(tsk_IsSummary,GanttView[[#This Row],[_Row]]),NETWORKDAYS.INTL(INDEX(tsk_FcStart,GanttView[[#This Row],[_Row]]),INDEX(tsk_FcFinish,GanttView[[#This Row],[_Row]]),WorkWeek,Holidays),N(INDEX(tsk_Duration,GanttView[[#This Row],[_Row]]))))</f>
        <v>0</v>
      </c>
      <c r="E30" s="129" t="n">
        <f aca="false">IF(IFERROR(INDEX(tsk_Name,GanttView[[#This Row],[_Row]])="",TRUE()),"",INDEX(tsk_PlanStart,GanttView[[#This Row],[_Row]]))</f>
        <v>46371</v>
      </c>
      <c r="F30" s="129" t="n">
        <f aca="false">IF(IFERROR(INDEX(tsk_Name,GanttView[[#This Row],[_Row]])="",TRUE()),"",INDEX(tsk_PlanFinish,GanttView[[#This Row],[_Row]]))</f>
        <v>46371</v>
      </c>
      <c r="G30" s="129" t="n">
        <f aca="false">IF(IFERROR(INDEX(tsk_Name,GanttView[[#This Row],[_Row]])="",TRUE()),"",INDEX(tsk_FcStart,GanttView[[#This Row],[_Row]]))</f>
        <v>46371</v>
      </c>
      <c r="H30" s="129" t="n">
        <f aca="false">IF(IFERROR(INDEX(tsk_Name,GanttView[[#This Row],[_Row]])="",TRUE()),"",INDEX(tsk_FcFinish,GanttView[[#This Row],[_Row]]))</f>
        <v>46371</v>
      </c>
      <c r="I30" s="130" t="n">
        <f aca="false">IF(IFERROR(INDEX(tsk_Name,GanttView[[#This Row],[_Row]])="",TRUE()),"",INDEX(tsk_Progress,GanttView[[#This Row],[_Row]]))</f>
        <v>0</v>
      </c>
      <c r="J30" s="128" t="str">
        <f aca="false">IF(IFERROR(INDEX(tsk_Name,GanttView[[#This Row],[_Row]])="",TRUE()),"",INDEX(tsk_ResourceNames,GanttView[[#This Row],[_Row]])&amp;"")</f>
        <v/>
      </c>
      <c r="K30" s="131" t="str">
        <f aca="false">IF(IFERROR(INDEX(tsk_Name,GanttView[[#This Row],[_Row]])="",TRUE()),"",INDEX(tsk_Status,GanttView[[#This Row],[_Row]]))</f>
        <v>Not Started</v>
      </c>
      <c r="L30" s="131" t="str">
        <f aca="false">IF(IFERROR(INDEX(tsk_Name,GanttView[[#This Row],[_Row]])="",TRUE()),"",INDEX(tsk_Show,GanttView[[#This Row],[_Row]])&amp;"")</f>
        <v>Yes</v>
      </c>
      <c r="M30" s="132" t="n">
        <f aca="false">ROW()-ROW(GanttView[[#Headers],[ID]])</f>
        <v>25</v>
      </c>
      <c r="N30" s="133" t="b">
        <f aca="false">IF(IFERROR(INDEX(tsk_Name,GanttView[[#This Row],[_Row]])="",TRUE()),FALSE(),INDEX(tsk_IsSummary,GanttView[[#This Row],[_Row]]))</f>
        <v>0</v>
      </c>
      <c r="O30" s="133" t="b">
        <f aca="false">IF(IFERROR(INDEX(tsk_Name,GanttView[[#This Row],[_Row]])="",TRUE()),FALSE(),AND(INDEX(tsk_IsLeaf,GanttView[[#This Row],[_Row]])=1,N(INDEX(tsk_Duration,GanttView[[#This Row],[_Row]]))=0))</f>
        <v>1</v>
      </c>
      <c r="P30" s="134" t="n">
        <f aca="false">IF(IFERROR(INDEX(tsk_Name,GanttView[[#This Row],[_Row]])="",TRUE()),0,IF(AND(INDEX(tsk_IsLeaf,GanttView[[#This Row],[_Row]])=1,NOT(GanttView[[#This Row],[_IsMilestone]]),N(GanttView[[#This Row],[%]])&gt;0),GanttView[[#This Row],[Forecast Start]],0))</f>
        <v>0</v>
      </c>
      <c r="Q30" s="134" t="n">
        <f aca="false">IF(GanttView[[#This Row],[_DoneFrom]]=0,0,IF(GanttView[[#This Row],[%]]&gt;=1,GanttView[[#This Row],[Forecast Finish]],MAX(GanttView[[#This Row],[_DoneFrom]],GanttView[[#This Row],[Forecast Start]]+ROUND((GanttView[[#This Row],[Forecast Finish]]-GanttView[[#This Row],[Forecast Start]]+1)*GanttView[[#This Row],[%]],0)-1)))</f>
        <v>0</v>
      </c>
      <c r="R30" s="134" t="n">
        <f aca="false">IF(IFERROR(INDEX(tsk_Name,GanttView[[#This Row],[_Row]])="",TRUE()),0,IF(OR(INDEX(tsk_IsLeaf,GanttView[[#This Row],[_Row]])&lt;&gt;1,GanttView[[#This Row],[_IsMilestone]],N(GanttView[[#This Row],[%]])&gt;=1),0,IF(GanttView[[#This Row],[_DoneTo]]&gt;0,GanttView[[#This Row],[_DoneTo]]+1,GanttView[[#This Row],[Forecast Start]])))</f>
        <v>0</v>
      </c>
      <c r="S30" s="134" t="n">
        <f aca="false">IF(GanttView[[#This Row],[_RemFrom]]=0,0,GanttView[[#This Row],[Forecast Finish]])</f>
        <v>0</v>
      </c>
      <c r="T30" s="133" t="b">
        <f aca="false">IF(IFERROR(INDEX(tsk_Name,GanttView[[#This Row],[_Row]])="",TRUE()),FALSE(),N(INDEX(tsk_Variance,GanttView[[#This Row],[_Row]]))&gt;0)</f>
        <v>0</v>
      </c>
      <c r="U30" s="134" t="n">
        <f aca="false">IF(IFERROR(INDEX(tsk_Name,GanttView[[#This Row],[_Row]])="",TRUE()),0,N(INDEX(tsk_Deadline,GanttView[[#This Row],[_Row]])))</f>
        <v>46374</v>
      </c>
      <c r="V30" s="133" t="b">
        <f aca="false">IF(IFERROR(INDEX(tsk_Name,GanttView[[#This Row],[_Row]])="",TRUE()),FALSE(),INDEX(tsk_Critical,GanttView[[#This Row],[_Row]])="Yes")</f>
        <v>1</v>
      </c>
    </row>
    <row r="31" customFormat="false" ht="15" hidden="false" customHeight="false" outlineLevel="1" collapsed="false">
      <c r="A31" s="127" t="n">
        <f aca="false">IF(IFERROR(INDEX(tsk_Name,GanttView[[#This Row],[_Row]])="",TRUE()),"",INDEX(tsk_ID,GanttView[[#This Row],[_Row]]))</f>
        <v>26</v>
      </c>
      <c r="B31" s="127" t="str">
        <f aca="false">IF(IFERROR(INDEX(tsk_Name,GanttView[[#This Row],[_Row]])="",TRUE()),"",INDEX(tsk_WBS,GanttView[[#This Row],[_Row]]))</f>
        <v>4.6</v>
      </c>
      <c r="C31" s="128" t="str">
        <f aca="false">IF(IFERROR(INDEX(tsk_Name,GanttView[[#This Row],[_Row]])="",TRUE()),"",REPT("    ",INDEX(tsk_Level,GanttView[[#This Row],[_Row]])-1)&amp;INDEX(tsk_Name,GanttView[[#This Row],[_Row]]))</f>
        <v>    Hypercare support</v>
      </c>
      <c r="D31" s="127" t="n">
        <f aca="false">IF(IFERROR(INDEX(tsk_Name,GanttView[[#This Row],[_Row]])="",TRUE()),"",IF(INDEX(tsk_IsSummary,GanttView[[#This Row],[_Row]]),NETWORKDAYS.INTL(INDEX(tsk_FcStart,GanttView[[#This Row],[_Row]]),INDEX(tsk_FcFinish,GanttView[[#This Row],[_Row]]),WorkWeek,Holidays),N(INDEX(tsk_Duration,GanttView[[#This Row],[_Row]]))))</f>
        <v>10</v>
      </c>
      <c r="E31" s="129" t="n">
        <f aca="false">IF(IFERROR(INDEX(tsk_Name,GanttView[[#This Row],[_Row]])="",TRUE()),"",INDEX(tsk_PlanStart,GanttView[[#This Row],[_Row]]))</f>
        <v>46372</v>
      </c>
      <c r="F31" s="129" t="n">
        <f aca="false">IF(IFERROR(INDEX(tsk_Name,GanttView[[#This Row],[_Row]])="",TRUE()),"",INDEX(tsk_PlanFinish,GanttView[[#This Row],[_Row]]))</f>
        <v>46391</v>
      </c>
      <c r="G31" s="129" t="n">
        <f aca="false">IF(IFERROR(INDEX(tsk_Name,GanttView[[#This Row],[_Row]])="",TRUE()),"",INDEX(tsk_FcStart,GanttView[[#This Row],[_Row]]))</f>
        <v>46372</v>
      </c>
      <c r="H31" s="129" t="n">
        <f aca="false">IF(IFERROR(INDEX(tsk_Name,GanttView[[#This Row],[_Row]])="",TRUE()),"",INDEX(tsk_FcFinish,GanttView[[#This Row],[_Row]]))</f>
        <v>46391</v>
      </c>
      <c r="I31" s="130" t="n">
        <f aca="false">IF(IFERROR(INDEX(tsk_Name,GanttView[[#This Row],[_Row]])="",TRUE()),"",INDEX(tsk_Progress,GanttView[[#This Row],[_Row]]))</f>
        <v>0</v>
      </c>
      <c r="J31" s="128" t="str">
        <f aca="false">IF(IFERROR(INDEX(tsk_Name,GanttView[[#This Row],[_Row]])="",TRUE()),"",INDEX(tsk_ResourceNames,GanttView[[#This Row],[_Row]])&amp;"")</f>
        <v>Jordan Lee[50%]</v>
      </c>
      <c r="K31" s="131" t="str">
        <f aca="false">IF(IFERROR(INDEX(tsk_Name,GanttView[[#This Row],[_Row]])="",TRUE()),"",INDEX(tsk_Status,GanttView[[#This Row],[_Row]]))</f>
        <v>Not Started</v>
      </c>
      <c r="L31" s="131" t="str">
        <f aca="false">IF(IFERROR(INDEX(tsk_Name,GanttView[[#This Row],[_Row]])="",TRUE()),"",INDEX(tsk_Show,GanttView[[#This Row],[_Row]])&amp;"")</f>
        <v>Yes</v>
      </c>
      <c r="M31" s="132" t="n">
        <f aca="false">ROW()-ROW(GanttView[[#Headers],[ID]])</f>
        <v>26</v>
      </c>
      <c r="N31" s="133" t="b">
        <f aca="false">IF(IFERROR(INDEX(tsk_Name,GanttView[[#This Row],[_Row]])="",TRUE()),FALSE(),INDEX(tsk_IsSummary,GanttView[[#This Row],[_Row]]))</f>
        <v>0</v>
      </c>
      <c r="O31" s="133" t="b">
        <f aca="false">IF(IFERROR(INDEX(tsk_Name,GanttView[[#This Row],[_Row]])="",TRUE()),FALSE(),AND(INDEX(tsk_IsLeaf,GanttView[[#This Row],[_Row]])=1,N(INDEX(tsk_Duration,GanttView[[#This Row],[_Row]]))=0))</f>
        <v>0</v>
      </c>
      <c r="P31" s="134" t="n">
        <f aca="false">IF(IFERROR(INDEX(tsk_Name,GanttView[[#This Row],[_Row]])="",TRUE()),0,IF(AND(INDEX(tsk_IsLeaf,GanttView[[#This Row],[_Row]])=1,NOT(GanttView[[#This Row],[_IsMilestone]]),N(GanttView[[#This Row],[%]])&gt;0),GanttView[[#This Row],[Forecast Start]],0))</f>
        <v>0</v>
      </c>
      <c r="Q31" s="134" t="n">
        <f aca="false">IF(GanttView[[#This Row],[_DoneFrom]]=0,0,IF(GanttView[[#This Row],[%]]&gt;=1,GanttView[[#This Row],[Forecast Finish]],MAX(GanttView[[#This Row],[_DoneFrom]],GanttView[[#This Row],[Forecast Start]]+ROUND((GanttView[[#This Row],[Forecast Finish]]-GanttView[[#This Row],[Forecast Start]]+1)*GanttView[[#This Row],[%]],0)-1)))</f>
        <v>0</v>
      </c>
      <c r="R31" s="134" t="n">
        <f aca="false">IF(IFERROR(INDEX(tsk_Name,GanttView[[#This Row],[_Row]])="",TRUE()),0,IF(OR(INDEX(tsk_IsLeaf,GanttView[[#This Row],[_Row]])&lt;&gt;1,GanttView[[#This Row],[_IsMilestone]],N(GanttView[[#This Row],[%]])&gt;=1),0,IF(GanttView[[#This Row],[_DoneTo]]&gt;0,GanttView[[#This Row],[_DoneTo]]+1,GanttView[[#This Row],[Forecast Start]])))</f>
        <v>46372</v>
      </c>
      <c r="S31" s="134" t="n">
        <f aca="false">IF(GanttView[[#This Row],[_RemFrom]]=0,0,GanttView[[#This Row],[Forecast Finish]])</f>
        <v>46391</v>
      </c>
      <c r="T31" s="133" t="b">
        <f aca="false">IF(IFERROR(INDEX(tsk_Name,GanttView[[#This Row],[_Row]])="",TRUE()),FALSE(),N(INDEX(tsk_Variance,GanttView[[#This Row],[_Row]]))&gt;0)</f>
        <v>0</v>
      </c>
      <c r="U31" s="134" t="n">
        <f aca="false">IF(IFERROR(INDEX(tsk_Name,GanttView[[#This Row],[_Row]])="",TRUE()),0,N(INDEX(tsk_Deadline,GanttView[[#This Row],[_Row]])))</f>
        <v>0</v>
      </c>
      <c r="V31" s="133" t="b">
        <f aca="false">IF(IFERROR(INDEX(tsk_Name,GanttView[[#This Row],[_Row]])="",TRUE()),FALSE(),INDEX(tsk_Critical,GanttView[[#This Row],[_Row]])="Yes")</f>
        <v>1</v>
      </c>
    </row>
    <row r="32" customFormat="false" ht="15" hidden="false" customHeight="false" outlineLevel="0" collapsed="false">
      <c r="A32" s="127" t="n">
        <f aca="false">IF(IFERROR(INDEX(tsk_Name,GanttView[[#This Row],[_Row]])="",TRUE()),"",INDEX(tsk_ID,GanttView[[#This Row],[_Row]]))</f>
        <v>27</v>
      </c>
      <c r="B32" s="127" t="str">
        <f aca="false">IF(IFERROR(INDEX(tsk_Name,GanttView[[#This Row],[_Row]])="",TRUE()),"",INDEX(tsk_WBS,GanttView[[#This Row],[_Row]]))</f>
        <v>5</v>
      </c>
      <c r="C32" s="128" t="str">
        <f aca="false">IF(IFERROR(INDEX(tsk_Name,GanttView[[#This Row],[_Row]])="",TRUE()),"",REPT("    ",INDEX(tsk_Level,GanttView[[#This Row],[_Row]])-1)&amp;INDEX(tsk_Name,GanttView[[#This Row],[_Row]]))</f>
        <v>Project Close</v>
      </c>
      <c r="D32" s="127" t="n">
        <f aca="false">IF(IFERROR(INDEX(tsk_Name,GanttView[[#This Row],[_Row]])="",TRUE()),"",IF(INDEX(tsk_IsSummary,GanttView[[#This Row],[_Row]]),NETWORKDAYS.INTL(INDEX(tsk_FcStart,GanttView[[#This Row],[_Row]]),INDEX(tsk_FcFinish,GanttView[[#This Row],[_Row]]),WorkWeek,Holidays),N(INDEX(tsk_Duration,GanttView[[#This Row],[_Row]]))))</f>
        <v>34</v>
      </c>
      <c r="E32" s="129" t="n">
        <f aca="false">IF(IFERROR(INDEX(tsk_Name,GanttView[[#This Row],[_Row]])="",TRUE()),"",INDEX(tsk_PlanStart,GanttView[[#This Row],[_Row]]))</f>
        <v>46342</v>
      </c>
      <c r="F32" s="129" t="n">
        <f aca="false">IF(IFERROR(INDEX(tsk_Name,GanttView[[#This Row],[_Row]])="",TRUE()),"",INDEX(tsk_PlanFinish,GanttView[[#This Row],[_Row]]))</f>
        <v>46393</v>
      </c>
      <c r="G32" s="129" t="n">
        <f aca="false">IF(IFERROR(INDEX(tsk_Name,GanttView[[#This Row],[_Row]])="",TRUE()),"",INDEX(tsk_FcStart,GanttView[[#This Row],[_Row]]))</f>
        <v>46342</v>
      </c>
      <c r="H32" s="129" t="n">
        <f aca="false">IF(IFERROR(INDEX(tsk_Name,GanttView[[#This Row],[_Row]])="",TRUE()),"",INDEX(tsk_FcFinish,GanttView[[#This Row],[_Row]]))</f>
        <v>46393</v>
      </c>
      <c r="I32" s="130" t="n">
        <f aca="false">IF(IFERROR(INDEX(tsk_Name,GanttView[[#This Row],[_Row]])="",TRUE()),"",INDEX(tsk_Progress,GanttView[[#This Row],[_Row]]))</f>
        <v>0</v>
      </c>
      <c r="J32" s="128" t="str">
        <f aca="false">IF(IFERROR(INDEX(tsk_Name,GanttView[[#This Row],[_Row]])="",TRUE()),"",INDEX(tsk_ResourceNames,GanttView[[#This Row],[_Row]])&amp;"")</f>
        <v/>
      </c>
      <c r="K32" s="131" t="str">
        <f aca="false">IF(IFERROR(INDEX(tsk_Name,GanttView[[#This Row],[_Row]])="",TRUE()),"",INDEX(tsk_Status,GanttView[[#This Row],[_Row]]))</f>
        <v>Not Started</v>
      </c>
      <c r="L32" s="131" t="str">
        <f aca="false">IF(IFERROR(INDEX(tsk_Name,GanttView[[#This Row],[_Row]])="",TRUE()),"",INDEX(tsk_Show,GanttView[[#This Row],[_Row]])&amp;"")</f>
        <v>Yes</v>
      </c>
      <c r="M32" s="132" t="n">
        <f aca="false">ROW()-ROW(GanttView[[#Headers],[ID]])</f>
        <v>27</v>
      </c>
      <c r="N32" s="133" t="b">
        <f aca="false">IF(IFERROR(INDEX(tsk_Name,GanttView[[#This Row],[_Row]])="",TRUE()),FALSE(),INDEX(tsk_IsSummary,GanttView[[#This Row],[_Row]]))</f>
        <v>1</v>
      </c>
      <c r="O32" s="133" t="b">
        <f aca="false">IF(IFERROR(INDEX(tsk_Name,GanttView[[#This Row],[_Row]])="",TRUE()),FALSE(),AND(INDEX(tsk_IsLeaf,GanttView[[#This Row],[_Row]])=1,N(INDEX(tsk_Duration,GanttView[[#This Row],[_Row]]))=0))</f>
        <v>0</v>
      </c>
      <c r="P32" s="134" t="n">
        <f aca="false">IF(IFERROR(INDEX(tsk_Name,GanttView[[#This Row],[_Row]])="",TRUE()),0,IF(AND(INDEX(tsk_IsLeaf,GanttView[[#This Row],[_Row]])=1,NOT(GanttView[[#This Row],[_IsMilestone]]),N(GanttView[[#This Row],[%]])&gt;0),GanttView[[#This Row],[Forecast Start]],0))</f>
        <v>0</v>
      </c>
      <c r="Q32" s="134" t="n">
        <f aca="false">IF(GanttView[[#This Row],[_DoneFrom]]=0,0,IF(GanttView[[#This Row],[%]]&gt;=1,GanttView[[#This Row],[Forecast Finish]],MAX(GanttView[[#This Row],[_DoneFrom]],GanttView[[#This Row],[Forecast Start]]+ROUND((GanttView[[#This Row],[Forecast Finish]]-GanttView[[#This Row],[Forecast Start]]+1)*GanttView[[#This Row],[%]],0)-1)))</f>
        <v>0</v>
      </c>
      <c r="R32" s="134" t="n">
        <f aca="false">IF(IFERROR(INDEX(tsk_Name,GanttView[[#This Row],[_Row]])="",TRUE()),0,IF(OR(INDEX(tsk_IsLeaf,GanttView[[#This Row],[_Row]])&lt;&gt;1,GanttView[[#This Row],[_IsMilestone]],N(GanttView[[#This Row],[%]])&gt;=1),0,IF(GanttView[[#This Row],[_DoneTo]]&gt;0,GanttView[[#This Row],[_DoneTo]]+1,GanttView[[#This Row],[Forecast Start]])))</f>
        <v>0</v>
      </c>
      <c r="S32" s="134" t="n">
        <f aca="false">IF(GanttView[[#This Row],[_RemFrom]]=0,0,GanttView[[#This Row],[Forecast Finish]])</f>
        <v>0</v>
      </c>
      <c r="T32" s="133" t="b">
        <f aca="false">IF(IFERROR(INDEX(tsk_Name,GanttView[[#This Row],[_Row]])="",TRUE()),FALSE(),N(INDEX(tsk_Variance,GanttView[[#This Row],[_Row]]))&gt;0)</f>
        <v>0</v>
      </c>
      <c r="U32" s="134" t="n">
        <f aca="false">IF(IFERROR(INDEX(tsk_Name,GanttView[[#This Row],[_Row]])="",TRUE()),0,N(INDEX(tsk_Deadline,GanttView[[#This Row],[_Row]])))</f>
        <v>0</v>
      </c>
      <c r="V32" s="133" t="b">
        <f aca="false">IF(IFERROR(INDEX(tsk_Name,GanttView[[#This Row],[_Row]])="",TRUE()),FALSE(),INDEX(tsk_Critical,GanttView[[#This Row],[_Row]])="Yes")</f>
        <v>1</v>
      </c>
    </row>
    <row r="33" customFormat="false" ht="15" hidden="false" customHeight="false" outlineLevel="1" collapsed="false">
      <c r="A33" s="127" t="n">
        <f aca="false">IF(IFERROR(INDEX(tsk_Name,GanttView[[#This Row],[_Row]])="",TRUE()),"",INDEX(tsk_ID,GanttView[[#This Row],[_Row]]))</f>
        <v>28</v>
      </c>
      <c r="B33" s="127" t="str">
        <f aca="false">IF(IFERROR(INDEX(tsk_Name,GanttView[[#This Row],[_Row]])="",TRUE()),"",INDEX(tsk_WBS,GanttView[[#This Row],[_Row]]))</f>
        <v>5.1</v>
      </c>
      <c r="C33" s="128" t="str">
        <f aca="false">IF(IFERROR(INDEX(tsk_Name,GanttView[[#This Row],[_Row]])="",TRUE()),"",REPT("    ",INDEX(tsk_Level,GanttView[[#This Row],[_Row]])-1)&amp;INDEX(tsk_Name,GanttView[[#This Row],[_Row]]))</f>
        <v>    Steering committee update</v>
      </c>
      <c r="D33" s="127" t="n">
        <f aca="false">IF(IFERROR(INDEX(tsk_Name,GanttView[[#This Row],[_Row]])="",TRUE()),"",IF(INDEX(tsk_IsSummary,GanttView[[#This Row],[_Row]]),NETWORKDAYS.INTL(INDEX(tsk_FcStart,GanttView[[#This Row],[_Row]]),INDEX(tsk_FcFinish,GanttView[[#This Row],[_Row]]),WorkWeek,Holidays),N(INDEX(tsk_Duration,GanttView[[#This Row],[_Row]]))))</f>
        <v>1</v>
      </c>
      <c r="E33" s="129" t="n">
        <f aca="false">IF(IFERROR(INDEX(tsk_Name,GanttView[[#This Row],[_Row]])="",TRUE()),"",INDEX(tsk_PlanStart,GanttView[[#This Row],[_Row]]))</f>
        <v>46342</v>
      </c>
      <c r="F33" s="129" t="n">
        <f aca="false">IF(IFERROR(INDEX(tsk_Name,GanttView[[#This Row],[_Row]])="",TRUE()),"",INDEX(tsk_PlanFinish,GanttView[[#This Row],[_Row]]))</f>
        <v>46342</v>
      </c>
      <c r="G33" s="129" t="n">
        <f aca="false">IF(IFERROR(INDEX(tsk_Name,GanttView[[#This Row],[_Row]])="",TRUE()),"",INDEX(tsk_FcStart,GanttView[[#This Row],[_Row]]))</f>
        <v>46342</v>
      </c>
      <c r="H33" s="129" t="n">
        <f aca="false">IF(IFERROR(INDEX(tsk_Name,GanttView[[#This Row],[_Row]])="",TRUE()),"",INDEX(tsk_FcFinish,GanttView[[#This Row],[_Row]]))</f>
        <v>46342</v>
      </c>
      <c r="I33" s="130" t="n">
        <f aca="false">IF(IFERROR(INDEX(tsk_Name,GanttView[[#This Row],[_Row]])="",TRUE()),"",INDEX(tsk_Progress,GanttView[[#This Row],[_Row]]))</f>
        <v>0</v>
      </c>
      <c r="J33" s="128" t="str">
        <f aca="false">IF(IFERROR(INDEX(tsk_Name,GanttView[[#This Row],[_Row]])="",TRUE()),"",INDEX(tsk_ResourceNames,GanttView[[#This Row],[_Row]])&amp;"")</f>
        <v>Priya Sharma</v>
      </c>
      <c r="K33" s="131" t="str">
        <f aca="false">IF(IFERROR(INDEX(tsk_Name,GanttView[[#This Row],[_Row]])="",TRUE()),"",INDEX(tsk_Status,GanttView[[#This Row],[_Row]]))</f>
        <v>Not Started</v>
      </c>
      <c r="L33" s="131" t="str">
        <f aca="false">IF(IFERROR(INDEX(tsk_Name,GanttView[[#This Row],[_Row]])="",TRUE()),"",INDEX(tsk_Show,GanttView[[#This Row],[_Row]])&amp;"")</f>
        <v>Yes</v>
      </c>
      <c r="M33" s="132" t="n">
        <f aca="false">ROW()-ROW(GanttView[[#Headers],[ID]])</f>
        <v>28</v>
      </c>
      <c r="N33" s="133" t="b">
        <f aca="false">IF(IFERROR(INDEX(tsk_Name,GanttView[[#This Row],[_Row]])="",TRUE()),FALSE(),INDEX(tsk_IsSummary,GanttView[[#This Row],[_Row]]))</f>
        <v>0</v>
      </c>
      <c r="O33" s="133" t="b">
        <f aca="false">IF(IFERROR(INDEX(tsk_Name,GanttView[[#This Row],[_Row]])="",TRUE()),FALSE(),AND(INDEX(tsk_IsLeaf,GanttView[[#This Row],[_Row]])=1,N(INDEX(tsk_Duration,GanttView[[#This Row],[_Row]]))=0))</f>
        <v>0</v>
      </c>
      <c r="P33" s="134" t="n">
        <f aca="false">IF(IFERROR(INDEX(tsk_Name,GanttView[[#This Row],[_Row]])="",TRUE()),0,IF(AND(INDEX(tsk_IsLeaf,GanttView[[#This Row],[_Row]])=1,NOT(GanttView[[#This Row],[_IsMilestone]]),N(GanttView[[#This Row],[%]])&gt;0),GanttView[[#This Row],[Forecast Start]],0))</f>
        <v>0</v>
      </c>
      <c r="Q33" s="134" t="n">
        <f aca="false">IF(GanttView[[#This Row],[_DoneFrom]]=0,0,IF(GanttView[[#This Row],[%]]&gt;=1,GanttView[[#This Row],[Forecast Finish]],MAX(GanttView[[#This Row],[_DoneFrom]],GanttView[[#This Row],[Forecast Start]]+ROUND((GanttView[[#This Row],[Forecast Finish]]-GanttView[[#This Row],[Forecast Start]]+1)*GanttView[[#This Row],[%]],0)-1)))</f>
        <v>0</v>
      </c>
      <c r="R33" s="134" t="n">
        <f aca="false">IF(IFERROR(INDEX(tsk_Name,GanttView[[#This Row],[_Row]])="",TRUE()),0,IF(OR(INDEX(tsk_IsLeaf,GanttView[[#This Row],[_Row]])&lt;&gt;1,GanttView[[#This Row],[_IsMilestone]],N(GanttView[[#This Row],[%]])&gt;=1),0,IF(GanttView[[#This Row],[_DoneTo]]&gt;0,GanttView[[#This Row],[_DoneTo]]+1,GanttView[[#This Row],[Forecast Start]])))</f>
        <v>46342</v>
      </c>
      <c r="S33" s="134" t="n">
        <f aca="false">IF(GanttView[[#This Row],[_RemFrom]]=0,0,GanttView[[#This Row],[Forecast Finish]])</f>
        <v>46342</v>
      </c>
      <c r="T33" s="133" t="b">
        <f aca="false">IF(IFERROR(INDEX(tsk_Name,GanttView[[#This Row],[_Row]])="",TRUE()),FALSE(),N(INDEX(tsk_Variance,GanttView[[#This Row],[_Row]]))&gt;0)</f>
        <v>0</v>
      </c>
      <c r="U33" s="134" t="n">
        <f aca="false">IF(IFERROR(INDEX(tsk_Name,GanttView[[#This Row],[_Row]])="",TRUE()),0,N(INDEX(tsk_Deadline,GanttView[[#This Row],[_Row]])))</f>
        <v>0</v>
      </c>
      <c r="V33" s="133" t="b">
        <f aca="false">IF(IFERROR(INDEX(tsk_Name,GanttView[[#This Row],[_Row]])="",TRUE()),FALSE(),INDEX(tsk_Critical,GanttView[[#This Row],[_Row]])="Yes")</f>
        <v>0</v>
      </c>
    </row>
    <row r="34" customFormat="false" ht="15" hidden="false" customHeight="false" outlineLevel="1" collapsed="false">
      <c r="A34" s="127" t="n">
        <f aca="false">IF(IFERROR(INDEX(tsk_Name,GanttView[[#This Row],[_Row]])="",TRUE()),"",INDEX(tsk_ID,GanttView[[#This Row],[_Row]]))</f>
        <v>29</v>
      </c>
      <c r="B34" s="127" t="str">
        <f aca="false">IF(IFERROR(INDEX(tsk_Name,GanttView[[#This Row],[_Row]])="",TRUE()),"",INDEX(tsk_WBS,GanttView[[#This Row],[_Row]]))</f>
        <v>5.2</v>
      </c>
      <c r="C34" s="128" t="str">
        <f aca="false">IF(IFERROR(INDEX(tsk_Name,GanttView[[#This Row],[_Row]])="",TRUE()),"",REPT("    ",INDEX(tsk_Level,GanttView[[#This Row],[_Row]])-1)&amp;INDEX(tsk_Name,GanttView[[#This Row],[_Row]]))</f>
        <v>    Lessons learned</v>
      </c>
      <c r="D34" s="127" t="n">
        <f aca="false">IF(IFERROR(INDEX(tsk_Name,GanttView[[#This Row],[_Row]])="",TRUE()),"",IF(INDEX(tsk_IsSummary,GanttView[[#This Row],[_Row]]),NETWORKDAYS.INTL(INDEX(tsk_FcStart,GanttView[[#This Row],[_Row]]),INDEX(tsk_FcFinish,GanttView[[#This Row],[_Row]]),WorkWeek,Holidays),N(INDEX(tsk_Duration,GanttView[[#This Row],[_Row]]))))</f>
        <v>2</v>
      </c>
      <c r="E34" s="129" t="n">
        <f aca="false">IF(IFERROR(INDEX(tsk_Name,GanttView[[#This Row],[_Row]])="",TRUE()),"",INDEX(tsk_PlanStart,GanttView[[#This Row],[_Row]]))</f>
        <v>46392</v>
      </c>
      <c r="F34" s="129" t="n">
        <f aca="false">IF(IFERROR(INDEX(tsk_Name,GanttView[[#This Row],[_Row]])="",TRUE()),"",INDEX(tsk_PlanFinish,GanttView[[#This Row],[_Row]]))</f>
        <v>46393</v>
      </c>
      <c r="G34" s="129" t="n">
        <f aca="false">IF(IFERROR(INDEX(tsk_Name,GanttView[[#This Row],[_Row]])="",TRUE()),"",INDEX(tsk_FcStart,GanttView[[#This Row],[_Row]]))</f>
        <v>46392</v>
      </c>
      <c r="H34" s="129" t="n">
        <f aca="false">IF(IFERROR(INDEX(tsk_Name,GanttView[[#This Row],[_Row]])="",TRUE()),"",INDEX(tsk_FcFinish,GanttView[[#This Row],[_Row]]))</f>
        <v>46393</v>
      </c>
      <c r="I34" s="130" t="n">
        <f aca="false">IF(IFERROR(INDEX(tsk_Name,GanttView[[#This Row],[_Row]])="",TRUE()),"",INDEX(tsk_Progress,GanttView[[#This Row],[_Row]]))</f>
        <v>0</v>
      </c>
      <c r="J34" s="128" t="str">
        <f aca="false">IF(IFERROR(INDEX(tsk_Name,GanttView[[#This Row],[_Row]])="",TRUE()),"",INDEX(tsk_ResourceNames,GanttView[[#This Row],[_Row]])&amp;"")</f>
        <v>Priya Sharma</v>
      </c>
      <c r="K34" s="131" t="str">
        <f aca="false">IF(IFERROR(INDEX(tsk_Name,GanttView[[#This Row],[_Row]])="",TRUE()),"",INDEX(tsk_Status,GanttView[[#This Row],[_Row]]))</f>
        <v>Not Started</v>
      </c>
      <c r="L34" s="131" t="str">
        <f aca="false">IF(IFERROR(INDEX(tsk_Name,GanttView[[#This Row],[_Row]])="",TRUE()),"",INDEX(tsk_Show,GanttView[[#This Row],[_Row]])&amp;"")</f>
        <v>Yes</v>
      </c>
      <c r="M34" s="132" t="n">
        <f aca="false">ROW()-ROW(GanttView[[#Headers],[ID]])</f>
        <v>29</v>
      </c>
      <c r="N34" s="133" t="b">
        <f aca="false">IF(IFERROR(INDEX(tsk_Name,GanttView[[#This Row],[_Row]])="",TRUE()),FALSE(),INDEX(tsk_IsSummary,GanttView[[#This Row],[_Row]]))</f>
        <v>0</v>
      </c>
      <c r="O34" s="133" t="b">
        <f aca="false">IF(IFERROR(INDEX(tsk_Name,GanttView[[#This Row],[_Row]])="",TRUE()),FALSE(),AND(INDEX(tsk_IsLeaf,GanttView[[#This Row],[_Row]])=1,N(INDEX(tsk_Duration,GanttView[[#This Row],[_Row]]))=0))</f>
        <v>0</v>
      </c>
      <c r="P34" s="134" t="n">
        <f aca="false">IF(IFERROR(INDEX(tsk_Name,GanttView[[#This Row],[_Row]])="",TRUE()),0,IF(AND(INDEX(tsk_IsLeaf,GanttView[[#This Row],[_Row]])=1,NOT(GanttView[[#This Row],[_IsMilestone]]),N(GanttView[[#This Row],[%]])&gt;0),GanttView[[#This Row],[Forecast Start]],0))</f>
        <v>0</v>
      </c>
      <c r="Q34" s="134" t="n">
        <f aca="false">IF(GanttView[[#This Row],[_DoneFrom]]=0,0,IF(GanttView[[#This Row],[%]]&gt;=1,GanttView[[#This Row],[Forecast Finish]],MAX(GanttView[[#This Row],[_DoneFrom]],GanttView[[#This Row],[Forecast Start]]+ROUND((GanttView[[#This Row],[Forecast Finish]]-GanttView[[#This Row],[Forecast Start]]+1)*GanttView[[#This Row],[%]],0)-1)))</f>
        <v>0</v>
      </c>
      <c r="R34" s="134" t="n">
        <f aca="false">IF(IFERROR(INDEX(tsk_Name,GanttView[[#This Row],[_Row]])="",TRUE()),0,IF(OR(INDEX(tsk_IsLeaf,GanttView[[#This Row],[_Row]])&lt;&gt;1,GanttView[[#This Row],[_IsMilestone]],N(GanttView[[#This Row],[%]])&gt;=1),0,IF(GanttView[[#This Row],[_DoneTo]]&gt;0,GanttView[[#This Row],[_DoneTo]]+1,GanttView[[#This Row],[Forecast Start]])))</f>
        <v>46392</v>
      </c>
      <c r="S34" s="134" t="n">
        <f aca="false">IF(GanttView[[#This Row],[_RemFrom]]=0,0,GanttView[[#This Row],[Forecast Finish]])</f>
        <v>46393</v>
      </c>
      <c r="T34" s="133" t="b">
        <f aca="false">IF(IFERROR(INDEX(tsk_Name,GanttView[[#This Row],[_Row]])="",TRUE()),FALSE(),N(INDEX(tsk_Variance,GanttView[[#This Row],[_Row]]))&gt;0)</f>
        <v>0</v>
      </c>
      <c r="U34" s="134" t="n">
        <f aca="false">IF(IFERROR(INDEX(tsk_Name,GanttView[[#This Row],[_Row]])="",TRUE()),0,N(INDEX(tsk_Deadline,GanttView[[#This Row],[_Row]])))</f>
        <v>0</v>
      </c>
      <c r="V34" s="133" t="b">
        <f aca="false">IF(IFERROR(INDEX(tsk_Name,GanttView[[#This Row],[_Row]])="",TRUE()),FALSE(),INDEX(tsk_Critical,GanttView[[#This Row],[_Row]])="Yes")</f>
        <v>1</v>
      </c>
    </row>
    <row r="35" customFormat="false" ht="15" hidden="false" customHeight="false" outlineLevel="1" collapsed="false">
      <c r="A35" s="127" t="n">
        <f aca="false">IF(IFERROR(INDEX(tsk_Name,GanttView[[#This Row],[_Row]])="",TRUE()),"",INDEX(tsk_ID,GanttView[[#This Row],[_Row]]))</f>
        <v>30</v>
      </c>
      <c r="B35" s="127" t="str">
        <f aca="false">IF(IFERROR(INDEX(tsk_Name,GanttView[[#This Row],[_Row]])="",TRUE()),"",INDEX(tsk_WBS,GanttView[[#This Row],[_Row]]))</f>
        <v>5.3</v>
      </c>
      <c r="C35" s="128" t="str">
        <f aca="false">IF(IFERROR(INDEX(tsk_Name,GanttView[[#This Row],[_Row]])="",TRUE()),"",REPT("    ",INDEX(tsk_Level,GanttView[[#This Row],[_Row]])-1)&amp;INDEX(tsk_Name,GanttView[[#This Row],[_Row]]))</f>
        <v>    Project closed</v>
      </c>
      <c r="D35" s="127" t="n">
        <f aca="false">IF(IFERROR(INDEX(tsk_Name,GanttView[[#This Row],[_Row]])="",TRUE()),"",IF(INDEX(tsk_IsSummary,GanttView[[#This Row],[_Row]]),NETWORKDAYS.INTL(INDEX(tsk_FcStart,GanttView[[#This Row],[_Row]]),INDEX(tsk_FcFinish,GanttView[[#This Row],[_Row]]),WorkWeek,Holidays),N(INDEX(tsk_Duration,GanttView[[#This Row],[_Row]]))))</f>
        <v>0</v>
      </c>
      <c r="E35" s="129" t="n">
        <f aca="false">IF(IFERROR(INDEX(tsk_Name,GanttView[[#This Row],[_Row]])="",TRUE()),"",INDEX(tsk_PlanStart,GanttView[[#This Row],[_Row]]))</f>
        <v>46393</v>
      </c>
      <c r="F35" s="129" t="n">
        <f aca="false">IF(IFERROR(INDEX(tsk_Name,GanttView[[#This Row],[_Row]])="",TRUE()),"",INDEX(tsk_PlanFinish,GanttView[[#This Row],[_Row]]))</f>
        <v>46393</v>
      </c>
      <c r="G35" s="129" t="n">
        <f aca="false">IF(IFERROR(INDEX(tsk_Name,GanttView[[#This Row],[_Row]])="",TRUE()),"",INDEX(tsk_FcStart,GanttView[[#This Row],[_Row]]))</f>
        <v>46393</v>
      </c>
      <c r="H35" s="129" t="n">
        <f aca="false">IF(IFERROR(INDEX(tsk_Name,GanttView[[#This Row],[_Row]])="",TRUE()),"",INDEX(tsk_FcFinish,GanttView[[#This Row],[_Row]]))</f>
        <v>46393</v>
      </c>
      <c r="I35" s="130" t="n">
        <f aca="false">IF(IFERROR(INDEX(tsk_Name,GanttView[[#This Row],[_Row]])="",TRUE()),"",INDEX(tsk_Progress,GanttView[[#This Row],[_Row]]))</f>
        <v>0</v>
      </c>
      <c r="J35" s="128" t="str">
        <f aca="false">IF(IFERROR(INDEX(tsk_Name,GanttView[[#This Row],[_Row]])="",TRUE()),"",INDEX(tsk_ResourceNames,GanttView[[#This Row],[_Row]])&amp;"")</f>
        <v/>
      </c>
      <c r="K35" s="131" t="str">
        <f aca="false">IF(IFERROR(INDEX(tsk_Name,GanttView[[#This Row],[_Row]])="",TRUE()),"",INDEX(tsk_Status,GanttView[[#This Row],[_Row]]))</f>
        <v>Not Started</v>
      </c>
      <c r="L35" s="131" t="str">
        <f aca="false">IF(IFERROR(INDEX(tsk_Name,GanttView[[#This Row],[_Row]])="",TRUE()),"",INDEX(tsk_Show,GanttView[[#This Row],[_Row]])&amp;"")</f>
        <v>Yes</v>
      </c>
      <c r="M35" s="132" t="n">
        <f aca="false">ROW()-ROW(GanttView[[#Headers],[ID]])</f>
        <v>30</v>
      </c>
      <c r="N35" s="133" t="b">
        <f aca="false">IF(IFERROR(INDEX(tsk_Name,GanttView[[#This Row],[_Row]])="",TRUE()),FALSE(),INDEX(tsk_IsSummary,GanttView[[#This Row],[_Row]]))</f>
        <v>0</v>
      </c>
      <c r="O35" s="133" t="b">
        <f aca="false">IF(IFERROR(INDEX(tsk_Name,GanttView[[#This Row],[_Row]])="",TRUE()),FALSE(),AND(INDEX(tsk_IsLeaf,GanttView[[#This Row],[_Row]])=1,N(INDEX(tsk_Duration,GanttView[[#This Row],[_Row]]))=0))</f>
        <v>1</v>
      </c>
      <c r="P35" s="134" t="n">
        <f aca="false">IF(IFERROR(INDEX(tsk_Name,GanttView[[#This Row],[_Row]])="",TRUE()),0,IF(AND(INDEX(tsk_IsLeaf,GanttView[[#This Row],[_Row]])=1,NOT(GanttView[[#This Row],[_IsMilestone]]),N(GanttView[[#This Row],[%]])&gt;0),GanttView[[#This Row],[Forecast Start]],0))</f>
        <v>0</v>
      </c>
      <c r="Q35" s="134" t="n">
        <f aca="false">IF(GanttView[[#This Row],[_DoneFrom]]=0,0,IF(GanttView[[#This Row],[%]]&gt;=1,GanttView[[#This Row],[Forecast Finish]],MAX(GanttView[[#This Row],[_DoneFrom]],GanttView[[#This Row],[Forecast Start]]+ROUND((GanttView[[#This Row],[Forecast Finish]]-GanttView[[#This Row],[Forecast Start]]+1)*GanttView[[#This Row],[%]],0)-1)))</f>
        <v>0</v>
      </c>
      <c r="R35" s="134" t="n">
        <f aca="false">IF(IFERROR(INDEX(tsk_Name,GanttView[[#This Row],[_Row]])="",TRUE()),0,IF(OR(INDEX(tsk_IsLeaf,GanttView[[#This Row],[_Row]])&lt;&gt;1,GanttView[[#This Row],[_IsMilestone]],N(GanttView[[#This Row],[%]])&gt;=1),0,IF(GanttView[[#This Row],[_DoneTo]]&gt;0,GanttView[[#This Row],[_DoneTo]]+1,GanttView[[#This Row],[Forecast Start]])))</f>
        <v>0</v>
      </c>
      <c r="S35" s="134" t="n">
        <f aca="false">IF(GanttView[[#This Row],[_RemFrom]]=0,0,GanttView[[#This Row],[Forecast Finish]])</f>
        <v>0</v>
      </c>
      <c r="T35" s="133" t="b">
        <f aca="false">IF(IFERROR(INDEX(tsk_Name,GanttView[[#This Row],[_Row]])="",TRUE()),FALSE(),N(INDEX(tsk_Variance,GanttView[[#This Row],[_Row]]))&gt;0)</f>
        <v>0</v>
      </c>
      <c r="U35" s="134" t="n">
        <f aca="false">IF(IFERROR(INDEX(tsk_Name,GanttView[[#This Row],[_Row]])="",TRUE()),0,N(INDEX(tsk_Deadline,GanttView[[#This Row],[_Row]])))</f>
        <v>0</v>
      </c>
      <c r="V35" s="133" t="b">
        <f aca="false">IF(IFERROR(INDEX(tsk_Name,GanttView[[#This Row],[_Row]])="",TRUE()),FALSE(),INDEX(tsk_Critical,GanttView[[#This Row],[_Row]])="Yes")</f>
        <v>1</v>
      </c>
    </row>
    <row r="36" customFormat="false" ht="15" hidden="false" customHeight="false" outlineLevel="0" collapsed="false">
      <c r="A36" s="127" t="str">
        <f aca="false">IF(IFERROR(INDEX(tsk_Name,GanttView[[#This Row],[_Row]])="",TRUE()),"",INDEX(tsk_ID,GanttView[[#This Row],[_Row]]))</f>
        <v/>
      </c>
      <c r="B36" s="127" t="str">
        <f aca="false">IF(IFERROR(INDEX(tsk_Name,GanttView[[#This Row],[_Row]])="",TRUE()),"",INDEX(tsk_WBS,GanttView[[#This Row],[_Row]]))</f>
        <v/>
      </c>
      <c r="C36" s="128" t="str">
        <f aca="false">IF(IFERROR(INDEX(tsk_Name,GanttView[[#This Row],[_Row]])="",TRUE()),"",REPT("    ",INDEX(tsk_Level,GanttView[[#This Row],[_Row]])-1)&amp;INDEX(tsk_Name,GanttView[[#This Row],[_Row]]))</f>
        <v/>
      </c>
      <c r="D36" s="127" t="str">
        <f aca="false">IF(IFERROR(INDEX(tsk_Name,GanttView[[#This Row],[_Row]])="",TRUE()),"",IF(INDEX(tsk_IsSummary,GanttView[[#This Row],[_Row]]),NETWORKDAYS.INTL(INDEX(tsk_FcStart,GanttView[[#This Row],[_Row]]),INDEX(tsk_FcFinish,GanttView[[#This Row],[_Row]]),WorkWeek,Holidays),N(INDEX(tsk_Duration,GanttView[[#This Row],[_Row]]))))</f>
        <v/>
      </c>
      <c r="E36" s="129" t="str">
        <f aca="false">IF(IFERROR(INDEX(tsk_Name,GanttView[[#This Row],[_Row]])="",TRUE()),"",INDEX(tsk_PlanStart,GanttView[[#This Row],[_Row]]))</f>
        <v/>
      </c>
      <c r="F36" s="129" t="str">
        <f aca="false">IF(IFERROR(INDEX(tsk_Name,GanttView[[#This Row],[_Row]])="",TRUE()),"",INDEX(tsk_PlanFinish,GanttView[[#This Row],[_Row]]))</f>
        <v/>
      </c>
      <c r="G36" s="129" t="str">
        <f aca="false">IF(IFERROR(INDEX(tsk_Name,GanttView[[#This Row],[_Row]])="",TRUE()),"",INDEX(tsk_FcStart,GanttView[[#This Row],[_Row]]))</f>
        <v/>
      </c>
      <c r="H36" s="129" t="str">
        <f aca="false">IF(IFERROR(INDEX(tsk_Name,GanttView[[#This Row],[_Row]])="",TRUE()),"",INDEX(tsk_FcFinish,GanttView[[#This Row],[_Row]]))</f>
        <v/>
      </c>
      <c r="I36" s="130" t="str">
        <f aca="false">IF(IFERROR(INDEX(tsk_Name,GanttView[[#This Row],[_Row]])="",TRUE()),"",INDEX(tsk_Progress,GanttView[[#This Row],[_Row]]))</f>
        <v/>
      </c>
      <c r="J36" s="128" t="str">
        <f aca="false">IF(IFERROR(INDEX(tsk_Name,GanttView[[#This Row],[_Row]])="",TRUE()),"",INDEX(tsk_ResourceNames,GanttView[[#This Row],[_Row]])&amp;"")</f>
        <v/>
      </c>
      <c r="K36" s="131" t="str">
        <f aca="false">IF(IFERROR(INDEX(tsk_Name,GanttView[[#This Row],[_Row]])="",TRUE()),"",INDEX(tsk_Status,GanttView[[#This Row],[_Row]]))</f>
        <v/>
      </c>
      <c r="L36" s="131" t="str">
        <f aca="false">IF(IFERROR(INDEX(tsk_Name,GanttView[[#This Row],[_Row]])="",TRUE()),"",INDEX(tsk_Show,GanttView[[#This Row],[_Row]])&amp;"")</f>
        <v/>
      </c>
      <c r="M36" s="132" t="n">
        <f aca="false">ROW()-ROW(GanttView[[#Headers],[ID]])</f>
        <v>31</v>
      </c>
      <c r="N36" s="133" t="b">
        <f aca="false">IF(IFERROR(INDEX(tsk_Name,GanttView[[#This Row],[_Row]])="",TRUE()),FALSE(),INDEX(tsk_IsSummary,GanttView[[#This Row],[_Row]]))</f>
        <v>0</v>
      </c>
      <c r="O36" s="133" t="b">
        <f aca="false">IF(IFERROR(INDEX(tsk_Name,GanttView[[#This Row],[_Row]])="",TRUE()),FALSE(),AND(INDEX(tsk_IsLeaf,GanttView[[#This Row],[_Row]])=1,N(INDEX(tsk_Duration,GanttView[[#This Row],[_Row]]))=0))</f>
        <v>0</v>
      </c>
      <c r="P36" s="134" t="n">
        <f aca="false">IF(IFERROR(INDEX(tsk_Name,GanttView[[#This Row],[_Row]])="",TRUE()),0,IF(AND(INDEX(tsk_IsLeaf,GanttView[[#This Row],[_Row]])=1,NOT(GanttView[[#This Row],[_IsMilestone]]),N(GanttView[[#This Row],[%]])&gt;0),GanttView[[#This Row],[Forecast Start]],0))</f>
        <v>0</v>
      </c>
      <c r="Q36" s="134" t="n">
        <f aca="false">IF(GanttView[[#This Row],[_DoneFrom]]=0,0,IF(GanttView[[#This Row],[%]]&gt;=1,GanttView[[#This Row],[Forecast Finish]],MAX(GanttView[[#This Row],[_DoneFrom]],GanttView[[#This Row],[Forecast Start]]+ROUND((GanttView[[#This Row],[Forecast Finish]]-GanttView[[#This Row],[Forecast Start]]+1)*GanttView[[#This Row],[%]],0)-1)))</f>
        <v>0</v>
      </c>
      <c r="R36" s="134" t="n">
        <f aca="false">IF(IFERROR(INDEX(tsk_Name,GanttView[[#This Row],[_Row]])="",TRUE()),0,IF(OR(INDEX(tsk_IsLeaf,GanttView[[#This Row],[_Row]])&lt;&gt;1,GanttView[[#This Row],[_IsMilestone]],N(GanttView[[#This Row],[%]])&gt;=1),0,IF(GanttView[[#This Row],[_DoneTo]]&gt;0,GanttView[[#This Row],[_DoneTo]]+1,GanttView[[#This Row],[Forecast Start]])))</f>
        <v>0</v>
      </c>
      <c r="S36" s="134" t="n">
        <f aca="false">IF(GanttView[[#This Row],[_RemFrom]]=0,0,GanttView[[#This Row],[Forecast Finish]])</f>
        <v>0</v>
      </c>
      <c r="T36" s="133" t="b">
        <f aca="false">IF(IFERROR(INDEX(tsk_Name,GanttView[[#This Row],[_Row]])="",TRUE()),FALSE(),N(INDEX(tsk_Variance,GanttView[[#This Row],[_Row]]))&gt;0)</f>
        <v>0</v>
      </c>
      <c r="U36" s="134" t="n">
        <f aca="false">IF(IFERROR(INDEX(tsk_Name,GanttView[[#This Row],[_Row]])="",TRUE()),0,N(INDEX(tsk_Deadline,GanttView[[#This Row],[_Row]])))</f>
        <v>0</v>
      </c>
      <c r="V36" s="133" t="b">
        <f aca="false">IF(IFERROR(INDEX(tsk_Name,GanttView[[#This Row],[_Row]])="",TRUE()),FALSE(),INDEX(tsk_Critical,GanttView[[#This Row],[_Row]])="Yes")</f>
        <v>0</v>
      </c>
    </row>
    <row r="37" customFormat="false" ht="15" hidden="false" customHeight="false" outlineLevel="0" collapsed="false">
      <c r="A37" s="127" t="str">
        <f aca="false">IF(IFERROR(INDEX(tsk_Name,GanttView[[#This Row],[_Row]])="",TRUE()),"",INDEX(tsk_ID,GanttView[[#This Row],[_Row]]))</f>
        <v/>
      </c>
      <c r="B37" s="127" t="str">
        <f aca="false">IF(IFERROR(INDEX(tsk_Name,GanttView[[#This Row],[_Row]])="",TRUE()),"",INDEX(tsk_WBS,GanttView[[#This Row],[_Row]]))</f>
        <v/>
      </c>
      <c r="C37" s="128" t="str">
        <f aca="false">IF(IFERROR(INDEX(tsk_Name,GanttView[[#This Row],[_Row]])="",TRUE()),"",REPT("    ",INDEX(tsk_Level,GanttView[[#This Row],[_Row]])-1)&amp;INDEX(tsk_Name,GanttView[[#This Row],[_Row]]))</f>
        <v/>
      </c>
      <c r="D37" s="127" t="str">
        <f aca="false">IF(IFERROR(INDEX(tsk_Name,GanttView[[#This Row],[_Row]])="",TRUE()),"",IF(INDEX(tsk_IsSummary,GanttView[[#This Row],[_Row]]),NETWORKDAYS.INTL(INDEX(tsk_FcStart,GanttView[[#This Row],[_Row]]),INDEX(tsk_FcFinish,GanttView[[#This Row],[_Row]]),WorkWeek,Holidays),N(INDEX(tsk_Duration,GanttView[[#This Row],[_Row]]))))</f>
        <v/>
      </c>
      <c r="E37" s="129" t="str">
        <f aca="false">IF(IFERROR(INDEX(tsk_Name,GanttView[[#This Row],[_Row]])="",TRUE()),"",INDEX(tsk_PlanStart,GanttView[[#This Row],[_Row]]))</f>
        <v/>
      </c>
      <c r="F37" s="129" t="str">
        <f aca="false">IF(IFERROR(INDEX(tsk_Name,GanttView[[#This Row],[_Row]])="",TRUE()),"",INDEX(tsk_PlanFinish,GanttView[[#This Row],[_Row]]))</f>
        <v/>
      </c>
      <c r="G37" s="129" t="str">
        <f aca="false">IF(IFERROR(INDEX(tsk_Name,GanttView[[#This Row],[_Row]])="",TRUE()),"",INDEX(tsk_FcStart,GanttView[[#This Row],[_Row]]))</f>
        <v/>
      </c>
      <c r="H37" s="129" t="str">
        <f aca="false">IF(IFERROR(INDEX(tsk_Name,GanttView[[#This Row],[_Row]])="",TRUE()),"",INDEX(tsk_FcFinish,GanttView[[#This Row],[_Row]]))</f>
        <v/>
      </c>
      <c r="I37" s="130" t="str">
        <f aca="false">IF(IFERROR(INDEX(tsk_Name,GanttView[[#This Row],[_Row]])="",TRUE()),"",INDEX(tsk_Progress,GanttView[[#This Row],[_Row]]))</f>
        <v/>
      </c>
      <c r="J37" s="128" t="str">
        <f aca="false">IF(IFERROR(INDEX(tsk_Name,GanttView[[#This Row],[_Row]])="",TRUE()),"",INDEX(tsk_ResourceNames,GanttView[[#This Row],[_Row]])&amp;"")</f>
        <v/>
      </c>
      <c r="K37" s="131" t="str">
        <f aca="false">IF(IFERROR(INDEX(tsk_Name,GanttView[[#This Row],[_Row]])="",TRUE()),"",INDEX(tsk_Status,GanttView[[#This Row],[_Row]]))</f>
        <v/>
      </c>
      <c r="L37" s="131" t="str">
        <f aca="false">IF(IFERROR(INDEX(tsk_Name,GanttView[[#This Row],[_Row]])="",TRUE()),"",INDEX(tsk_Show,GanttView[[#This Row],[_Row]])&amp;"")</f>
        <v/>
      </c>
      <c r="M37" s="132" t="n">
        <f aca="false">ROW()-ROW(GanttView[[#Headers],[ID]])</f>
        <v>32</v>
      </c>
      <c r="N37" s="133" t="b">
        <f aca="false">IF(IFERROR(INDEX(tsk_Name,GanttView[[#This Row],[_Row]])="",TRUE()),FALSE(),INDEX(tsk_IsSummary,GanttView[[#This Row],[_Row]]))</f>
        <v>0</v>
      </c>
      <c r="O37" s="133" t="b">
        <f aca="false">IF(IFERROR(INDEX(tsk_Name,GanttView[[#This Row],[_Row]])="",TRUE()),FALSE(),AND(INDEX(tsk_IsLeaf,GanttView[[#This Row],[_Row]])=1,N(INDEX(tsk_Duration,GanttView[[#This Row],[_Row]]))=0))</f>
        <v>0</v>
      </c>
      <c r="P37" s="134" t="n">
        <f aca="false">IF(IFERROR(INDEX(tsk_Name,GanttView[[#This Row],[_Row]])="",TRUE()),0,IF(AND(INDEX(tsk_IsLeaf,GanttView[[#This Row],[_Row]])=1,NOT(GanttView[[#This Row],[_IsMilestone]]),N(GanttView[[#This Row],[%]])&gt;0),GanttView[[#This Row],[Forecast Start]],0))</f>
        <v>0</v>
      </c>
      <c r="Q37" s="134" t="n">
        <f aca="false">IF(GanttView[[#This Row],[_DoneFrom]]=0,0,IF(GanttView[[#This Row],[%]]&gt;=1,GanttView[[#This Row],[Forecast Finish]],MAX(GanttView[[#This Row],[_DoneFrom]],GanttView[[#This Row],[Forecast Start]]+ROUND((GanttView[[#This Row],[Forecast Finish]]-GanttView[[#This Row],[Forecast Start]]+1)*GanttView[[#This Row],[%]],0)-1)))</f>
        <v>0</v>
      </c>
      <c r="R37" s="134" t="n">
        <f aca="false">IF(IFERROR(INDEX(tsk_Name,GanttView[[#This Row],[_Row]])="",TRUE()),0,IF(OR(INDEX(tsk_IsLeaf,GanttView[[#This Row],[_Row]])&lt;&gt;1,GanttView[[#This Row],[_IsMilestone]],N(GanttView[[#This Row],[%]])&gt;=1),0,IF(GanttView[[#This Row],[_DoneTo]]&gt;0,GanttView[[#This Row],[_DoneTo]]+1,GanttView[[#This Row],[Forecast Start]])))</f>
        <v>0</v>
      </c>
      <c r="S37" s="134" t="n">
        <f aca="false">IF(GanttView[[#This Row],[_RemFrom]]=0,0,GanttView[[#This Row],[Forecast Finish]])</f>
        <v>0</v>
      </c>
      <c r="T37" s="133" t="b">
        <f aca="false">IF(IFERROR(INDEX(tsk_Name,GanttView[[#This Row],[_Row]])="",TRUE()),FALSE(),N(INDEX(tsk_Variance,GanttView[[#This Row],[_Row]]))&gt;0)</f>
        <v>0</v>
      </c>
      <c r="U37" s="134" t="n">
        <f aca="false">IF(IFERROR(INDEX(tsk_Name,GanttView[[#This Row],[_Row]])="",TRUE()),0,N(INDEX(tsk_Deadline,GanttView[[#This Row],[_Row]])))</f>
        <v>0</v>
      </c>
      <c r="V37" s="133" t="b">
        <f aca="false">IF(IFERROR(INDEX(tsk_Name,GanttView[[#This Row],[_Row]])="",TRUE()),FALSE(),INDEX(tsk_Critical,GanttView[[#This Row],[_Row]])="Yes")</f>
        <v>0</v>
      </c>
    </row>
    <row r="38" customFormat="false" ht="15" hidden="false" customHeight="false" outlineLevel="0" collapsed="false">
      <c r="A38" s="127" t="str">
        <f aca="false">IF(IFERROR(INDEX(tsk_Name,GanttView[[#This Row],[_Row]])="",TRUE()),"",INDEX(tsk_ID,GanttView[[#This Row],[_Row]]))</f>
        <v/>
      </c>
      <c r="B38" s="127" t="str">
        <f aca="false">IF(IFERROR(INDEX(tsk_Name,GanttView[[#This Row],[_Row]])="",TRUE()),"",INDEX(tsk_WBS,GanttView[[#This Row],[_Row]]))</f>
        <v/>
      </c>
      <c r="C38" s="128" t="str">
        <f aca="false">IF(IFERROR(INDEX(tsk_Name,GanttView[[#This Row],[_Row]])="",TRUE()),"",REPT("    ",INDEX(tsk_Level,GanttView[[#This Row],[_Row]])-1)&amp;INDEX(tsk_Name,GanttView[[#This Row],[_Row]]))</f>
        <v/>
      </c>
      <c r="D38" s="127" t="str">
        <f aca="false">IF(IFERROR(INDEX(tsk_Name,GanttView[[#This Row],[_Row]])="",TRUE()),"",IF(INDEX(tsk_IsSummary,GanttView[[#This Row],[_Row]]),NETWORKDAYS.INTL(INDEX(tsk_FcStart,GanttView[[#This Row],[_Row]]),INDEX(tsk_FcFinish,GanttView[[#This Row],[_Row]]),WorkWeek,Holidays),N(INDEX(tsk_Duration,GanttView[[#This Row],[_Row]]))))</f>
        <v/>
      </c>
      <c r="E38" s="129" t="str">
        <f aca="false">IF(IFERROR(INDEX(tsk_Name,GanttView[[#This Row],[_Row]])="",TRUE()),"",INDEX(tsk_PlanStart,GanttView[[#This Row],[_Row]]))</f>
        <v/>
      </c>
      <c r="F38" s="129" t="str">
        <f aca="false">IF(IFERROR(INDEX(tsk_Name,GanttView[[#This Row],[_Row]])="",TRUE()),"",INDEX(tsk_PlanFinish,GanttView[[#This Row],[_Row]]))</f>
        <v/>
      </c>
      <c r="G38" s="129" t="str">
        <f aca="false">IF(IFERROR(INDEX(tsk_Name,GanttView[[#This Row],[_Row]])="",TRUE()),"",INDEX(tsk_FcStart,GanttView[[#This Row],[_Row]]))</f>
        <v/>
      </c>
      <c r="H38" s="129" t="str">
        <f aca="false">IF(IFERROR(INDEX(tsk_Name,GanttView[[#This Row],[_Row]])="",TRUE()),"",INDEX(tsk_FcFinish,GanttView[[#This Row],[_Row]]))</f>
        <v/>
      </c>
      <c r="I38" s="130" t="str">
        <f aca="false">IF(IFERROR(INDEX(tsk_Name,GanttView[[#This Row],[_Row]])="",TRUE()),"",INDEX(tsk_Progress,GanttView[[#This Row],[_Row]]))</f>
        <v/>
      </c>
      <c r="J38" s="128" t="str">
        <f aca="false">IF(IFERROR(INDEX(tsk_Name,GanttView[[#This Row],[_Row]])="",TRUE()),"",INDEX(tsk_ResourceNames,GanttView[[#This Row],[_Row]])&amp;"")</f>
        <v/>
      </c>
      <c r="K38" s="131" t="str">
        <f aca="false">IF(IFERROR(INDEX(tsk_Name,GanttView[[#This Row],[_Row]])="",TRUE()),"",INDEX(tsk_Status,GanttView[[#This Row],[_Row]]))</f>
        <v/>
      </c>
      <c r="L38" s="131" t="str">
        <f aca="false">IF(IFERROR(INDEX(tsk_Name,GanttView[[#This Row],[_Row]])="",TRUE()),"",INDEX(tsk_Show,GanttView[[#This Row],[_Row]])&amp;"")</f>
        <v/>
      </c>
      <c r="M38" s="132" t="n">
        <f aca="false">ROW()-ROW(GanttView[[#Headers],[ID]])</f>
        <v>33</v>
      </c>
      <c r="N38" s="133" t="b">
        <f aca="false">IF(IFERROR(INDEX(tsk_Name,GanttView[[#This Row],[_Row]])="",TRUE()),FALSE(),INDEX(tsk_IsSummary,GanttView[[#This Row],[_Row]]))</f>
        <v>0</v>
      </c>
      <c r="O38" s="133" t="b">
        <f aca="false">IF(IFERROR(INDEX(tsk_Name,GanttView[[#This Row],[_Row]])="",TRUE()),FALSE(),AND(INDEX(tsk_IsLeaf,GanttView[[#This Row],[_Row]])=1,N(INDEX(tsk_Duration,GanttView[[#This Row],[_Row]]))=0))</f>
        <v>0</v>
      </c>
      <c r="P38" s="134" t="n">
        <f aca="false">IF(IFERROR(INDEX(tsk_Name,GanttView[[#This Row],[_Row]])="",TRUE()),0,IF(AND(INDEX(tsk_IsLeaf,GanttView[[#This Row],[_Row]])=1,NOT(GanttView[[#This Row],[_IsMilestone]]),N(GanttView[[#This Row],[%]])&gt;0),GanttView[[#This Row],[Forecast Start]],0))</f>
        <v>0</v>
      </c>
      <c r="Q38" s="134" t="n">
        <f aca="false">IF(GanttView[[#This Row],[_DoneFrom]]=0,0,IF(GanttView[[#This Row],[%]]&gt;=1,GanttView[[#This Row],[Forecast Finish]],MAX(GanttView[[#This Row],[_DoneFrom]],GanttView[[#This Row],[Forecast Start]]+ROUND((GanttView[[#This Row],[Forecast Finish]]-GanttView[[#This Row],[Forecast Start]]+1)*GanttView[[#This Row],[%]],0)-1)))</f>
        <v>0</v>
      </c>
      <c r="R38" s="134" t="n">
        <f aca="false">IF(IFERROR(INDEX(tsk_Name,GanttView[[#This Row],[_Row]])="",TRUE()),0,IF(OR(INDEX(tsk_IsLeaf,GanttView[[#This Row],[_Row]])&lt;&gt;1,GanttView[[#This Row],[_IsMilestone]],N(GanttView[[#This Row],[%]])&gt;=1),0,IF(GanttView[[#This Row],[_DoneTo]]&gt;0,GanttView[[#This Row],[_DoneTo]]+1,GanttView[[#This Row],[Forecast Start]])))</f>
        <v>0</v>
      </c>
      <c r="S38" s="134" t="n">
        <f aca="false">IF(GanttView[[#This Row],[_RemFrom]]=0,0,GanttView[[#This Row],[Forecast Finish]])</f>
        <v>0</v>
      </c>
      <c r="T38" s="133" t="b">
        <f aca="false">IF(IFERROR(INDEX(tsk_Name,GanttView[[#This Row],[_Row]])="",TRUE()),FALSE(),N(INDEX(tsk_Variance,GanttView[[#This Row],[_Row]]))&gt;0)</f>
        <v>0</v>
      </c>
      <c r="U38" s="134" t="n">
        <f aca="false">IF(IFERROR(INDEX(tsk_Name,GanttView[[#This Row],[_Row]])="",TRUE()),0,N(INDEX(tsk_Deadline,GanttView[[#This Row],[_Row]])))</f>
        <v>0</v>
      </c>
      <c r="V38" s="133" t="b">
        <f aca="false">IF(IFERROR(INDEX(tsk_Name,GanttView[[#This Row],[_Row]])="",TRUE()),FALSE(),INDEX(tsk_Critical,GanttView[[#This Row],[_Row]])="Yes")</f>
        <v>0</v>
      </c>
    </row>
    <row r="39" customFormat="false" ht="15" hidden="false" customHeight="false" outlineLevel="0" collapsed="false">
      <c r="A39" s="127" t="str">
        <f aca="false">IF(IFERROR(INDEX(tsk_Name,GanttView[[#This Row],[_Row]])="",TRUE()),"",INDEX(tsk_ID,GanttView[[#This Row],[_Row]]))</f>
        <v/>
      </c>
      <c r="B39" s="127" t="str">
        <f aca="false">IF(IFERROR(INDEX(tsk_Name,GanttView[[#This Row],[_Row]])="",TRUE()),"",INDEX(tsk_WBS,GanttView[[#This Row],[_Row]]))</f>
        <v/>
      </c>
      <c r="C39" s="128" t="str">
        <f aca="false">IF(IFERROR(INDEX(tsk_Name,GanttView[[#This Row],[_Row]])="",TRUE()),"",REPT("    ",INDEX(tsk_Level,GanttView[[#This Row],[_Row]])-1)&amp;INDEX(tsk_Name,GanttView[[#This Row],[_Row]]))</f>
        <v/>
      </c>
      <c r="D39" s="127" t="str">
        <f aca="false">IF(IFERROR(INDEX(tsk_Name,GanttView[[#This Row],[_Row]])="",TRUE()),"",IF(INDEX(tsk_IsSummary,GanttView[[#This Row],[_Row]]),NETWORKDAYS.INTL(INDEX(tsk_FcStart,GanttView[[#This Row],[_Row]]),INDEX(tsk_FcFinish,GanttView[[#This Row],[_Row]]),WorkWeek,Holidays),N(INDEX(tsk_Duration,GanttView[[#This Row],[_Row]]))))</f>
        <v/>
      </c>
      <c r="E39" s="129" t="str">
        <f aca="false">IF(IFERROR(INDEX(tsk_Name,GanttView[[#This Row],[_Row]])="",TRUE()),"",INDEX(tsk_PlanStart,GanttView[[#This Row],[_Row]]))</f>
        <v/>
      </c>
      <c r="F39" s="129" t="str">
        <f aca="false">IF(IFERROR(INDEX(tsk_Name,GanttView[[#This Row],[_Row]])="",TRUE()),"",INDEX(tsk_PlanFinish,GanttView[[#This Row],[_Row]]))</f>
        <v/>
      </c>
      <c r="G39" s="129" t="str">
        <f aca="false">IF(IFERROR(INDEX(tsk_Name,GanttView[[#This Row],[_Row]])="",TRUE()),"",INDEX(tsk_FcStart,GanttView[[#This Row],[_Row]]))</f>
        <v/>
      </c>
      <c r="H39" s="129" t="str">
        <f aca="false">IF(IFERROR(INDEX(tsk_Name,GanttView[[#This Row],[_Row]])="",TRUE()),"",INDEX(tsk_FcFinish,GanttView[[#This Row],[_Row]]))</f>
        <v/>
      </c>
      <c r="I39" s="130" t="str">
        <f aca="false">IF(IFERROR(INDEX(tsk_Name,GanttView[[#This Row],[_Row]])="",TRUE()),"",INDEX(tsk_Progress,GanttView[[#This Row],[_Row]]))</f>
        <v/>
      </c>
      <c r="J39" s="128" t="str">
        <f aca="false">IF(IFERROR(INDEX(tsk_Name,GanttView[[#This Row],[_Row]])="",TRUE()),"",INDEX(tsk_ResourceNames,GanttView[[#This Row],[_Row]])&amp;"")</f>
        <v/>
      </c>
      <c r="K39" s="131" t="str">
        <f aca="false">IF(IFERROR(INDEX(tsk_Name,GanttView[[#This Row],[_Row]])="",TRUE()),"",INDEX(tsk_Status,GanttView[[#This Row],[_Row]]))</f>
        <v/>
      </c>
      <c r="L39" s="131" t="str">
        <f aca="false">IF(IFERROR(INDEX(tsk_Name,GanttView[[#This Row],[_Row]])="",TRUE()),"",INDEX(tsk_Show,GanttView[[#This Row],[_Row]])&amp;"")</f>
        <v/>
      </c>
      <c r="M39" s="132" t="n">
        <f aca="false">ROW()-ROW(GanttView[[#Headers],[ID]])</f>
        <v>34</v>
      </c>
      <c r="N39" s="133" t="b">
        <f aca="false">IF(IFERROR(INDEX(tsk_Name,GanttView[[#This Row],[_Row]])="",TRUE()),FALSE(),INDEX(tsk_IsSummary,GanttView[[#This Row],[_Row]]))</f>
        <v>0</v>
      </c>
      <c r="O39" s="133" t="b">
        <f aca="false">IF(IFERROR(INDEX(tsk_Name,GanttView[[#This Row],[_Row]])="",TRUE()),FALSE(),AND(INDEX(tsk_IsLeaf,GanttView[[#This Row],[_Row]])=1,N(INDEX(tsk_Duration,GanttView[[#This Row],[_Row]]))=0))</f>
        <v>0</v>
      </c>
      <c r="P39" s="134" t="n">
        <f aca="false">IF(IFERROR(INDEX(tsk_Name,GanttView[[#This Row],[_Row]])="",TRUE()),0,IF(AND(INDEX(tsk_IsLeaf,GanttView[[#This Row],[_Row]])=1,NOT(GanttView[[#This Row],[_IsMilestone]]),N(GanttView[[#This Row],[%]])&gt;0),GanttView[[#This Row],[Forecast Start]],0))</f>
        <v>0</v>
      </c>
      <c r="Q39" s="134" t="n">
        <f aca="false">IF(GanttView[[#This Row],[_DoneFrom]]=0,0,IF(GanttView[[#This Row],[%]]&gt;=1,GanttView[[#This Row],[Forecast Finish]],MAX(GanttView[[#This Row],[_DoneFrom]],GanttView[[#This Row],[Forecast Start]]+ROUND((GanttView[[#This Row],[Forecast Finish]]-GanttView[[#This Row],[Forecast Start]]+1)*GanttView[[#This Row],[%]],0)-1)))</f>
        <v>0</v>
      </c>
      <c r="R39" s="134" t="n">
        <f aca="false">IF(IFERROR(INDEX(tsk_Name,GanttView[[#This Row],[_Row]])="",TRUE()),0,IF(OR(INDEX(tsk_IsLeaf,GanttView[[#This Row],[_Row]])&lt;&gt;1,GanttView[[#This Row],[_IsMilestone]],N(GanttView[[#This Row],[%]])&gt;=1),0,IF(GanttView[[#This Row],[_DoneTo]]&gt;0,GanttView[[#This Row],[_DoneTo]]+1,GanttView[[#This Row],[Forecast Start]])))</f>
        <v>0</v>
      </c>
      <c r="S39" s="134" t="n">
        <f aca="false">IF(GanttView[[#This Row],[_RemFrom]]=0,0,GanttView[[#This Row],[Forecast Finish]])</f>
        <v>0</v>
      </c>
      <c r="T39" s="133" t="b">
        <f aca="false">IF(IFERROR(INDEX(tsk_Name,GanttView[[#This Row],[_Row]])="",TRUE()),FALSE(),N(INDEX(tsk_Variance,GanttView[[#This Row],[_Row]]))&gt;0)</f>
        <v>0</v>
      </c>
      <c r="U39" s="134" t="n">
        <f aca="false">IF(IFERROR(INDEX(tsk_Name,GanttView[[#This Row],[_Row]])="",TRUE()),0,N(INDEX(tsk_Deadline,GanttView[[#This Row],[_Row]])))</f>
        <v>0</v>
      </c>
      <c r="V39" s="133" t="b">
        <f aca="false">IF(IFERROR(INDEX(tsk_Name,GanttView[[#This Row],[_Row]])="",TRUE()),FALSE(),INDEX(tsk_Critical,GanttView[[#This Row],[_Row]])="Yes")</f>
        <v>0</v>
      </c>
    </row>
    <row r="40" customFormat="false" ht="15" hidden="false" customHeight="false" outlineLevel="0" collapsed="false">
      <c r="A40" s="127" t="str">
        <f aca="false">IF(IFERROR(INDEX(tsk_Name,GanttView[[#This Row],[_Row]])="",TRUE()),"",INDEX(tsk_ID,GanttView[[#This Row],[_Row]]))</f>
        <v/>
      </c>
      <c r="B40" s="127" t="str">
        <f aca="false">IF(IFERROR(INDEX(tsk_Name,GanttView[[#This Row],[_Row]])="",TRUE()),"",INDEX(tsk_WBS,GanttView[[#This Row],[_Row]]))</f>
        <v/>
      </c>
      <c r="C40" s="128" t="str">
        <f aca="false">IF(IFERROR(INDEX(tsk_Name,GanttView[[#This Row],[_Row]])="",TRUE()),"",REPT("    ",INDEX(tsk_Level,GanttView[[#This Row],[_Row]])-1)&amp;INDEX(tsk_Name,GanttView[[#This Row],[_Row]]))</f>
        <v/>
      </c>
      <c r="D40" s="127" t="str">
        <f aca="false">IF(IFERROR(INDEX(tsk_Name,GanttView[[#This Row],[_Row]])="",TRUE()),"",IF(INDEX(tsk_IsSummary,GanttView[[#This Row],[_Row]]),NETWORKDAYS.INTL(INDEX(tsk_FcStart,GanttView[[#This Row],[_Row]]),INDEX(tsk_FcFinish,GanttView[[#This Row],[_Row]]),WorkWeek,Holidays),N(INDEX(tsk_Duration,GanttView[[#This Row],[_Row]]))))</f>
        <v/>
      </c>
      <c r="E40" s="129" t="str">
        <f aca="false">IF(IFERROR(INDEX(tsk_Name,GanttView[[#This Row],[_Row]])="",TRUE()),"",INDEX(tsk_PlanStart,GanttView[[#This Row],[_Row]]))</f>
        <v/>
      </c>
      <c r="F40" s="129" t="str">
        <f aca="false">IF(IFERROR(INDEX(tsk_Name,GanttView[[#This Row],[_Row]])="",TRUE()),"",INDEX(tsk_PlanFinish,GanttView[[#This Row],[_Row]]))</f>
        <v/>
      </c>
      <c r="G40" s="129" t="str">
        <f aca="false">IF(IFERROR(INDEX(tsk_Name,GanttView[[#This Row],[_Row]])="",TRUE()),"",INDEX(tsk_FcStart,GanttView[[#This Row],[_Row]]))</f>
        <v/>
      </c>
      <c r="H40" s="129" t="str">
        <f aca="false">IF(IFERROR(INDEX(tsk_Name,GanttView[[#This Row],[_Row]])="",TRUE()),"",INDEX(tsk_FcFinish,GanttView[[#This Row],[_Row]]))</f>
        <v/>
      </c>
      <c r="I40" s="130" t="str">
        <f aca="false">IF(IFERROR(INDEX(tsk_Name,GanttView[[#This Row],[_Row]])="",TRUE()),"",INDEX(tsk_Progress,GanttView[[#This Row],[_Row]]))</f>
        <v/>
      </c>
      <c r="J40" s="128" t="str">
        <f aca="false">IF(IFERROR(INDEX(tsk_Name,GanttView[[#This Row],[_Row]])="",TRUE()),"",INDEX(tsk_ResourceNames,GanttView[[#This Row],[_Row]])&amp;"")</f>
        <v/>
      </c>
      <c r="K40" s="131" t="str">
        <f aca="false">IF(IFERROR(INDEX(tsk_Name,GanttView[[#This Row],[_Row]])="",TRUE()),"",INDEX(tsk_Status,GanttView[[#This Row],[_Row]]))</f>
        <v/>
      </c>
      <c r="L40" s="131" t="str">
        <f aca="false">IF(IFERROR(INDEX(tsk_Name,GanttView[[#This Row],[_Row]])="",TRUE()),"",INDEX(tsk_Show,GanttView[[#This Row],[_Row]])&amp;"")</f>
        <v/>
      </c>
      <c r="M40" s="132" t="n">
        <f aca="false">ROW()-ROW(GanttView[[#Headers],[ID]])</f>
        <v>35</v>
      </c>
      <c r="N40" s="133" t="b">
        <f aca="false">IF(IFERROR(INDEX(tsk_Name,GanttView[[#This Row],[_Row]])="",TRUE()),FALSE(),INDEX(tsk_IsSummary,GanttView[[#This Row],[_Row]]))</f>
        <v>0</v>
      </c>
      <c r="O40" s="133" t="b">
        <f aca="false">IF(IFERROR(INDEX(tsk_Name,GanttView[[#This Row],[_Row]])="",TRUE()),FALSE(),AND(INDEX(tsk_IsLeaf,GanttView[[#This Row],[_Row]])=1,N(INDEX(tsk_Duration,GanttView[[#This Row],[_Row]]))=0))</f>
        <v>0</v>
      </c>
      <c r="P40" s="134" t="n">
        <f aca="false">IF(IFERROR(INDEX(tsk_Name,GanttView[[#This Row],[_Row]])="",TRUE()),0,IF(AND(INDEX(tsk_IsLeaf,GanttView[[#This Row],[_Row]])=1,NOT(GanttView[[#This Row],[_IsMilestone]]),N(GanttView[[#This Row],[%]])&gt;0),GanttView[[#This Row],[Forecast Start]],0))</f>
        <v>0</v>
      </c>
      <c r="Q40" s="134" t="n">
        <f aca="false">IF(GanttView[[#This Row],[_DoneFrom]]=0,0,IF(GanttView[[#This Row],[%]]&gt;=1,GanttView[[#This Row],[Forecast Finish]],MAX(GanttView[[#This Row],[_DoneFrom]],GanttView[[#This Row],[Forecast Start]]+ROUND((GanttView[[#This Row],[Forecast Finish]]-GanttView[[#This Row],[Forecast Start]]+1)*GanttView[[#This Row],[%]],0)-1)))</f>
        <v>0</v>
      </c>
      <c r="R40" s="134" t="n">
        <f aca="false">IF(IFERROR(INDEX(tsk_Name,GanttView[[#This Row],[_Row]])="",TRUE()),0,IF(OR(INDEX(tsk_IsLeaf,GanttView[[#This Row],[_Row]])&lt;&gt;1,GanttView[[#This Row],[_IsMilestone]],N(GanttView[[#This Row],[%]])&gt;=1),0,IF(GanttView[[#This Row],[_DoneTo]]&gt;0,GanttView[[#This Row],[_DoneTo]]+1,GanttView[[#This Row],[Forecast Start]])))</f>
        <v>0</v>
      </c>
      <c r="S40" s="134" t="n">
        <f aca="false">IF(GanttView[[#This Row],[_RemFrom]]=0,0,GanttView[[#This Row],[Forecast Finish]])</f>
        <v>0</v>
      </c>
      <c r="T40" s="133" t="b">
        <f aca="false">IF(IFERROR(INDEX(tsk_Name,GanttView[[#This Row],[_Row]])="",TRUE()),FALSE(),N(INDEX(tsk_Variance,GanttView[[#This Row],[_Row]]))&gt;0)</f>
        <v>0</v>
      </c>
      <c r="U40" s="134" t="n">
        <f aca="false">IF(IFERROR(INDEX(tsk_Name,GanttView[[#This Row],[_Row]])="",TRUE()),0,N(INDEX(tsk_Deadline,GanttView[[#This Row],[_Row]])))</f>
        <v>0</v>
      </c>
      <c r="V40" s="133" t="b">
        <f aca="false">IF(IFERROR(INDEX(tsk_Name,GanttView[[#This Row],[_Row]])="",TRUE()),FALSE(),INDEX(tsk_Critical,GanttView[[#This Row],[_Row]])="Yes")</f>
        <v>0</v>
      </c>
    </row>
    <row r="41" customFormat="false" ht="15" hidden="false" customHeight="false" outlineLevel="0" collapsed="false">
      <c r="A41" s="127" t="str">
        <f aca="false">IF(IFERROR(INDEX(tsk_Name,GanttView[[#This Row],[_Row]])="",TRUE()),"",INDEX(tsk_ID,GanttView[[#This Row],[_Row]]))</f>
        <v/>
      </c>
      <c r="B41" s="127" t="str">
        <f aca="false">IF(IFERROR(INDEX(tsk_Name,GanttView[[#This Row],[_Row]])="",TRUE()),"",INDEX(tsk_WBS,GanttView[[#This Row],[_Row]]))</f>
        <v/>
      </c>
      <c r="C41" s="128" t="str">
        <f aca="false">IF(IFERROR(INDEX(tsk_Name,GanttView[[#This Row],[_Row]])="",TRUE()),"",REPT("    ",INDEX(tsk_Level,GanttView[[#This Row],[_Row]])-1)&amp;INDEX(tsk_Name,GanttView[[#This Row],[_Row]]))</f>
        <v/>
      </c>
      <c r="D41" s="127" t="str">
        <f aca="false">IF(IFERROR(INDEX(tsk_Name,GanttView[[#This Row],[_Row]])="",TRUE()),"",IF(INDEX(tsk_IsSummary,GanttView[[#This Row],[_Row]]),NETWORKDAYS.INTL(INDEX(tsk_FcStart,GanttView[[#This Row],[_Row]]),INDEX(tsk_FcFinish,GanttView[[#This Row],[_Row]]),WorkWeek,Holidays),N(INDEX(tsk_Duration,GanttView[[#This Row],[_Row]]))))</f>
        <v/>
      </c>
      <c r="E41" s="129" t="str">
        <f aca="false">IF(IFERROR(INDEX(tsk_Name,GanttView[[#This Row],[_Row]])="",TRUE()),"",INDEX(tsk_PlanStart,GanttView[[#This Row],[_Row]]))</f>
        <v/>
      </c>
      <c r="F41" s="129" t="str">
        <f aca="false">IF(IFERROR(INDEX(tsk_Name,GanttView[[#This Row],[_Row]])="",TRUE()),"",INDEX(tsk_PlanFinish,GanttView[[#This Row],[_Row]]))</f>
        <v/>
      </c>
      <c r="G41" s="129" t="str">
        <f aca="false">IF(IFERROR(INDEX(tsk_Name,GanttView[[#This Row],[_Row]])="",TRUE()),"",INDEX(tsk_FcStart,GanttView[[#This Row],[_Row]]))</f>
        <v/>
      </c>
      <c r="H41" s="129" t="str">
        <f aca="false">IF(IFERROR(INDEX(tsk_Name,GanttView[[#This Row],[_Row]])="",TRUE()),"",INDEX(tsk_FcFinish,GanttView[[#This Row],[_Row]]))</f>
        <v/>
      </c>
      <c r="I41" s="130" t="str">
        <f aca="false">IF(IFERROR(INDEX(tsk_Name,GanttView[[#This Row],[_Row]])="",TRUE()),"",INDEX(tsk_Progress,GanttView[[#This Row],[_Row]]))</f>
        <v/>
      </c>
      <c r="J41" s="128" t="str">
        <f aca="false">IF(IFERROR(INDEX(tsk_Name,GanttView[[#This Row],[_Row]])="",TRUE()),"",INDEX(tsk_ResourceNames,GanttView[[#This Row],[_Row]])&amp;"")</f>
        <v/>
      </c>
      <c r="K41" s="131" t="str">
        <f aca="false">IF(IFERROR(INDEX(tsk_Name,GanttView[[#This Row],[_Row]])="",TRUE()),"",INDEX(tsk_Status,GanttView[[#This Row],[_Row]]))</f>
        <v/>
      </c>
      <c r="L41" s="131" t="str">
        <f aca="false">IF(IFERROR(INDEX(tsk_Name,GanttView[[#This Row],[_Row]])="",TRUE()),"",INDEX(tsk_Show,GanttView[[#This Row],[_Row]])&amp;"")</f>
        <v/>
      </c>
      <c r="M41" s="132" t="n">
        <f aca="false">ROW()-ROW(GanttView[[#Headers],[ID]])</f>
        <v>36</v>
      </c>
      <c r="N41" s="133" t="b">
        <f aca="false">IF(IFERROR(INDEX(tsk_Name,GanttView[[#This Row],[_Row]])="",TRUE()),FALSE(),INDEX(tsk_IsSummary,GanttView[[#This Row],[_Row]]))</f>
        <v>0</v>
      </c>
      <c r="O41" s="133" t="b">
        <f aca="false">IF(IFERROR(INDEX(tsk_Name,GanttView[[#This Row],[_Row]])="",TRUE()),FALSE(),AND(INDEX(tsk_IsLeaf,GanttView[[#This Row],[_Row]])=1,N(INDEX(tsk_Duration,GanttView[[#This Row],[_Row]]))=0))</f>
        <v>0</v>
      </c>
      <c r="P41" s="134" t="n">
        <f aca="false">IF(IFERROR(INDEX(tsk_Name,GanttView[[#This Row],[_Row]])="",TRUE()),0,IF(AND(INDEX(tsk_IsLeaf,GanttView[[#This Row],[_Row]])=1,NOT(GanttView[[#This Row],[_IsMilestone]]),N(GanttView[[#This Row],[%]])&gt;0),GanttView[[#This Row],[Forecast Start]],0))</f>
        <v>0</v>
      </c>
      <c r="Q41" s="134" t="n">
        <f aca="false">IF(GanttView[[#This Row],[_DoneFrom]]=0,0,IF(GanttView[[#This Row],[%]]&gt;=1,GanttView[[#This Row],[Forecast Finish]],MAX(GanttView[[#This Row],[_DoneFrom]],GanttView[[#This Row],[Forecast Start]]+ROUND((GanttView[[#This Row],[Forecast Finish]]-GanttView[[#This Row],[Forecast Start]]+1)*GanttView[[#This Row],[%]],0)-1)))</f>
        <v>0</v>
      </c>
      <c r="R41" s="134" t="n">
        <f aca="false">IF(IFERROR(INDEX(tsk_Name,GanttView[[#This Row],[_Row]])="",TRUE()),0,IF(OR(INDEX(tsk_IsLeaf,GanttView[[#This Row],[_Row]])&lt;&gt;1,GanttView[[#This Row],[_IsMilestone]],N(GanttView[[#This Row],[%]])&gt;=1),0,IF(GanttView[[#This Row],[_DoneTo]]&gt;0,GanttView[[#This Row],[_DoneTo]]+1,GanttView[[#This Row],[Forecast Start]])))</f>
        <v>0</v>
      </c>
      <c r="S41" s="134" t="n">
        <f aca="false">IF(GanttView[[#This Row],[_RemFrom]]=0,0,GanttView[[#This Row],[Forecast Finish]])</f>
        <v>0</v>
      </c>
      <c r="T41" s="133" t="b">
        <f aca="false">IF(IFERROR(INDEX(tsk_Name,GanttView[[#This Row],[_Row]])="",TRUE()),FALSE(),N(INDEX(tsk_Variance,GanttView[[#This Row],[_Row]]))&gt;0)</f>
        <v>0</v>
      </c>
      <c r="U41" s="134" t="n">
        <f aca="false">IF(IFERROR(INDEX(tsk_Name,GanttView[[#This Row],[_Row]])="",TRUE()),0,N(INDEX(tsk_Deadline,GanttView[[#This Row],[_Row]])))</f>
        <v>0</v>
      </c>
      <c r="V41" s="133" t="b">
        <f aca="false">IF(IFERROR(INDEX(tsk_Name,GanttView[[#This Row],[_Row]])="",TRUE()),FALSE(),INDEX(tsk_Critical,GanttView[[#This Row],[_Row]])="Yes")</f>
        <v>0</v>
      </c>
    </row>
    <row r="42" customFormat="false" ht="15" hidden="false" customHeight="false" outlineLevel="0" collapsed="false">
      <c r="A42" s="127" t="str">
        <f aca="false">IF(IFERROR(INDEX(tsk_Name,GanttView[[#This Row],[_Row]])="",TRUE()),"",INDEX(tsk_ID,GanttView[[#This Row],[_Row]]))</f>
        <v/>
      </c>
      <c r="B42" s="127" t="str">
        <f aca="false">IF(IFERROR(INDEX(tsk_Name,GanttView[[#This Row],[_Row]])="",TRUE()),"",INDEX(tsk_WBS,GanttView[[#This Row],[_Row]]))</f>
        <v/>
      </c>
      <c r="C42" s="128" t="str">
        <f aca="false">IF(IFERROR(INDEX(tsk_Name,GanttView[[#This Row],[_Row]])="",TRUE()),"",REPT("    ",INDEX(tsk_Level,GanttView[[#This Row],[_Row]])-1)&amp;INDEX(tsk_Name,GanttView[[#This Row],[_Row]]))</f>
        <v/>
      </c>
      <c r="D42" s="127" t="str">
        <f aca="false">IF(IFERROR(INDEX(tsk_Name,GanttView[[#This Row],[_Row]])="",TRUE()),"",IF(INDEX(tsk_IsSummary,GanttView[[#This Row],[_Row]]),NETWORKDAYS.INTL(INDEX(tsk_FcStart,GanttView[[#This Row],[_Row]]),INDEX(tsk_FcFinish,GanttView[[#This Row],[_Row]]),WorkWeek,Holidays),N(INDEX(tsk_Duration,GanttView[[#This Row],[_Row]]))))</f>
        <v/>
      </c>
      <c r="E42" s="129" t="str">
        <f aca="false">IF(IFERROR(INDEX(tsk_Name,GanttView[[#This Row],[_Row]])="",TRUE()),"",INDEX(tsk_PlanStart,GanttView[[#This Row],[_Row]]))</f>
        <v/>
      </c>
      <c r="F42" s="129" t="str">
        <f aca="false">IF(IFERROR(INDEX(tsk_Name,GanttView[[#This Row],[_Row]])="",TRUE()),"",INDEX(tsk_PlanFinish,GanttView[[#This Row],[_Row]]))</f>
        <v/>
      </c>
      <c r="G42" s="129" t="str">
        <f aca="false">IF(IFERROR(INDEX(tsk_Name,GanttView[[#This Row],[_Row]])="",TRUE()),"",INDEX(tsk_FcStart,GanttView[[#This Row],[_Row]]))</f>
        <v/>
      </c>
      <c r="H42" s="129" t="str">
        <f aca="false">IF(IFERROR(INDEX(tsk_Name,GanttView[[#This Row],[_Row]])="",TRUE()),"",INDEX(tsk_FcFinish,GanttView[[#This Row],[_Row]]))</f>
        <v/>
      </c>
      <c r="I42" s="130" t="str">
        <f aca="false">IF(IFERROR(INDEX(tsk_Name,GanttView[[#This Row],[_Row]])="",TRUE()),"",INDEX(tsk_Progress,GanttView[[#This Row],[_Row]]))</f>
        <v/>
      </c>
      <c r="J42" s="128" t="str">
        <f aca="false">IF(IFERROR(INDEX(tsk_Name,GanttView[[#This Row],[_Row]])="",TRUE()),"",INDEX(tsk_ResourceNames,GanttView[[#This Row],[_Row]])&amp;"")</f>
        <v/>
      </c>
      <c r="K42" s="131" t="str">
        <f aca="false">IF(IFERROR(INDEX(tsk_Name,GanttView[[#This Row],[_Row]])="",TRUE()),"",INDEX(tsk_Status,GanttView[[#This Row],[_Row]]))</f>
        <v/>
      </c>
      <c r="L42" s="131" t="str">
        <f aca="false">IF(IFERROR(INDEX(tsk_Name,GanttView[[#This Row],[_Row]])="",TRUE()),"",INDEX(tsk_Show,GanttView[[#This Row],[_Row]])&amp;"")</f>
        <v/>
      </c>
      <c r="M42" s="132" t="n">
        <f aca="false">ROW()-ROW(GanttView[[#Headers],[ID]])</f>
        <v>37</v>
      </c>
      <c r="N42" s="133" t="b">
        <f aca="false">IF(IFERROR(INDEX(tsk_Name,GanttView[[#This Row],[_Row]])="",TRUE()),FALSE(),INDEX(tsk_IsSummary,GanttView[[#This Row],[_Row]]))</f>
        <v>0</v>
      </c>
      <c r="O42" s="133" t="b">
        <f aca="false">IF(IFERROR(INDEX(tsk_Name,GanttView[[#This Row],[_Row]])="",TRUE()),FALSE(),AND(INDEX(tsk_IsLeaf,GanttView[[#This Row],[_Row]])=1,N(INDEX(tsk_Duration,GanttView[[#This Row],[_Row]]))=0))</f>
        <v>0</v>
      </c>
      <c r="P42" s="134" t="n">
        <f aca="false">IF(IFERROR(INDEX(tsk_Name,GanttView[[#This Row],[_Row]])="",TRUE()),0,IF(AND(INDEX(tsk_IsLeaf,GanttView[[#This Row],[_Row]])=1,NOT(GanttView[[#This Row],[_IsMilestone]]),N(GanttView[[#This Row],[%]])&gt;0),GanttView[[#This Row],[Forecast Start]],0))</f>
        <v>0</v>
      </c>
      <c r="Q42" s="134" t="n">
        <f aca="false">IF(GanttView[[#This Row],[_DoneFrom]]=0,0,IF(GanttView[[#This Row],[%]]&gt;=1,GanttView[[#This Row],[Forecast Finish]],MAX(GanttView[[#This Row],[_DoneFrom]],GanttView[[#This Row],[Forecast Start]]+ROUND((GanttView[[#This Row],[Forecast Finish]]-GanttView[[#This Row],[Forecast Start]]+1)*GanttView[[#This Row],[%]],0)-1)))</f>
        <v>0</v>
      </c>
      <c r="R42" s="134" t="n">
        <f aca="false">IF(IFERROR(INDEX(tsk_Name,GanttView[[#This Row],[_Row]])="",TRUE()),0,IF(OR(INDEX(tsk_IsLeaf,GanttView[[#This Row],[_Row]])&lt;&gt;1,GanttView[[#This Row],[_IsMilestone]],N(GanttView[[#This Row],[%]])&gt;=1),0,IF(GanttView[[#This Row],[_DoneTo]]&gt;0,GanttView[[#This Row],[_DoneTo]]+1,GanttView[[#This Row],[Forecast Start]])))</f>
        <v>0</v>
      </c>
      <c r="S42" s="134" t="n">
        <f aca="false">IF(GanttView[[#This Row],[_RemFrom]]=0,0,GanttView[[#This Row],[Forecast Finish]])</f>
        <v>0</v>
      </c>
      <c r="T42" s="133" t="b">
        <f aca="false">IF(IFERROR(INDEX(tsk_Name,GanttView[[#This Row],[_Row]])="",TRUE()),FALSE(),N(INDEX(tsk_Variance,GanttView[[#This Row],[_Row]]))&gt;0)</f>
        <v>0</v>
      </c>
      <c r="U42" s="134" t="n">
        <f aca="false">IF(IFERROR(INDEX(tsk_Name,GanttView[[#This Row],[_Row]])="",TRUE()),0,N(INDEX(tsk_Deadline,GanttView[[#This Row],[_Row]])))</f>
        <v>0</v>
      </c>
      <c r="V42" s="133" t="b">
        <f aca="false">IF(IFERROR(INDEX(tsk_Name,GanttView[[#This Row],[_Row]])="",TRUE()),FALSE(),INDEX(tsk_Critical,GanttView[[#This Row],[_Row]])="Yes")</f>
        <v>0</v>
      </c>
    </row>
    <row r="43" customFormat="false" ht="15" hidden="false" customHeight="false" outlineLevel="0" collapsed="false">
      <c r="A43" s="127" t="str">
        <f aca="false">IF(IFERROR(INDEX(tsk_Name,GanttView[[#This Row],[_Row]])="",TRUE()),"",INDEX(tsk_ID,GanttView[[#This Row],[_Row]]))</f>
        <v/>
      </c>
      <c r="B43" s="127" t="str">
        <f aca="false">IF(IFERROR(INDEX(tsk_Name,GanttView[[#This Row],[_Row]])="",TRUE()),"",INDEX(tsk_WBS,GanttView[[#This Row],[_Row]]))</f>
        <v/>
      </c>
      <c r="C43" s="128" t="str">
        <f aca="false">IF(IFERROR(INDEX(tsk_Name,GanttView[[#This Row],[_Row]])="",TRUE()),"",REPT("    ",INDEX(tsk_Level,GanttView[[#This Row],[_Row]])-1)&amp;INDEX(tsk_Name,GanttView[[#This Row],[_Row]]))</f>
        <v/>
      </c>
      <c r="D43" s="127" t="str">
        <f aca="false">IF(IFERROR(INDEX(tsk_Name,GanttView[[#This Row],[_Row]])="",TRUE()),"",IF(INDEX(tsk_IsSummary,GanttView[[#This Row],[_Row]]),NETWORKDAYS.INTL(INDEX(tsk_FcStart,GanttView[[#This Row],[_Row]]),INDEX(tsk_FcFinish,GanttView[[#This Row],[_Row]]),WorkWeek,Holidays),N(INDEX(tsk_Duration,GanttView[[#This Row],[_Row]]))))</f>
        <v/>
      </c>
      <c r="E43" s="129" t="str">
        <f aca="false">IF(IFERROR(INDEX(tsk_Name,GanttView[[#This Row],[_Row]])="",TRUE()),"",INDEX(tsk_PlanStart,GanttView[[#This Row],[_Row]]))</f>
        <v/>
      </c>
      <c r="F43" s="129" t="str">
        <f aca="false">IF(IFERROR(INDEX(tsk_Name,GanttView[[#This Row],[_Row]])="",TRUE()),"",INDEX(tsk_PlanFinish,GanttView[[#This Row],[_Row]]))</f>
        <v/>
      </c>
      <c r="G43" s="129" t="str">
        <f aca="false">IF(IFERROR(INDEX(tsk_Name,GanttView[[#This Row],[_Row]])="",TRUE()),"",INDEX(tsk_FcStart,GanttView[[#This Row],[_Row]]))</f>
        <v/>
      </c>
      <c r="H43" s="129" t="str">
        <f aca="false">IF(IFERROR(INDEX(tsk_Name,GanttView[[#This Row],[_Row]])="",TRUE()),"",INDEX(tsk_FcFinish,GanttView[[#This Row],[_Row]]))</f>
        <v/>
      </c>
      <c r="I43" s="130" t="str">
        <f aca="false">IF(IFERROR(INDEX(tsk_Name,GanttView[[#This Row],[_Row]])="",TRUE()),"",INDEX(tsk_Progress,GanttView[[#This Row],[_Row]]))</f>
        <v/>
      </c>
      <c r="J43" s="128" t="str">
        <f aca="false">IF(IFERROR(INDEX(tsk_Name,GanttView[[#This Row],[_Row]])="",TRUE()),"",INDEX(tsk_ResourceNames,GanttView[[#This Row],[_Row]])&amp;"")</f>
        <v/>
      </c>
      <c r="K43" s="131" t="str">
        <f aca="false">IF(IFERROR(INDEX(tsk_Name,GanttView[[#This Row],[_Row]])="",TRUE()),"",INDEX(tsk_Status,GanttView[[#This Row],[_Row]]))</f>
        <v/>
      </c>
      <c r="L43" s="131" t="str">
        <f aca="false">IF(IFERROR(INDEX(tsk_Name,GanttView[[#This Row],[_Row]])="",TRUE()),"",INDEX(tsk_Show,GanttView[[#This Row],[_Row]])&amp;"")</f>
        <v/>
      </c>
      <c r="M43" s="132" t="n">
        <f aca="false">ROW()-ROW(GanttView[[#Headers],[ID]])</f>
        <v>38</v>
      </c>
      <c r="N43" s="133" t="b">
        <f aca="false">IF(IFERROR(INDEX(tsk_Name,GanttView[[#This Row],[_Row]])="",TRUE()),FALSE(),INDEX(tsk_IsSummary,GanttView[[#This Row],[_Row]]))</f>
        <v>0</v>
      </c>
      <c r="O43" s="133" t="b">
        <f aca="false">IF(IFERROR(INDEX(tsk_Name,GanttView[[#This Row],[_Row]])="",TRUE()),FALSE(),AND(INDEX(tsk_IsLeaf,GanttView[[#This Row],[_Row]])=1,N(INDEX(tsk_Duration,GanttView[[#This Row],[_Row]]))=0))</f>
        <v>0</v>
      </c>
      <c r="P43" s="134" t="n">
        <f aca="false">IF(IFERROR(INDEX(tsk_Name,GanttView[[#This Row],[_Row]])="",TRUE()),0,IF(AND(INDEX(tsk_IsLeaf,GanttView[[#This Row],[_Row]])=1,NOT(GanttView[[#This Row],[_IsMilestone]]),N(GanttView[[#This Row],[%]])&gt;0),GanttView[[#This Row],[Forecast Start]],0))</f>
        <v>0</v>
      </c>
      <c r="Q43" s="134" t="n">
        <f aca="false">IF(GanttView[[#This Row],[_DoneFrom]]=0,0,IF(GanttView[[#This Row],[%]]&gt;=1,GanttView[[#This Row],[Forecast Finish]],MAX(GanttView[[#This Row],[_DoneFrom]],GanttView[[#This Row],[Forecast Start]]+ROUND((GanttView[[#This Row],[Forecast Finish]]-GanttView[[#This Row],[Forecast Start]]+1)*GanttView[[#This Row],[%]],0)-1)))</f>
        <v>0</v>
      </c>
      <c r="R43" s="134" t="n">
        <f aca="false">IF(IFERROR(INDEX(tsk_Name,GanttView[[#This Row],[_Row]])="",TRUE()),0,IF(OR(INDEX(tsk_IsLeaf,GanttView[[#This Row],[_Row]])&lt;&gt;1,GanttView[[#This Row],[_IsMilestone]],N(GanttView[[#This Row],[%]])&gt;=1),0,IF(GanttView[[#This Row],[_DoneTo]]&gt;0,GanttView[[#This Row],[_DoneTo]]+1,GanttView[[#This Row],[Forecast Start]])))</f>
        <v>0</v>
      </c>
      <c r="S43" s="134" t="n">
        <f aca="false">IF(GanttView[[#This Row],[_RemFrom]]=0,0,GanttView[[#This Row],[Forecast Finish]])</f>
        <v>0</v>
      </c>
      <c r="T43" s="133" t="b">
        <f aca="false">IF(IFERROR(INDEX(tsk_Name,GanttView[[#This Row],[_Row]])="",TRUE()),FALSE(),N(INDEX(tsk_Variance,GanttView[[#This Row],[_Row]]))&gt;0)</f>
        <v>0</v>
      </c>
      <c r="U43" s="134" t="n">
        <f aca="false">IF(IFERROR(INDEX(tsk_Name,GanttView[[#This Row],[_Row]])="",TRUE()),0,N(INDEX(tsk_Deadline,GanttView[[#This Row],[_Row]])))</f>
        <v>0</v>
      </c>
      <c r="V43" s="133" t="b">
        <f aca="false">IF(IFERROR(INDEX(tsk_Name,GanttView[[#This Row],[_Row]])="",TRUE()),FALSE(),INDEX(tsk_Critical,GanttView[[#This Row],[_Row]])="Yes")</f>
        <v>0</v>
      </c>
    </row>
    <row r="44" customFormat="false" ht="15" hidden="false" customHeight="false" outlineLevel="0" collapsed="false">
      <c r="A44" s="127" t="str">
        <f aca="false">IF(IFERROR(INDEX(tsk_Name,GanttView[[#This Row],[_Row]])="",TRUE()),"",INDEX(tsk_ID,GanttView[[#This Row],[_Row]]))</f>
        <v/>
      </c>
      <c r="B44" s="127" t="str">
        <f aca="false">IF(IFERROR(INDEX(tsk_Name,GanttView[[#This Row],[_Row]])="",TRUE()),"",INDEX(tsk_WBS,GanttView[[#This Row],[_Row]]))</f>
        <v/>
      </c>
      <c r="C44" s="128" t="str">
        <f aca="false">IF(IFERROR(INDEX(tsk_Name,GanttView[[#This Row],[_Row]])="",TRUE()),"",REPT("    ",INDEX(tsk_Level,GanttView[[#This Row],[_Row]])-1)&amp;INDEX(tsk_Name,GanttView[[#This Row],[_Row]]))</f>
        <v/>
      </c>
      <c r="D44" s="127" t="str">
        <f aca="false">IF(IFERROR(INDEX(tsk_Name,GanttView[[#This Row],[_Row]])="",TRUE()),"",IF(INDEX(tsk_IsSummary,GanttView[[#This Row],[_Row]]),NETWORKDAYS.INTL(INDEX(tsk_FcStart,GanttView[[#This Row],[_Row]]),INDEX(tsk_FcFinish,GanttView[[#This Row],[_Row]]),WorkWeek,Holidays),N(INDEX(tsk_Duration,GanttView[[#This Row],[_Row]]))))</f>
        <v/>
      </c>
      <c r="E44" s="129" t="str">
        <f aca="false">IF(IFERROR(INDEX(tsk_Name,GanttView[[#This Row],[_Row]])="",TRUE()),"",INDEX(tsk_PlanStart,GanttView[[#This Row],[_Row]]))</f>
        <v/>
      </c>
      <c r="F44" s="129" t="str">
        <f aca="false">IF(IFERROR(INDEX(tsk_Name,GanttView[[#This Row],[_Row]])="",TRUE()),"",INDEX(tsk_PlanFinish,GanttView[[#This Row],[_Row]]))</f>
        <v/>
      </c>
      <c r="G44" s="129" t="str">
        <f aca="false">IF(IFERROR(INDEX(tsk_Name,GanttView[[#This Row],[_Row]])="",TRUE()),"",INDEX(tsk_FcStart,GanttView[[#This Row],[_Row]]))</f>
        <v/>
      </c>
      <c r="H44" s="129" t="str">
        <f aca="false">IF(IFERROR(INDEX(tsk_Name,GanttView[[#This Row],[_Row]])="",TRUE()),"",INDEX(tsk_FcFinish,GanttView[[#This Row],[_Row]]))</f>
        <v/>
      </c>
      <c r="I44" s="130" t="str">
        <f aca="false">IF(IFERROR(INDEX(tsk_Name,GanttView[[#This Row],[_Row]])="",TRUE()),"",INDEX(tsk_Progress,GanttView[[#This Row],[_Row]]))</f>
        <v/>
      </c>
      <c r="J44" s="128" t="str">
        <f aca="false">IF(IFERROR(INDEX(tsk_Name,GanttView[[#This Row],[_Row]])="",TRUE()),"",INDEX(tsk_ResourceNames,GanttView[[#This Row],[_Row]])&amp;"")</f>
        <v/>
      </c>
      <c r="K44" s="131" t="str">
        <f aca="false">IF(IFERROR(INDEX(tsk_Name,GanttView[[#This Row],[_Row]])="",TRUE()),"",INDEX(tsk_Status,GanttView[[#This Row],[_Row]]))</f>
        <v/>
      </c>
      <c r="L44" s="131" t="str">
        <f aca="false">IF(IFERROR(INDEX(tsk_Name,GanttView[[#This Row],[_Row]])="",TRUE()),"",INDEX(tsk_Show,GanttView[[#This Row],[_Row]])&amp;"")</f>
        <v/>
      </c>
      <c r="M44" s="132" t="n">
        <f aca="false">ROW()-ROW(GanttView[[#Headers],[ID]])</f>
        <v>39</v>
      </c>
      <c r="N44" s="133" t="b">
        <f aca="false">IF(IFERROR(INDEX(tsk_Name,GanttView[[#This Row],[_Row]])="",TRUE()),FALSE(),INDEX(tsk_IsSummary,GanttView[[#This Row],[_Row]]))</f>
        <v>0</v>
      </c>
      <c r="O44" s="133" t="b">
        <f aca="false">IF(IFERROR(INDEX(tsk_Name,GanttView[[#This Row],[_Row]])="",TRUE()),FALSE(),AND(INDEX(tsk_IsLeaf,GanttView[[#This Row],[_Row]])=1,N(INDEX(tsk_Duration,GanttView[[#This Row],[_Row]]))=0))</f>
        <v>0</v>
      </c>
      <c r="P44" s="134" t="n">
        <f aca="false">IF(IFERROR(INDEX(tsk_Name,GanttView[[#This Row],[_Row]])="",TRUE()),0,IF(AND(INDEX(tsk_IsLeaf,GanttView[[#This Row],[_Row]])=1,NOT(GanttView[[#This Row],[_IsMilestone]]),N(GanttView[[#This Row],[%]])&gt;0),GanttView[[#This Row],[Forecast Start]],0))</f>
        <v>0</v>
      </c>
      <c r="Q44" s="134" t="n">
        <f aca="false">IF(GanttView[[#This Row],[_DoneFrom]]=0,0,IF(GanttView[[#This Row],[%]]&gt;=1,GanttView[[#This Row],[Forecast Finish]],MAX(GanttView[[#This Row],[_DoneFrom]],GanttView[[#This Row],[Forecast Start]]+ROUND((GanttView[[#This Row],[Forecast Finish]]-GanttView[[#This Row],[Forecast Start]]+1)*GanttView[[#This Row],[%]],0)-1)))</f>
        <v>0</v>
      </c>
      <c r="R44" s="134" t="n">
        <f aca="false">IF(IFERROR(INDEX(tsk_Name,GanttView[[#This Row],[_Row]])="",TRUE()),0,IF(OR(INDEX(tsk_IsLeaf,GanttView[[#This Row],[_Row]])&lt;&gt;1,GanttView[[#This Row],[_IsMilestone]],N(GanttView[[#This Row],[%]])&gt;=1),0,IF(GanttView[[#This Row],[_DoneTo]]&gt;0,GanttView[[#This Row],[_DoneTo]]+1,GanttView[[#This Row],[Forecast Start]])))</f>
        <v>0</v>
      </c>
      <c r="S44" s="134" t="n">
        <f aca="false">IF(GanttView[[#This Row],[_RemFrom]]=0,0,GanttView[[#This Row],[Forecast Finish]])</f>
        <v>0</v>
      </c>
      <c r="T44" s="133" t="b">
        <f aca="false">IF(IFERROR(INDEX(tsk_Name,GanttView[[#This Row],[_Row]])="",TRUE()),FALSE(),N(INDEX(tsk_Variance,GanttView[[#This Row],[_Row]]))&gt;0)</f>
        <v>0</v>
      </c>
      <c r="U44" s="134" t="n">
        <f aca="false">IF(IFERROR(INDEX(tsk_Name,GanttView[[#This Row],[_Row]])="",TRUE()),0,N(INDEX(tsk_Deadline,GanttView[[#This Row],[_Row]])))</f>
        <v>0</v>
      </c>
      <c r="V44" s="133" t="b">
        <f aca="false">IF(IFERROR(INDEX(tsk_Name,GanttView[[#This Row],[_Row]])="",TRUE()),FALSE(),INDEX(tsk_Critical,GanttView[[#This Row],[_Row]])="Yes")</f>
        <v>0</v>
      </c>
    </row>
    <row r="45" customFormat="false" ht="15" hidden="false" customHeight="false" outlineLevel="0" collapsed="false">
      <c r="A45" s="127" t="str">
        <f aca="false">IF(IFERROR(INDEX(tsk_Name,GanttView[[#This Row],[_Row]])="",TRUE()),"",INDEX(tsk_ID,GanttView[[#This Row],[_Row]]))</f>
        <v/>
      </c>
      <c r="B45" s="127" t="str">
        <f aca="false">IF(IFERROR(INDEX(tsk_Name,GanttView[[#This Row],[_Row]])="",TRUE()),"",INDEX(tsk_WBS,GanttView[[#This Row],[_Row]]))</f>
        <v/>
      </c>
      <c r="C45" s="128" t="str">
        <f aca="false">IF(IFERROR(INDEX(tsk_Name,GanttView[[#This Row],[_Row]])="",TRUE()),"",REPT("    ",INDEX(tsk_Level,GanttView[[#This Row],[_Row]])-1)&amp;INDEX(tsk_Name,GanttView[[#This Row],[_Row]]))</f>
        <v/>
      </c>
      <c r="D45" s="127" t="str">
        <f aca="false">IF(IFERROR(INDEX(tsk_Name,GanttView[[#This Row],[_Row]])="",TRUE()),"",IF(INDEX(tsk_IsSummary,GanttView[[#This Row],[_Row]]),NETWORKDAYS.INTL(INDEX(tsk_FcStart,GanttView[[#This Row],[_Row]]),INDEX(tsk_FcFinish,GanttView[[#This Row],[_Row]]),WorkWeek,Holidays),N(INDEX(tsk_Duration,GanttView[[#This Row],[_Row]]))))</f>
        <v/>
      </c>
      <c r="E45" s="129" t="str">
        <f aca="false">IF(IFERROR(INDEX(tsk_Name,GanttView[[#This Row],[_Row]])="",TRUE()),"",INDEX(tsk_PlanStart,GanttView[[#This Row],[_Row]]))</f>
        <v/>
      </c>
      <c r="F45" s="129" t="str">
        <f aca="false">IF(IFERROR(INDEX(tsk_Name,GanttView[[#This Row],[_Row]])="",TRUE()),"",INDEX(tsk_PlanFinish,GanttView[[#This Row],[_Row]]))</f>
        <v/>
      </c>
      <c r="G45" s="129" t="str">
        <f aca="false">IF(IFERROR(INDEX(tsk_Name,GanttView[[#This Row],[_Row]])="",TRUE()),"",INDEX(tsk_FcStart,GanttView[[#This Row],[_Row]]))</f>
        <v/>
      </c>
      <c r="H45" s="129" t="str">
        <f aca="false">IF(IFERROR(INDEX(tsk_Name,GanttView[[#This Row],[_Row]])="",TRUE()),"",INDEX(tsk_FcFinish,GanttView[[#This Row],[_Row]]))</f>
        <v/>
      </c>
      <c r="I45" s="130" t="str">
        <f aca="false">IF(IFERROR(INDEX(tsk_Name,GanttView[[#This Row],[_Row]])="",TRUE()),"",INDEX(tsk_Progress,GanttView[[#This Row],[_Row]]))</f>
        <v/>
      </c>
      <c r="J45" s="128" t="str">
        <f aca="false">IF(IFERROR(INDEX(tsk_Name,GanttView[[#This Row],[_Row]])="",TRUE()),"",INDEX(tsk_ResourceNames,GanttView[[#This Row],[_Row]])&amp;"")</f>
        <v/>
      </c>
      <c r="K45" s="131" t="str">
        <f aca="false">IF(IFERROR(INDEX(tsk_Name,GanttView[[#This Row],[_Row]])="",TRUE()),"",INDEX(tsk_Status,GanttView[[#This Row],[_Row]]))</f>
        <v/>
      </c>
      <c r="L45" s="131" t="str">
        <f aca="false">IF(IFERROR(INDEX(tsk_Name,GanttView[[#This Row],[_Row]])="",TRUE()),"",INDEX(tsk_Show,GanttView[[#This Row],[_Row]])&amp;"")</f>
        <v/>
      </c>
      <c r="M45" s="132" t="n">
        <f aca="false">ROW()-ROW(GanttView[[#Headers],[ID]])</f>
        <v>40</v>
      </c>
      <c r="N45" s="133" t="b">
        <f aca="false">IF(IFERROR(INDEX(tsk_Name,GanttView[[#This Row],[_Row]])="",TRUE()),FALSE(),INDEX(tsk_IsSummary,GanttView[[#This Row],[_Row]]))</f>
        <v>0</v>
      </c>
      <c r="O45" s="133" t="b">
        <f aca="false">IF(IFERROR(INDEX(tsk_Name,GanttView[[#This Row],[_Row]])="",TRUE()),FALSE(),AND(INDEX(tsk_IsLeaf,GanttView[[#This Row],[_Row]])=1,N(INDEX(tsk_Duration,GanttView[[#This Row],[_Row]]))=0))</f>
        <v>0</v>
      </c>
      <c r="P45" s="134" t="n">
        <f aca="false">IF(IFERROR(INDEX(tsk_Name,GanttView[[#This Row],[_Row]])="",TRUE()),0,IF(AND(INDEX(tsk_IsLeaf,GanttView[[#This Row],[_Row]])=1,NOT(GanttView[[#This Row],[_IsMilestone]]),N(GanttView[[#This Row],[%]])&gt;0),GanttView[[#This Row],[Forecast Start]],0))</f>
        <v>0</v>
      </c>
      <c r="Q45" s="134" t="n">
        <f aca="false">IF(GanttView[[#This Row],[_DoneFrom]]=0,0,IF(GanttView[[#This Row],[%]]&gt;=1,GanttView[[#This Row],[Forecast Finish]],MAX(GanttView[[#This Row],[_DoneFrom]],GanttView[[#This Row],[Forecast Start]]+ROUND((GanttView[[#This Row],[Forecast Finish]]-GanttView[[#This Row],[Forecast Start]]+1)*GanttView[[#This Row],[%]],0)-1)))</f>
        <v>0</v>
      </c>
      <c r="R45" s="134" t="n">
        <f aca="false">IF(IFERROR(INDEX(tsk_Name,GanttView[[#This Row],[_Row]])="",TRUE()),0,IF(OR(INDEX(tsk_IsLeaf,GanttView[[#This Row],[_Row]])&lt;&gt;1,GanttView[[#This Row],[_IsMilestone]],N(GanttView[[#This Row],[%]])&gt;=1),0,IF(GanttView[[#This Row],[_DoneTo]]&gt;0,GanttView[[#This Row],[_DoneTo]]+1,GanttView[[#This Row],[Forecast Start]])))</f>
        <v>0</v>
      </c>
      <c r="S45" s="134" t="n">
        <f aca="false">IF(GanttView[[#This Row],[_RemFrom]]=0,0,GanttView[[#This Row],[Forecast Finish]])</f>
        <v>0</v>
      </c>
      <c r="T45" s="133" t="b">
        <f aca="false">IF(IFERROR(INDEX(tsk_Name,GanttView[[#This Row],[_Row]])="",TRUE()),FALSE(),N(INDEX(tsk_Variance,GanttView[[#This Row],[_Row]]))&gt;0)</f>
        <v>0</v>
      </c>
      <c r="U45" s="134" t="n">
        <f aca="false">IF(IFERROR(INDEX(tsk_Name,GanttView[[#This Row],[_Row]])="",TRUE()),0,N(INDEX(tsk_Deadline,GanttView[[#This Row],[_Row]])))</f>
        <v>0</v>
      </c>
      <c r="V45" s="133" t="b">
        <f aca="false">IF(IFERROR(INDEX(tsk_Name,GanttView[[#This Row],[_Row]])="",TRUE()),FALSE(),INDEX(tsk_Critical,GanttView[[#This Row],[_Row]])="Yes")</f>
        <v>0</v>
      </c>
    </row>
    <row r="46" customFormat="false" ht="15" hidden="false" customHeight="false" outlineLevel="0" collapsed="false">
      <c r="A46" s="127" t="str">
        <f aca="false">IF(IFERROR(INDEX(tsk_Name,GanttView[[#This Row],[_Row]])="",TRUE()),"",INDEX(tsk_ID,GanttView[[#This Row],[_Row]]))</f>
        <v/>
      </c>
      <c r="B46" s="127" t="str">
        <f aca="false">IF(IFERROR(INDEX(tsk_Name,GanttView[[#This Row],[_Row]])="",TRUE()),"",INDEX(tsk_WBS,GanttView[[#This Row],[_Row]]))</f>
        <v/>
      </c>
      <c r="C46" s="128" t="str">
        <f aca="false">IF(IFERROR(INDEX(tsk_Name,GanttView[[#This Row],[_Row]])="",TRUE()),"",REPT("    ",INDEX(tsk_Level,GanttView[[#This Row],[_Row]])-1)&amp;INDEX(tsk_Name,GanttView[[#This Row],[_Row]]))</f>
        <v/>
      </c>
      <c r="D46" s="127" t="str">
        <f aca="false">IF(IFERROR(INDEX(tsk_Name,GanttView[[#This Row],[_Row]])="",TRUE()),"",IF(INDEX(tsk_IsSummary,GanttView[[#This Row],[_Row]]),NETWORKDAYS.INTL(INDEX(tsk_FcStart,GanttView[[#This Row],[_Row]]),INDEX(tsk_FcFinish,GanttView[[#This Row],[_Row]]),WorkWeek,Holidays),N(INDEX(tsk_Duration,GanttView[[#This Row],[_Row]]))))</f>
        <v/>
      </c>
      <c r="E46" s="129" t="str">
        <f aca="false">IF(IFERROR(INDEX(tsk_Name,GanttView[[#This Row],[_Row]])="",TRUE()),"",INDEX(tsk_PlanStart,GanttView[[#This Row],[_Row]]))</f>
        <v/>
      </c>
      <c r="F46" s="129" t="str">
        <f aca="false">IF(IFERROR(INDEX(tsk_Name,GanttView[[#This Row],[_Row]])="",TRUE()),"",INDEX(tsk_PlanFinish,GanttView[[#This Row],[_Row]]))</f>
        <v/>
      </c>
      <c r="G46" s="129" t="str">
        <f aca="false">IF(IFERROR(INDEX(tsk_Name,GanttView[[#This Row],[_Row]])="",TRUE()),"",INDEX(tsk_FcStart,GanttView[[#This Row],[_Row]]))</f>
        <v/>
      </c>
      <c r="H46" s="129" t="str">
        <f aca="false">IF(IFERROR(INDEX(tsk_Name,GanttView[[#This Row],[_Row]])="",TRUE()),"",INDEX(tsk_FcFinish,GanttView[[#This Row],[_Row]]))</f>
        <v/>
      </c>
      <c r="I46" s="130" t="str">
        <f aca="false">IF(IFERROR(INDEX(tsk_Name,GanttView[[#This Row],[_Row]])="",TRUE()),"",INDEX(tsk_Progress,GanttView[[#This Row],[_Row]]))</f>
        <v/>
      </c>
      <c r="J46" s="128" t="str">
        <f aca="false">IF(IFERROR(INDEX(tsk_Name,GanttView[[#This Row],[_Row]])="",TRUE()),"",INDEX(tsk_ResourceNames,GanttView[[#This Row],[_Row]])&amp;"")</f>
        <v/>
      </c>
      <c r="K46" s="131" t="str">
        <f aca="false">IF(IFERROR(INDEX(tsk_Name,GanttView[[#This Row],[_Row]])="",TRUE()),"",INDEX(tsk_Status,GanttView[[#This Row],[_Row]]))</f>
        <v/>
      </c>
      <c r="L46" s="131" t="str">
        <f aca="false">IF(IFERROR(INDEX(tsk_Name,GanttView[[#This Row],[_Row]])="",TRUE()),"",INDEX(tsk_Show,GanttView[[#This Row],[_Row]])&amp;"")</f>
        <v/>
      </c>
      <c r="M46" s="132" t="n">
        <f aca="false">ROW()-ROW(GanttView[[#Headers],[ID]])</f>
        <v>41</v>
      </c>
      <c r="N46" s="133" t="b">
        <f aca="false">IF(IFERROR(INDEX(tsk_Name,GanttView[[#This Row],[_Row]])="",TRUE()),FALSE(),INDEX(tsk_IsSummary,GanttView[[#This Row],[_Row]]))</f>
        <v>0</v>
      </c>
      <c r="O46" s="133" t="b">
        <f aca="false">IF(IFERROR(INDEX(tsk_Name,GanttView[[#This Row],[_Row]])="",TRUE()),FALSE(),AND(INDEX(tsk_IsLeaf,GanttView[[#This Row],[_Row]])=1,N(INDEX(tsk_Duration,GanttView[[#This Row],[_Row]]))=0))</f>
        <v>0</v>
      </c>
      <c r="P46" s="134" t="n">
        <f aca="false">IF(IFERROR(INDEX(tsk_Name,GanttView[[#This Row],[_Row]])="",TRUE()),0,IF(AND(INDEX(tsk_IsLeaf,GanttView[[#This Row],[_Row]])=1,NOT(GanttView[[#This Row],[_IsMilestone]]),N(GanttView[[#This Row],[%]])&gt;0),GanttView[[#This Row],[Forecast Start]],0))</f>
        <v>0</v>
      </c>
      <c r="Q46" s="134" t="n">
        <f aca="false">IF(GanttView[[#This Row],[_DoneFrom]]=0,0,IF(GanttView[[#This Row],[%]]&gt;=1,GanttView[[#This Row],[Forecast Finish]],MAX(GanttView[[#This Row],[_DoneFrom]],GanttView[[#This Row],[Forecast Start]]+ROUND((GanttView[[#This Row],[Forecast Finish]]-GanttView[[#This Row],[Forecast Start]]+1)*GanttView[[#This Row],[%]],0)-1)))</f>
        <v>0</v>
      </c>
      <c r="R46" s="134" t="n">
        <f aca="false">IF(IFERROR(INDEX(tsk_Name,GanttView[[#This Row],[_Row]])="",TRUE()),0,IF(OR(INDEX(tsk_IsLeaf,GanttView[[#This Row],[_Row]])&lt;&gt;1,GanttView[[#This Row],[_IsMilestone]],N(GanttView[[#This Row],[%]])&gt;=1),0,IF(GanttView[[#This Row],[_DoneTo]]&gt;0,GanttView[[#This Row],[_DoneTo]]+1,GanttView[[#This Row],[Forecast Start]])))</f>
        <v>0</v>
      </c>
      <c r="S46" s="134" t="n">
        <f aca="false">IF(GanttView[[#This Row],[_RemFrom]]=0,0,GanttView[[#This Row],[Forecast Finish]])</f>
        <v>0</v>
      </c>
      <c r="T46" s="133" t="b">
        <f aca="false">IF(IFERROR(INDEX(tsk_Name,GanttView[[#This Row],[_Row]])="",TRUE()),FALSE(),N(INDEX(tsk_Variance,GanttView[[#This Row],[_Row]]))&gt;0)</f>
        <v>0</v>
      </c>
      <c r="U46" s="134" t="n">
        <f aca="false">IF(IFERROR(INDEX(tsk_Name,GanttView[[#This Row],[_Row]])="",TRUE()),0,N(INDEX(tsk_Deadline,GanttView[[#This Row],[_Row]])))</f>
        <v>0</v>
      </c>
      <c r="V46" s="133" t="b">
        <f aca="false">IF(IFERROR(INDEX(tsk_Name,GanttView[[#This Row],[_Row]])="",TRUE()),FALSE(),INDEX(tsk_Critical,GanttView[[#This Row],[_Row]])="Yes")</f>
        <v>0</v>
      </c>
    </row>
    <row r="47" customFormat="false" ht="15" hidden="false" customHeight="false" outlineLevel="0" collapsed="false">
      <c r="A47" s="127" t="str">
        <f aca="false">IF(IFERROR(INDEX(tsk_Name,GanttView[[#This Row],[_Row]])="",TRUE()),"",INDEX(tsk_ID,GanttView[[#This Row],[_Row]]))</f>
        <v/>
      </c>
      <c r="B47" s="127" t="str">
        <f aca="false">IF(IFERROR(INDEX(tsk_Name,GanttView[[#This Row],[_Row]])="",TRUE()),"",INDEX(tsk_WBS,GanttView[[#This Row],[_Row]]))</f>
        <v/>
      </c>
      <c r="C47" s="128" t="str">
        <f aca="false">IF(IFERROR(INDEX(tsk_Name,GanttView[[#This Row],[_Row]])="",TRUE()),"",REPT("    ",INDEX(tsk_Level,GanttView[[#This Row],[_Row]])-1)&amp;INDEX(tsk_Name,GanttView[[#This Row],[_Row]]))</f>
        <v/>
      </c>
      <c r="D47" s="127" t="str">
        <f aca="false">IF(IFERROR(INDEX(tsk_Name,GanttView[[#This Row],[_Row]])="",TRUE()),"",IF(INDEX(tsk_IsSummary,GanttView[[#This Row],[_Row]]),NETWORKDAYS.INTL(INDEX(tsk_FcStart,GanttView[[#This Row],[_Row]]),INDEX(tsk_FcFinish,GanttView[[#This Row],[_Row]]),WorkWeek,Holidays),N(INDEX(tsk_Duration,GanttView[[#This Row],[_Row]]))))</f>
        <v/>
      </c>
      <c r="E47" s="129" t="str">
        <f aca="false">IF(IFERROR(INDEX(tsk_Name,GanttView[[#This Row],[_Row]])="",TRUE()),"",INDEX(tsk_PlanStart,GanttView[[#This Row],[_Row]]))</f>
        <v/>
      </c>
      <c r="F47" s="129" t="str">
        <f aca="false">IF(IFERROR(INDEX(tsk_Name,GanttView[[#This Row],[_Row]])="",TRUE()),"",INDEX(tsk_PlanFinish,GanttView[[#This Row],[_Row]]))</f>
        <v/>
      </c>
      <c r="G47" s="129" t="str">
        <f aca="false">IF(IFERROR(INDEX(tsk_Name,GanttView[[#This Row],[_Row]])="",TRUE()),"",INDEX(tsk_FcStart,GanttView[[#This Row],[_Row]]))</f>
        <v/>
      </c>
      <c r="H47" s="129" t="str">
        <f aca="false">IF(IFERROR(INDEX(tsk_Name,GanttView[[#This Row],[_Row]])="",TRUE()),"",INDEX(tsk_FcFinish,GanttView[[#This Row],[_Row]]))</f>
        <v/>
      </c>
      <c r="I47" s="130" t="str">
        <f aca="false">IF(IFERROR(INDEX(tsk_Name,GanttView[[#This Row],[_Row]])="",TRUE()),"",INDEX(tsk_Progress,GanttView[[#This Row],[_Row]]))</f>
        <v/>
      </c>
      <c r="J47" s="128" t="str">
        <f aca="false">IF(IFERROR(INDEX(tsk_Name,GanttView[[#This Row],[_Row]])="",TRUE()),"",INDEX(tsk_ResourceNames,GanttView[[#This Row],[_Row]])&amp;"")</f>
        <v/>
      </c>
      <c r="K47" s="131" t="str">
        <f aca="false">IF(IFERROR(INDEX(tsk_Name,GanttView[[#This Row],[_Row]])="",TRUE()),"",INDEX(tsk_Status,GanttView[[#This Row],[_Row]]))</f>
        <v/>
      </c>
      <c r="L47" s="131" t="str">
        <f aca="false">IF(IFERROR(INDEX(tsk_Name,GanttView[[#This Row],[_Row]])="",TRUE()),"",INDEX(tsk_Show,GanttView[[#This Row],[_Row]])&amp;"")</f>
        <v/>
      </c>
      <c r="M47" s="132" t="n">
        <f aca="false">ROW()-ROW(GanttView[[#Headers],[ID]])</f>
        <v>42</v>
      </c>
      <c r="N47" s="133" t="b">
        <f aca="false">IF(IFERROR(INDEX(tsk_Name,GanttView[[#This Row],[_Row]])="",TRUE()),FALSE(),INDEX(tsk_IsSummary,GanttView[[#This Row],[_Row]]))</f>
        <v>0</v>
      </c>
      <c r="O47" s="133" t="b">
        <f aca="false">IF(IFERROR(INDEX(tsk_Name,GanttView[[#This Row],[_Row]])="",TRUE()),FALSE(),AND(INDEX(tsk_IsLeaf,GanttView[[#This Row],[_Row]])=1,N(INDEX(tsk_Duration,GanttView[[#This Row],[_Row]]))=0))</f>
        <v>0</v>
      </c>
      <c r="P47" s="134" t="n">
        <f aca="false">IF(IFERROR(INDEX(tsk_Name,GanttView[[#This Row],[_Row]])="",TRUE()),0,IF(AND(INDEX(tsk_IsLeaf,GanttView[[#This Row],[_Row]])=1,NOT(GanttView[[#This Row],[_IsMilestone]]),N(GanttView[[#This Row],[%]])&gt;0),GanttView[[#This Row],[Forecast Start]],0))</f>
        <v>0</v>
      </c>
      <c r="Q47" s="134" t="n">
        <f aca="false">IF(GanttView[[#This Row],[_DoneFrom]]=0,0,IF(GanttView[[#This Row],[%]]&gt;=1,GanttView[[#This Row],[Forecast Finish]],MAX(GanttView[[#This Row],[_DoneFrom]],GanttView[[#This Row],[Forecast Start]]+ROUND((GanttView[[#This Row],[Forecast Finish]]-GanttView[[#This Row],[Forecast Start]]+1)*GanttView[[#This Row],[%]],0)-1)))</f>
        <v>0</v>
      </c>
      <c r="R47" s="134" t="n">
        <f aca="false">IF(IFERROR(INDEX(tsk_Name,GanttView[[#This Row],[_Row]])="",TRUE()),0,IF(OR(INDEX(tsk_IsLeaf,GanttView[[#This Row],[_Row]])&lt;&gt;1,GanttView[[#This Row],[_IsMilestone]],N(GanttView[[#This Row],[%]])&gt;=1),0,IF(GanttView[[#This Row],[_DoneTo]]&gt;0,GanttView[[#This Row],[_DoneTo]]+1,GanttView[[#This Row],[Forecast Start]])))</f>
        <v>0</v>
      </c>
      <c r="S47" s="134" t="n">
        <f aca="false">IF(GanttView[[#This Row],[_RemFrom]]=0,0,GanttView[[#This Row],[Forecast Finish]])</f>
        <v>0</v>
      </c>
      <c r="T47" s="133" t="b">
        <f aca="false">IF(IFERROR(INDEX(tsk_Name,GanttView[[#This Row],[_Row]])="",TRUE()),FALSE(),N(INDEX(tsk_Variance,GanttView[[#This Row],[_Row]]))&gt;0)</f>
        <v>0</v>
      </c>
      <c r="U47" s="134" t="n">
        <f aca="false">IF(IFERROR(INDEX(tsk_Name,GanttView[[#This Row],[_Row]])="",TRUE()),0,N(INDEX(tsk_Deadline,GanttView[[#This Row],[_Row]])))</f>
        <v>0</v>
      </c>
      <c r="V47" s="133" t="b">
        <f aca="false">IF(IFERROR(INDEX(tsk_Name,GanttView[[#This Row],[_Row]])="",TRUE()),FALSE(),INDEX(tsk_Critical,GanttView[[#This Row],[_Row]])="Yes")</f>
        <v>0</v>
      </c>
    </row>
    <row r="48" customFormat="false" ht="15" hidden="false" customHeight="false" outlineLevel="0" collapsed="false">
      <c r="A48" s="127" t="str">
        <f aca="false">IF(IFERROR(INDEX(tsk_Name,GanttView[[#This Row],[_Row]])="",TRUE()),"",INDEX(tsk_ID,GanttView[[#This Row],[_Row]]))</f>
        <v/>
      </c>
      <c r="B48" s="127" t="str">
        <f aca="false">IF(IFERROR(INDEX(tsk_Name,GanttView[[#This Row],[_Row]])="",TRUE()),"",INDEX(tsk_WBS,GanttView[[#This Row],[_Row]]))</f>
        <v/>
      </c>
      <c r="C48" s="128" t="str">
        <f aca="false">IF(IFERROR(INDEX(tsk_Name,GanttView[[#This Row],[_Row]])="",TRUE()),"",REPT("    ",INDEX(tsk_Level,GanttView[[#This Row],[_Row]])-1)&amp;INDEX(tsk_Name,GanttView[[#This Row],[_Row]]))</f>
        <v/>
      </c>
      <c r="D48" s="127" t="str">
        <f aca="false">IF(IFERROR(INDEX(tsk_Name,GanttView[[#This Row],[_Row]])="",TRUE()),"",IF(INDEX(tsk_IsSummary,GanttView[[#This Row],[_Row]]),NETWORKDAYS.INTL(INDEX(tsk_FcStart,GanttView[[#This Row],[_Row]]),INDEX(tsk_FcFinish,GanttView[[#This Row],[_Row]]),WorkWeek,Holidays),N(INDEX(tsk_Duration,GanttView[[#This Row],[_Row]]))))</f>
        <v/>
      </c>
      <c r="E48" s="129" t="str">
        <f aca="false">IF(IFERROR(INDEX(tsk_Name,GanttView[[#This Row],[_Row]])="",TRUE()),"",INDEX(tsk_PlanStart,GanttView[[#This Row],[_Row]]))</f>
        <v/>
      </c>
      <c r="F48" s="129" t="str">
        <f aca="false">IF(IFERROR(INDEX(tsk_Name,GanttView[[#This Row],[_Row]])="",TRUE()),"",INDEX(tsk_PlanFinish,GanttView[[#This Row],[_Row]]))</f>
        <v/>
      </c>
      <c r="G48" s="129" t="str">
        <f aca="false">IF(IFERROR(INDEX(tsk_Name,GanttView[[#This Row],[_Row]])="",TRUE()),"",INDEX(tsk_FcStart,GanttView[[#This Row],[_Row]]))</f>
        <v/>
      </c>
      <c r="H48" s="129" t="str">
        <f aca="false">IF(IFERROR(INDEX(tsk_Name,GanttView[[#This Row],[_Row]])="",TRUE()),"",INDEX(tsk_FcFinish,GanttView[[#This Row],[_Row]]))</f>
        <v/>
      </c>
      <c r="I48" s="130" t="str">
        <f aca="false">IF(IFERROR(INDEX(tsk_Name,GanttView[[#This Row],[_Row]])="",TRUE()),"",INDEX(tsk_Progress,GanttView[[#This Row],[_Row]]))</f>
        <v/>
      </c>
      <c r="J48" s="128" t="str">
        <f aca="false">IF(IFERROR(INDEX(tsk_Name,GanttView[[#This Row],[_Row]])="",TRUE()),"",INDEX(tsk_ResourceNames,GanttView[[#This Row],[_Row]])&amp;"")</f>
        <v/>
      </c>
      <c r="K48" s="131" t="str">
        <f aca="false">IF(IFERROR(INDEX(tsk_Name,GanttView[[#This Row],[_Row]])="",TRUE()),"",INDEX(tsk_Status,GanttView[[#This Row],[_Row]]))</f>
        <v/>
      </c>
      <c r="L48" s="131" t="str">
        <f aca="false">IF(IFERROR(INDEX(tsk_Name,GanttView[[#This Row],[_Row]])="",TRUE()),"",INDEX(tsk_Show,GanttView[[#This Row],[_Row]])&amp;"")</f>
        <v/>
      </c>
      <c r="M48" s="132" t="n">
        <f aca="false">ROW()-ROW(GanttView[[#Headers],[ID]])</f>
        <v>43</v>
      </c>
      <c r="N48" s="133" t="b">
        <f aca="false">IF(IFERROR(INDEX(tsk_Name,GanttView[[#This Row],[_Row]])="",TRUE()),FALSE(),INDEX(tsk_IsSummary,GanttView[[#This Row],[_Row]]))</f>
        <v>0</v>
      </c>
      <c r="O48" s="133" t="b">
        <f aca="false">IF(IFERROR(INDEX(tsk_Name,GanttView[[#This Row],[_Row]])="",TRUE()),FALSE(),AND(INDEX(tsk_IsLeaf,GanttView[[#This Row],[_Row]])=1,N(INDEX(tsk_Duration,GanttView[[#This Row],[_Row]]))=0))</f>
        <v>0</v>
      </c>
      <c r="P48" s="134" t="n">
        <f aca="false">IF(IFERROR(INDEX(tsk_Name,GanttView[[#This Row],[_Row]])="",TRUE()),0,IF(AND(INDEX(tsk_IsLeaf,GanttView[[#This Row],[_Row]])=1,NOT(GanttView[[#This Row],[_IsMilestone]]),N(GanttView[[#This Row],[%]])&gt;0),GanttView[[#This Row],[Forecast Start]],0))</f>
        <v>0</v>
      </c>
      <c r="Q48" s="134" t="n">
        <f aca="false">IF(GanttView[[#This Row],[_DoneFrom]]=0,0,IF(GanttView[[#This Row],[%]]&gt;=1,GanttView[[#This Row],[Forecast Finish]],MAX(GanttView[[#This Row],[_DoneFrom]],GanttView[[#This Row],[Forecast Start]]+ROUND((GanttView[[#This Row],[Forecast Finish]]-GanttView[[#This Row],[Forecast Start]]+1)*GanttView[[#This Row],[%]],0)-1)))</f>
        <v>0</v>
      </c>
      <c r="R48" s="134" t="n">
        <f aca="false">IF(IFERROR(INDEX(tsk_Name,GanttView[[#This Row],[_Row]])="",TRUE()),0,IF(OR(INDEX(tsk_IsLeaf,GanttView[[#This Row],[_Row]])&lt;&gt;1,GanttView[[#This Row],[_IsMilestone]],N(GanttView[[#This Row],[%]])&gt;=1),0,IF(GanttView[[#This Row],[_DoneTo]]&gt;0,GanttView[[#This Row],[_DoneTo]]+1,GanttView[[#This Row],[Forecast Start]])))</f>
        <v>0</v>
      </c>
      <c r="S48" s="134" t="n">
        <f aca="false">IF(GanttView[[#This Row],[_RemFrom]]=0,0,GanttView[[#This Row],[Forecast Finish]])</f>
        <v>0</v>
      </c>
      <c r="T48" s="133" t="b">
        <f aca="false">IF(IFERROR(INDEX(tsk_Name,GanttView[[#This Row],[_Row]])="",TRUE()),FALSE(),N(INDEX(tsk_Variance,GanttView[[#This Row],[_Row]]))&gt;0)</f>
        <v>0</v>
      </c>
      <c r="U48" s="134" t="n">
        <f aca="false">IF(IFERROR(INDEX(tsk_Name,GanttView[[#This Row],[_Row]])="",TRUE()),0,N(INDEX(tsk_Deadline,GanttView[[#This Row],[_Row]])))</f>
        <v>0</v>
      </c>
      <c r="V48" s="133" t="b">
        <f aca="false">IF(IFERROR(INDEX(tsk_Name,GanttView[[#This Row],[_Row]])="",TRUE()),FALSE(),INDEX(tsk_Critical,GanttView[[#This Row],[_Row]])="Yes")</f>
        <v>0</v>
      </c>
    </row>
    <row r="49" customFormat="false" ht="15" hidden="false" customHeight="false" outlineLevel="0" collapsed="false">
      <c r="A49" s="127" t="str">
        <f aca="false">IF(IFERROR(INDEX(tsk_Name,GanttView[[#This Row],[_Row]])="",TRUE()),"",INDEX(tsk_ID,GanttView[[#This Row],[_Row]]))</f>
        <v/>
      </c>
      <c r="B49" s="127" t="str">
        <f aca="false">IF(IFERROR(INDEX(tsk_Name,GanttView[[#This Row],[_Row]])="",TRUE()),"",INDEX(tsk_WBS,GanttView[[#This Row],[_Row]]))</f>
        <v/>
      </c>
      <c r="C49" s="128" t="str">
        <f aca="false">IF(IFERROR(INDEX(tsk_Name,GanttView[[#This Row],[_Row]])="",TRUE()),"",REPT("    ",INDEX(tsk_Level,GanttView[[#This Row],[_Row]])-1)&amp;INDEX(tsk_Name,GanttView[[#This Row],[_Row]]))</f>
        <v/>
      </c>
      <c r="D49" s="127" t="str">
        <f aca="false">IF(IFERROR(INDEX(tsk_Name,GanttView[[#This Row],[_Row]])="",TRUE()),"",IF(INDEX(tsk_IsSummary,GanttView[[#This Row],[_Row]]),NETWORKDAYS.INTL(INDEX(tsk_FcStart,GanttView[[#This Row],[_Row]]),INDEX(tsk_FcFinish,GanttView[[#This Row],[_Row]]),WorkWeek,Holidays),N(INDEX(tsk_Duration,GanttView[[#This Row],[_Row]]))))</f>
        <v/>
      </c>
      <c r="E49" s="129" t="str">
        <f aca="false">IF(IFERROR(INDEX(tsk_Name,GanttView[[#This Row],[_Row]])="",TRUE()),"",INDEX(tsk_PlanStart,GanttView[[#This Row],[_Row]]))</f>
        <v/>
      </c>
      <c r="F49" s="129" t="str">
        <f aca="false">IF(IFERROR(INDEX(tsk_Name,GanttView[[#This Row],[_Row]])="",TRUE()),"",INDEX(tsk_PlanFinish,GanttView[[#This Row],[_Row]]))</f>
        <v/>
      </c>
      <c r="G49" s="129" t="str">
        <f aca="false">IF(IFERROR(INDEX(tsk_Name,GanttView[[#This Row],[_Row]])="",TRUE()),"",INDEX(tsk_FcStart,GanttView[[#This Row],[_Row]]))</f>
        <v/>
      </c>
      <c r="H49" s="129" t="str">
        <f aca="false">IF(IFERROR(INDEX(tsk_Name,GanttView[[#This Row],[_Row]])="",TRUE()),"",INDEX(tsk_FcFinish,GanttView[[#This Row],[_Row]]))</f>
        <v/>
      </c>
      <c r="I49" s="130" t="str">
        <f aca="false">IF(IFERROR(INDEX(tsk_Name,GanttView[[#This Row],[_Row]])="",TRUE()),"",INDEX(tsk_Progress,GanttView[[#This Row],[_Row]]))</f>
        <v/>
      </c>
      <c r="J49" s="128" t="str">
        <f aca="false">IF(IFERROR(INDEX(tsk_Name,GanttView[[#This Row],[_Row]])="",TRUE()),"",INDEX(tsk_ResourceNames,GanttView[[#This Row],[_Row]])&amp;"")</f>
        <v/>
      </c>
      <c r="K49" s="131" t="str">
        <f aca="false">IF(IFERROR(INDEX(tsk_Name,GanttView[[#This Row],[_Row]])="",TRUE()),"",INDEX(tsk_Status,GanttView[[#This Row],[_Row]]))</f>
        <v/>
      </c>
      <c r="L49" s="131" t="str">
        <f aca="false">IF(IFERROR(INDEX(tsk_Name,GanttView[[#This Row],[_Row]])="",TRUE()),"",INDEX(tsk_Show,GanttView[[#This Row],[_Row]])&amp;"")</f>
        <v/>
      </c>
      <c r="M49" s="132" t="n">
        <f aca="false">ROW()-ROW(GanttView[[#Headers],[ID]])</f>
        <v>44</v>
      </c>
      <c r="N49" s="133" t="b">
        <f aca="false">IF(IFERROR(INDEX(tsk_Name,GanttView[[#This Row],[_Row]])="",TRUE()),FALSE(),INDEX(tsk_IsSummary,GanttView[[#This Row],[_Row]]))</f>
        <v>0</v>
      </c>
      <c r="O49" s="133" t="b">
        <f aca="false">IF(IFERROR(INDEX(tsk_Name,GanttView[[#This Row],[_Row]])="",TRUE()),FALSE(),AND(INDEX(tsk_IsLeaf,GanttView[[#This Row],[_Row]])=1,N(INDEX(tsk_Duration,GanttView[[#This Row],[_Row]]))=0))</f>
        <v>0</v>
      </c>
      <c r="P49" s="134" t="n">
        <f aca="false">IF(IFERROR(INDEX(tsk_Name,GanttView[[#This Row],[_Row]])="",TRUE()),0,IF(AND(INDEX(tsk_IsLeaf,GanttView[[#This Row],[_Row]])=1,NOT(GanttView[[#This Row],[_IsMilestone]]),N(GanttView[[#This Row],[%]])&gt;0),GanttView[[#This Row],[Forecast Start]],0))</f>
        <v>0</v>
      </c>
      <c r="Q49" s="134" t="n">
        <f aca="false">IF(GanttView[[#This Row],[_DoneFrom]]=0,0,IF(GanttView[[#This Row],[%]]&gt;=1,GanttView[[#This Row],[Forecast Finish]],MAX(GanttView[[#This Row],[_DoneFrom]],GanttView[[#This Row],[Forecast Start]]+ROUND((GanttView[[#This Row],[Forecast Finish]]-GanttView[[#This Row],[Forecast Start]]+1)*GanttView[[#This Row],[%]],0)-1)))</f>
        <v>0</v>
      </c>
      <c r="R49" s="134" t="n">
        <f aca="false">IF(IFERROR(INDEX(tsk_Name,GanttView[[#This Row],[_Row]])="",TRUE()),0,IF(OR(INDEX(tsk_IsLeaf,GanttView[[#This Row],[_Row]])&lt;&gt;1,GanttView[[#This Row],[_IsMilestone]],N(GanttView[[#This Row],[%]])&gt;=1),0,IF(GanttView[[#This Row],[_DoneTo]]&gt;0,GanttView[[#This Row],[_DoneTo]]+1,GanttView[[#This Row],[Forecast Start]])))</f>
        <v>0</v>
      </c>
      <c r="S49" s="134" t="n">
        <f aca="false">IF(GanttView[[#This Row],[_RemFrom]]=0,0,GanttView[[#This Row],[Forecast Finish]])</f>
        <v>0</v>
      </c>
      <c r="T49" s="133" t="b">
        <f aca="false">IF(IFERROR(INDEX(tsk_Name,GanttView[[#This Row],[_Row]])="",TRUE()),FALSE(),N(INDEX(tsk_Variance,GanttView[[#This Row],[_Row]]))&gt;0)</f>
        <v>0</v>
      </c>
      <c r="U49" s="134" t="n">
        <f aca="false">IF(IFERROR(INDEX(tsk_Name,GanttView[[#This Row],[_Row]])="",TRUE()),0,N(INDEX(tsk_Deadline,GanttView[[#This Row],[_Row]])))</f>
        <v>0</v>
      </c>
      <c r="V49" s="133" t="b">
        <f aca="false">IF(IFERROR(INDEX(tsk_Name,GanttView[[#This Row],[_Row]])="",TRUE()),FALSE(),INDEX(tsk_Critical,GanttView[[#This Row],[_Row]])="Yes")</f>
        <v>0</v>
      </c>
    </row>
    <row r="50" customFormat="false" ht="15" hidden="false" customHeight="false" outlineLevel="0" collapsed="false">
      <c r="A50" s="127" t="str">
        <f aca="false">IF(IFERROR(INDEX(tsk_Name,GanttView[[#This Row],[_Row]])="",TRUE()),"",INDEX(tsk_ID,GanttView[[#This Row],[_Row]]))</f>
        <v/>
      </c>
      <c r="B50" s="127" t="str">
        <f aca="false">IF(IFERROR(INDEX(tsk_Name,GanttView[[#This Row],[_Row]])="",TRUE()),"",INDEX(tsk_WBS,GanttView[[#This Row],[_Row]]))</f>
        <v/>
      </c>
      <c r="C50" s="128" t="str">
        <f aca="false">IF(IFERROR(INDEX(tsk_Name,GanttView[[#This Row],[_Row]])="",TRUE()),"",REPT("    ",INDEX(tsk_Level,GanttView[[#This Row],[_Row]])-1)&amp;INDEX(tsk_Name,GanttView[[#This Row],[_Row]]))</f>
        <v/>
      </c>
      <c r="D50" s="127" t="str">
        <f aca="false">IF(IFERROR(INDEX(tsk_Name,GanttView[[#This Row],[_Row]])="",TRUE()),"",IF(INDEX(tsk_IsSummary,GanttView[[#This Row],[_Row]]),NETWORKDAYS.INTL(INDEX(tsk_FcStart,GanttView[[#This Row],[_Row]]),INDEX(tsk_FcFinish,GanttView[[#This Row],[_Row]]),WorkWeek,Holidays),N(INDEX(tsk_Duration,GanttView[[#This Row],[_Row]]))))</f>
        <v/>
      </c>
      <c r="E50" s="129" t="str">
        <f aca="false">IF(IFERROR(INDEX(tsk_Name,GanttView[[#This Row],[_Row]])="",TRUE()),"",INDEX(tsk_PlanStart,GanttView[[#This Row],[_Row]]))</f>
        <v/>
      </c>
      <c r="F50" s="129" t="str">
        <f aca="false">IF(IFERROR(INDEX(tsk_Name,GanttView[[#This Row],[_Row]])="",TRUE()),"",INDEX(tsk_PlanFinish,GanttView[[#This Row],[_Row]]))</f>
        <v/>
      </c>
      <c r="G50" s="129" t="str">
        <f aca="false">IF(IFERROR(INDEX(tsk_Name,GanttView[[#This Row],[_Row]])="",TRUE()),"",INDEX(tsk_FcStart,GanttView[[#This Row],[_Row]]))</f>
        <v/>
      </c>
      <c r="H50" s="129" t="str">
        <f aca="false">IF(IFERROR(INDEX(tsk_Name,GanttView[[#This Row],[_Row]])="",TRUE()),"",INDEX(tsk_FcFinish,GanttView[[#This Row],[_Row]]))</f>
        <v/>
      </c>
      <c r="I50" s="130" t="str">
        <f aca="false">IF(IFERROR(INDEX(tsk_Name,GanttView[[#This Row],[_Row]])="",TRUE()),"",INDEX(tsk_Progress,GanttView[[#This Row],[_Row]]))</f>
        <v/>
      </c>
      <c r="J50" s="128" t="str">
        <f aca="false">IF(IFERROR(INDEX(tsk_Name,GanttView[[#This Row],[_Row]])="",TRUE()),"",INDEX(tsk_ResourceNames,GanttView[[#This Row],[_Row]])&amp;"")</f>
        <v/>
      </c>
      <c r="K50" s="131" t="str">
        <f aca="false">IF(IFERROR(INDEX(tsk_Name,GanttView[[#This Row],[_Row]])="",TRUE()),"",INDEX(tsk_Status,GanttView[[#This Row],[_Row]]))</f>
        <v/>
      </c>
      <c r="L50" s="131" t="str">
        <f aca="false">IF(IFERROR(INDEX(tsk_Name,GanttView[[#This Row],[_Row]])="",TRUE()),"",INDEX(tsk_Show,GanttView[[#This Row],[_Row]])&amp;"")</f>
        <v/>
      </c>
      <c r="M50" s="132" t="n">
        <f aca="false">ROW()-ROW(GanttView[[#Headers],[ID]])</f>
        <v>45</v>
      </c>
      <c r="N50" s="133" t="b">
        <f aca="false">IF(IFERROR(INDEX(tsk_Name,GanttView[[#This Row],[_Row]])="",TRUE()),FALSE(),INDEX(tsk_IsSummary,GanttView[[#This Row],[_Row]]))</f>
        <v>0</v>
      </c>
      <c r="O50" s="133" t="b">
        <f aca="false">IF(IFERROR(INDEX(tsk_Name,GanttView[[#This Row],[_Row]])="",TRUE()),FALSE(),AND(INDEX(tsk_IsLeaf,GanttView[[#This Row],[_Row]])=1,N(INDEX(tsk_Duration,GanttView[[#This Row],[_Row]]))=0))</f>
        <v>0</v>
      </c>
      <c r="P50" s="134" t="n">
        <f aca="false">IF(IFERROR(INDEX(tsk_Name,GanttView[[#This Row],[_Row]])="",TRUE()),0,IF(AND(INDEX(tsk_IsLeaf,GanttView[[#This Row],[_Row]])=1,NOT(GanttView[[#This Row],[_IsMilestone]]),N(GanttView[[#This Row],[%]])&gt;0),GanttView[[#This Row],[Forecast Start]],0))</f>
        <v>0</v>
      </c>
      <c r="Q50" s="134" t="n">
        <f aca="false">IF(GanttView[[#This Row],[_DoneFrom]]=0,0,IF(GanttView[[#This Row],[%]]&gt;=1,GanttView[[#This Row],[Forecast Finish]],MAX(GanttView[[#This Row],[_DoneFrom]],GanttView[[#This Row],[Forecast Start]]+ROUND((GanttView[[#This Row],[Forecast Finish]]-GanttView[[#This Row],[Forecast Start]]+1)*GanttView[[#This Row],[%]],0)-1)))</f>
        <v>0</v>
      </c>
      <c r="R50" s="134" t="n">
        <f aca="false">IF(IFERROR(INDEX(tsk_Name,GanttView[[#This Row],[_Row]])="",TRUE()),0,IF(OR(INDEX(tsk_IsLeaf,GanttView[[#This Row],[_Row]])&lt;&gt;1,GanttView[[#This Row],[_IsMilestone]],N(GanttView[[#This Row],[%]])&gt;=1),0,IF(GanttView[[#This Row],[_DoneTo]]&gt;0,GanttView[[#This Row],[_DoneTo]]+1,GanttView[[#This Row],[Forecast Start]])))</f>
        <v>0</v>
      </c>
      <c r="S50" s="134" t="n">
        <f aca="false">IF(GanttView[[#This Row],[_RemFrom]]=0,0,GanttView[[#This Row],[Forecast Finish]])</f>
        <v>0</v>
      </c>
      <c r="T50" s="133" t="b">
        <f aca="false">IF(IFERROR(INDEX(tsk_Name,GanttView[[#This Row],[_Row]])="",TRUE()),FALSE(),N(INDEX(tsk_Variance,GanttView[[#This Row],[_Row]]))&gt;0)</f>
        <v>0</v>
      </c>
      <c r="U50" s="134" t="n">
        <f aca="false">IF(IFERROR(INDEX(tsk_Name,GanttView[[#This Row],[_Row]])="",TRUE()),0,N(INDEX(tsk_Deadline,GanttView[[#This Row],[_Row]])))</f>
        <v>0</v>
      </c>
      <c r="V50" s="133" t="b">
        <f aca="false">IF(IFERROR(INDEX(tsk_Name,GanttView[[#This Row],[_Row]])="",TRUE()),FALSE(),INDEX(tsk_Critical,GanttView[[#This Row],[_Row]])="Yes")</f>
        <v>0</v>
      </c>
    </row>
    <row r="51" customFormat="false" ht="15" hidden="false" customHeight="false" outlineLevel="0" collapsed="false">
      <c r="A51" s="127" t="str">
        <f aca="false">IF(IFERROR(INDEX(tsk_Name,GanttView[[#This Row],[_Row]])="",TRUE()),"",INDEX(tsk_ID,GanttView[[#This Row],[_Row]]))</f>
        <v/>
      </c>
      <c r="B51" s="127" t="str">
        <f aca="false">IF(IFERROR(INDEX(tsk_Name,GanttView[[#This Row],[_Row]])="",TRUE()),"",INDEX(tsk_WBS,GanttView[[#This Row],[_Row]]))</f>
        <v/>
      </c>
      <c r="C51" s="128" t="str">
        <f aca="false">IF(IFERROR(INDEX(tsk_Name,GanttView[[#This Row],[_Row]])="",TRUE()),"",REPT("    ",INDEX(tsk_Level,GanttView[[#This Row],[_Row]])-1)&amp;INDEX(tsk_Name,GanttView[[#This Row],[_Row]]))</f>
        <v/>
      </c>
      <c r="D51" s="127" t="str">
        <f aca="false">IF(IFERROR(INDEX(tsk_Name,GanttView[[#This Row],[_Row]])="",TRUE()),"",IF(INDEX(tsk_IsSummary,GanttView[[#This Row],[_Row]]),NETWORKDAYS.INTL(INDEX(tsk_FcStart,GanttView[[#This Row],[_Row]]),INDEX(tsk_FcFinish,GanttView[[#This Row],[_Row]]),WorkWeek,Holidays),N(INDEX(tsk_Duration,GanttView[[#This Row],[_Row]]))))</f>
        <v/>
      </c>
      <c r="E51" s="129" t="str">
        <f aca="false">IF(IFERROR(INDEX(tsk_Name,GanttView[[#This Row],[_Row]])="",TRUE()),"",INDEX(tsk_PlanStart,GanttView[[#This Row],[_Row]]))</f>
        <v/>
      </c>
      <c r="F51" s="129" t="str">
        <f aca="false">IF(IFERROR(INDEX(tsk_Name,GanttView[[#This Row],[_Row]])="",TRUE()),"",INDEX(tsk_PlanFinish,GanttView[[#This Row],[_Row]]))</f>
        <v/>
      </c>
      <c r="G51" s="129" t="str">
        <f aca="false">IF(IFERROR(INDEX(tsk_Name,GanttView[[#This Row],[_Row]])="",TRUE()),"",INDEX(tsk_FcStart,GanttView[[#This Row],[_Row]]))</f>
        <v/>
      </c>
      <c r="H51" s="129" t="str">
        <f aca="false">IF(IFERROR(INDEX(tsk_Name,GanttView[[#This Row],[_Row]])="",TRUE()),"",INDEX(tsk_FcFinish,GanttView[[#This Row],[_Row]]))</f>
        <v/>
      </c>
      <c r="I51" s="130" t="str">
        <f aca="false">IF(IFERROR(INDEX(tsk_Name,GanttView[[#This Row],[_Row]])="",TRUE()),"",INDEX(tsk_Progress,GanttView[[#This Row],[_Row]]))</f>
        <v/>
      </c>
      <c r="J51" s="128" t="str">
        <f aca="false">IF(IFERROR(INDEX(tsk_Name,GanttView[[#This Row],[_Row]])="",TRUE()),"",INDEX(tsk_ResourceNames,GanttView[[#This Row],[_Row]])&amp;"")</f>
        <v/>
      </c>
      <c r="K51" s="131" t="str">
        <f aca="false">IF(IFERROR(INDEX(tsk_Name,GanttView[[#This Row],[_Row]])="",TRUE()),"",INDEX(tsk_Status,GanttView[[#This Row],[_Row]]))</f>
        <v/>
      </c>
      <c r="L51" s="131" t="str">
        <f aca="false">IF(IFERROR(INDEX(tsk_Name,GanttView[[#This Row],[_Row]])="",TRUE()),"",INDEX(tsk_Show,GanttView[[#This Row],[_Row]])&amp;"")</f>
        <v/>
      </c>
      <c r="M51" s="132" t="n">
        <f aca="false">ROW()-ROW(GanttView[[#Headers],[ID]])</f>
        <v>46</v>
      </c>
      <c r="N51" s="133" t="b">
        <f aca="false">IF(IFERROR(INDEX(tsk_Name,GanttView[[#This Row],[_Row]])="",TRUE()),FALSE(),INDEX(tsk_IsSummary,GanttView[[#This Row],[_Row]]))</f>
        <v>0</v>
      </c>
      <c r="O51" s="133" t="b">
        <f aca="false">IF(IFERROR(INDEX(tsk_Name,GanttView[[#This Row],[_Row]])="",TRUE()),FALSE(),AND(INDEX(tsk_IsLeaf,GanttView[[#This Row],[_Row]])=1,N(INDEX(tsk_Duration,GanttView[[#This Row],[_Row]]))=0))</f>
        <v>0</v>
      </c>
      <c r="P51" s="134" t="n">
        <f aca="false">IF(IFERROR(INDEX(tsk_Name,GanttView[[#This Row],[_Row]])="",TRUE()),0,IF(AND(INDEX(tsk_IsLeaf,GanttView[[#This Row],[_Row]])=1,NOT(GanttView[[#This Row],[_IsMilestone]]),N(GanttView[[#This Row],[%]])&gt;0),GanttView[[#This Row],[Forecast Start]],0))</f>
        <v>0</v>
      </c>
      <c r="Q51" s="134" t="n">
        <f aca="false">IF(GanttView[[#This Row],[_DoneFrom]]=0,0,IF(GanttView[[#This Row],[%]]&gt;=1,GanttView[[#This Row],[Forecast Finish]],MAX(GanttView[[#This Row],[_DoneFrom]],GanttView[[#This Row],[Forecast Start]]+ROUND((GanttView[[#This Row],[Forecast Finish]]-GanttView[[#This Row],[Forecast Start]]+1)*GanttView[[#This Row],[%]],0)-1)))</f>
        <v>0</v>
      </c>
      <c r="R51" s="134" t="n">
        <f aca="false">IF(IFERROR(INDEX(tsk_Name,GanttView[[#This Row],[_Row]])="",TRUE()),0,IF(OR(INDEX(tsk_IsLeaf,GanttView[[#This Row],[_Row]])&lt;&gt;1,GanttView[[#This Row],[_IsMilestone]],N(GanttView[[#This Row],[%]])&gt;=1),0,IF(GanttView[[#This Row],[_DoneTo]]&gt;0,GanttView[[#This Row],[_DoneTo]]+1,GanttView[[#This Row],[Forecast Start]])))</f>
        <v>0</v>
      </c>
      <c r="S51" s="134" t="n">
        <f aca="false">IF(GanttView[[#This Row],[_RemFrom]]=0,0,GanttView[[#This Row],[Forecast Finish]])</f>
        <v>0</v>
      </c>
      <c r="T51" s="133" t="b">
        <f aca="false">IF(IFERROR(INDEX(tsk_Name,GanttView[[#This Row],[_Row]])="",TRUE()),FALSE(),N(INDEX(tsk_Variance,GanttView[[#This Row],[_Row]]))&gt;0)</f>
        <v>0</v>
      </c>
      <c r="U51" s="134" t="n">
        <f aca="false">IF(IFERROR(INDEX(tsk_Name,GanttView[[#This Row],[_Row]])="",TRUE()),0,N(INDEX(tsk_Deadline,GanttView[[#This Row],[_Row]])))</f>
        <v>0</v>
      </c>
      <c r="V51" s="133" t="b">
        <f aca="false">IF(IFERROR(INDEX(tsk_Name,GanttView[[#This Row],[_Row]])="",TRUE()),FALSE(),INDEX(tsk_Critical,GanttView[[#This Row],[_Row]])="Yes")</f>
        <v>0</v>
      </c>
    </row>
    <row r="52" customFormat="false" ht="15" hidden="false" customHeight="false" outlineLevel="0" collapsed="false">
      <c r="A52" s="127" t="str">
        <f aca="false">IF(IFERROR(INDEX(tsk_Name,GanttView[[#This Row],[_Row]])="",TRUE()),"",INDEX(tsk_ID,GanttView[[#This Row],[_Row]]))</f>
        <v/>
      </c>
      <c r="B52" s="127" t="str">
        <f aca="false">IF(IFERROR(INDEX(tsk_Name,GanttView[[#This Row],[_Row]])="",TRUE()),"",INDEX(tsk_WBS,GanttView[[#This Row],[_Row]]))</f>
        <v/>
      </c>
      <c r="C52" s="128" t="str">
        <f aca="false">IF(IFERROR(INDEX(tsk_Name,GanttView[[#This Row],[_Row]])="",TRUE()),"",REPT("    ",INDEX(tsk_Level,GanttView[[#This Row],[_Row]])-1)&amp;INDEX(tsk_Name,GanttView[[#This Row],[_Row]]))</f>
        <v/>
      </c>
      <c r="D52" s="127" t="str">
        <f aca="false">IF(IFERROR(INDEX(tsk_Name,GanttView[[#This Row],[_Row]])="",TRUE()),"",IF(INDEX(tsk_IsSummary,GanttView[[#This Row],[_Row]]),NETWORKDAYS.INTL(INDEX(tsk_FcStart,GanttView[[#This Row],[_Row]]),INDEX(tsk_FcFinish,GanttView[[#This Row],[_Row]]),WorkWeek,Holidays),N(INDEX(tsk_Duration,GanttView[[#This Row],[_Row]]))))</f>
        <v/>
      </c>
      <c r="E52" s="129" t="str">
        <f aca="false">IF(IFERROR(INDEX(tsk_Name,GanttView[[#This Row],[_Row]])="",TRUE()),"",INDEX(tsk_PlanStart,GanttView[[#This Row],[_Row]]))</f>
        <v/>
      </c>
      <c r="F52" s="129" t="str">
        <f aca="false">IF(IFERROR(INDEX(tsk_Name,GanttView[[#This Row],[_Row]])="",TRUE()),"",INDEX(tsk_PlanFinish,GanttView[[#This Row],[_Row]]))</f>
        <v/>
      </c>
      <c r="G52" s="129" t="str">
        <f aca="false">IF(IFERROR(INDEX(tsk_Name,GanttView[[#This Row],[_Row]])="",TRUE()),"",INDEX(tsk_FcStart,GanttView[[#This Row],[_Row]]))</f>
        <v/>
      </c>
      <c r="H52" s="129" t="str">
        <f aca="false">IF(IFERROR(INDEX(tsk_Name,GanttView[[#This Row],[_Row]])="",TRUE()),"",INDEX(tsk_FcFinish,GanttView[[#This Row],[_Row]]))</f>
        <v/>
      </c>
      <c r="I52" s="130" t="str">
        <f aca="false">IF(IFERROR(INDEX(tsk_Name,GanttView[[#This Row],[_Row]])="",TRUE()),"",INDEX(tsk_Progress,GanttView[[#This Row],[_Row]]))</f>
        <v/>
      </c>
      <c r="J52" s="128" t="str">
        <f aca="false">IF(IFERROR(INDEX(tsk_Name,GanttView[[#This Row],[_Row]])="",TRUE()),"",INDEX(tsk_ResourceNames,GanttView[[#This Row],[_Row]])&amp;"")</f>
        <v/>
      </c>
      <c r="K52" s="131" t="str">
        <f aca="false">IF(IFERROR(INDEX(tsk_Name,GanttView[[#This Row],[_Row]])="",TRUE()),"",INDEX(tsk_Status,GanttView[[#This Row],[_Row]]))</f>
        <v/>
      </c>
      <c r="L52" s="131" t="str">
        <f aca="false">IF(IFERROR(INDEX(tsk_Name,GanttView[[#This Row],[_Row]])="",TRUE()),"",INDEX(tsk_Show,GanttView[[#This Row],[_Row]])&amp;"")</f>
        <v/>
      </c>
      <c r="M52" s="132" t="n">
        <f aca="false">ROW()-ROW(GanttView[[#Headers],[ID]])</f>
        <v>47</v>
      </c>
      <c r="N52" s="133" t="b">
        <f aca="false">IF(IFERROR(INDEX(tsk_Name,GanttView[[#This Row],[_Row]])="",TRUE()),FALSE(),INDEX(tsk_IsSummary,GanttView[[#This Row],[_Row]]))</f>
        <v>0</v>
      </c>
      <c r="O52" s="133" t="b">
        <f aca="false">IF(IFERROR(INDEX(tsk_Name,GanttView[[#This Row],[_Row]])="",TRUE()),FALSE(),AND(INDEX(tsk_IsLeaf,GanttView[[#This Row],[_Row]])=1,N(INDEX(tsk_Duration,GanttView[[#This Row],[_Row]]))=0))</f>
        <v>0</v>
      </c>
      <c r="P52" s="134" t="n">
        <f aca="false">IF(IFERROR(INDEX(tsk_Name,GanttView[[#This Row],[_Row]])="",TRUE()),0,IF(AND(INDEX(tsk_IsLeaf,GanttView[[#This Row],[_Row]])=1,NOT(GanttView[[#This Row],[_IsMilestone]]),N(GanttView[[#This Row],[%]])&gt;0),GanttView[[#This Row],[Forecast Start]],0))</f>
        <v>0</v>
      </c>
      <c r="Q52" s="134" t="n">
        <f aca="false">IF(GanttView[[#This Row],[_DoneFrom]]=0,0,IF(GanttView[[#This Row],[%]]&gt;=1,GanttView[[#This Row],[Forecast Finish]],MAX(GanttView[[#This Row],[_DoneFrom]],GanttView[[#This Row],[Forecast Start]]+ROUND((GanttView[[#This Row],[Forecast Finish]]-GanttView[[#This Row],[Forecast Start]]+1)*GanttView[[#This Row],[%]],0)-1)))</f>
        <v>0</v>
      </c>
      <c r="R52" s="134" t="n">
        <f aca="false">IF(IFERROR(INDEX(tsk_Name,GanttView[[#This Row],[_Row]])="",TRUE()),0,IF(OR(INDEX(tsk_IsLeaf,GanttView[[#This Row],[_Row]])&lt;&gt;1,GanttView[[#This Row],[_IsMilestone]],N(GanttView[[#This Row],[%]])&gt;=1),0,IF(GanttView[[#This Row],[_DoneTo]]&gt;0,GanttView[[#This Row],[_DoneTo]]+1,GanttView[[#This Row],[Forecast Start]])))</f>
        <v>0</v>
      </c>
      <c r="S52" s="134" t="n">
        <f aca="false">IF(GanttView[[#This Row],[_RemFrom]]=0,0,GanttView[[#This Row],[Forecast Finish]])</f>
        <v>0</v>
      </c>
      <c r="T52" s="133" t="b">
        <f aca="false">IF(IFERROR(INDEX(tsk_Name,GanttView[[#This Row],[_Row]])="",TRUE()),FALSE(),N(INDEX(tsk_Variance,GanttView[[#This Row],[_Row]]))&gt;0)</f>
        <v>0</v>
      </c>
      <c r="U52" s="134" t="n">
        <f aca="false">IF(IFERROR(INDEX(tsk_Name,GanttView[[#This Row],[_Row]])="",TRUE()),0,N(INDEX(tsk_Deadline,GanttView[[#This Row],[_Row]])))</f>
        <v>0</v>
      </c>
      <c r="V52" s="133" t="b">
        <f aca="false">IF(IFERROR(INDEX(tsk_Name,GanttView[[#This Row],[_Row]])="",TRUE()),FALSE(),INDEX(tsk_Critical,GanttView[[#This Row],[_Row]])="Yes")</f>
        <v>0</v>
      </c>
    </row>
    <row r="53" customFormat="false" ht="15" hidden="false" customHeight="false" outlineLevel="0" collapsed="false">
      <c r="A53" s="127" t="str">
        <f aca="false">IF(IFERROR(INDEX(tsk_Name,GanttView[[#This Row],[_Row]])="",TRUE()),"",INDEX(tsk_ID,GanttView[[#This Row],[_Row]]))</f>
        <v/>
      </c>
      <c r="B53" s="127" t="str">
        <f aca="false">IF(IFERROR(INDEX(tsk_Name,GanttView[[#This Row],[_Row]])="",TRUE()),"",INDEX(tsk_WBS,GanttView[[#This Row],[_Row]]))</f>
        <v/>
      </c>
      <c r="C53" s="128" t="str">
        <f aca="false">IF(IFERROR(INDEX(tsk_Name,GanttView[[#This Row],[_Row]])="",TRUE()),"",REPT("    ",INDEX(tsk_Level,GanttView[[#This Row],[_Row]])-1)&amp;INDEX(tsk_Name,GanttView[[#This Row],[_Row]]))</f>
        <v/>
      </c>
      <c r="D53" s="127" t="str">
        <f aca="false">IF(IFERROR(INDEX(tsk_Name,GanttView[[#This Row],[_Row]])="",TRUE()),"",IF(INDEX(tsk_IsSummary,GanttView[[#This Row],[_Row]]),NETWORKDAYS.INTL(INDEX(tsk_FcStart,GanttView[[#This Row],[_Row]]),INDEX(tsk_FcFinish,GanttView[[#This Row],[_Row]]),WorkWeek,Holidays),N(INDEX(tsk_Duration,GanttView[[#This Row],[_Row]]))))</f>
        <v/>
      </c>
      <c r="E53" s="129" t="str">
        <f aca="false">IF(IFERROR(INDEX(tsk_Name,GanttView[[#This Row],[_Row]])="",TRUE()),"",INDEX(tsk_PlanStart,GanttView[[#This Row],[_Row]]))</f>
        <v/>
      </c>
      <c r="F53" s="129" t="str">
        <f aca="false">IF(IFERROR(INDEX(tsk_Name,GanttView[[#This Row],[_Row]])="",TRUE()),"",INDEX(tsk_PlanFinish,GanttView[[#This Row],[_Row]]))</f>
        <v/>
      </c>
      <c r="G53" s="129" t="str">
        <f aca="false">IF(IFERROR(INDEX(tsk_Name,GanttView[[#This Row],[_Row]])="",TRUE()),"",INDEX(tsk_FcStart,GanttView[[#This Row],[_Row]]))</f>
        <v/>
      </c>
      <c r="H53" s="129" t="str">
        <f aca="false">IF(IFERROR(INDEX(tsk_Name,GanttView[[#This Row],[_Row]])="",TRUE()),"",INDEX(tsk_FcFinish,GanttView[[#This Row],[_Row]]))</f>
        <v/>
      </c>
      <c r="I53" s="130" t="str">
        <f aca="false">IF(IFERROR(INDEX(tsk_Name,GanttView[[#This Row],[_Row]])="",TRUE()),"",INDEX(tsk_Progress,GanttView[[#This Row],[_Row]]))</f>
        <v/>
      </c>
      <c r="J53" s="128" t="str">
        <f aca="false">IF(IFERROR(INDEX(tsk_Name,GanttView[[#This Row],[_Row]])="",TRUE()),"",INDEX(tsk_ResourceNames,GanttView[[#This Row],[_Row]])&amp;"")</f>
        <v/>
      </c>
      <c r="K53" s="131" t="str">
        <f aca="false">IF(IFERROR(INDEX(tsk_Name,GanttView[[#This Row],[_Row]])="",TRUE()),"",INDEX(tsk_Status,GanttView[[#This Row],[_Row]]))</f>
        <v/>
      </c>
      <c r="L53" s="131" t="str">
        <f aca="false">IF(IFERROR(INDEX(tsk_Name,GanttView[[#This Row],[_Row]])="",TRUE()),"",INDEX(tsk_Show,GanttView[[#This Row],[_Row]])&amp;"")</f>
        <v/>
      </c>
      <c r="M53" s="132" t="n">
        <f aca="false">ROW()-ROW(GanttView[[#Headers],[ID]])</f>
        <v>48</v>
      </c>
      <c r="N53" s="133" t="b">
        <f aca="false">IF(IFERROR(INDEX(tsk_Name,GanttView[[#This Row],[_Row]])="",TRUE()),FALSE(),INDEX(tsk_IsSummary,GanttView[[#This Row],[_Row]]))</f>
        <v>0</v>
      </c>
      <c r="O53" s="133" t="b">
        <f aca="false">IF(IFERROR(INDEX(tsk_Name,GanttView[[#This Row],[_Row]])="",TRUE()),FALSE(),AND(INDEX(tsk_IsLeaf,GanttView[[#This Row],[_Row]])=1,N(INDEX(tsk_Duration,GanttView[[#This Row],[_Row]]))=0))</f>
        <v>0</v>
      </c>
      <c r="P53" s="134" t="n">
        <f aca="false">IF(IFERROR(INDEX(tsk_Name,GanttView[[#This Row],[_Row]])="",TRUE()),0,IF(AND(INDEX(tsk_IsLeaf,GanttView[[#This Row],[_Row]])=1,NOT(GanttView[[#This Row],[_IsMilestone]]),N(GanttView[[#This Row],[%]])&gt;0),GanttView[[#This Row],[Forecast Start]],0))</f>
        <v>0</v>
      </c>
      <c r="Q53" s="134" t="n">
        <f aca="false">IF(GanttView[[#This Row],[_DoneFrom]]=0,0,IF(GanttView[[#This Row],[%]]&gt;=1,GanttView[[#This Row],[Forecast Finish]],MAX(GanttView[[#This Row],[_DoneFrom]],GanttView[[#This Row],[Forecast Start]]+ROUND((GanttView[[#This Row],[Forecast Finish]]-GanttView[[#This Row],[Forecast Start]]+1)*GanttView[[#This Row],[%]],0)-1)))</f>
        <v>0</v>
      </c>
      <c r="R53" s="134" t="n">
        <f aca="false">IF(IFERROR(INDEX(tsk_Name,GanttView[[#This Row],[_Row]])="",TRUE()),0,IF(OR(INDEX(tsk_IsLeaf,GanttView[[#This Row],[_Row]])&lt;&gt;1,GanttView[[#This Row],[_IsMilestone]],N(GanttView[[#This Row],[%]])&gt;=1),0,IF(GanttView[[#This Row],[_DoneTo]]&gt;0,GanttView[[#This Row],[_DoneTo]]+1,GanttView[[#This Row],[Forecast Start]])))</f>
        <v>0</v>
      </c>
      <c r="S53" s="134" t="n">
        <f aca="false">IF(GanttView[[#This Row],[_RemFrom]]=0,0,GanttView[[#This Row],[Forecast Finish]])</f>
        <v>0</v>
      </c>
      <c r="T53" s="133" t="b">
        <f aca="false">IF(IFERROR(INDEX(tsk_Name,GanttView[[#This Row],[_Row]])="",TRUE()),FALSE(),N(INDEX(tsk_Variance,GanttView[[#This Row],[_Row]]))&gt;0)</f>
        <v>0</v>
      </c>
      <c r="U53" s="134" t="n">
        <f aca="false">IF(IFERROR(INDEX(tsk_Name,GanttView[[#This Row],[_Row]])="",TRUE()),0,N(INDEX(tsk_Deadline,GanttView[[#This Row],[_Row]])))</f>
        <v>0</v>
      </c>
      <c r="V53" s="133" t="b">
        <f aca="false">IF(IFERROR(INDEX(tsk_Name,GanttView[[#This Row],[_Row]])="",TRUE()),FALSE(),INDEX(tsk_Critical,GanttView[[#This Row],[_Row]])="Yes")</f>
        <v>0</v>
      </c>
    </row>
    <row r="54" customFormat="false" ht="15" hidden="false" customHeight="false" outlineLevel="0" collapsed="false">
      <c r="A54" s="127" t="str">
        <f aca="false">IF(IFERROR(INDEX(tsk_Name,GanttView[[#This Row],[_Row]])="",TRUE()),"",INDEX(tsk_ID,GanttView[[#This Row],[_Row]]))</f>
        <v/>
      </c>
      <c r="B54" s="127" t="str">
        <f aca="false">IF(IFERROR(INDEX(tsk_Name,GanttView[[#This Row],[_Row]])="",TRUE()),"",INDEX(tsk_WBS,GanttView[[#This Row],[_Row]]))</f>
        <v/>
      </c>
      <c r="C54" s="128" t="str">
        <f aca="false">IF(IFERROR(INDEX(tsk_Name,GanttView[[#This Row],[_Row]])="",TRUE()),"",REPT("    ",INDEX(tsk_Level,GanttView[[#This Row],[_Row]])-1)&amp;INDEX(tsk_Name,GanttView[[#This Row],[_Row]]))</f>
        <v/>
      </c>
      <c r="D54" s="127" t="str">
        <f aca="false">IF(IFERROR(INDEX(tsk_Name,GanttView[[#This Row],[_Row]])="",TRUE()),"",IF(INDEX(tsk_IsSummary,GanttView[[#This Row],[_Row]]),NETWORKDAYS.INTL(INDEX(tsk_FcStart,GanttView[[#This Row],[_Row]]),INDEX(tsk_FcFinish,GanttView[[#This Row],[_Row]]),WorkWeek,Holidays),N(INDEX(tsk_Duration,GanttView[[#This Row],[_Row]]))))</f>
        <v/>
      </c>
      <c r="E54" s="129" t="str">
        <f aca="false">IF(IFERROR(INDEX(tsk_Name,GanttView[[#This Row],[_Row]])="",TRUE()),"",INDEX(tsk_PlanStart,GanttView[[#This Row],[_Row]]))</f>
        <v/>
      </c>
      <c r="F54" s="129" t="str">
        <f aca="false">IF(IFERROR(INDEX(tsk_Name,GanttView[[#This Row],[_Row]])="",TRUE()),"",INDEX(tsk_PlanFinish,GanttView[[#This Row],[_Row]]))</f>
        <v/>
      </c>
      <c r="G54" s="129" t="str">
        <f aca="false">IF(IFERROR(INDEX(tsk_Name,GanttView[[#This Row],[_Row]])="",TRUE()),"",INDEX(tsk_FcStart,GanttView[[#This Row],[_Row]]))</f>
        <v/>
      </c>
      <c r="H54" s="129" t="str">
        <f aca="false">IF(IFERROR(INDEX(tsk_Name,GanttView[[#This Row],[_Row]])="",TRUE()),"",INDEX(tsk_FcFinish,GanttView[[#This Row],[_Row]]))</f>
        <v/>
      </c>
      <c r="I54" s="130" t="str">
        <f aca="false">IF(IFERROR(INDEX(tsk_Name,GanttView[[#This Row],[_Row]])="",TRUE()),"",INDEX(tsk_Progress,GanttView[[#This Row],[_Row]]))</f>
        <v/>
      </c>
      <c r="J54" s="128" t="str">
        <f aca="false">IF(IFERROR(INDEX(tsk_Name,GanttView[[#This Row],[_Row]])="",TRUE()),"",INDEX(tsk_ResourceNames,GanttView[[#This Row],[_Row]])&amp;"")</f>
        <v/>
      </c>
      <c r="K54" s="131" t="str">
        <f aca="false">IF(IFERROR(INDEX(tsk_Name,GanttView[[#This Row],[_Row]])="",TRUE()),"",INDEX(tsk_Status,GanttView[[#This Row],[_Row]]))</f>
        <v/>
      </c>
      <c r="L54" s="131" t="str">
        <f aca="false">IF(IFERROR(INDEX(tsk_Name,GanttView[[#This Row],[_Row]])="",TRUE()),"",INDEX(tsk_Show,GanttView[[#This Row],[_Row]])&amp;"")</f>
        <v/>
      </c>
      <c r="M54" s="132" t="n">
        <f aca="false">ROW()-ROW(GanttView[[#Headers],[ID]])</f>
        <v>49</v>
      </c>
      <c r="N54" s="133" t="b">
        <f aca="false">IF(IFERROR(INDEX(tsk_Name,GanttView[[#This Row],[_Row]])="",TRUE()),FALSE(),INDEX(tsk_IsSummary,GanttView[[#This Row],[_Row]]))</f>
        <v>0</v>
      </c>
      <c r="O54" s="133" t="b">
        <f aca="false">IF(IFERROR(INDEX(tsk_Name,GanttView[[#This Row],[_Row]])="",TRUE()),FALSE(),AND(INDEX(tsk_IsLeaf,GanttView[[#This Row],[_Row]])=1,N(INDEX(tsk_Duration,GanttView[[#This Row],[_Row]]))=0))</f>
        <v>0</v>
      </c>
      <c r="P54" s="134" t="n">
        <f aca="false">IF(IFERROR(INDEX(tsk_Name,GanttView[[#This Row],[_Row]])="",TRUE()),0,IF(AND(INDEX(tsk_IsLeaf,GanttView[[#This Row],[_Row]])=1,NOT(GanttView[[#This Row],[_IsMilestone]]),N(GanttView[[#This Row],[%]])&gt;0),GanttView[[#This Row],[Forecast Start]],0))</f>
        <v>0</v>
      </c>
      <c r="Q54" s="134" t="n">
        <f aca="false">IF(GanttView[[#This Row],[_DoneFrom]]=0,0,IF(GanttView[[#This Row],[%]]&gt;=1,GanttView[[#This Row],[Forecast Finish]],MAX(GanttView[[#This Row],[_DoneFrom]],GanttView[[#This Row],[Forecast Start]]+ROUND((GanttView[[#This Row],[Forecast Finish]]-GanttView[[#This Row],[Forecast Start]]+1)*GanttView[[#This Row],[%]],0)-1)))</f>
        <v>0</v>
      </c>
      <c r="R54" s="134" t="n">
        <f aca="false">IF(IFERROR(INDEX(tsk_Name,GanttView[[#This Row],[_Row]])="",TRUE()),0,IF(OR(INDEX(tsk_IsLeaf,GanttView[[#This Row],[_Row]])&lt;&gt;1,GanttView[[#This Row],[_IsMilestone]],N(GanttView[[#This Row],[%]])&gt;=1),0,IF(GanttView[[#This Row],[_DoneTo]]&gt;0,GanttView[[#This Row],[_DoneTo]]+1,GanttView[[#This Row],[Forecast Start]])))</f>
        <v>0</v>
      </c>
      <c r="S54" s="134" t="n">
        <f aca="false">IF(GanttView[[#This Row],[_RemFrom]]=0,0,GanttView[[#This Row],[Forecast Finish]])</f>
        <v>0</v>
      </c>
      <c r="T54" s="133" t="b">
        <f aca="false">IF(IFERROR(INDEX(tsk_Name,GanttView[[#This Row],[_Row]])="",TRUE()),FALSE(),N(INDEX(tsk_Variance,GanttView[[#This Row],[_Row]]))&gt;0)</f>
        <v>0</v>
      </c>
      <c r="U54" s="134" t="n">
        <f aca="false">IF(IFERROR(INDEX(tsk_Name,GanttView[[#This Row],[_Row]])="",TRUE()),0,N(INDEX(tsk_Deadline,GanttView[[#This Row],[_Row]])))</f>
        <v>0</v>
      </c>
      <c r="V54" s="133" t="b">
        <f aca="false">IF(IFERROR(INDEX(tsk_Name,GanttView[[#This Row],[_Row]])="",TRUE()),FALSE(),INDEX(tsk_Critical,GanttView[[#This Row],[_Row]])="Yes")</f>
        <v>0</v>
      </c>
    </row>
    <row r="55" customFormat="false" ht="15" hidden="false" customHeight="false" outlineLevel="0" collapsed="false">
      <c r="A55" s="127" t="str">
        <f aca="false">IF(IFERROR(INDEX(tsk_Name,GanttView[[#This Row],[_Row]])="",TRUE()),"",INDEX(tsk_ID,GanttView[[#This Row],[_Row]]))</f>
        <v/>
      </c>
      <c r="B55" s="127" t="str">
        <f aca="false">IF(IFERROR(INDEX(tsk_Name,GanttView[[#This Row],[_Row]])="",TRUE()),"",INDEX(tsk_WBS,GanttView[[#This Row],[_Row]]))</f>
        <v/>
      </c>
      <c r="C55" s="128" t="str">
        <f aca="false">IF(IFERROR(INDEX(tsk_Name,GanttView[[#This Row],[_Row]])="",TRUE()),"",REPT("    ",INDEX(tsk_Level,GanttView[[#This Row],[_Row]])-1)&amp;INDEX(tsk_Name,GanttView[[#This Row],[_Row]]))</f>
        <v/>
      </c>
      <c r="D55" s="127" t="str">
        <f aca="false">IF(IFERROR(INDEX(tsk_Name,GanttView[[#This Row],[_Row]])="",TRUE()),"",IF(INDEX(tsk_IsSummary,GanttView[[#This Row],[_Row]]),NETWORKDAYS.INTL(INDEX(tsk_FcStart,GanttView[[#This Row],[_Row]]),INDEX(tsk_FcFinish,GanttView[[#This Row],[_Row]]),WorkWeek,Holidays),N(INDEX(tsk_Duration,GanttView[[#This Row],[_Row]]))))</f>
        <v/>
      </c>
      <c r="E55" s="129" t="str">
        <f aca="false">IF(IFERROR(INDEX(tsk_Name,GanttView[[#This Row],[_Row]])="",TRUE()),"",INDEX(tsk_PlanStart,GanttView[[#This Row],[_Row]]))</f>
        <v/>
      </c>
      <c r="F55" s="129" t="str">
        <f aca="false">IF(IFERROR(INDEX(tsk_Name,GanttView[[#This Row],[_Row]])="",TRUE()),"",INDEX(tsk_PlanFinish,GanttView[[#This Row],[_Row]]))</f>
        <v/>
      </c>
      <c r="G55" s="129" t="str">
        <f aca="false">IF(IFERROR(INDEX(tsk_Name,GanttView[[#This Row],[_Row]])="",TRUE()),"",INDEX(tsk_FcStart,GanttView[[#This Row],[_Row]]))</f>
        <v/>
      </c>
      <c r="H55" s="129" t="str">
        <f aca="false">IF(IFERROR(INDEX(tsk_Name,GanttView[[#This Row],[_Row]])="",TRUE()),"",INDEX(tsk_FcFinish,GanttView[[#This Row],[_Row]]))</f>
        <v/>
      </c>
      <c r="I55" s="130" t="str">
        <f aca="false">IF(IFERROR(INDEX(tsk_Name,GanttView[[#This Row],[_Row]])="",TRUE()),"",INDEX(tsk_Progress,GanttView[[#This Row],[_Row]]))</f>
        <v/>
      </c>
      <c r="J55" s="128" t="str">
        <f aca="false">IF(IFERROR(INDEX(tsk_Name,GanttView[[#This Row],[_Row]])="",TRUE()),"",INDEX(tsk_ResourceNames,GanttView[[#This Row],[_Row]])&amp;"")</f>
        <v/>
      </c>
      <c r="K55" s="131" t="str">
        <f aca="false">IF(IFERROR(INDEX(tsk_Name,GanttView[[#This Row],[_Row]])="",TRUE()),"",INDEX(tsk_Status,GanttView[[#This Row],[_Row]]))</f>
        <v/>
      </c>
      <c r="L55" s="131" t="str">
        <f aca="false">IF(IFERROR(INDEX(tsk_Name,GanttView[[#This Row],[_Row]])="",TRUE()),"",INDEX(tsk_Show,GanttView[[#This Row],[_Row]])&amp;"")</f>
        <v/>
      </c>
      <c r="M55" s="132" t="n">
        <f aca="false">ROW()-ROW(GanttView[[#Headers],[ID]])</f>
        <v>50</v>
      </c>
      <c r="N55" s="133" t="b">
        <f aca="false">IF(IFERROR(INDEX(tsk_Name,GanttView[[#This Row],[_Row]])="",TRUE()),FALSE(),INDEX(tsk_IsSummary,GanttView[[#This Row],[_Row]]))</f>
        <v>0</v>
      </c>
      <c r="O55" s="133" t="b">
        <f aca="false">IF(IFERROR(INDEX(tsk_Name,GanttView[[#This Row],[_Row]])="",TRUE()),FALSE(),AND(INDEX(tsk_IsLeaf,GanttView[[#This Row],[_Row]])=1,N(INDEX(tsk_Duration,GanttView[[#This Row],[_Row]]))=0))</f>
        <v>0</v>
      </c>
      <c r="P55" s="134" t="n">
        <f aca="false">IF(IFERROR(INDEX(tsk_Name,GanttView[[#This Row],[_Row]])="",TRUE()),0,IF(AND(INDEX(tsk_IsLeaf,GanttView[[#This Row],[_Row]])=1,NOT(GanttView[[#This Row],[_IsMilestone]]),N(GanttView[[#This Row],[%]])&gt;0),GanttView[[#This Row],[Forecast Start]],0))</f>
        <v>0</v>
      </c>
      <c r="Q55" s="134" t="n">
        <f aca="false">IF(GanttView[[#This Row],[_DoneFrom]]=0,0,IF(GanttView[[#This Row],[%]]&gt;=1,GanttView[[#This Row],[Forecast Finish]],MAX(GanttView[[#This Row],[_DoneFrom]],GanttView[[#This Row],[Forecast Start]]+ROUND((GanttView[[#This Row],[Forecast Finish]]-GanttView[[#This Row],[Forecast Start]]+1)*GanttView[[#This Row],[%]],0)-1)))</f>
        <v>0</v>
      </c>
      <c r="R55" s="134" t="n">
        <f aca="false">IF(IFERROR(INDEX(tsk_Name,GanttView[[#This Row],[_Row]])="",TRUE()),0,IF(OR(INDEX(tsk_IsLeaf,GanttView[[#This Row],[_Row]])&lt;&gt;1,GanttView[[#This Row],[_IsMilestone]],N(GanttView[[#This Row],[%]])&gt;=1),0,IF(GanttView[[#This Row],[_DoneTo]]&gt;0,GanttView[[#This Row],[_DoneTo]]+1,GanttView[[#This Row],[Forecast Start]])))</f>
        <v>0</v>
      </c>
      <c r="S55" s="134" t="n">
        <f aca="false">IF(GanttView[[#This Row],[_RemFrom]]=0,0,GanttView[[#This Row],[Forecast Finish]])</f>
        <v>0</v>
      </c>
      <c r="T55" s="133" t="b">
        <f aca="false">IF(IFERROR(INDEX(tsk_Name,GanttView[[#This Row],[_Row]])="",TRUE()),FALSE(),N(INDEX(tsk_Variance,GanttView[[#This Row],[_Row]]))&gt;0)</f>
        <v>0</v>
      </c>
      <c r="U55" s="134" t="n">
        <f aca="false">IF(IFERROR(INDEX(tsk_Name,GanttView[[#This Row],[_Row]])="",TRUE()),0,N(INDEX(tsk_Deadline,GanttView[[#This Row],[_Row]])))</f>
        <v>0</v>
      </c>
      <c r="V55" s="133" t="b">
        <f aca="false">IF(IFERROR(INDEX(tsk_Name,GanttView[[#This Row],[_Row]])="",TRUE()),FALSE(),INDEX(tsk_Critical,GanttView[[#This Row],[_Row]])="Yes")</f>
        <v>0</v>
      </c>
    </row>
    <row r="56" customFormat="false" ht="15" hidden="false" customHeight="false" outlineLevel="0" collapsed="false">
      <c r="A56" s="127" t="str">
        <f aca="false">IF(IFERROR(INDEX(tsk_Name,GanttView[[#This Row],[_Row]])="",TRUE()),"",INDEX(tsk_ID,GanttView[[#This Row],[_Row]]))</f>
        <v/>
      </c>
      <c r="B56" s="127" t="str">
        <f aca="false">IF(IFERROR(INDEX(tsk_Name,GanttView[[#This Row],[_Row]])="",TRUE()),"",INDEX(tsk_WBS,GanttView[[#This Row],[_Row]]))</f>
        <v/>
      </c>
      <c r="C56" s="128" t="str">
        <f aca="false">IF(IFERROR(INDEX(tsk_Name,GanttView[[#This Row],[_Row]])="",TRUE()),"",REPT("    ",INDEX(tsk_Level,GanttView[[#This Row],[_Row]])-1)&amp;INDEX(tsk_Name,GanttView[[#This Row],[_Row]]))</f>
        <v/>
      </c>
      <c r="D56" s="127" t="str">
        <f aca="false">IF(IFERROR(INDEX(tsk_Name,GanttView[[#This Row],[_Row]])="",TRUE()),"",IF(INDEX(tsk_IsSummary,GanttView[[#This Row],[_Row]]),NETWORKDAYS.INTL(INDEX(tsk_FcStart,GanttView[[#This Row],[_Row]]),INDEX(tsk_FcFinish,GanttView[[#This Row],[_Row]]),WorkWeek,Holidays),N(INDEX(tsk_Duration,GanttView[[#This Row],[_Row]]))))</f>
        <v/>
      </c>
      <c r="E56" s="129" t="str">
        <f aca="false">IF(IFERROR(INDEX(tsk_Name,GanttView[[#This Row],[_Row]])="",TRUE()),"",INDEX(tsk_PlanStart,GanttView[[#This Row],[_Row]]))</f>
        <v/>
      </c>
      <c r="F56" s="129" t="str">
        <f aca="false">IF(IFERROR(INDEX(tsk_Name,GanttView[[#This Row],[_Row]])="",TRUE()),"",INDEX(tsk_PlanFinish,GanttView[[#This Row],[_Row]]))</f>
        <v/>
      </c>
      <c r="G56" s="129" t="str">
        <f aca="false">IF(IFERROR(INDEX(tsk_Name,GanttView[[#This Row],[_Row]])="",TRUE()),"",INDEX(tsk_FcStart,GanttView[[#This Row],[_Row]]))</f>
        <v/>
      </c>
      <c r="H56" s="129" t="str">
        <f aca="false">IF(IFERROR(INDEX(tsk_Name,GanttView[[#This Row],[_Row]])="",TRUE()),"",INDEX(tsk_FcFinish,GanttView[[#This Row],[_Row]]))</f>
        <v/>
      </c>
      <c r="I56" s="130" t="str">
        <f aca="false">IF(IFERROR(INDEX(tsk_Name,GanttView[[#This Row],[_Row]])="",TRUE()),"",INDEX(tsk_Progress,GanttView[[#This Row],[_Row]]))</f>
        <v/>
      </c>
      <c r="J56" s="128" t="str">
        <f aca="false">IF(IFERROR(INDEX(tsk_Name,GanttView[[#This Row],[_Row]])="",TRUE()),"",INDEX(tsk_ResourceNames,GanttView[[#This Row],[_Row]])&amp;"")</f>
        <v/>
      </c>
      <c r="K56" s="131" t="str">
        <f aca="false">IF(IFERROR(INDEX(tsk_Name,GanttView[[#This Row],[_Row]])="",TRUE()),"",INDEX(tsk_Status,GanttView[[#This Row],[_Row]]))</f>
        <v/>
      </c>
      <c r="L56" s="131" t="str">
        <f aca="false">IF(IFERROR(INDEX(tsk_Name,GanttView[[#This Row],[_Row]])="",TRUE()),"",INDEX(tsk_Show,GanttView[[#This Row],[_Row]])&amp;"")</f>
        <v/>
      </c>
      <c r="M56" s="132" t="n">
        <f aca="false">ROW()-ROW(GanttView[[#Headers],[ID]])</f>
        <v>51</v>
      </c>
      <c r="N56" s="133" t="b">
        <f aca="false">IF(IFERROR(INDEX(tsk_Name,GanttView[[#This Row],[_Row]])="",TRUE()),FALSE(),INDEX(tsk_IsSummary,GanttView[[#This Row],[_Row]]))</f>
        <v>0</v>
      </c>
      <c r="O56" s="133" t="b">
        <f aca="false">IF(IFERROR(INDEX(tsk_Name,GanttView[[#This Row],[_Row]])="",TRUE()),FALSE(),AND(INDEX(tsk_IsLeaf,GanttView[[#This Row],[_Row]])=1,N(INDEX(tsk_Duration,GanttView[[#This Row],[_Row]]))=0))</f>
        <v>0</v>
      </c>
      <c r="P56" s="134" t="n">
        <f aca="false">IF(IFERROR(INDEX(tsk_Name,GanttView[[#This Row],[_Row]])="",TRUE()),0,IF(AND(INDEX(tsk_IsLeaf,GanttView[[#This Row],[_Row]])=1,NOT(GanttView[[#This Row],[_IsMilestone]]),N(GanttView[[#This Row],[%]])&gt;0),GanttView[[#This Row],[Forecast Start]],0))</f>
        <v>0</v>
      </c>
      <c r="Q56" s="134" t="n">
        <f aca="false">IF(GanttView[[#This Row],[_DoneFrom]]=0,0,IF(GanttView[[#This Row],[%]]&gt;=1,GanttView[[#This Row],[Forecast Finish]],MAX(GanttView[[#This Row],[_DoneFrom]],GanttView[[#This Row],[Forecast Start]]+ROUND((GanttView[[#This Row],[Forecast Finish]]-GanttView[[#This Row],[Forecast Start]]+1)*GanttView[[#This Row],[%]],0)-1)))</f>
        <v>0</v>
      </c>
      <c r="R56" s="134" t="n">
        <f aca="false">IF(IFERROR(INDEX(tsk_Name,GanttView[[#This Row],[_Row]])="",TRUE()),0,IF(OR(INDEX(tsk_IsLeaf,GanttView[[#This Row],[_Row]])&lt;&gt;1,GanttView[[#This Row],[_IsMilestone]],N(GanttView[[#This Row],[%]])&gt;=1),0,IF(GanttView[[#This Row],[_DoneTo]]&gt;0,GanttView[[#This Row],[_DoneTo]]+1,GanttView[[#This Row],[Forecast Start]])))</f>
        <v>0</v>
      </c>
      <c r="S56" s="134" t="n">
        <f aca="false">IF(GanttView[[#This Row],[_RemFrom]]=0,0,GanttView[[#This Row],[Forecast Finish]])</f>
        <v>0</v>
      </c>
      <c r="T56" s="133" t="b">
        <f aca="false">IF(IFERROR(INDEX(tsk_Name,GanttView[[#This Row],[_Row]])="",TRUE()),FALSE(),N(INDEX(tsk_Variance,GanttView[[#This Row],[_Row]]))&gt;0)</f>
        <v>0</v>
      </c>
      <c r="U56" s="134" t="n">
        <f aca="false">IF(IFERROR(INDEX(tsk_Name,GanttView[[#This Row],[_Row]])="",TRUE()),0,N(INDEX(tsk_Deadline,GanttView[[#This Row],[_Row]])))</f>
        <v>0</v>
      </c>
      <c r="V56" s="133" t="b">
        <f aca="false">IF(IFERROR(INDEX(tsk_Name,GanttView[[#This Row],[_Row]])="",TRUE()),FALSE(),INDEX(tsk_Critical,GanttView[[#This Row],[_Row]])="Yes")</f>
        <v>0</v>
      </c>
    </row>
    <row r="57" customFormat="false" ht="15" hidden="false" customHeight="false" outlineLevel="0" collapsed="false">
      <c r="A57" s="127" t="str">
        <f aca="false">IF(IFERROR(INDEX(tsk_Name,GanttView[[#This Row],[_Row]])="",TRUE()),"",INDEX(tsk_ID,GanttView[[#This Row],[_Row]]))</f>
        <v/>
      </c>
      <c r="B57" s="127" t="str">
        <f aca="false">IF(IFERROR(INDEX(tsk_Name,GanttView[[#This Row],[_Row]])="",TRUE()),"",INDEX(tsk_WBS,GanttView[[#This Row],[_Row]]))</f>
        <v/>
      </c>
      <c r="C57" s="128" t="str">
        <f aca="false">IF(IFERROR(INDEX(tsk_Name,GanttView[[#This Row],[_Row]])="",TRUE()),"",REPT("    ",INDEX(tsk_Level,GanttView[[#This Row],[_Row]])-1)&amp;INDEX(tsk_Name,GanttView[[#This Row],[_Row]]))</f>
        <v/>
      </c>
      <c r="D57" s="127" t="str">
        <f aca="false">IF(IFERROR(INDEX(tsk_Name,GanttView[[#This Row],[_Row]])="",TRUE()),"",IF(INDEX(tsk_IsSummary,GanttView[[#This Row],[_Row]]),NETWORKDAYS.INTL(INDEX(tsk_FcStart,GanttView[[#This Row],[_Row]]),INDEX(tsk_FcFinish,GanttView[[#This Row],[_Row]]),WorkWeek,Holidays),N(INDEX(tsk_Duration,GanttView[[#This Row],[_Row]]))))</f>
        <v/>
      </c>
      <c r="E57" s="129" t="str">
        <f aca="false">IF(IFERROR(INDEX(tsk_Name,GanttView[[#This Row],[_Row]])="",TRUE()),"",INDEX(tsk_PlanStart,GanttView[[#This Row],[_Row]]))</f>
        <v/>
      </c>
      <c r="F57" s="129" t="str">
        <f aca="false">IF(IFERROR(INDEX(tsk_Name,GanttView[[#This Row],[_Row]])="",TRUE()),"",INDEX(tsk_PlanFinish,GanttView[[#This Row],[_Row]]))</f>
        <v/>
      </c>
      <c r="G57" s="129" t="str">
        <f aca="false">IF(IFERROR(INDEX(tsk_Name,GanttView[[#This Row],[_Row]])="",TRUE()),"",INDEX(tsk_FcStart,GanttView[[#This Row],[_Row]]))</f>
        <v/>
      </c>
      <c r="H57" s="129" t="str">
        <f aca="false">IF(IFERROR(INDEX(tsk_Name,GanttView[[#This Row],[_Row]])="",TRUE()),"",INDEX(tsk_FcFinish,GanttView[[#This Row],[_Row]]))</f>
        <v/>
      </c>
      <c r="I57" s="130" t="str">
        <f aca="false">IF(IFERROR(INDEX(tsk_Name,GanttView[[#This Row],[_Row]])="",TRUE()),"",INDEX(tsk_Progress,GanttView[[#This Row],[_Row]]))</f>
        <v/>
      </c>
      <c r="J57" s="128" t="str">
        <f aca="false">IF(IFERROR(INDEX(tsk_Name,GanttView[[#This Row],[_Row]])="",TRUE()),"",INDEX(tsk_ResourceNames,GanttView[[#This Row],[_Row]])&amp;"")</f>
        <v/>
      </c>
      <c r="K57" s="131" t="str">
        <f aca="false">IF(IFERROR(INDEX(tsk_Name,GanttView[[#This Row],[_Row]])="",TRUE()),"",INDEX(tsk_Status,GanttView[[#This Row],[_Row]]))</f>
        <v/>
      </c>
      <c r="L57" s="131" t="str">
        <f aca="false">IF(IFERROR(INDEX(tsk_Name,GanttView[[#This Row],[_Row]])="",TRUE()),"",INDEX(tsk_Show,GanttView[[#This Row],[_Row]])&amp;"")</f>
        <v/>
      </c>
      <c r="M57" s="132" t="n">
        <f aca="false">ROW()-ROW(GanttView[[#Headers],[ID]])</f>
        <v>52</v>
      </c>
      <c r="N57" s="133" t="b">
        <f aca="false">IF(IFERROR(INDEX(tsk_Name,GanttView[[#This Row],[_Row]])="",TRUE()),FALSE(),INDEX(tsk_IsSummary,GanttView[[#This Row],[_Row]]))</f>
        <v>0</v>
      </c>
      <c r="O57" s="133" t="b">
        <f aca="false">IF(IFERROR(INDEX(tsk_Name,GanttView[[#This Row],[_Row]])="",TRUE()),FALSE(),AND(INDEX(tsk_IsLeaf,GanttView[[#This Row],[_Row]])=1,N(INDEX(tsk_Duration,GanttView[[#This Row],[_Row]]))=0))</f>
        <v>0</v>
      </c>
      <c r="P57" s="134" t="n">
        <f aca="false">IF(IFERROR(INDEX(tsk_Name,GanttView[[#This Row],[_Row]])="",TRUE()),0,IF(AND(INDEX(tsk_IsLeaf,GanttView[[#This Row],[_Row]])=1,NOT(GanttView[[#This Row],[_IsMilestone]]),N(GanttView[[#This Row],[%]])&gt;0),GanttView[[#This Row],[Forecast Start]],0))</f>
        <v>0</v>
      </c>
      <c r="Q57" s="134" t="n">
        <f aca="false">IF(GanttView[[#This Row],[_DoneFrom]]=0,0,IF(GanttView[[#This Row],[%]]&gt;=1,GanttView[[#This Row],[Forecast Finish]],MAX(GanttView[[#This Row],[_DoneFrom]],GanttView[[#This Row],[Forecast Start]]+ROUND((GanttView[[#This Row],[Forecast Finish]]-GanttView[[#This Row],[Forecast Start]]+1)*GanttView[[#This Row],[%]],0)-1)))</f>
        <v>0</v>
      </c>
      <c r="R57" s="134" t="n">
        <f aca="false">IF(IFERROR(INDEX(tsk_Name,GanttView[[#This Row],[_Row]])="",TRUE()),0,IF(OR(INDEX(tsk_IsLeaf,GanttView[[#This Row],[_Row]])&lt;&gt;1,GanttView[[#This Row],[_IsMilestone]],N(GanttView[[#This Row],[%]])&gt;=1),0,IF(GanttView[[#This Row],[_DoneTo]]&gt;0,GanttView[[#This Row],[_DoneTo]]+1,GanttView[[#This Row],[Forecast Start]])))</f>
        <v>0</v>
      </c>
      <c r="S57" s="134" t="n">
        <f aca="false">IF(GanttView[[#This Row],[_RemFrom]]=0,0,GanttView[[#This Row],[Forecast Finish]])</f>
        <v>0</v>
      </c>
      <c r="T57" s="133" t="b">
        <f aca="false">IF(IFERROR(INDEX(tsk_Name,GanttView[[#This Row],[_Row]])="",TRUE()),FALSE(),N(INDEX(tsk_Variance,GanttView[[#This Row],[_Row]]))&gt;0)</f>
        <v>0</v>
      </c>
      <c r="U57" s="134" t="n">
        <f aca="false">IF(IFERROR(INDEX(tsk_Name,GanttView[[#This Row],[_Row]])="",TRUE()),0,N(INDEX(tsk_Deadline,GanttView[[#This Row],[_Row]])))</f>
        <v>0</v>
      </c>
      <c r="V57" s="133" t="b">
        <f aca="false">IF(IFERROR(INDEX(tsk_Name,GanttView[[#This Row],[_Row]])="",TRUE()),FALSE(),INDEX(tsk_Critical,GanttView[[#This Row],[_Row]])="Yes")</f>
        <v>0</v>
      </c>
    </row>
    <row r="58" customFormat="false" ht="15" hidden="false" customHeight="false" outlineLevel="0" collapsed="false">
      <c r="A58" s="127" t="str">
        <f aca="false">IF(IFERROR(INDEX(tsk_Name,GanttView[[#This Row],[_Row]])="",TRUE()),"",INDEX(tsk_ID,GanttView[[#This Row],[_Row]]))</f>
        <v/>
      </c>
      <c r="B58" s="127" t="str">
        <f aca="false">IF(IFERROR(INDEX(tsk_Name,GanttView[[#This Row],[_Row]])="",TRUE()),"",INDEX(tsk_WBS,GanttView[[#This Row],[_Row]]))</f>
        <v/>
      </c>
      <c r="C58" s="128" t="str">
        <f aca="false">IF(IFERROR(INDEX(tsk_Name,GanttView[[#This Row],[_Row]])="",TRUE()),"",REPT("    ",INDEX(tsk_Level,GanttView[[#This Row],[_Row]])-1)&amp;INDEX(tsk_Name,GanttView[[#This Row],[_Row]]))</f>
        <v/>
      </c>
      <c r="D58" s="127" t="str">
        <f aca="false">IF(IFERROR(INDEX(tsk_Name,GanttView[[#This Row],[_Row]])="",TRUE()),"",IF(INDEX(tsk_IsSummary,GanttView[[#This Row],[_Row]]),NETWORKDAYS.INTL(INDEX(tsk_FcStart,GanttView[[#This Row],[_Row]]),INDEX(tsk_FcFinish,GanttView[[#This Row],[_Row]]),WorkWeek,Holidays),N(INDEX(tsk_Duration,GanttView[[#This Row],[_Row]]))))</f>
        <v/>
      </c>
      <c r="E58" s="129" t="str">
        <f aca="false">IF(IFERROR(INDEX(tsk_Name,GanttView[[#This Row],[_Row]])="",TRUE()),"",INDEX(tsk_PlanStart,GanttView[[#This Row],[_Row]]))</f>
        <v/>
      </c>
      <c r="F58" s="129" t="str">
        <f aca="false">IF(IFERROR(INDEX(tsk_Name,GanttView[[#This Row],[_Row]])="",TRUE()),"",INDEX(tsk_PlanFinish,GanttView[[#This Row],[_Row]]))</f>
        <v/>
      </c>
      <c r="G58" s="129" t="str">
        <f aca="false">IF(IFERROR(INDEX(tsk_Name,GanttView[[#This Row],[_Row]])="",TRUE()),"",INDEX(tsk_FcStart,GanttView[[#This Row],[_Row]]))</f>
        <v/>
      </c>
      <c r="H58" s="129" t="str">
        <f aca="false">IF(IFERROR(INDEX(tsk_Name,GanttView[[#This Row],[_Row]])="",TRUE()),"",INDEX(tsk_FcFinish,GanttView[[#This Row],[_Row]]))</f>
        <v/>
      </c>
      <c r="I58" s="130" t="str">
        <f aca="false">IF(IFERROR(INDEX(tsk_Name,GanttView[[#This Row],[_Row]])="",TRUE()),"",INDEX(tsk_Progress,GanttView[[#This Row],[_Row]]))</f>
        <v/>
      </c>
      <c r="J58" s="128" t="str">
        <f aca="false">IF(IFERROR(INDEX(tsk_Name,GanttView[[#This Row],[_Row]])="",TRUE()),"",INDEX(tsk_ResourceNames,GanttView[[#This Row],[_Row]])&amp;"")</f>
        <v/>
      </c>
      <c r="K58" s="131" t="str">
        <f aca="false">IF(IFERROR(INDEX(tsk_Name,GanttView[[#This Row],[_Row]])="",TRUE()),"",INDEX(tsk_Status,GanttView[[#This Row],[_Row]]))</f>
        <v/>
      </c>
      <c r="L58" s="131" t="str">
        <f aca="false">IF(IFERROR(INDEX(tsk_Name,GanttView[[#This Row],[_Row]])="",TRUE()),"",INDEX(tsk_Show,GanttView[[#This Row],[_Row]])&amp;"")</f>
        <v/>
      </c>
      <c r="M58" s="132" t="n">
        <f aca="false">ROW()-ROW(GanttView[[#Headers],[ID]])</f>
        <v>53</v>
      </c>
      <c r="N58" s="133" t="b">
        <f aca="false">IF(IFERROR(INDEX(tsk_Name,GanttView[[#This Row],[_Row]])="",TRUE()),FALSE(),INDEX(tsk_IsSummary,GanttView[[#This Row],[_Row]]))</f>
        <v>0</v>
      </c>
      <c r="O58" s="133" t="b">
        <f aca="false">IF(IFERROR(INDEX(tsk_Name,GanttView[[#This Row],[_Row]])="",TRUE()),FALSE(),AND(INDEX(tsk_IsLeaf,GanttView[[#This Row],[_Row]])=1,N(INDEX(tsk_Duration,GanttView[[#This Row],[_Row]]))=0))</f>
        <v>0</v>
      </c>
      <c r="P58" s="134" t="n">
        <f aca="false">IF(IFERROR(INDEX(tsk_Name,GanttView[[#This Row],[_Row]])="",TRUE()),0,IF(AND(INDEX(tsk_IsLeaf,GanttView[[#This Row],[_Row]])=1,NOT(GanttView[[#This Row],[_IsMilestone]]),N(GanttView[[#This Row],[%]])&gt;0),GanttView[[#This Row],[Forecast Start]],0))</f>
        <v>0</v>
      </c>
      <c r="Q58" s="134" t="n">
        <f aca="false">IF(GanttView[[#This Row],[_DoneFrom]]=0,0,IF(GanttView[[#This Row],[%]]&gt;=1,GanttView[[#This Row],[Forecast Finish]],MAX(GanttView[[#This Row],[_DoneFrom]],GanttView[[#This Row],[Forecast Start]]+ROUND((GanttView[[#This Row],[Forecast Finish]]-GanttView[[#This Row],[Forecast Start]]+1)*GanttView[[#This Row],[%]],0)-1)))</f>
        <v>0</v>
      </c>
      <c r="R58" s="134" t="n">
        <f aca="false">IF(IFERROR(INDEX(tsk_Name,GanttView[[#This Row],[_Row]])="",TRUE()),0,IF(OR(INDEX(tsk_IsLeaf,GanttView[[#This Row],[_Row]])&lt;&gt;1,GanttView[[#This Row],[_IsMilestone]],N(GanttView[[#This Row],[%]])&gt;=1),0,IF(GanttView[[#This Row],[_DoneTo]]&gt;0,GanttView[[#This Row],[_DoneTo]]+1,GanttView[[#This Row],[Forecast Start]])))</f>
        <v>0</v>
      </c>
      <c r="S58" s="134" t="n">
        <f aca="false">IF(GanttView[[#This Row],[_RemFrom]]=0,0,GanttView[[#This Row],[Forecast Finish]])</f>
        <v>0</v>
      </c>
      <c r="T58" s="133" t="b">
        <f aca="false">IF(IFERROR(INDEX(tsk_Name,GanttView[[#This Row],[_Row]])="",TRUE()),FALSE(),N(INDEX(tsk_Variance,GanttView[[#This Row],[_Row]]))&gt;0)</f>
        <v>0</v>
      </c>
      <c r="U58" s="134" t="n">
        <f aca="false">IF(IFERROR(INDEX(tsk_Name,GanttView[[#This Row],[_Row]])="",TRUE()),0,N(INDEX(tsk_Deadline,GanttView[[#This Row],[_Row]])))</f>
        <v>0</v>
      </c>
      <c r="V58" s="133" t="b">
        <f aca="false">IF(IFERROR(INDEX(tsk_Name,GanttView[[#This Row],[_Row]])="",TRUE()),FALSE(),INDEX(tsk_Critical,GanttView[[#This Row],[_Row]])="Yes")</f>
        <v>0</v>
      </c>
    </row>
    <row r="59" customFormat="false" ht="15" hidden="false" customHeight="false" outlineLevel="0" collapsed="false">
      <c r="A59" s="127" t="str">
        <f aca="false">IF(IFERROR(INDEX(tsk_Name,GanttView[[#This Row],[_Row]])="",TRUE()),"",INDEX(tsk_ID,GanttView[[#This Row],[_Row]]))</f>
        <v/>
      </c>
      <c r="B59" s="127" t="str">
        <f aca="false">IF(IFERROR(INDEX(tsk_Name,GanttView[[#This Row],[_Row]])="",TRUE()),"",INDEX(tsk_WBS,GanttView[[#This Row],[_Row]]))</f>
        <v/>
      </c>
      <c r="C59" s="128" t="str">
        <f aca="false">IF(IFERROR(INDEX(tsk_Name,GanttView[[#This Row],[_Row]])="",TRUE()),"",REPT("    ",INDEX(tsk_Level,GanttView[[#This Row],[_Row]])-1)&amp;INDEX(tsk_Name,GanttView[[#This Row],[_Row]]))</f>
        <v/>
      </c>
      <c r="D59" s="127" t="str">
        <f aca="false">IF(IFERROR(INDEX(tsk_Name,GanttView[[#This Row],[_Row]])="",TRUE()),"",IF(INDEX(tsk_IsSummary,GanttView[[#This Row],[_Row]]),NETWORKDAYS.INTL(INDEX(tsk_FcStart,GanttView[[#This Row],[_Row]]),INDEX(tsk_FcFinish,GanttView[[#This Row],[_Row]]),WorkWeek,Holidays),N(INDEX(tsk_Duration,GanttView[[#This Row],[_Row]]))))</f>
        <v/>
      </c>
      <c r="E59" s="129" t="str">
        <f aca="false">IF(IFERROR(INDEX(tsk_Name,GanttView[[#This Row],[_Row]])="",TRUE()),"",INDEX(tsk_PlanStart,GanttView[[#This Row],[_Row]]))</f>
        <v/>
      </c>
      <c r="F59" s="129" t="str">
        <f aca="false">IF(IFERROR(INDEX(tsk_Name,GanttView[[#This Row],[_Row]])="",TRUE()),"",INDEX(tsk_PlanFinish,GanttView[[#This Row],[_Row]]))</f>
        <v/>
      </c>
      <c r="G59" s="129" t="str">
        <f aca="false">IF(IFERROR(INDEX(tsk_Name,GanttView[[#This Row],[_Row]])="",TRUE()),"",INDEX(tsk_FcStart,GanttView[[#This Row],[_Row]]))</f>
        <v/>
      </c>
      <c r="H59" s="129" t="str">
        <f aca="false">IF(IFERROR(INDEX(tsk_Name,GanttView[[#This Row],[_Row]])="",TRUE()),"",INDEX(tsk_FcFinish,GanttView[[#This Row],[_Row]]))</f>
        <v/>
      </c>
      <c r="I59" s="130" t="str">
        <f aca="false">IF(IFERROR(INDEX(tsk_Name,GanttView[[#This Row],[_Row]])="",TRUE()),"",INDEX(tsk_Progress,GanttView[[#This Row],[_Row]]))</f>
        <v/>
      </c>
      <c r="J59" s="128" t="str">
        <f aca="false">IF(IFERROR(INDEX(tsk_Name,GanttView[[#This Row],[_Row]])="",TRUE()),"",INDEX(tsk_ResourceNames,GanttView[[#This Row],[_Row]])&amp;"")</f>
        <v/>
      </c>
      <c r="K59" s="131" t="str">
        <f aca="false">IF(IFERROR(INDEX(tsk_Name,GanttView[[#This Row],[_Row]])="",TRUE()),"",INDEX(tsk_Status,GanttView[[#This Row],[_Row]]))</f>
        <v/>
      </c>
      <c r="L59" s="131" t="str">
        <f aca="false">IF(IFERROR(INDEX(tsk_Name,GanttView[[#This Row],[_Row]])="",TRUE()),"",INDEX(tsk_Show,GanttView[[#This Row],[_Row]])&amp;"")</f>
        <v/>
      </c>
      <c r="M59" s="132" t="n">
        <f aca="false">ROW()-ROW(GanttView[[#Headers],[ID]])</f>
        <v>54</v>
      </c>
      <c r="N59" s="133" t="b">
        <f aca="false">IF(IFERROR(INDEX(tsk_Name,GanttView[[#This Row],[_Row]])="",TRUE()),FALSE(),INDEX(tsk_IsSummary,GanttView[[#This Row],[_Row]]))</f>
        <v>0</v>
      </c>
      <c r="O59" s="133" t="b">
        <f aca="false">IF(IFERROR(INDEX(tsk_Name,GanttView[[#This Row],[_Row]])="",TRUE()),FALSE(),AND(INDEX(tsk_IsLeaf,GanttView[[#This Row],[_Row]])=1,N(INDEX(tsk_Duration,GanttView[[#This Row],[_Row]]))=0))</f>
        <v>0</v>
      </c>
      <c r="P59" s="134" t="n">
        <f aca="false">IF(IFERROR(INDEX(tsk_Name,GanttView[[#This Row],[_Row]])="",TRUE()),0,IF(AND(INDEX(tsk_IsLeaf,GanttView[[#This Row],[_Row]])=1,NOT(GanttView[[#This Row],[_IsMilestone]]),N(GanttView[[#This Row],[%]])&gt;0),GanttView[[#This Row],[Forecast Start]],0))</f>
        <v>0</v>
      </c>
      <c r="Q59" s="134" t="n">
        <f aca="false">IF(GanttView[[#This Row],[_DoneFrom]]=0,0,IF(GanttView[[#This Row],[%]]&gt;=1,GanttView[[#This Row],[Forecast Finish]],MAX(GanttView[[#This Row],[_DoneFrom]],GanttView[[#This Row],[Forecast Start]]+ROUND((GanttView[[#This Row],[Forecast Finish]]-GanttView[[#This Row],[Forecast Start]]+1)*GanttView[[#This Row],[%]],0)-1)))</f>
        <v>0</v>
      </c>
      <c r="R59" s="134" t="n">
        <f aca="false">IF(IFERROR(INDEX(tsk_Name,GanttView[[#This Row],[_Row]])="",TRUE()),0,IF(OR(INDEX(tsk_IsLeaf,GanttView[[#This Row],[_Row]])&lt;&gt;1,GanttView[[#This Row],[_IsMilestone]],N(GanttView[[#This Row],[%]])&gt;=1),0,IF(GanttView[[#This Row],[_DoneTo]]&gt;0,GanttView[[#This Row],[_DoneTo]]+1,GanttView[[#This Row],[Forecast Start]])))</f>
        <v>0</v>
      </c>
      <c r="S59" s="134" t="n">
        <f aca="false">IF(GanttView[[#This Row],[_RemFrom]]=0,0,GanttView[[#This Row],[Forecast Finish]])</f>
        <v>0</v>
      </c>
      <c r="T59" s="133" t="b">
        <f aca="false">IF(IFERROR(INDEX(tsk_Name,GanttView[[#This Row],[_Row]])="",TRUE()),FALSE(),N(INDEX(tsk_Variance,GanttView[[#This Row],[_Row]]))&gt;0)</f>
        <v>0</v>
      </c>
      <c r="U59" s="134" t="n">
        <f aca="false">IF(IFERROR(INDEX(tsk_Name,GanttView[[#This Row],[_Row]])="",TRUE()),0,N(INDEX(tsk_Deadline,GanttView[[#This Row],[_Row]])))</f>
        <v>0</v>
      </c>
      <c r="V59" s="133" t="b">
        <f aca="false">IF(IFERROR(INDEX(tsk_Name,GanttView[[#This Row],[_Row]])="",TRUE()),FALSE(),INDEX(tsk_Critical,GanttView[[#This Row],[_Row]])="Yes")</f>
        <v>0</v>
      </c>
    </row>
    <row r="60" customFormat="false" ht="15" hidden="false" customHeight="false" outlineLevel="0" collapsed="false">
      <c r="A60" s="127" t="str">
        <f aca="false">IF(IFERROR(INDEX(tsk_Name,GanttView[[#This Row],[_Row]])="",TRUE()),"",INDEX(tsk_ID,GanttView[[#This Row],[_Row]]))</f>
        <v/>
      </c>
      <c r="B60" s="127" t="str">
        <f aca="false">IF(IFERROR(INDEX(tsk_Name,GanttView[[#This Row],[_Row]])="",TRUE()),"",INDEX(tsk_WBS,GanttView[[#This Row],[_Row]]))</f>
        <v/>
      </c>
      <c r="C60" s="128" t="str">
        <f aca="false">IF(IFERROR(INDEX(tsk_Name,GanttView[[#This Row],[_Row]])="",TRUE()),"",REPT("    ",INDEX(tsk_Level,GanttView[[#This Row],[_Row]])-1)&amp;INDEX(tsk_Name,GanttView[[#This Row],[_Row]]))</f>
        <v/>
      </c>
      <c r="D60" s="127" t="str">
        <f aca="false">IF(IFERROR(INDEX(tsk_Name,GanttView[[#This Row],[_Row]])="",TRUE()),"",IF(INDEX(tsk_IsSummary,GanttView[[#This Row],[_Row]]),NETWORKDAYS.INTL(INDEX(tsk_FcStart,GanttView[[#This Row],[_Row]]),INDEX(tsk_FcFinish,GanttView[[#This Row],[_Row]]),WorkWeek,Holidays),N(INDEX(tsk_Duration,GanttView[[#This Row],[_Row]]))))</f>
        <v/>
      </c>
      <c r="E60" s="129" t="str">
        <f aca="false">IF(IFERROR(INDEX(tsk_Name,GanttView[[#This Row],[_Row]])="",TRUE()),"",INDEX(tsk_PlanStart,GanttView[[#This Row],[_Row]]))</f>
        <v/>
      </c>
      <c r="F60" s="129" t="str">
        <f aca="false">IF(IFERROR(INDEX(tsk_Name,GanttView[[#This Row],[_Row]])="",TRUE()),"",INDEX(tsk_PlanFinish,GanttView[[#This Row],[_Row]]))</f>
        <v/>
      </c>
      <c r="G60" s="129" t="str">
        <f aca="false">IF(IFERROR(INDEX(tsk_Name,GanttView[[#This Row],[_Row]])="",TRUE()),"",INDEX(tsk_FcStart,GanttView[[#This Row],[_Row]]))</f>
        <v/>
      </c>
      <c r="H60" s="129" t="str">
        <f aca="false">IF(IFERROR(INDEX(tsk_Name,GanttView[[#This Row],[_Row]])="",TRUE()),"",INDEX(tsk_FcFinish,GanttView[[#This Row],[_Row]]))</f>
        <v/>
      </c>
      <c r="I60" s="130" t="str">
        <f aca="false">IF(IFERROR(INDEX(tsk_Name,GanttView[[#This Row],[_Row]])="",TRUE()),"",INDEX(tsk_Progress,GanttView[[#This Row],[_Row]]))</f>
        <v/>
      </c>
      <c r="J60" s="128" t="str">
        <f aca="false">IF(IFERROR(INDEX(tsk_Name,GanttView[[#This Row],[_Row]])="",TRUE()),"",INDEX(tsk_ResourceNames,GanttView[[#This Row],[_Row]])&amp;"")</f>
        <v/>
      </c>
      <c r="K60" s="131" t="str">
        <f aca="false">IF(IFERROR(INDEX(tsk_Name,GanttView[[#This Row],[_Row]])="",TRUE()),"",INDEX(tsk_Status,GanttView[[#This Row],[_Row]]))</f>
        <v/>
      </c>
      <c r="L60" s="131" t="str">
        <f aca="false">IF(IFERROR(INDEX(tsk_Name,GanttView[[#This Row],[_Row]])="",TRUE()),"",INDEX(tsk_Show,GanttView[[#This Row],[_Row]])&amp;"")</f>
        <v/>
      </c>
      <c r="M60" s="132" t="n">
        <f aca="false">ROW()-ROW(GanttView[[#Headers],[ID]])</f>
        <v>55</v>
      </c>
      <c r="N60" s="133" t="b">
        <f aca="false">IF(IFERROR(INDEX(tsk_Name,GanttView[[#This Row],[_Row]])="",TRUE()),FALSE(),INDEX(tsk_IsSummary,GanttView[[#This Row],[_Row]]))</f>
        <v>0</v>
      </c>
      <c r="O60" s="133" t="b">
        <f aca="false">IF(IFERROR(INDEX(tsk_Name,GanttView[[#This Row],[_Row]])="",TRUE()),FALSE(),AND(INDEX(tsk_IsLeaf,GanttView[[#This Row],[_Row]])=1,N(INDEX(tsk_Duration,GanttView[[#This Row],[_Row]]))=0))</f>
        <v>0</v>
      </c>
      <c r="P60" s="134" t="n">
        <f aca="false">IF(IFERROR(INDEX(tsk_Name,GanttView[[#This Row],[_Row]])="",TRUE()),0,IF(AND(INDEX(tsk_IsLeaf,GanttView[[#This Row],[_Row]])=1,NOT(GanttView[[#This Row],[_IsMilestone]]),N(GanttView[[#This Row],[%]])&gt;0),GanttView[[#This Row],[Forecast Start]],0))</f>
        <v>0</v>
      </c>
      <c r="Q60" s="134" t="n">
        <f aca="false">IF(GanttView[[#This Row],[_DoneFrom]]=0,0,IF(GanttView[[#This Row],[%]]&gt;=1,GanttView[[#This Row],[Forecast Finish]],MAX(GanttView[[#This Row],[_DoneFrom]],GanttView[[#This Row],[Forecast Start]]+ROUND((GanttView[[#This Row],[Forecast Finish]]-GanttView[[#This Row],[Forecast Start]]+1)*GanttView[[#This Row],[%]],0)-1)))</f>
        <v>0</v>
      </c>
      <c r="R60" s="134" t="n">
        <f aca="false">IF(IFERROR(INDEX(tsk_Name,GanttView[[#This Row],[_Row]])="",TRUE()),0,IF(OR(INDEX(tsk_IsLeaf,GanttView[[#This Row],[_Row]])&lt;&gt;1,GanttView[[#This Row],[_IsMilestone]],N(GanttView[[#This Row],[%]])&gt;=1),0,IF(GanttView[[#This Row],[_DoneTo]]&gt;0,GanttView[[#This Row],[_DoneTo]]+1,GanttView[[#This Row],[Forecast Start]])))</f>
        <v>0</v>
      </c>
      <c r="S60" s="134" t="n">
        <f aca="false">IF(GanttView[[#This Row],[_RemFrom]]=0,0,GanttView[[#This Row],[Forecast Finish]])</f>
        <v>0</v>
      </c>
      <c r="T60" s="133" t="b">
        <f aca="false">IF(IFERROR(INDEX(tsk_Name,GanttView[[#This Row],[_Row]])="",TRUE()),FALSE(),N(INDEX(tsk_Variance,GanttView[[#This Row],[_Row]]))&gt;0)</f>
        <v>0</v>
      </c>
      <c r="U60" s="134" t="n">
        <f aca="false">IF(IFERROR(INDEX(tsk_Name,GanttView[[#This Row],[_Row]])="",TRUE()),0,N(INDEX(tsk_Deadline,GanttView[[#This Row],[_Row]])))</f>
        <v>0</v>
      </c>
      <c r="V60" s="133" t="b">
        <f aca="false">IF(IFERROR(INDEX(tsk_Name,GanttView[[#This Row],[_Row]])="",TRUE()),FALSE(),INDEX(tsk_Critical,GanttView[[#This Row],[_Row]])="Yes")</f>
        <v>0</v>
      </c>
    </row>
    <row r="61" customFormat="false" ht="15" hidden="false" customHeight="false" outlineLevel="0" collapsed="false">
      <c r="A61" s="127" t="str">
        <f aca="false">IF(IFERROR(INDEX(tsk_Name,GanttView[[#This Row],[_Row]])="",TRUE()),"",INDEX(tsk_ID,GanttView[[#This Row],[_Row]]))</f>
        <v/>
      </c>
      <c r="B61" s="127" t="str">
        <f aca="false">IF(IFERROR(INDEX(tsk_Name,GanttView[[#This Row],[_Row]])="",TRUE()),"",INDEX(tsk_WBS,GanttView[[#This Row],[_Row]]))</f>
        <v/>
      </c>
      <c r="C61" s="128" t="str">
        <f aca="false">IF(IFERROR(INDEX(tsk_Name,GanttView[[#This Row],[_Row]])="",TRUE()),"",REPT("    ",INDEX(tsk_Level,GanttView[[#This Row],[_Row]])-1)&amp;INDEX(tsk_Name,GanttView[[#This Row],[_Row]]))</f>
        <v/>
      </c>
      <c r="D61" s="127" t="str">
        <f aca="false">IF(IFERROR(INDEX(tsk_Name,GanttView[[#This Row],[_Row]])="",TRUE()),"",IF(INDEX(tsk_IsSummary,GanttView[[#This Row],[_Row]]),NETWORKDAYS.INTL(INDEX(tsk_FcStart,GanttView[[#This Row],[_Row]]),INDEX(tsk_FcFinish,GanttView[[#This Row],[_Row]]),WorkWeek,Holidays),N(INDEX(tsk_Duration,GanttView[[#This Row],[_Row]]))))</f>
        <v/>
      </c>
      <c r="E61" s="129" t="str">
        <f aca="false">IF(IFERROR(INDEX(tsk_Name,GanttView[[#This Row],[_Row]])="",TRUE()),"",INDEX(tsk_PlanStart,GanttView[[#This Row],[_Row]]))</f>
        <v/>
      </c>
      <c r="F61" s="129" t="str">
        <f aca="false">IF(IFERROR(INDEX(tsk_Name,GanttView[[#This Row],[_Row]])="",TRUE()),"",INDEX(tsk_PlanFinish,GanttView[[#This Row],[_Row]]))</f>
        <v/>
      </c>
      <c r="G61" s="129" t="str">
        <f aca="false">IF(IFERROR(INDEX(tsk_Name,GanttView[[#This Row],[_Row]])="",TRUE()),"",INDEX(tsk_FcStart,GanttView[[#This Row],[_Row]]))</f>
        <v/>
      </c>
      <c r="H61" s="129" t="str">
        <f aca="false">IF(IFERROR(INDEX(tsk_Name,GanttView[[#This Row],[_Row]])="",TRUE()),"",INDEX(tsk_FcFinish,GanttView[[#This Row],[_Row]]))</f>
        <v/>
      </c>
      <c r="I61" s="130" t="str">
        <f aca="false">IF(IFERROR(INDEX(tsk_Name,GanttView[[#This Row],[_Row]])="",TRUE()),"",INDEX(tsk_Progress,GanttView[[#This Row],[_Row]]))</f>
        <v/>
      </c>
      <c r="J61" s="128" t="str">
        <f aca="false">IF(IFERROR(INDEX(tsk_Name,GanttView[[#This Row],[_Row]])="",TRUE()),"",INDEX(tsk_ResourceNames,GanttView[[#This Row],[_Row]])&amp;"")</f>
        <v/>
      </c>
      <c r="K61" s="131" t="str">
        <f aca="false">IF(IFERROR(INDEX(tsk_Name,GanttView[[#This Row],[_Row]])="",TRUE()),"",INDEX(tsk_Status,GanttView[[#This Row],[_Row]]))</f>
        <v/>
      </c>
      <c r="L61" s="131" t="str">
        <f aca="false">IF(IFERROR(INDEX(tsk_Name,GanttView[[#This Row],[_Row]])="",TRUE()),"",INDEX(tsk_Show,GanttView[[#This Row],[_Row]])&amp;"")</f>
        <v/>
      </c>
      <c r="M61" s="132" t="n">
        <f aca="false">ROW()-ROW(GanttView[[#Headers],[ID]])</f>
        <v>56</v>
      </c>
      <c r="N61" s="133" t="b">
        <f aca="false">IF(IFERROR(INDEX(tsk_Name,GanttView[[#This Row],[_Row]])="",TRUE()),FALSE(),INDEX(tsk_IsSummary,GanttView[[#This Row],[_Row]]))</f>
        <v>0</v>
      </c>
      <c r="O61" s="133" t="b">
        <f aca="false">IF(IFERROR(INDEX(tsk_Name,GanttView[[#This Row],[_Row]])="",TRUE()),FALSE(),AND(INDEX(tsk_IsLeaf,GanttView[[#This Row],[_Row]])=1,N(INDEX(tsk_Duration,GanttView[[#This Row],[_Row]]))=0))</f>
        <v>0</v>
      </c>
      <c r="P61" s="134" t="n">
        <f aca="false">IF(IFERROR(INDEX(tsk_Name,GanttView[[#This Row],[_Row]])="",TRUE()),0,IF(AND(INDEX(tsk_IsLeaf,GanttView[[#This Row],[_Row]])=1,NOT(GanttView[[#This Row],[_IsMilestone]]),N(GanttView[[#This Row],[%]])&gt;0),GanttView[[#This Row],[Forecast Start]],0))</f>
        <v>0</v>
      </c>
      <c r="Q61" s="134" t="n">
        <f aca="false">IF(GanttView[[#This Row],[_DoneFrom]]=0,0,IF(GanttView[[#This Row],[%]]&gt;=1,GanttView[[#This Row],[Forecast Finish]],MAX(GanttView[[#This Row],[_DoneFrom]],GanttView[[#This Row],[Forecast Start]]+ROUND((GanttView[[#This Row],[Forecast Finish]]-GanttView[[#This Row],[Forecast Start]]+1)*GanttView[[#This Row],[%]],0)-1)))</f>
        <v>0</v>
      </c>
      <c r="R61" s="134" t="n">
        <f aca="false">IF(IFERROR(INDEX(tsk_Name,GanttView[[#This Row],[_Row]])="",TRUE()),0,IF(OR(INDEX(tsk_IsLeaf,GanttView[[#This Row],[_Row]])&lt;&gt;1,GanttView[[#This Row],[_IsMilestone]],N(GanttView[[#This Row],[%]])&gt;=1),0,IF(GanttView[[#This Row],[_DoneTo]]&gt;0,GanttView[[#This Row],[_DoneTo]]+1,GanttView[[#This Row],[Forecast Start]])))</f>
        <v>0</v>
      </c>
      <c r="S61" s="134" t="n">
        <f aca="false">IF(GanttView[[#This Row],[_RemFrom]]=0,0,GanttView[[#This Row],[Forecast Finish]])</f>
        <v>0</v>
      </c>
      <c r="T61" s="133" t="b">
        <f aca="false">IF(IFERROR(INDEX(tsk_Name,GanttView[[#This Row],[_Row]])="",TRUE()),FALSE(),N(INDEX(tsk_Variance,GanttView[[#This Row],[_Row]]))&gt;0)</f>
        <v>0</v>
      </c>
      <c r="U61" s="134" t="n">
        <f aca="false">IF(IFERROR(INDEX(tsk_Name,GanttView[[#This Row],[_Row]])="",TRUE()),0,N(INDEX(tsk_Deadline,GanttView[[#This Row],[_Row]])))</f>
        <v>0</v>
      </c>
      <c r="V61" s="133" t="b">
        <f aca="false">IF(IFERROR(INDEX(tsk_Name,GanttView[[#This Row],[_Row]])="",TRUE()),FALSE(),INDEX(tsk_Critical,GanttView[[#This Row],[_Row]])="Yes")</f>
        <v>0</v>
      </c>
    </row>
    <row r="62" customFormat="false" ht="15" hidden="false" customHeight="false" outlineLevel="0" collapsed="false">
      <c r="A62" s="127" t="str">
        <f aca="false">IF(IFERROR(INDEX(tsk_Name,GanttView[[#This Row],[_Row]])="",TRUE()),"",INDEX(tsk_ID,GanttView[[#This Row],[_Row]]))</f>
        <v/>
      </c>
      <c r="B62" s="127" t="str">
        <f aca="false">IF(IFERROR(INDEX(tsk_Name,GanttView[[#This Row],[_Row]])="",TRUE()),"",INDEX(tsk_WBS,GanttView[[#This Row],[_Row]]))</f>
        <v/>
      </c>
      <c r="C62" s="128" t="str">
        <f aca="false">IF(IFERROR(INDEX(tsk_Name,GanttView[[#This Row],[_Row]])="",TRUE()),"",REPT("    ",INDEX(tsk_Level,GanttView[[#This Row],[_Row]])-1)&amp;INDEX(tsk_Name,GanttView[[#This Row],[_Row]]))</f>
        <v/>
      </c>
      <c r="D62" s="127" t="str">
        <f aca="false">IF(IFERROR(INDEX(tsk_Name,GanttView[[#This Row],[_Row]])="",TRUE()),"",IF(INDEX(tsk_IsSummary,GanttView[[#This Row],[_Row]]),NETWORKDAYS.INTL(INDEX(tsk_FcStart,GanttView[[#This Row],[_Row]]),INDEX(tsk_FcFinish,GanttView[[#This Row],[_Row]]),WorkWeek,Holidays),N(INDEX(tsk_Duration,GanttView[[#This Row],[_Row]]))))</f>
        <v/>
      </c>
      <c r="E62" s="129" t="str">
        <f aca="false">IF(IFERROR(INDEX(tsk_Name,GanttView[[#This Row],[_Row]])="",TRUE()),"",INDEX(tsk_PlanStart,GanttView[[#This Row],[_Row]]))</f>
        <v/>
      </c>
      <c r="F62" s="129" t="str">
        <f aca="false">IF(IFERROR(INDEX(tsk_Name,GanttView[[#This Row],[_Row]])="",TRUE()),"",INDEX(tsk_PlanFinish,GanttView[[#This Row],[_Row]]))</f>
        <v/>
      </c>
      <c r="G62" s="129" t="str">
        <f aca="false">IF(IFERROR(INDEX(tsk_Name,GanttView[[#This Row],[_Row]])="",TRUE()),"",INDEX(tsk_FcStart,GanttView[[#This Row],[_Row]]))</f>
        <v/>
      </c>
      <c r="H62" s="129" t="str">
        <f aca="false">IF(IFERROR(INDEX(tsk_Name,GanttView[[#This Row],[_Row]])="",TRUE()),"",INDEX(tsk_FcFinish,GanttView[[#This Row],[_Row]]))</f>
        <v/>
      </c>
      <c r="I62" s="130" t="str">
        <f aca="false">IF(IFERROR(INDEX(tsk_Name,GanttView[[#This Row],[_Row]])="",TRUE()),"",INDEX(tsk_Progress,GanttView[[#This Row],[_Row]]))</f>
        <v/>
      </c>
      <c r="J62" s="128" t="str">
        <f aca="false">IF(IFERROR(INDEX(tsk_Name,GanttView[[#This Row],[_Row]])="",TRUE()),"",INDEX(tsk_ResourceNames,GanttView[[#This Row],[_Row]])&amp;"")</f>
        <v/>
      </c>
      <c r="K62" s="131" t="str">
        <f aca="false">IF(IFERROR(INDEX(tsk_Name,GanttView[[#This Row],[_Row]])="",TRUE()),"",INDEX(tsk_Status,GanttView[[#This Row],[_Row]]))</f>
        <v/>
      </c>
      <c r="L62" s="131" t="str">
        <f aca="false">IF(IFERROR(INDEX(tsk_Name,GanttView[[#This Row],[_Row]])="",TRUE()),"",INDEX(tsk_Show,GanttView[[#This Row],[_Row]])&amp;"")</f>
        <v/>
      </c>
      <c r="M62" s="132" t="n">
        <f aca="false">ROW()-ROW(GanttView[[#Headers],[ID]])</f>
        <v>57</v>
      </c>
      <c r="N62" s="133" t="b">
        <f aca="false">IF(IFERROR(INDEX(tsk_Name,GanttView[[#This Row],[_Row]])="",TRUE()),FALSE(),INDEX(tsk_IsSummary,GanttView[[#This Row],[_Row]]))</f>
        <v>0</v>
      </c>
      <c r="O62" s="133" t="b">
        <f aca="false">IF(IFERROR(INDEX(tsk_Name,GanttView[[#This Row],[_Row]])="",TRUE()),FALSE(),AND(INDEX(tsk_IsLeaf,GanttView[[#This Row],[_Row]])=1,N(INDEX(tsk_Duration,GanttView[[#This Row],[_Row]]))=0))</f>
        <v>0</v>
      </c>
      <c r="P62" s="134" t="n">
        <f aca="false">IF(IFERROR(INDEX(tsk_Name,GanttView[[#This Row],[_Row]])="",TRUE()),0,IF(AND(INDEX(tsk_IsLeaf,GanttView[[#This Row],[_Row]])=1,NOT(GanttView[[#This Row],[_IsMilestone]]),N(GanttView[[#This Row],[%]])&gt;0),GanttView[[#This Row],[Forecast Start]],0))</f>
        <v>0</v>
      </c>
      <c r="Q62" s="134" t="n">
        <f aca="false">IF(GanttView[[#This Row],[_DoneFrom]]=0,0,IF(GanttView[[#This Row],[%]]&gt;=1,GanttView[[#This Row],[Forecast Finish]],MAX(GanttView[[#This Row],[_DoneFrom]],GanttView[[#This Row],[Forecast Start]]+ROUND((GanttView[[#This Row],[Forecast Finish]]-GanttView[[#This Row],[Forecast Start]]+1)*GanttView[[#This Row],[%]],0)-1)))</f>
        <v>0</v>
      </c>
      <c r="R62" s="134" t="n">
        <f aca="false">IF(IFERROR(INDEX(tsk_Name,GanttView[[#This Row],[_Row]])="",TRUE()),0,IF(OR(INDEX(tsk_IsLeaf,GanttView[[#This Row],[_Row]])&lt;&gt;1,GanttView[[#This Row],[_IsMilestone]],N(GanttView[[#This Row],[%]])&gt;=1),0,IF(GanttView[[#This Row],[_DoneTo]]&gt;0,GanttView[[#This Row],[_DoneTo]]+1,GanttView[[#This Row],[Forecast Start]])))</f>
        <v>0</v>
      </c>
      <c r="S62" s="134" t="n">
        <f aca="false">IF(GanttView[[#This Row],[_RemFrom]]=0,0,GanttView[[#This Row],[Forecast Finish]])</f>
        <v>0</v>
      </c>
      <c r="T62" s="133" t="b">
        <f aca="false">IF(IFERROR(INDEX(tsk_Name,GanttView[[#This Row],[_Row]])="",TRUE()),FALSE(),N(INDEX(tsk_Variance,GanttView[[#This Row],[_Row]]))&gt;0)</f>
        <v>0</v>
      </c>
      <c r="U62" s="134" t="n">
        <f aca="false">IF(IFERROR(INDEX(tsk_Name,GanttView[[#This Row],[_Row]])="",TRUE()),0,N(INDEX(tsk_Deadline,GanttView[[#This Row],[_Row]])))</f>
        <v>0</v>
      </c>
      <c r="V62" s="133" t="b">
        <f aca="false">IF(IFERROR(INDEX(tsk_Name,GanttView[[#This Row],[_Row]])="",TRUE()),FALSE(),INDEX(tsk_Critical,GanttView[[#This Row],[_Row]])="Yes")</f>
        <v>0</v>
      </c>
    </row>
    <row r="63" customFormat="false" ht="15" hidden="false" customHeight="false" outlineLevel="0" collapsed="false">
      <c r="A63" s="127" t="str">
        <f aca="false">IF(IFERROR(INDEX(tsk_Name,GanttView[[#This Row],[_Row]])="",TRUE()),"",INDEX(tsk_ID,GanttView[[#This Row],[_Row]]))</f>
        <v/>
      </c>
      <c r="B63" s="127" t="str">
        <f aca="false">IF(IFERROR(INDEX(tsk_Name,GanttView[[#This Row],[_Row]])="",TRUE()),"",INDEX(tsk_WBS,GanttView[[#This Row],[_Row]]))</f>
        <v/>
      </c>
      <c r="C63" s="128" t="str">
        <f aca="false">IF(IFERROR(INDEX(tsk_Name,GanttView[[#This Row],[_Row]])="",TRUE()),"",REPT("    ",INDEX(tsk_Level,GanttView[[#This Row],[_Row]])-1)&amp;INDEX(tsk_Name,GanttView[[#This Row],[_Row]]))</f>
        <v/>
      </c>
      <c r="D63" s="127" t="str">
        <f aca="false">IF(IFERROR(INDEX(tsk_Name,GanttView[[#This Row],[_Row]])="",TRUE()),"",IF(INDEX(tsk_IsSummary,GanttView[[#This Row],[_Row]]),NETWORKDAYS.INTL(INDEX(tsk_FcStart,GanttView[[#This Row],[_Row]]),INDEX(tsk_FcFinish,GanttView[[#This Row],[_Row]]),WorkWeek,Holidays),N(INDEX(tsk_Duration,GanttView[[#This Row],[_Row]]))))</f>
        <v/>
      </c>
      <c r="E63" s="129" t="str">
        <f aca="false">IF(IFERROR(INDEX(tsk_Name,GanttView[[#This Row],[_Row]])="",TRUE()),"",INDEX(tsk_PlanStart,GanttView[[#This Row],[_Row]]))</f>
        <v/>
      </c>
      <c r="F63" s="129" t="str">
        <f aca="false">IF(IFERROR(INDEX(tsk_Name,GanttView[[#This Row],[_Row]])="",TRUE()),"",INDEX(tsk_PlanFinish,GanttView[[#This Row],[_Row]]))</f>
        <v/>
      </c>
      <c r="G63" s="129" t="str">
        <f aca="false">IF(IFERROR(INDEX(tsk_Name,GanttView[[#This Row],[_Row]])="",TRUE()),"",INDEX(tsk_FcStart,GanttView[[#This Row],[_Row]]))</f>
        <v/>
      </c>
      <c r="H63" s="129" t="str">
        <f aca="false">IF(IFERROR(INDEX(tsk_Name,GanttView[[#This Row],[_Row]])="",TRUE()),"",INDEX(tsk_FcFinish,GanttView[[#This Row],[_Row]]))</f>
        <v/>
      </c>
      <c r="I63" s="130" t="str">
        <f aca="false">IF(IFERROR(INDEX(tsk_Name,GanttView[[#This Row],[_Row]])="",TRUE()),"",INDEX(tsk_Progress,GanttView[[#This Row],[_Row]]))</f>
        <v/>
      </c>
      <c r="J63" s="128" t="str">
        <f aca="false">IF(IFERROR(INDEX(tsk_Name,GanttView[[#This Row],[_Row]])="",TRUE()),"",INDEX(tsk_ResourceNames,GanttView[[#This Row],[_Row]])&amp;"")</f>
        <v/>
      </c>
      <c r="K63" s="131" t="str">
        <f aca="false">IF(IFERROR(INDEX(tsk_Name,GanttView[[#This Row],[_Row]])="",TRUE()),"",INDEX(tsk_Status,GanttView[[#This Row],[_Row]]))</f>
        <v/>
      </c>
      <c r="L63" s="131" t="str">
        <f aca="false">IF(IFERROR(INDEX(tsk_Name,GanttView[[#This Row],[_Row]])="",TRUE()),"",INDEX(tsk_Show,GanttView[[#This Row],[_Row]])&amp;"")</f>
        <v/>
      </c>
      <c r="M63" s="132" t="n">
        <f aca="false">ROW()-ROW(GanttView[[#Headers],[ID]])</f>
        <v>58</v>
      </c>
      <c r="N63" s="133" t="b">
        <f aca="false">IF(IFERROR(INDEX(tsk_Name,GanttView[[#This Row],[_Row]])="",TRUE()),FALSE(),INDEX(tsk_IsSummary,GanttView[[#This Row],[_Row]]))</f>
        <v>0</v>
      </c>
      <c r="O63" s="133" t="b">
        <f aca="false">IF(IFERROR(INDEX(tsk_Name,GanttView[[#This Row],[_Row]])="",TRUE()),FALSE(),AND(INDEX(tsk_IsLeaf,GanttView[[#This Row],[_Row]])=1,N(INDEX(tsk_Duration,GanttView[[#This Row],[_Row]]))=0))</f>
        <v>0</v>
      </c>
      <c r="P63" s="134" t="n">
        <f aca="false">IF(IFERROR(INDEX(tsk_Name,GanttView[[#This Row],[_Row]])="",TRUE()),0,IF(AND(INDEX(tsk_IsLeaf,GanttView[[#This Row],[_Row]])=1,NOT(GanttView[[#This Row],[_IsMilestone]]),N(GanttView[[#This Row],[%]])&gt;0),GanttView[[#This Row],[Forecast Start]],0))</f>
        <v>0</v>
      </c>
      <c r="Q63" s="134" t="n">
        <f aca="false">IF(GanttView[[#This Row],[_DoneFrom]]=0,0,IF(GanttView[[#This Row],[%]]&gt;=1,GanttView[[#This Row],[Forecast Finish]],MAX(GanttView[[#This Row],[_DoneFrom]],GanttView[[#This Row],[Forecast Start]]+ROUND((GanttView[[#This Row],[Forecast Finish]]-GanttView[[#This Row],[Forecast Start]]+1)*GanttView[[#This Row],[%]],0)-1)))</f>
        <v>0</v>
      </c>
      <c r="R63" s="134" t="n">
        <f aca="false">IF(IFERROR(INDEX(tsk_Name,GanttView[[#This Row],[_Row]])="",TRUE()),0,IF(OR(INDEX(tsk_IsLeaf,GanttView[[#This Row],[_Row]])&lt;&gt;1,GanttView[[#This Row],[_IsMilestone]],N(GanttView[[#This Row],[%]])&gt;=1),0,IF(GanttView[[#This Row],[_DoneTo]]&gt;0,GanttView[[#This Row],[_DoneTo]]+1,GanttView[[#This Row],[Forecast Start]])))</f>
        <v>0</v>
      </c>
      <c r="S63" s="134" t="n">
        <f aca="false">IF(GanttView[[#This Row],[_RemFrom]]=0,0,GanttView[[#This Row],[Forecast Finish]])</f>
        <v>0</v>
      </c>
      <c r="T63" s="133" t="b">
        <f aca="false">IF(IFERROR(INDEX(tsk_Name,GanttView[[#This Row],[_Row]])="",TRUE()),FALSE(),N(INDEX(tsk_Variance,GanttView[[#This Row],[_Row]]))&gt;0)</f>
        <v>0</v>
      </c>
      <c r="U63" s="134" t="n">
        <f aca="false">IF(IFERROR(INDEX(tsk_Name,GanttView[[#This Row],[_Row]])="",TRUE()),0,N(INDEX(tsk_Deadline,GanttView[[#This Row],[_Row]])))</f>
        <v>0</v>
      </c>
      <c r="V63" s="133" t="b">
        <f aca="false">IF(IFERROR(INDEX(tsk_Name,GanttView[[#This Row],[_Row]])="",TRUE()),FALSE(),INDEX(tsk_Critical,GanttView[[#This Row],[_Row]])="Yes")</f>
        <v>0</v>
      </c>
    </row>
    <row r="64" customFormat="false" ht="15" hidden="false" customHeight="false" outlineLevel="0" collapsed="false">
      <c r="A64" s="127" t="str">
        <f aca="false">IF(IFERROR(INDEX(tsk_Name,GanttView[[#This Row],[_Row]])="",TRUE()),"",INDEX(tsk_ID,GanttView[[#This Row],[_Row]]))</f>
        <v/>
      </c>
      <c r="B64" s="127" t="str">
        <f aca="false">IF(IFERROR(INDEX(tsk_Name,GanttView[[#This Row],[_Row]])="",TRUE()),"",INDEX(tsk_WBS,GanttView[[#This Row],[_Row]]))</f>
        <v/>
      </c>
      <c r="C64" s="128" t="str">
        <f aca="false">IF(IFERROR(INDEX(tsk_Name,GanttView[[#This Row],[_Row]])="",TRUE()),"",REPT("    ",INDEX(tsk_Level,GanttView[[#This Row],[_Row]])-1)&amp;INDEX(tsk_Name,GanttView[[#This Row],[_Row]]))</f>
        <v/>
      </c>
      <c r="D64" s="127" t="str">
        <f aca="false">IF(IFERROR(INDEX(tsk_Name,GanttView[[#This Row],[_Row]])="",TRUE()),"",IF(INDEX(tsk_IsSummary,GanttView[[#This Row],[_Row]]),NETWORKDAYS.INTL(INDEX(tsk_FcStart,GanttView[[#This Row],[_Row]]),INDEX(tsk_FcFinish,GanttView[[#This Row],[_Row]]),WorkWeek,Holidays),N(INDEX(tsk_Duration,GanttView[[#This Row],[_Row]]))))</f>
        <v/>
      </c>
      <c r="E64" s="129" t="str">
        <f aca="false">IF(IFERROR(INDEX(tsk_Name,GanttView[[#This Row],[_Row]])="",TRUE()),"",INDEX(tsk_PlanStart,GanttView[[#This Row],[_Row]]))</f>
        <v/>
      </c>
      <c r="F64" s="129" t="str">
        <f aca="false">IF(IFERROR(INDEX(tsk_Name,GanttView[[#This Row],[_Row]])="",TRUE()),"",INDEX(tsk_PlanFinish,GanttView[[#This Row],[_Row]]))</f>
        <v/>
      </c>
      <c r="G64" s="129" t="str">
        <f aca="false">IF(IFERROR(INDEX(tsk_Name,GanttView[[#This Row],[_Row]])="",TRUE()),"",INDEX(tsk_FcStart,GanttView[[#This Row],[_Row]]))</f>
        <v/>
      </c>
      <c r="H64" s="129" t="str">
        <f aca="false">IF(IFERROR(INDEX(tsk_Name,GanttView[[#This Row],[_Row]])="",TRUE()),"",INDEX(tsk_FcFinish,GanttView[[#This Row],[_Row]]))</f>
        <v/>
      </c>
      <c r="I64" s="130" t="str">
        <f aca="false">IF(IFERROR(INDEX(tsk_Name,GanttView[[#This Row],[_Row]])="",TRUE()),"",INDEX(tsk_Progress,GanttView[[#This Row],[_Row]]))</f>
        <v/>
      </c>
      <c r="J64" s="128" t="str">
        <f aca="false">IF(IFERROR(INDEX(tsk_Name,GanttView[[#This Row],[_Row]])="",TRUE()),"",INDEX(tsk_ResourceNames,GanttView[[#This Row],[_Row]])&amp;"")</f>
        <v/>
      </c>
      <c r="K64" s="131" t="str">
        <f aca="false">IF(IFERROR(INDEX(tsk_Name,GanttView[[#This Row],[_Row]])="",TRUE()),"",INDEX(tsk_Status,GanttView[[#This Row],[_Row]]))</f>
        <v/>
      </c>
      <c r="L64" s="131" t="str">
        <f aca="false">IF(IFERROR(INDEX(tsk_Name,GanttView[[#This Row],[_Row]])="",TRUE()),"",INDEX(tsk_Show,GanttView[[#This Row],[_Row]])&amp;"")</f>
        <v/>
      </c>
      <c r="M64" s="132" t="n">
        <f aca="false">ROW()-ROW(GanttView[[#Headers],[ID]])</f>
        <v>59</v>
      </c>
      <c r="N64" s="133" t="b">
        <f aca="false">IF(IFERROR(INDEX(tsk_Name,GanttView[[#This Row],[_Row]])="",TRUE()),FALSE(),INDEX(tsk_IsSummary,GanttView[[#This Row],[_Row]]))</f>
        <v>0</v>
      </c>
      <c r="O64" s="133" t="b">
        <f aca="false">IF(IFERROR(INDEX(tsk_Name,GanttView[[#This Row],[_Row]])="",TRUE()),FALSE(),AND(INDEX(tsk_IsLeaf,GanttView[[#This Row],[_Row]])=1,N(INDEX(tsk_Duration,GanttView[[#This Row],[_Row]]))=0))</f>
        <v>0</v>
      </c>
      <c r="P64" s="134" t="n">
        <f aca="false">IF(IFERROR(INDEX(tsk_Name,GanttView[[#This Row],[_Row]])="",TRUE()),0,IF(AND(INDEX(tsk_IsLeaf,GanttView[[#This Row],[_Row]])=1,NOT(GanttView[[#This Row],[_IsMilestone]]),N(GanttView[[#This Row],[%]])&gt;0),GanttView[[#This Row],[Forecast Start]],0))</f>
        <v>0</v>
      </c>
      <c r="Q64" s="134" t="n">
        <f aca="false">IF(GanttView[[#This Row],[_DoneFrom]]=0,0,IF(GanttView[[#This Row],[%]]&gt;=1,GanttView[[#This Row],[Forecast Finish]],MAX(GanttView[[#This Row],[_DoneFrom]],GanttView[[#This Row],[Forecast Start]]+ROUND((GanttView[[#This Row],[Forecast Finish]]-GanttView[[#This Row],[Forecast Start]]+1)*GanttView[[#This Row],[%]],0)-1)))</f>
        <v>0</v>
      </c>
      <c r="R64" s="134" t="n">
        <f aca="false">IF(IFERROR(INDEX(tsk_Name,GanttView[[#This Row],[_Row]])="",TRUE()),0,IF(OR(INDEX(tsk_IsLeaf,GanttView[[#This Row],[_Row]])&lt;&gt;1,GanttView[[#This Row],[_IsMilestone]],N(GanttView[[#This Row],[%]])&gt;=1),0,IF(GanttView[[#This Row],[_DoneTo]]&gt;0,GanttView[[#This Row],[_DoneTo]]+1,GanttView[[#This Row],[Forecast Start]])))</f>
        <v>0</v>
      </c>
      <c r="S64" s="134" t="n">
        <f aca="false">IF(GanttView[[#This Row],[_RemFrom]]=0,0,GanttView[[#This Row],[Forecast Finish]])</f>
        <v>0</v>
      </c>
      <c r="T64" s="133" t="b">
        <f aca="false">IF(IFERROR(INDEX(tsk_Name,GanttView[[#This Row],[_Row]])="",TRUE()),FALSE(),N(INDEX(tsk_Variance,GanttView[[#This Row],[_Row]]))&gt;0)</f>
        <v>0</v>
      </c>
      <c r="U64" s="134" t="n">
        <f aca="false">IF(IFERROR(INDEX(tsk_Name,GanttView[[#This Row],[_Row]])="",TRUE()),0,N(INDEX(tsk_Deadline,GanttView[[#This Row],[_Row]])))</f>
        <v>0</v>
      </c>
      <c r="V64" s="133" t="b">
        <f aca="false">IF(IFERROR(INDEX(tsk_Name,GanttView[[#This Row],[_Row]])="",TRUE()),FALSE(),INDEX(tsk_Critical,GanttView[[#This Row],[_Row]])="Yes")</f>
        <v>0</v>
      </c>
    </row>
    <row r="65" customFormat="false" ht="15" hidden="false" customHeight="false" outlineLevel="0" collapsed="false">
      <c r="A65" s="127" t="str">
        <f aca="false">IF(IFERROR(INDEX(tsk_Name,GanttView[[#This Row],[_Row]])="",TRUE()),"",INDEX(tsk_ID,GanttView[[#This Row],[_Row]]))</f>
        <v/>
      </c>
      <c r="B65" s="127" t="str">
        <f aca="false">IF(IFERROR(INDEX(tsk_Name,GanttView[[#This Row],[_Row]])="",TRUE()),"",INDEX(tsk_WBS,GanttView[[#This Row],[_Row]]))</f>
        <v/>
      </c>
      <c r="C65" s="128" t="str">
        <f aca="false">IF(IFERROR(INDEX(tsk_Name,GanttView[[#This Row],[_Row]])="",TRUE()),"",REPT("    ",INDEX(tsk_Level,GanttView[[#This Row],[_Row]])-1)&amp;INDEX(tsk_Name,GanttView[[#This Row],[_Row]]))</f>
        <v/>
      </c>
      <c r="D65" s="127" t="str">
        <f aca="false">IF(IFERROR(INDEX(tsk_Name,GanttView[[#This Row],[_Row]])="",TRUE()),"",IF(INDEX(tsk_IsSummary,GanttView[[#This Row],[_Row]]),NETWORKDAYS.INTL(INDEX(tsk_FcStart,GanttView[[#This Row],[_Row]]),INDEX(tsk_FcFinish,GanttView[[#This Row],[_Row]]),WorkWeek,Holidays),N(INDEX(tsk_Duration,GanttView[[#This Row],[_Row]]))))</f>
        <v/>
      </c>
      <c r="E65" s="129" t="str">
        <f aca="false">IF(IFERROR(INDEX(tsk_Name,GanttView[[#This Row],[_Row]])="",TRUE()),"",INDEX(tsk_PlanStart,GanttView[[#This Row],[_Row]]))</f>
        <v/>
      </c>
      <c r="F65" s="129" t="str">
        <f aca="false">IF(IFERROR(INDEX(tsk_Name,GanttView[[#This Row],[_Row]])="",TRUE()),"",INDEX(tsk_PlanFinish,GanttView[[#This Row],[_Row]]))</f>
        <v/>
      </c>
      <c r="G65" s="129" t="str">
        <f aca="false">IF(IFERROR(INDEX(tsk_Name,GanttView[[#This Row],[_Row]])="",TRUE()),"",INDEX(tsk_FcStart,GanttView[[#This Row],[_Row]]))</f>
        <v/>
      </c>
      <c r="H65" s="129" t="str">
        <f aca="false">IF(IFERROR(INDEX(tsk_Name,GanttView[[#This Row],[_Row]])="",TRUE()),"",INDEX(tsk_FcFinish,GanttView[[#This Row],[_Row]]))</f>
        <v/>
      </c>
      <c r="I65" s="130" t="str">
        <f aca="false">IF(IFERROR(INDEX(tsk_Name,GanttView[[#This Row],[_Row]])="",TRUE()),"",INDEX(tsk_Progress,GanttView[[#This Row],[_Row]]))</f>
        <v/>
      </c>
      <c r="J65" s="128" t="str">
        <f aca="false">IF(IFERROR(INDEX(tsk_Name,GanttView[[#This Row],[_Row]])="",TRUE()),"",INDEX(tsk_ResourceNames,GanttView[[#This Row],[_Row]])&amp;"")</f>
        <v/>
      </c>
      <c r="K65" s="131" t="str">
        <f aca="false">IF(IFERROR(INDEX(tsk_Name,GanttView[[#This Row],[_Row]])="",TRUE()),"",INDEX(tsk_Status,GanttView[[#This Row],[_Row]]))</f>
        <v/>
      </c>
      <c r="L65" s="131" t="str">
        <f aca="false">IF(IFERROR(INDEX(tsk_Name,GanttView[[#This Row],[_Row]])="",TRUE()),"",INDEX(tsk_Show,GanttView[[#This Row],[_Row]])&amp;"")</f>
        <v/>
      </c>
      <c r="M65" s="132" t="n">
        <f aca="false">ROW()-ROW(GanttView[[#Headers],[ID]])</f>
        <v>60</v>
      </c>
      <c r="N65" s="133" t="b">
        <f aca="false">IF(IFERROR(INDEX(tsk_Name,GanttView[[#This Row],[_Row]])="",TRUE()),FALSE(),INDEX(tsk_IsSummary,GanttView[[#This Row],[_Row]]))</f>
        <v>0</v>
      </c>
      <c r="O65" s="133" t="b">
        <f aca="false">IF(IFERROR(INDEX(tsk_Name,GanttView[[#This Row],[_Row]])="",TRUE()),FALSE(),AND(INDEX(tsk_IsLeaf,GanttView[[#This Row],[_Row]])=1,N(INDEX(tsk_Duration,GanttView[[#This Row],[_Row]]))=0))</f>
        <v>0</v>
      </c>
      <c r="P65" s="134" t="n">
        <f aca="false">IF(IFERROR(INDEX(tsk_Name,GanttView[[#This Row],[_Row]])="",TRUE()),0,IF(AND(INDEX(tsk_IsLeaf,GanttView[[#This Row],[_Row]])=1,NOT(GanttView[[#This Row],[_IsMilestone]]),N(GanttView[[#This Row],[%]])&gt;0),GanttView[[#This Row],[Forecast Start]],0))</f>
        <v>0</v>
      </c>
      <c r="Q65" s="134" t="n">
        <f aca="false">IF(GanttView[[#This Row],[_DoneFrom]]=0,0,IF(GanttView[[#This Row],[%]]&gt;=1,GanttView[[#This Row],[Forecast Finish]],MAX(GanttView[[#This Row],[_DoneFrom]],GanttView[[#This Row],[Forecast Start]]+ROUND((GanttView[[#This Row],[Forecast Finish]]-GanttView[[#This Row],[Forecast Start]]+1)*GanttView[[#This Row],[%]],0)-1)))</f>
        <v>0</v>
      </c>
      <c r="R65" s="134" t="n">
        <f aca="false">IF(IFERROR(INDEX(tsk_Name,GanttView[[#This Row],[_Row]])="",TRUE()),0,IF(OR(INDEX(tsk_IsLeaf,GanttView[[#This Row],[_Row]])&lt;&gt;1,GanttView[[#This Row],[_IsMilestone]],N(GanttView[[#This Row],[%]])&gt;=1),0,IF(GanttView[[#This Row],[_DoneTo]]&gt;0,GanttView[[#This Row],[_DoneTo]]+1,GanttView[[#This Row],[Forecast Start]])))</f>
        <v>0</v>
      </c>
      <c r="S65" s="134" t="n">
        <f aca="false">IF(GanttView[[#This Row],[_RemFrom]]=0,0,GanttView[[#This Row],[Forecast Finish]])</f>
        <v>0</v>
      </c>
      <c r="T65" s="133" t="b">
        <f aca="false">IF(IFERROR(INDEX(tsk_Name,GanttView[[#This Row],[_Row]])="",TRUE()),FALSE(),N(INDEX(tsk_Variance,GanttView[[#This Row],[_Row]]))&gt;0)</f>
        <v>0</v>
      </c>
      <c r="U65" s="134" t="n">
        <f aca="false">IF(IFERROR(INDEX(tsk_Name,GanttView[[#This Row],[_Row]])="",TRUE()),0,N(INDEX(tsk_Deadline,GanttView[[#This Row],[_Row]])))</f>
        <v>0</v>
      </c>
      <c r="V65" s="133" t="b">
        <f aca="false">IF(IFERROR(INDEX(tsk_Name,GanttView[[#This Row],[_Row]])="",TRUE()),FALSE(),INDEX(tsk_Critical,GanttView[[#This Row],[_Row]])="Yes")</f>
        <v>0</v>
      </c>
    </row>
    <row r="66" customFormat="false" ht="15" hidden="false" customHeight="false" outlineLevel="0" collapsed="false">
      <c r="A66" s="127" t="str">
        <f aca="false">IF(IFERROR(INDEX(tsk_Name,GanttView[[#This Row],[_Row]])="",TRUE()),"",INDEX(tsk_ID,GanttView[[#This Row],[_Row]]))</f>
        <v/>
      </c>
      <c r="B66" s="127" t="str">
        <f aca="false">IF(IFERROR(INDEX(tsk_Name,GanttView[[#This Row],[_Row]])="",TRUE()),"",INDEX(tsk_WBS,GanttView[[#This Row],[_Row]]))</f>
        <v/>
      </c>
      <c r="C66" s="128" t="str">
        <f aca="false">IF(IFERROR(INDEX(tsk_Name,GanttView[[#This Row],[_Row]])="",TRUE()),"",REPT("    ",INDEX(tsk_Level,GanttView[[#This Row],[_Row]])-1)&amp;INDEX(tsk_Name,GanttView[[#This Row],[_Row]]))</f>
        <v/>
      </c>
      <c r="D66" s="127" t="str">
        <f aca="false">IF(IFERROR(INDEX(tsk_Name,GanttView[[#This Row],[_Row]])="",TRUE()),"",IF(INDEX(tsk_IsSummary,GanttView[[#This Row],[_Row]]),NETWORKDAYS.INTL(INDEX(tsk_FcStart,GanttView[[#This Row],[_Row]]),INDEX(tsk_FcFinish,GanttView[[#This Row],[_Row]]),WorkWeek,Holidays),N(INDEX(tsk_Duration,GanttView[[#This Row],[_Row]]))))</f>
        <v/>
      </c>
      <c r="E66" s="129" t="str">
        <f aca="false">IF(IFERROR(INDEX(tsk_Name,GanttView[[#This Row],[_Row]])="",TRUE()),"",INDEX(tsk_PlanStart,GanttView[[#This Row],[_Row]]))</f>
        <v/>
      </c>
      <c r="F66" s="129" t="str">
        <f aca="false">IF(IFERROR(INDEX(tsk_Name,GanttView[[#This Row],[_Row]])="",TRUE()),"",INDEX(tsk_PlanFinish,GanttView[[#This Row],[_Row]]))</f>
        <v/>
      </c>
      <c r="G66" s="129" t="str">
        <f aca="false">IF(IFERROR(INDEX(tsk_Name,GanttView[[#This Row],[_Row]])="",TRUE()),"",INDEX(tsk_FcStart,GanttView[[#This Row],[_Row]]))</f>
        <v/>
      </c>
      <c r="H66" s="129" t="str">
        <f aca="false">IF(IFERROR(INDEX(tsk_Name,GanttView[[#This Row],[_Row]])="",TRUE()),"",INDEX(tsk_FcFinish,GanttView[[#This Row],[_Row]]))</f>
        <v/>
      </c>
      <c r="I66" s="130" t="str">
        <f aca="false">IF(IFERROR(INDEX(tsk_Name,GanttView[[#This Row],[_Row]])="",TRUE()),"",INDEX(tsk_Progress,GanttView[[#This Row],[_Row]]))</f>
        <v/>
      </c>
      <c r="J66" s="128" t="str">
        <f aca="false">IF(IFERROR(INDEX(tsk_Name,GanttView[[#This Row],[_Row]])="",TRUE()),"",INDEX(tsk_ResourceNames,GanttView[[#This Row],[_Row]])&amp;"")</f>
        <v/>
      </c>
      <c r="K66" s="131" t="str">
        <f aca="false">IF(IFERROR(INDEX(tsk_Name,GanttView[[#This Row],[_Row]])="",TRUE()),"",INDEX(tsk_Status,GanttView[[#This Row],[_Row]]))</f>
        <v/>
      </c>
      <c r="L66" s="131" t="str">
        <f aca="false">IF(IFERROR(INDEX(tsk_Name,GanttView[[#This Row],[_Row]])="",TRUE()),"",INDEX(tsk_Show,GanttView[[#This Row],[_Row]])&amp;"")</f>
        <v/>
      </c>
      <c r="M66" s="132" t="n">
        <f aca="false">ROW()-ROW(GanttView[[#Headers],[ID]])</f>
        <v>61</v>
      </c>
      <c r="N66" s="133" t="b">
        <f aca="false">IF(IFERROR(INDEX(tsk_Name,GanttView[[#This Row],[_Row]])="",TRUE()),FALSE(),INDEX(tsk_IsSummary,GanttView[[#This Row],[_Row]]))</f>
        <v>0</v>
      </c>
      <c r="O66" s="133" t="b">
        <f aca="false">IF(IFERROR(INDEX(tsk_Name,GanttView[[#This Row],[_Row]])="",TRUE()),FALSE(),AND(INDEX(tsk_IsLeaf,GanttView[[#This Row],[_Row]])=1,N(INDEX(tsk_Duration,GanttView[[#This Row],[_Row]]))=0))</f>
        <v>0</v>
      </c>
      <c r="P66" s="134" t="n">
        <f aca="false">IF(IFERROR(INDEX(tsk_Name,GanttView[[#This Row],[_Row]])="",TRUE()),0,IF(AND(INDEX(tsk_IsLeaf,GanttView[[#This Row],[_Row]])=1,NOT(GanttView[[#This Row],[_IsMilestone]]),N(GanttView[[#This Row],[%]])&gt;0),GanttView[[#This Row],[Forecast Start]],0))</f>
        <v>0</v>
      </c>
      <c r="Q66" s="134" t="n">
        <f aca="false">IF(GanttView[[#This Row],[_DoneFrom]]=0,0,IF(GanttView[[#This Row],[%]]&gt;=1,GanttView[[#This Row],[Forecast Finish]],MAX(GanttView[[#This Row],[_DoneFrom]],GanttView[[#This Row],[Forecast Start]]+ROUND((GanttView[[#This Row],[Forecast Finish]]-GanttView[[#This Row],[Forecast Start]]+1)*GanttView[[#This Row],[%]],0)-1)))</f>
        <v>0</v>
      </c>
      <c r="R66" s="134" t="n">
        <f aca="false">IF(IFERROR(INDEX(tsk_Name,GanttView[[#This Row],[_Row]])="",TRUE()),0,IF(OR(INDEX(tsk_IsLeaf,GanttView[[#This Row],[_Row]])&lt;&gt;1,GanttView[[#This Row],[_IsMilestone]],N(GanttView[[#This Row],[%]])&gt;=1),0,IF(GanttView[[#This Row],[_DoneTo]]&gt;0,GanttView[[#This Row],[_DoneTo]]+1,GanttView[[#This Row],[Forecast Start]])))</f>
        <v>0</v>
      </c>
      <c r="S66" s="134" t="n">
        <f aca="false">IF(GanttView[[#This Row],[_RemFrom]]=0,0,GanttView[[#This Row],[Forecast Finish]])</f>
        <v>0</v>
      </c>
      <c r="T66" s="133" t="b">
        <f aca="false">IF(IFERROR(INDEX(tsk_Name,GanttView[[#This Row],[_Row]])="",TRUE()),FALSE(),N(INDEX(tsk_Variance,GanttView[[#This Row],[_Row]]))&gt;0)</f>
        <v>0</v>
      </c>
      <c r="U66" s="134" t="n">
        <f aca="false">IF(IFERROR(INDEX(tsk_Name,GanttView[[#This Row],[_Row]])="",TRUE()),0,N(INDEX(tsk_Deadline,GanttView[[#This Row],[_Row]])))</f>
        <v>0</v>
      </c>
      <c r="V66" s="133" t="b">
        <f aca="false">IF(IFERROR(INDEX(tsk_Name,GanttView[[#This Row],[_Row]])="",TRUE()),FALSE(),INDEX(tsk_Critical,GanttView[[#This Row],[_Row]])="Yes")</f>
        <v>0</v>
      </c>
    </row>
    <row r="67" customFormat="false" ht="15" hidden="false" customHeight="false" outlineLevel="0" collapsed="false">
      <c r="A67" s="127" t="str">
        <f aca="false">IF(IFERROR(INDEX(tsk_Name,GanttView[[#This Row],[_Row]])="",TRUE()),"",INDEX(tsk_ID,GanttView[[#This Row],[_Row]]))</f>
        <v/>
      </c>
      <c r="B67" s="127" t="str">
        <f aca="false">IF(IFERROR(INDEX(tsk_Name,GanttView[[#This Row],[_Row]])="",TRUE()),"",INDEX(tsk_WBS,GanttView[[#This Row],[_Row]]))</f>
        <v/>
      </c>
      <c r="C67" s="128" t="str">
        <f aca="false">IF(IFERROR(INDEX(tsk_Name,GanttView[[#This Row],[_Row]])="",TRUE()),"",REPT("    ",INDEX(tsk_Level,GanttView[[#This Row],[_Row]])-1)&amp;INDEX(tsk_Name,GanttView[[#This Row],[_Row]]))</f>
        <v/>
      </c>
      <c r="D67" s="127" t="str">
        <f aca="false">IF(IFERROR(INDEX(tsk_Name,GanttView[[#This Row],[_Row]])="",TRUE()),"",IF(INDEX(tsk_IsSummary,GanttView[[#This Row],[_Row]]),NETWORKDAYS.INTL(INDEX(tsk_FcStart,GanttView[[#This Row],[_Row]]),INDEX(tsk_FcFinish,GanttView[[#This Row],[_Row]]),WorkWeek,Holidays),N(INDEX(tsk_Duration,GanttView[[#This Row],[_Row]]))))</f>
        <v/>
      </c>
      <c r="E67" s="129" t="str">
        <f aca="false">IF(IFERROR(INDEX(tsk_Name,GanttView[[#This Row],[_Row]])="",TRUE()),"",INDEX(tsk_PlanStart,GanttView[[#This Row],[_Row]]))</f>
        <v/>
      </c>
      <c r="F67" s="129" t="str">
        <f aca="false">IF(IFERROR(INDEX(tsk_Name,GanttView[[#This Row],[_Row]])="",TRUE()),"",INDEX(tsk_PlanFinish,GanttView[[#This Row],[_Row]]))</f>
        <v/>
      </c>
      <c r="G67" s="129" t="str">
        <f aca="false">IF(IFERROR(INDEX(tsk_Name,GanttView[[#This Row],[_Row]])="",TRUE()),"",INDEX(tsk_FcStart,GanttView[[#This Row],[_Row]]))</f>
        <v/>
      </c>
      <c r="H67" s="129" t="str">
        <f aca="false">IF(IFERROR(INDEX(tsk_Name,GanttView[[#This Row],[_Row]])="",TRUE()),"",INDEX(tsk_FcFinish,GanttView[[#This Row],[_Row]]))</f>
        <v/>
      </c>
      <c r="I67" s="130" t="str">
        <f aca="false">IF(IFERROR(INDEX(tsk_Name,GanttView[[#This Row],[_Row]])="",TRUE()),"",INDEX(tsk_Progress,GanttView[[#This Row],[_Row]]))</f>
        <v/>
      </c>
      <c r="J67" s="128" t="str">
        <f aca="false">IF(IFERROR(INDEX(tsk_Name,GanttView[[#This Row],[_Row]])="",TRUE()),"",INDEX(tsk_ResourceNames,GanttView[[#This Row],[_Row]])&amp;"")</f>
        <v/>
      </c>
      <c r="K67" s="131" t="str">
        <f aca="false">IF(IFERROR(INDEX(tsk_Name,GanttView[[#This Row],[_Row]])="",TRUE()),"",INDEX(tsk_Status,GanttView[[#This Row],[_Row]]))</f>
        <v/>
      </c>
      <c r="L67" s="131" t="str">
        <f aca="false">IF(IFERROR(INDEX(tsk_Name,GanttView[[#This Row],[_Row]])="",TRUE()),"",INDEX(tsk_Show,GanttView[[#This Row],[_Row]])&amp;"")</f>
        <v/>
      </c>
      <c r="M67" s="132" t="n">
        <f aca="false">ROW()-ROW(GanttView[[#Headers],[ID]])</f>
        <v>62</v>
      </c>
      <c r="N67" s="133" t="b">
        <f aca="false">IF(IFERROR(INDEX(tsk_Name,GanttView[[#This Row],[_Row]])="",TRUE()),FALSE(),INDEX(tsk_IsSummary,GanttView[[#This Row],[_Row]]))</f>
        <v>0</v>
      </c>
      <c r="O67" s="133" t="b">
        <f aca="false">IF(IFERROR(INDEX(tsk_Name,GanttView[[#This Row],[_Row]])="",TRUE()),FALSE(),AND(INDEX(tsk_IsLeaf,GanttView[[#This Row],[_Row]])=1,N(INDEX(tsk_Duration,GanttView[[#This Row],[_Row]]))=0))</f>
        <v>0</v>
      </c>
      <c r="P67" s="134" t="n">
        <f aca="false">IF(IFERROR(INDEX(tsk_Name,GanttView[[#This Row],[_Row]])="",TRUE()),0,IF(AND(INDEX(tsk_IsLeaf,GanttView[[#This Row],[_Row]])=1,NOT(GanttView[[#This Row],[_IsMilestone]]),N(GanttView[[#This Row],[%]])&gt;0),GanttView[[#This Row],[Forecast Start]],0))</f>
        <v>0</v>
      </c>
      <c r="Q67" s="134" t="n">
        <f aca="false">IF(GanttView[[#This Row],[_DoneFrom]]=0,0,IF(GanttView[[#This Row],[%]]&gt;=1,GanttView[[#This Row],[Forecast Finish]],MAX(GanttView[[#This Row],[_DoneFrom]],GanttView[[#This Row],[Forecast Start]]+ROUND((GanttView[[#This Row],[Forecast Finish]]-GanttView[[#This Row],[Forecast Start]]+1)*GanttView[[#This Row],[%]],0)-1)))</f>
        <v>0</v>
      </c>
      <c r="R67" s="134" t="n">
        <f aca="false">IF(IFERROR(INDEX(tsk_Name,GanttView[[#This Row],[_Row]])="",TRUE()),0,IF(OR(INDEX(tsk_IsLeaf,GanttView[[#This Row],[_Row]])&lt;&gt;1,GanttView[[#This Row],[_IsMilestone]],N(GanttView[[#This Row],[%]])&gt;=1),0,IF(GanttView[[#This Row],[_DoneTo]]&gt;0,GanttView[[#This Row],[_DoneTo]]+1,GanttView[[#This Row],[Forecast Start]])))</f>
        <v>0</v>
      </c>
      <c r="S67" s="134" t="n">
        <f aca="false">IF(GanttView[[#This Row],[_RemFrom]]=0,0,GanttView[[#This Row],[Forecast Finish]])</f>
        <v>0</v>
      </c>
      <c r="T67" s="133" t="b">
        <f aca="false">IF(IFERROR(INDEX(tsk_Name,GanttView[[#This Row],[_Row]])="",TRUE()),FALSE(),N(INDEX(tsk_Variance,GanttView[[#This Row],[_Row]]))&gt;0)</f>
        <v>0</v>
      </c>
      <c r="U67" s="134" t="n">
        <f aca="false">IF(IFERROR(INDEX(tsk_Name,GanttView[[#This Row],[_Row]])="",TRUE()),0,N(INDEX(tsk_Deadline,GanttView[[#This Row],[_Row]])))</f>
        <v>0</v>
      </c>
      <c r="V67" s="133" t="b">
        <f aca="false">IF(IFERROR(INDEX(tsk_Name,GanttView[[#This Row],[_Row]])="",TRUE()),FALSE(),INDEX(tsk_Critical,GanttView[[#This Row],[_Row]])="Yes")</f>
        <v>0</v>
      </c>
    </row>
    <row r="68" customFormat="false" ht="15" hidden="false" customHeight="false" outlineLevel="0" collapsed="false">
      <c r="A68" s="127" t="str">
        <f aca="false">IF(IFERROR(INDEX(tsk_Name,GanttView[[#This Row],[_Row]])="",TRUE()),"",INDEX(tsk_ID,GanttView[[#This Row],[_Row]]))</f>
        <v/>
      </c>
      <c r="B68" s="127" t="str">
        <f aca="false">IF(IFERROR(INDEX(tsk_Name,GanttView[[#This Row],[_Row]])="",TRUE()),"",INDEX(tsk_WBS,GanttView[[#This Row],[_Row]]))</f>
        <v/>
      </c>
      <c r="C68" s="128" t="str">
        <f aca="false">IF(IFERROR(INDEX(tsk_Name,GanttView[[#This Row],[_Row]])="",TRUE()),"",REPT("    ",INDEX(tsk_Level,GanttView[[#This Row],[_Row]])-1)&amp;INDEX(tsk_Name,GanttView[[#This Row],[_Row]]))</f>
        <v/>
      </c>
      <c r="D68" s="127" t="str">
        <f aca="false">IF(IFERROR(INDEX(tsk_Name,GanttView[[#This Row],[_Row]])="",TRUE()),"",IF(INDEX(tsk_IsSummary,GanttView[[#This Row],[_Row]]),NETWORKDAYS.INTL(INDEX(tsk_FcStart,GanttView[[#This Row],[_Row]]),INDEX(tsk_FcFinish,GanttView[[#This Row],[_Row]]),WorkWeek,Holidays),N(INDEX(tsk_Duration,GanttView[[#This Row],[_Row]]))))</f>
        <v/>
      </c>
      <c r="E68" s="129" t="str">
        <f aca="false">IF(IFERROR(INDEX(tsk_Name,GanttView[[#This Row],[_Row]])="",TRUE()),"",INDEX(tsk_PlanStart,GanttView[[#This Row],[_Row]]))</f>
        <v/>
      </c>
      <c r="F68" s="129" t="str">
        <f aca="false">IF(IFERROR(INDEX(tsk_Name,GanttView[[#This Row],[_Row]])="",TRUE()),"",INDEX(tsk_PlanFinish,GanttView[[#This Row],[_Row]]))</f>
        <v/>
      </c>
      <c r="G68" s="129" t="str">
        <f aca="false">IF(IFERROR(INDEX(tsk_Name,GanttView[[#This Row],[_Row]])="",TRUE()),"",INDEX(tsk_FcStart,GanttView[[#This Row],[_Row]]))</f>
        <v/>
      </c>
      <c r="H68" s="129" t="str">
        <f aca="false">IF(IFERROR(INDEX(tsk_Name,GanttView[[#This Row],[_Row]])="",TRUE()),"",INDEX(tsk_FcFinish,GanttView[[#This Row],[_Row]]))</f>
        <v/>
      </c>
      <c r="I68" s="130" t="str">
        <f aca="false">IF(IFERROR(INDEX(tsk_Name,GanttView[[#This Row],[_Row]])="",TRUE()),"",INDEX(tsk_Progress,GanttView[[#This Row],[_Row]]))</f>
        <v/>
      </c>
      <c r="J68" s="128" t="str">
        <f aca="false">IF(IFERROR(INDEX(tsk_Name,GanttView[[#This Row],[_Row]])="",TRUE()),"",INDEX(tsk_ResourceNames,GanttView[[#This Row],[_Row]])&amp;"")</f>
        <v/>
      </c>
      <c r="K68" s="131" t="str">
        <f aca="false">IF(IFERROR(INDEX(tsk_Name,GanttView[[#This Row],[_Row]])="",TRUE()),"",INDEX(tsk_Status,GanttView[[#This Row],[_Row]]))</f>
        <v/>
      </c>
      <c r="L68" s="131" t="str">
        <f aca="false">IF(IFERROR(INDEX(tsk_Name,GanttView[[#This Row],[_Row]])="",TRUE()),"",INDEX(tsk_Show,GanttView[[#This Row],[_Row]])&amp;"")</f>
        <v/>
      </c>
      <c r="M68" s="132" t="n">
        <f aca="false">ROW()-ROW(GanttView[[#Headers],[ID]])</f>
        <v>63</v>
      </c>
      <c r="N68" s="133" t="b">
        <f aca="false">IF(IFERROR(INDEX(tsk_Name,GanttView[[#This Row],[_Row]])="",TRUE()),FALSE(),INDEX(tsk_IsSummary,GanttView[[#This Row],[_Row]]))</f>
        <v>0</v>
      </c>
      <c r="O68" s="133" t="b">
        <f aca="false">IF(IFERROR(INDEX(tsk_Name,GanttView[[#This Row],[_Row]])="",TRUE()),FALSE(),AND(INDEX(tsk_IsLeaf,GanttView[[#This Row],[_Row]])=1,N(INDEX(tsk_Duration,GanttView[[#This Row],[_Row]]))=0))</f>
        <v>0</v>
      </c>
      <c r="P68" s="134" t="n">
        <f aca="false">IF(IFERROR(INDEX(tsk_Name,GanttView[[#This Row],[_Row]])="",TRUE()),0,IF(AND(INDEX(tsk_IsLeaf,GanttView[[#This Row],[_Row]])=1,NOT(GanttView[[#This Row],[_IsMilestone]]),N(GanttView[[#This Row],[%]])&gt;0),GanttView[[#This Row],[Forecast Start]],0))</f>
        <v>0</v>
      </c>
      <c r="Q68" s="134" t="n">
        <f aca="false">IF(GanttView[[#This Row],[_DoneFrom]]=0,0,IF(GanttView[[#This Row],[%]]&gt;=1,GanttView[[#This Row],[Forecast Finish]],MAX(GanttView[[#This Row],[_DoneFrom]],GanttView[[#This Row],[Forecast Start]]+ROUND((GanttView[[#This Row],[Forecast Finish]]-GanttView[[#This Row],[Forecast Start]]+1)*GanttView[[#This Row],[%]],0)-1)))</f>
        <v>0</v>
      </c>
      <c r="R68" s="134" t="n">
        <f aca="false">IF(IFERROR(INDEX(tsk_Name,GanttView[[#This Row],[_Row]])="",TRUE()),0,IF(OR(INDEX(tsk_IsLeaf,GanttView[[#This Row],[_Row]])&lt;&gt;1,GanttView[[#This Row],[_IsMilestone]],N(GanttView[[#This Row],[%]])&gt;=1),0,IF(GanttView[[#This Row],[_DoneTo]]&gt;0,GanttView[[#This Row],[_DoneTo]]+1,GanttView[[#This Row],[Forecast Start]])))</f>
        <v>0</v>
      </c>
      <c r="S68" s="134" t="n">
        <f aca="false">IF(GanttView[[#This Row],[_RemFrom]]=0,0,GanttView[[#This Row],[Forecast Finish]])</f>
        <v>0</v>
      </c>
      <c r="T68" s="133" t="b">
        <f aca="false">IF(IFERROR(INDEX(tsk_Name,GanttView[[#This Row],[_Row]])="",TRUE()),FALSE(),N(INDEX(tsk_Variance,GanttView[[#This Row],[_Row]]))&gt;0)</f>
        <v>0</v>
      </c>
      <c r="U68" s="134" t="n">
        <f aca="false">IF(IFERROR(INDEX(tsk_Name,GanttView[[#This Row],[_Row]])="",TRUE()),0,N(INDEX(tsk_Deadline,GanttView[[#This Row],[_Row]])))</f>
        <v>0</v>
      </c>
      <c r="V68" s="133" t="b">
        <f aca="false">IF(IFERROR(INDEX(tsk_Name,GanttView[[#This Row],[_Row]])="",TRUE()),FALSE(),INDEX(tsk_Critical,GanttView[[#This Row],[_Row]])="Yes")</f>
        <v>0</v>
      </c>
    </row>
    <row r="69" customFormat="false" ht="15" hidden="false" customHeight="false" outlineLevel="0" collapsed="false">
      <c r="A69" s="127" t="str">
        <f aca="false">IF(IFERROR(INDEX(tsk_Name,GanttView[[#This Row],[_Row]])="",TRUE()),"",INDEX(tsk_ID,GanttView[[#This Row],[_Row]]))</f>
        <v/>
      </c>
      <c r="B69" s="127" t="str">
        <f aca="false">IF(IFERROR(INDEX(tsk_Name,GanttView[[#This Row],[_Row]])="",TRUE()),"",INDEX(tsk_WBS,GanttView[[#This Row],[_Row]]))</f>
        <v/>
      </c>
      <c r="C69" s="128" t="str">
        <f aca="false">IF(IFERROR(INDEX(tsk_Name,GanttView[[#This Row],[_Row]])="",TRUE()),"",REPT("    ",INDEX(tsk_Level,GanttView[[#This Row],[_Row]])-1)&amp;INDEX(tsk_Name,GanttView[[#This Row],[_Row]]))</f>
        <v/>
      </c>
      <c r="D69" s="127" t="str">
        <f aca="false">IF(IFERROR(INDEX(tsk_Name,GanttView[[#This Row],[_Row]])="",TRUE()),"",IF(INDEX(tsk_IsSummary,GanttView[[#This Row],[_Row]]),NETWORKDAYS.INTL(INDEX(tsk_FcStart,GanttView[[#This Row],[_Row]]),INDEX(tsk_FcFinish,GanttView[[#This Row],[_Row]]),WorkWeek,Holidays),N(INDEX(tsk_Duration,GanttView[[#This Row],[_Row]]))))</f>
        <v/>
      </c>
      <c r="E69" s="129" t="str">
        <f aca="false">IF(IFERROR(INDEX(tsk_Name,GanttView[[#This Row],[_Row]])="",TRUE()),"",INDEX(tsk_PlanStart,GanttView[[#This Row],[_Row]]))</f>
        <v/>
      </c>
      <c r="F69" s="129" t="str">
        <f aca="false">IF(IFERROR(INDEX(tsk_Name,GanttView[[#This Row],[_Row]])="",TRUE()),"",INDEX(tsk_PlanFinish,GanttView[[#This Row],[_Row]]))</f>
        <v/>
      </c>
      <c r="G69" s="129" t="str">
        <f aca="false">IF(IFERROR(INDEX(tsk_Name,GanttView[[#This Row],[_Row]])="",TRUE()),"",INDEX(tsk_FcStart,GanttView[[#This Row],[_Row]]))</f>
        <v/>
      </c>
      <c r="H69" s="129" t="str">
        <f aca="false">IF(IFERROR(INDEX(tsk_Name,GanttView[[#This Row],[_Row]])="",TRUE()),"",INDEX(tsk_FcFinish,GanttView[[#This Row],[_Row]]))</f>
        <v/>
      </c>
      <c r="I69" s="130" t="str">
        <f aca="false">IF(IFERROR(INDEX(tsk_Name,GanttView[[#This Row],[_Row]])="",TRUE()),"",INDEX(tsk_Progress,GanttView[[#This Row],[_Row]]))</f>
        <v/>
      </c>
      <c r="J69" s="128" t="str">
        <f aca="false">IF(IFERROR(INDEX(tsk_Name,GanttView[[#This Row],[_Row]])="",TRUE()),"",INDEX(tsk_ResourceNames,GanttView[[#This Row],[_Row]])&amp;"")</f>
        <v/>
      </c>
      <c r="K69" s="131" t="str">
        <f aca="false">IF(IFERROR(INDEX(tsk_Name,GanttView[[#This Row],[_Row]])="",TRUE()),"",INDEX(tsk_Status,GanttView[[#This Row],[_Row]]))</f>
        <v/>
      </c>
      <c r="L69" s="131" t="str">
        <f aca="false">IF(IFERROR(INDEX(tsk_Name,GanttView[[#This Row],[_Row]])="",TRUE()),"",INDEX(tsk_Show,GanttView[[#This Row],[_Row]])&amp;"")</f>
        <v/>
      </c>
      <c r="M69" s="132" t="n">
        <f aca="false">ROW()-ROW(GanttView[[#Headers],[ID]])</f>
        <v>64</v>
      </c>
      <c r="N69" s="133" t="b">
        <f aca="false">IF(IFERROR(INDEX(tsk_Name,GanttView[[#This Row],[_Row]])="",TRUE()),FALSE(),INDEX(tsk_IsSummary,GanttView[[#This Row],[_Row]]))</f>
        <v>0</v>
      </c>
      <c r="O69" s="133" t="b">
        <f aca="false">IF(IFERROR(INDEX(tsk_Name,GanttView[[#This Row],[_Row]])="",TRUE()),FALSE(),AND(INDEX(tsk_IsLeaf,GanttView[[#This Row],[_Row]])=1,N(INDEX(tsk_Duration,GanttView[[#This Row],[_Row]]))=0))</f>
        <v>0</v>
      </c>
      <c r="P69" s="134" t="n">
        <f aca="false">IF(IFERROR(INDEX(tsk_Name,GanttView[[#This Row],[_Row]])="",TRUE()),0,IF(AND(INDEX(tsk_IsLeaf,GanttView[[#This Row],[_Row]])=1,NOT(GanttView[[#This Row],[_IsMilestone]]),N(GanttView[[#This Row],[%]])&gt;0),GanttView[[#This Row],[Forecast Start]],0))</f>
        <v>0</v>
      </c>
      <c r="Q69" s="134" t="n">
        <f aca="false">IF(GanttView[[#This Row],[_DoneFrom]]=0,0,IF(GanttView[[#This Row],[%]]&gt;=1,GanttView[[#This Row],[Forecast Finish]],MAX(GanttView[[#This Row],[_DoneFrom]],GanttView[[#This Row],[Forecast Start]]+ROUND((GanttView[[#This Row],[Forecast Finish]]-GanttView[[#This Row],[Forecast Start]]+1)*GanttView[[#This Row],[%]],0)-1)))</f>
        <v>0</v>
      </c>
      <c r="R69" s="134" t="n">
        <f aca="false">IF(IFERROR(INDEX(tsk_Name,GanttView[[#This Row],[_Row]])="",TRUE()),0,IF(OR(INDEX(tsk_IsLeaf,GanttView[[#This Row],[_Row]])&lt;&gt;1,GanttView[[#This Row],[_IsMilestone]],N(GanttView[[#This Row],[%]])&gt;=1),0,IF(GanttView[[#This Row],[_DoneTo]]&gt;0,GanttView[[#This Row],[_DoneTo]]+1,GanttView[[#This Row],[Forecast Start]])))</f>
        <v>0</v>
      </c>
      <c r="S69" s="134" t="n">
        <f aca="false">IF(GanttView[[#This Row],[_RemFrom]]=0,0,GanttView[[#This Row],[Forecast Finish]])</f>
        <v>0</v>
      </c>
      <c r="T69" s="133" t="b">
        <f aca="false">IF(IFERROR(INDEX(tsk_Name,GanttView[[#This Row],[_Row]])="",TRUE()),FALSE(),N(INDEX(tsk_Variance,GanttView[[#This Row],[_Row]]))&gt;0)</f>
        <v>0</v>
      </c>
      <c r="U69" s="134" t="n">
        <f aca="false">IF(IFERROR(INDEX(tsk_Name,GanttView[[#This Row],[_Row]])="",TRUE()),0,N(INDEX(tsk_Deadline,GanttView[[#This Row],[_Row]])))</f>
        <v>0</v>
      </c>
      <c r="V69" s="133" t="b">
        <f aca="false">IF(IFERROR(INDEX(tsk_Name,GanttView[[#This Row],[_Row]])="",TRUE()),FALSE(),INDEX(tsk_Critical,GanttView[[#This Row],[_Row]])="Yes")</f>
        <v>0</v>
      </c>
    </row>
    <row r="70" customFormat="false" ht="15" hidden="false" customHeight="false" outlineLevel="0" collapsed="false">
      <c r="A70" s="127" t="str">
        <f aca="false">IF(IFERROR(INDEX(tsk_Name,GanttView[[#This Row],[_Row]])="",TRUE()),"",INDEX(tsk_ID,GanttView[[#This Row],[_Row]]))</f>
        <v/>
      </c>
      <c r="B70" s="127" t="str">
        <f aca="false">IF(IFERROR(INDEX(tsk_Name,GanttView[[#This Row],[_Row]])="",TRUE()),"",INDEX(tsk_WBS,GanttView[[#This Row],[_Row]]))</f>
        <v/>
      </c>
      <c r="C70" s="128" t="str">
        <f aca="false">IF(IFERROR(INDEX(tsk_Name,GanttView[[#This Row],[_Row]])="",TRUE()),"",REPT("    ",INDEX(tsk_Level,GanttView[[#This Row],[_Row]])-1)&amp;INDEX(tsk_Name,GanttView[[#This Row],[_Row]]))</f>
        <v/>
      </c>
      <c r="D70" s="127" t="str">
        <f aca="false">IF(IFERROR(INDEX(tsk_Name,GanttView[[#This Row],[_Row]])="",TRUE()),"",IF(INDEX(tsk_IsSummary,GanttView[[#This Row],[_Row]]),NETWORKDAYS.INTL(INDEX(tsk_FcStart,GanttView[[#This Row],[_Row]]),INDEX(tsk_FcFinish,GanttView[[#This Row],[_Row]]),WorkWeek,Holidays),N(INDEX(tsk_Duration,GanttView[[#This Row],[_Row]]))))</f>
        <v/>
      </c>
      <c r="E70" s="129" t="str">
        <f aca="false">IF(IFERROR(INDEX(tsk_Name,GanttView[[#This Row],[_Row]])="",TRUE()),"",INDEX(tsk_PlanStart,GanttView[[#This Row],[_Row]]))</f>
        <v/>
      </c>
      <c r="F70" s="129" t="str">
        <f aca="false">IF(IFERROR(INDEX(tsk_Name,GanttView[[#This Row],[_Row]])="",TRUE()),"",INDEX(tsk_PlanFinish,GanttView[[#This Row],[_Row]]))</f>
        <v/>
      </c>
      <c r="G70" s="129" t="str">
        <f aca="false">IF(IFERROR(INDEX(tsk_Name,GanttView[[#This Row],[_Row]])="",TRUE()),"",INDEX(tsk_FcStart,GanttView[[#This Row],[_Row]]))</f>
        <v/>
      </c>
      <c r="H70" s="129" t="str">
        <f aca="false">IF(IFERROR(INDEX(tsk_Name,GanttView[[#This Row],[_Row]])="",TRUE()),"",INDEX(tsk_FcFinish,GanttView[[#This Row],[_Row]]))</f>
        <v/>
      </c>
      <c r="I70" s="130" t="str">
        <f aca="false">IF(IFERROR(INDEX(tsk_Name,GanttView[[#This Row],[_Row]])="",TRUE()),"",INDEX(tsk_Progress,GanttView[[#This Row],[_Row]]))</f>
        <v/>
      </c>
      <c r="J70" s="128" t="str">
        <f aca="false">IF(IFERROR(INDEX(tsk_Name,GanttView[[#This Row],[_Row]])="",TRUE()),"",INDEX(tsk_ResourceNames,GanttView[[#This Row],[_Row]])&amp;"")</f>
        <v/>
      </c>
      <c r="K70" s="131" t="str">
        <f aca="false">IF(IFERROR(INDEX(tsk_Name,GanttView[[#This Row],[_Row]])="",TRUE()),"",INDEX(tsk_Status,GanttView[[#This Row],[_Row]]))</f>
        <v/>
      </c>
      <c r="L70" s="131" t="str">
        <f aca="false">IF(IFERROR(INDEX(tsk_Name,GanttView[[#This Row],[_Row]])="",TRUE()),"",INDEX(tsk_Show,GanttView[[#This Row],[_Row]])&amp;"")</f>
        <v/>
      </c>
      <c r="M70" s="132" t="n">
        <f aca="false">ROW()-ROW(GanttView[[#Headers],[ID]])</f>
        <v>65</v>
      </c>
      <c r="N70" s="133" t="b">
        <f aca="false">IF(IFERROR(INDEX(tsk_Name,GanttView[[#This Row],[_Row]])="",TRUE()),FALSE(),INDEX(tsk_IsSummary,GanttView[[#This Row],[_Row]]))</f>
        <v>0</v>
      </c>
      <c r="O70" s="133" t="b">
        <f aca="false">IF(IFERROR(INDEX(tsk_Name,GanttView[[#This Row],[_Row]])="",TRUE()),FALSE(),AND(INDEX(tsk_IsLeaf,GanttView[[#This Row],[_Row]])=1,N(INDEX(tsk_Duration,GanttView[[#This Row],[_Row]]))=0))</f>
        <v>0</v>
      </c>
      <c r="P70" s="134" t="n">
        <f aca="false">IF(IFERROR(INDEX(tsk_Name,GanttView[[#This Row],[_Row]])="",TRUE()),0,IF(AND(INDEX(tsk_IsLeaf,GanttView[[#This Row],[_Row]])=1,NOT(GanttView[[#This Row],[_IsMilestone]]),N(GanttView[[#This Row],[%]])&gt;0),GanttView[[#This Row],[Forecast Start]],0))</f>
        <v>0</v>
      </c>
      <c r="Q70" s="134" t="n">
        <f aca="false">IF(GanttView[[#This Row],[_DoneFrom]]=0,0,IF(GanttView[[#This Row],[%]]&gt;=1,GanttView[[#This Row],[Forecast Finish]],MAX(GanttView[[#This Row],[_DoneFrom]],GanttView[[#This Row],[Forecast Start]]+ROUND((GanttView[[#This Row],[Forecast Finish]]-GanttView[[#This Row],[Forecast Start]]+1)*GanttView[[#This Row],[%]],0)-1)))</f>
        <v>0</v>
      </c>
      <c r="R70" s="134" t="n">
        <f aca="false">IF(IFERROR(INDEX(tsk_Name,GanttView[[#This Row],[_Row]])="",TRUE()),0,IF(OR(INDEX(tsk_IsLeaf,GanttView[[#This Row],[_Row]])&lt;&gt;1,GanttView[[#This Row],[_IsMilestone]],N(GanttView[[#This Row],[%]])&gt;=1),0,IF(GanttView[[#This Row],[_DoneTo]]&gt;0,GanttView[[#This Row],[_DoneTo]]+1,GanttView[[#This Row],[Forecast Start]])))</f>
        <v>0</v>
      </c>
      <c r="S70" s="134" t="n">
        <f aca="false">IF(GanttView[[#This Row],[_RemFrom]]=0,0,GanttView[[#This Row],[Forecast Finish]])</f>
        <v>0</v>
      </c>
      <c r="T70" s="133" t="b">
        <f aca="false">IF(IFERROR(INDEX(tsk_Name,GanttView[[#This Row],[_Row]])="",TRUE()),FALSE(),N(INDEX(tsk_Variance,GanttView[[#This Row],[_Row]]))&gt;0)</f>
        <v>0</v>
      </c>
      <c r="U70" s="134" t="n">
        <f aca="false">IF(IFERROR(INDEX(tsk_Name,GanttView[[#This Row],[_Row]])="",TRUE()),0,N(INDEX(tsk_Deadline,GanttView[[#This Row],[_Row]])))</f>
        <v>0</v>
      </c>
      <c r="V70" s="133" t="b">
        <f aca="false">IF(IFERROR(INDEX(tsk_Name,GanttView[[#This Row],[_Row]])="",TRUE()),FALSE(),INDEX(tsk_Critical,GanttView[[#This Row],[_Row]])="Yes")</f>
        <v>0</v>
      </c>
    </row>
    <row r="71" customFormat="false" ht="15" hidden="false" customHeight="false" outlineLevel="0" collapsed="false">
      <c r="A71" s="127" t="str">
        <f aca="false">IF(IFERROR(INDEX(tsk_Name,GanttView[[#This Row],[_Row]])="",TRUE()),"",INDEX(tsk_ID,GanttView[[#This Row],[_Row]]))</f>
        <v/>
      </c>
      <c r="B71" s="127" t="str">
        <f aca="false">IF(IFERROR(INDEX(tsk_Name,GanttView[[#This Row],[_Row]])="",TRUE()),"",INDEX(tsk_WBS,GanttView[[#This Row],[_Row]]))</f>
        <v/>
      </c>
      <c r="C71" s="128" t="str">
        <f aca="false">IF(IFERROR(INDEX(tsk_Name,GanttView[[#This Row],[_Row]])="",TRUE()),"",REPT("    ",INDEX(tsk_Level,GanttView[[#This Row],[_Row]])-1)&amp;INDEX(tsk_Name,GanttView[[#This Row],[_Row]]))</f>
        <v/>
      </c>
      <c r="D71" s="127" t="str">
        <f aca="false">IF(IFERROR(INDEX(tsk_Name,GanttView[[#This Row],[_Row]])="",TRUE()),"",IF(INDEX(tsk_IsSummary,GanttView[[#This Row],[_Row]]),NETWORKDAYS.INTL(INDEX(tsk_FcStart,GanttView[[#This Row],[_Row]]),INDEX(tsk_FcFinish,GanttView[[#This Row],[_Row]]),WorkWeek,Holidays),N(INDEX(tsk_Duration,GanttView[[#This Row],[_Row]]))))</f>
        <v/>
      </c>
      <c r="E71" s="129" t="str">
        <f aca="false">IF(IFERROR(INDEX(tsk_Name,GanttView[[#This Row],[_Row]])="",TRUE()),"",INDEX(tsk_PlanStart,GanttView[[#This Row],[_Row]]))</f>
        <v/>
      </c>
      <c r="F71" s="129" t="str">
        <f aca="false">IF(IFERROR(INDEX(tsk_Name,GanttView[[#This Row],[_Row]])="",TRUE()),"",INDEX(tsk_PlanFinish,GanttView[[#This Row],[_Row]]))</f>
        <v/>
      </c>
      <c r="G71" s="129" t="str">
        <f aca="false">IF(IFERROR(INDEX(tsk_Name,GanttView[[#This Row],[_Row]])="",TRUE()),"",INDEX(tsk_FcStart,GanttView[[#This Row],[_Row]]))</f>
        <v/>
      </c>
      <c r="H71" s="129" t="str">
        <f aca="false">IF(IFERROR(INDEX(tsk_Name,GanttView[[#This Row],[_Row]])="",TRUE()),"",INDEX(tsk_FcFinish,GanttView[[#This Row],[_Row]]))</f>
        <v/>
      </c>
      <c r="I71" s="130" t="str">
        <f aca="false">IF(IFERROR(INDEX(tsk_Name,GanttView[[#This Row],[_Row]])="",TRUE()),"",INDEX(tsk_Progress,GanttView[[#This Row],[_Row]]))</f>
        <v/>
      </c>
      <c r="J71" s="128" t="str">
        <f aca="false">IF(IFERROR(INDEX(tsk_Name,GanttView[[#This Row],[_Row]])="",TRUE()),"",INDEX(tsk_ResourceNames,GanttView[[#This Row],[_Row]])&amp;"")</f>
        <v/>
      </c>
      <c r="K71" s="131" t="str">
        <f aca="false">IF(IFERROR(INDEX(tsk_Name,GanttView[[#This Row],[_Row]])="",TRUE()),"",INDEX(tsk_Status,GanttView[[#This Row],[_Row]]))</f>
        <v/>
      </c>
      <c r="L71" s="131" t="str">
        <f aca="false">IF(IFERROR(INDEX(tsk_Name,GanttView[[#This Row],[_Row]])="",TRUE()),"",INDEX(tsk_Show,GanttView[[#This Row],[_Row]])&amp;"")</f>
        <v/>
      </c>
      <c r="M71" s="132" t="n">
        <f aca="false">ROW()-ROW(GanttView[[#Headers],[ID]])</f>
        <v>66</v>
      </c>
      <c r="N71" s="133" t="b">
        <f aca="false">IF(IFERROR(INDEX(tsk_Name,GanttView[[#This Row],[_Row]])="",TRUE()),FALSE(),INDEX(tsk_IsSummary,GanttView[[#This Row],[_Row]]))</f>
        <v>0</v>
      </c>
      <c r="O71" s="133" t="b">
        <f aca="false">IF(IFERROR(INDEX(tsk_Name,GanttView[[#This Row],[_Row]])="",TRUE()),FALSE(),AND(INDEX(tsk_IsLeaf,GanttView[[#This Row],[_Row]])=1,N(INDEX(tsk_Duration,GanttView[[#This Row],[_Row]]))=0))</f>
        <v>0</v>
      </c>
      <c r="P71" s="134" t="n">
        <f aca="false">IF(IFERROR(INDEX(tsk_Name,GanttView[[#This Row],[_Row]])="",TRUE()),0,IF(AND(INDEX(tsk_IsLeaf,GanttView[[#This Row],[_Row]])=1,NOT(GanttView[[#This Row],[_IsMilestone]]),N(GanttView[[#This Row],[%]])&gt;0),GanttView[[#This Row],[Forecast Start]],0))</f>
        <v>0</v>
      </c>
      <c r="Q71" s="134" t="n">
        <f aca="false">IF(GanttView[[#This Row],[_DoneFrom]]=0,0,IF(GanttView[[#This Row],[%]]&gt;=1,GanttView[[#This Row],[Forecast Finish]],MAX(GanttView[[#This Row],[_DoneFrom]],GanttView[[#This Row],[Forecast Start]]+ROUND((GanttView[[#This Row],[Forecast Finish]]-GanttView[[#This Row],[Forecast Start]]+1)*GanttView[[#This Row],[%]],0)-1)))</f>
        <v>0</v>
      </c>
      <c r="R71" s="134" t="n">
        <f aca="false">IF(IFERROR(INDEX(tsk_Name,GanttView[[#This Row],[_Row]])="",TRUE()),0,IF(OR(INDEX(tsk_IsLeaf,GanttView[[#This Row],[_Row]])&lt;&gt;1,GanttView[[#This Row],[_IsMilestone]],N(GanttView[[#This Row],[%]])&gt;=1),0,IF(GanttView[[#This Row],[_DoneTo]]&gt;0,GanttView[[#This Row],[_DoneTo]]+1,GanttView[[#This Row],[Forecast Start]])))</f>
        <v>0</v>
      </c>
      <c r="S71" s="134" t="n">
        <f aca="false">IF(GanttView[[#This Row],[_RemFrom]]=0,0,GanttView[[#This Row],[Forecast Finish]])</f>
        <v>0</v>
      </c>
      <c r="T71" s="133" t="b">
        <f aca="false">IF(IFERROR(INDEX(tsk_Name,GanttView[[#This Row],[_Row]])="",TRUE()),FALSE(),N(INDEX(tsk_Variance,GanttView[[#This Row],[_Row]]))&gt;0)</f>
        <v>0</v>
      </c>
      <c r="U71" s="134" t="n">
        <f aca="false">IF(IFERROR(INDEX(tsk_Name,GanttView[[#This Row],[_Row]])="",TRUE()),0,N(INDEX(tsk_Deadline,GanttView[[#This Row],[_Row]])))</f>
        <v>0</v>
      </c>
      <c r="V71" s="133" t="b">
        <f aca="false">IF(IFERROR(INDEX(tsk_Name,GanttView[[#This Row],[_Row]])="",TRUE()),FALSE(),INDEX(tsk_Critical,GanttView[[#This Row],[_Row]])="Yes")</f>
        <v>0</v>
      </c>
    </row>
    <row r="72" customFormat="false" ht="15" hidden="false" customHeight="false" outlineLevel="0" collapsed="false">
      <c r="A72" s="127" t="str">
        <f aca="false">IF(IFERROR(INDEX(tsk_Name,GanttView[[#This Row],[_Row]])="",TRUE()),"",INDEX(tsk_ID,GanttView[[#This Row],[_Row]]))</f>
        <v/>
      </c>
      <c r="B72" s="127" t="str">
        <f aca="false">IF(IFERROR(INDEX(tsk_Name,GanttView[[#This Row],[_Row]])="",TRUE()),"",INDEX(tsk_WBS,GanttView[[#This Row],[_Row]]))</f>
        <v/>
      </c>
      <c r="C72" s="128" t="str">
        <f aca="false">IF(IFERROR(INDEX(tsk_Name,GanttView[[#This Row],[_Row]])="",TRUE()),"",REPT("    ",INDEX(tsk_Level,GanttView[[#This Row],[_Row]])-1)&amp;INDEX(tsk_Name,GanttView[[#This Row],[_Row]]))</f>
        <v/>
      </c>
      <c r="D72" s="127" t="str">
        <f aca="false">IF(IFERROR(INDEX(tsk_Name,GanttView[[#This Row],[_Row]])="",TRUE()),"",IF(INDEX(tsk_IsSummary,GanttView[[#This Row],[_Row]]),NETWORKDAYS.INTL(INDEX(tsk_FcStart,GanttView[[#This Row],[_Row]]),INDEX(tsk_FcFinish,GanttView[[#This Row],[_Row]]),WorkWeek,Holidays),N(INDEX(tsk_Duration,GanttView[[#This Row],[_Row]]))))</f>
        <v/>
      </c>
      <c r="E72" s="129" t="str">
        <f aca="false">IF(IFERROR(INDEX(tsk_Name,GanttView[[#This Row],[_Row]])="",TRUE()),"",INDEX(tsk_PlanStart,GanttView[[#This Row],[_Row]]))</f>
        <v/>
      </c>
      <c r="F72" s="129" t="str">
        <f aca="false">IF(IFERROR(INDEX(tsk_Name,GanttView[[#This Row],[_Row]])="",TRUE()),"",INDEX(tsk_PlanFinish,GanttView[[#This Row],[_Row]]))</f>
        <v/>
      </c>
      <c r="G72" s="129" t="str">
        <f aca="false">IF(IFERROR(INDEX(tsk_Name,GanttView[[#This Row],[_Row]])="",TRUE()),"",INDEX(tsk_FcStart,GanttView[[#This Row],[_Row]]))</f>
        <v/>
      </c>
      <c r="H72" s="129" t="str">
        <f aca="false">IF(IFERROR(INDEX(tsk_Name,GanttView[[#This Row],[_Row]])="",TRUE()),"",INDEX(tsk_FcFinish,GanttView[[#This Row],[_Row]]))</f>
        <v/>
      </c>
      <c r="I72" s="130" t="str">
        <f aca="false">IF(IFERROR(INDEX(tsk_Name,GanttView[[#This Row],[_Row]])="",TRUE()),"",INDEX(tsk_Progress,GanttView[[#This Row],[_Row]]))</f>
        <v/>
      </c>
      <c r="J72" s="128" t="str">
        <f aca="false">IF(IFERROR(INDEX(tsk_Name,GanttView[[#This Row],[_Row]])="",TRUE()),"",INDEX(tsk_ResourceNames,GanttView[[#This Row],[_Row]])&amp;"")</f>
        <v/>
      </c>
      <c r="K72" s="131" t="str">
        <f aca="false">IF(IFERROR(INDEX(tsk_Name,GanttView[[#This Row],[_Row]])="",TRUE()),"",INDEX(tsk_Status,GanttView[[#This Row],[_Row]]))</f>
        <v/>
      </c>
      <c r="L72" s="131" t="str">
        <f aca="false">IF(IFERROR(INDEX(tsk_Name,GanttView[[#This Row],[_Row]])="",TRUE()),"",INDEX(tsk_Show,GanttView[[#This Row],[_Row]])&amp;"")</f>
        <v/>
      </c>
      <c r="M72" s="132" t="n">
        <f aca="false">ROW()-ROW(GanttView[[#Headers],[ID]])</f>
        <v>67</v>
      </c>
      <c r="N72" s="133" t="b">
        <f aca="false">IF(IFERROR(INDEX(tsk_Name,GanttView[[#This Row],[_Row]])="",TRUE()),FALSE(),INDEX(tsk_IsSummary,GanttView[[#This Row],[_Row]]))</f>
        <v>0</v>
      </c>
      <c r="O72" s="133" t="b">
        <f aca="false">IF(IFERROR(INDEX(tsk_Name,GanttView[[#This Row],[_Row]])="",TRUE()),FALSE(),AND(INDEX(tsk_IsLeaf,GanttView[[#This Row],[_Row]])=1,N(INDEX(tsk_Duration,GanttView[[#This Row],[_Row]]))=0))</f>
        <v>0</v>
      </c>
      <c r="P72" s="134" t="n">
        <f aca="false">IF(IFERROR(INDEX(tsk_Name,GanttView[[#This Row],[_Row]])="",TRUE()),0,IF(AND(INDEX(tsk_IsLeaf,GanttView[[#This Row],[_Row]])=1,NOT(GanttView[[#This Row],[_IsMilestone]]),N(GanttView[[#This Row],[%]])&gt;0),GanttView[[#This Row],[Forecast Start]],0))</f>
        <v>0</v>
      </c>
      <c r="Q72" s="134" t="n">
        <f aca="false">IF(GanttView[[#This Row],[_DoneFrom]]=0,0,IF(GanttView[[#This Row],[%]]&gt;=1,GanttView[[#This Row],[Forecast Finish]],MAX(GanttView[[#This Row],[_DoneFrom]],GanttView[[#This Row],[Forecast Start]]+ROUND((GanttView[[#This Row],[Forecast Finish]]-GanttView[[#This Row],[Forecast Start]]+1)*GanttView[[#This Row],[%]],0)-1)))</f>
        <v>0</v>
      </c>
      <c r="R72" s="134" t="n">
        <f aca="false">IF(IFERROR(INDEX(tsk_Name,GanttView[[#This Row],[_Row]])="",TRUE()),0,IF(OR(INDEX(tsk_IsLeaf,GanttView[[#This Row],[_Row]])&lt;&gt;1,GanttView[[#This Row],[_IsMilestone]],N(GanttView[[#This Row],[%]])&gt;=1),0,IF(GanttView[[#This Row],[_DoneTo]]&gt;0,GanttView[[#This Row],[_DoneTo]]+1,GanttView[[#This Row],[Forecast Start]])))</f>
        <v>0</v>
      </c>
      <c r="S72" s="134" t="n">
        <f aca="false">IF(GanttView[[#This Row],[_RemFrom]]=0,0,GanttView[[#This Row],[Forecast Finish]])</f>
        <v>0</v>
      </c>
      <c r="T72" s="133" t="b">
        <f aca="false">IF(IFERROR(INDEX(tsk_Name,GanttView[[#This Row],[_Row]])="",TRUE()),FALSE(),N(INDEX(tsk_Variance,GanttView[[#This Row],[_Row]]))&gt;0)</f>
        <v>0</v>
      </c>
      <c r="U72" s="134" t="n">
        <f aca="false">IF(IFERROR(INDEX(tsk_Name,GanttView[[#This Row],[_Row]])="",TRUE()),0,N(INDEX(tsk_Deadline,GanttView[[#This Row],[_Row]])))</f>
        <v>0</v>
      </c>
      <c r="V72" s="133" t="b">
        <f aca="false">IF(IFERROR(INDEX(tsk_Name,GanttView[[#This Row],[_Row]])="",TRUE()),FALSE(),INDEX(tsk_Critical,GanttView[[#This Row],[_Row]])="Yes")</f>
        <v>0</v>
      </c>
    </row>
    <row r="73" customFormat="false" ht="15" hidden="false" customHeight="false" outlineLevel="0" collapsed="false">
      <c r="A73" s="127" t="str">
        <f aca="false">IF(IFERROR(INDEX(tsk_Name,GanttView[[#This Row],[_Row]])="",TRUE()),"",INDEX(tsk_ID,GanttView[[#This Row],[_Row]]))</f>
        <v/>
      </c>
      <c r="B73" s="127" t="str">
        <f aca="false">IF(IFERROR(INDEX(tsk_Name,GanttView[[#This Row],[_Row]])="",TRUE()),"",INDEX(tsk_WBS,GanttView[[#This Row],[_Row]]))</f>
        <v/>
      </c>
      <c r="C73" s="128" t="str">
        <f aca="false">IF(IFERROR(INDEX(tsk_Name,GanttView[[#This Row],[_Row]])="",TRUE()),"",REPT("    ",INDEX(tsk_Level,GanttView[[#This Row],[_Row]])-1)&amp;INDEX(tsk_Name,GanttView[[#This Row],[_Row]]))</f>
        <v/>
      </c>
      <c r="D73" s="127" t="str">
        <f aca="false">IF(IFERROR(INDEX(tsk_Name,GanttView[[#This Row],[_Row]])="",TRUE()),"",IF(INDEX(tsk_IsSummary,GanttView[[#This Row],[_Row]]),NETWORKDAYS.INTL(INDEX(tsk_FcStart,GanttView[[#This Row],[_Row]]),INDEX(tsk_FcFinish,GanttView[[#This Row],[_Row]]),WorkWeek,Holidays),N(INDEX(tsk_Duration,GanttView[[#This Row],[_Row]]))))</f>
        <v/>
      </c>
      <c r="E73" s="129" t="str">
        <f aca="false">IF(IFERROR(INDEX(tsk_Name,GanttView[[#This Row],[_Row]])="",TRUE()),"",INDEX(tsk_PlanStart,GanttView[[#This Row],[_Row]]))</f>
        <v/>
      </c>
      <c r="F73" s="129" t="str">
        <f aca="false">IF(IFERROR(INDEX(tsk_Name,GanttView[[#This Row],[_Row]])="",TRUE()),"",INDEX(tsk_PlanFinish,GanttView[[#This Row],[_Row]]))</f>
        <v/>
      </c>
      <c r="G73" s="129" t="str">
        <f aca="false">IF(IFERROR(INDEX(tsk_Name,GanttView[[#This Row],[_Row]])="",TRUE()),"",INDEX(tsk_FcStart,GanttView[[#This Row],[_Row]]))</f>
        <v/>
      </c>
      <c r="H73" s="129" t="str">
        <f aca="false">IF(IFERROR(INDEX(tsk_Name,GanttView[[#This Row],[_Row]])="",TRUE()),"",INDEX(tsk_FcFinish,GanttView[[#This Row],[_Row]]))</f>
        <v/>
      </c>
      <c r="I73" s="130" t="str">
        <f aca="false">IF(IFERROR(INDEX(tsk_Name,GanttView[[#This Row],[_Row]])="",TRUE()),"",INDEX(tsk_Progress,GanttView[[#This Row],[_Row]]))</f>
        <v/>
      </c>
      <c r="J73" s="128" t="str">
        <f aca="false">IF(IFERROR(INDEX(tsk_Name,GanttView[[#This Row],[_Row]])="",TRUE()),"",INDEX(tsk_ResourceNames,GanttView[[#This Row],[_Row]])&amp;"")</f>
        <v/>
      </c>
      <c r="K73" s="131" t="str">
        <f aca="false">IF(IFERROR(INDEX(tsk_Name,GanttView[[#This Row],[_Row]])="",TRUE()),"",INDEX(tsk_Status,GanttView[[#This Row],[_Row]]))</f>
        <v/>
      </c>
      <c r="L73" s="131" t="str">
        <f aca="false">IF(IFERROR(INDEX(tsk_Name,GanttView[[#This Row],[_Row]])="",TRUE()),"",INDEX(tsk_Show,GanttView[[#This Row],[_Row]])&amp;"")</f>
        <v/>
      </c>
      <c r="M73" s="132" t="n">
        <f aca="false">ROW()-ROW(GanttView[[#Headers],[ID]])</f>
        <v>68</v>
      </c>
      <c r="N73" s="133" t="b">
        <f aca="false">IF(IFERROR(INDEX(tsk_Name,GanttView[[#This Row],[_Row]])="",TRUE()),FALSE(),INDEX(tsk_IsSummary,GanttView[[#This Row],[_Row]]))</f>
        <v>0</v>
      </c>
      <c r="O73" s="133" t="b">
        <f aca="false">IF(IFERROR(INDEX(tsk_Name,GanttView[[#This Row],[_Row]])="",TRUE()),FALSE(),AND(INDEX(tsk_IsLeaf,GanttView[[#This Row],[_Row]])=1,N(INDEX(tsk_Duration,GanttView[[#This Row],[_Row]]))=0))</f>
        <v>0</v>
      </c>
      <c r="P73" s="134" t="n">
        <f aca="false">IF(IFERROR(INDEX(tsk_Name,GanttView[[#This Row],[_Row]])="",TRUE()),0,IF(AND(INDEX(tsk_IsLeaf,GanttView[[#This Row],[_Row]])=1,NOT(GanttView[[#This Row],[_IsMilestone]]),N(GanttView[[#This Row],[%]])&gt;0),GanttView[[#This Row],[Forecast Start]],0))</f>
        <v>0</v>
      </c>
      <c r="Q73" s="134" t="n">
        <f aca="false">IF(GanttView[[#This Row],[_DoneFrom]]=0,0,IF(GanttView[[#This Row],[%]]&gt;=1,GanttView[[#This Row],[Forecast Finish]],MAX(GanttView[[#This Row],[_DoneFrom]],GanttView[[#This Row],[Forecast Start]]+ROUND((GanttView[[#This Row],[Forecast Finish]]-GanttView[[#This Row],[Forecast Start]]+1)*GanttView[[#This Row],[%]],0)-1)))</f>
        <v>0</v>
      </c>
      <c r="R73" s="134" t="n">
        <f aca="false">IF(IFERROR(INDEX(tsk_Name,GanttView[[#This Row],[_Row]])="",TRUE()),0,IF(OR(INDEX(tsk_IsLeaf,GanttView[[#This Row],[_Row]])&lt;&gt;1,GanttView[[#This Row],[_IsMilestone]],N(GanttView[[#This Row],[%]])&gt;=1),0,IF(GanttView[[#This Row],[_DoneTo]]&gt;0,GanttView[[#This Row],[_DoneTo]]+1,GanttView[[#This Row],[Forecast Start]])))</f>
        <v>0</v>
      </c>
      <c r="S73" s="134" t="n">
        <f aca="false">IF(GanttView[[#This Row],[_RemFrom]]=0,0,GanttView[[#This Row],[Forecast Finish]])</f>
        <v>0</v>
      </c>
      <c r="T73" s="133" t="b">
        <f aca="false">IF(IFERROR(INDEX(tsk_Name,GanttView[[#This Row],[_Row]])="",TRUE()),FALSE(),N(INDEX(tsk_Variance,GanttView[[#This Row],[_Row]]))&gt;0)</f>
        <v>0</v>
      </c>
      <c r="U73" s="134" t="n">
        <f aca="false">IF(IFERROR(INDEX(tsk_Name,GanttView[[#This Row],[_Row]])="",TRUE()),0,N(INDEX(tsk_Deadline,GanttView[[#This Row],[_Row]])))</f>
        <v>0</v>
      </c>
      <c r="V73" s="133" t="b">
        <f aca="false">IF(IFERROR(INDEX(tsk_Name,GanttView[[#This Row],[_Row]])="",TRUE()),FALSE(),INDEX(tsk_Critical,GanttView[[#This Row],[_Row]])="Yes")</f>
        <v>0</v>
      </c>
    </row>
    <row r="74" customFormat="false" ht="15" hidden="false" customHeight="false" outlineLevel="0" collapsed="false">
      <c r="A74" s="127" t="str">
        <f aca="false">IF(IFERROR(INDEX(tsk_Name,GanttView[[#This Row],[_Row]])="",TRUE()),"",INDEX(tsk_ID,GanttView[[#This Row],[_Row]]))</f>
        <v/>
      </c>
      <c r="B74" s="127" t="str">
        <f aca="false">IF(IFERROR(INDEX(tsk_Name,GanttView[[#This Row],[_Row]])="",TRUE()),"",INDEX(tsk_WBS,GanttView[[#This Row],[_Row]]))</f>
        <v/>
      </c>
      <c r="C74" s="128" t="str">
        <f aca="false">IF(IFERROR(INDEX(tsk_Name,GanttView[[#This Row],[_Row]])="",TRUE()),"",REPT("    ",INDEX(tsk_Level,GanttView[[#This Row],[_Row]])-1)&amp;INDEX(tsk_Name,GanttView[[#This Row],[_Row]]))</f>
        <v/>
      </c>
      <c r="D74" s="127" t="str">
        <f aca="false">IF(IFERROR(INDEX(tsk_Name,GanttView[[#This Row],[_Row]])="",TRUE()),"",IF(INDEX(tsk_IsSummary,GanttView[[#This Row],[_Row]]),NETWORKDAYS.INTL(INDEX(tsk_FcStart,GanttView[[#This Row],[_Row]]),INDEX(tsk_FcFinish,GanttView[[#This Row],[_Row]]),WorkWeek,Holidays),N(INDEX(tsk_Duration,GanttView[[#This Row],[_Row]]))))</f>
        <v/>
      </c>
      <c r="E74" s="129" t="str">
        <f aca="false">IF(IFERROR(INDEX(tsk_Name,GanttView[[#This Row],[_Row]])="",TRUE()),"",INDEX(tsk_PlanStart,GanttView[[#This Row],[_Row]]))</f>
        <v/>
      </c>
      <c r="F74" s="129" t="str">
        <f aca="false">IF(IFERROR(INDEX(tsk_Name,GanttView[[#This Row],[_Row]])="",TRUE()),"",INDEX(tsk_PlanFinish,GanttView[[#This Row],[_Row]]))</f>
        <v/>
      </c>
      <c r="G74" s="129" t="str">
        <f aca="false">IF(IFERROR(INDEX(tsk_Name,GanttView[[#This Row],[_Row]])="",TRUE()),"",INDEX(tsk_FcStart,GanttView[[#This Row],[_Row]]))</f>
        <v/>
      </c>
      <c r="H74" s="129" t="str">
        <f aca="false">IF(IFERROR(INDEX(tsk_Name,GanttView[[#This Row],[_Row]])="",TRUE()),"",INDEX(tsk_FcFinish,GanttView[[#This Row],[_Row]]))</f>
        <v/>
      </c>
      <c r="I74" s="130" t="str">
        <f aca="false">IF(IFERROR(INDEX(tsk_Name,GanttView[[#This Row],[_Row]])="",TRUE()),"",INDEX(tsk_Progress,GanttView[[#This Row],[_Row]]))</f>
        <v/>
      </c>
      <c r="J74" s="128" t="str">
        <f aca="false">IF(IFERROR(INDEX(tsk_Name,GanttView[[#This Row],[_Row]])="",TRUE()),"",INDEX(tsk_ResourceNames,GanttView[[#This Row],[_Row]])&amp;"")</f>
        <v/>
      </c>
      <c r="K74" s="131" t="str">
        <f aca="false">IF(IFERROR(INDEX(tsk_Name,GanttView[[#This Row],[_Row]])="",TRUE()),"",INDEX(tsk_Status,GanttView[[#This Row],[_Row]]))</f>
        <v/>
      </c>
      <c r="L74" s="131" t="str">
        <f aca="false">IF(IFERROR(INDEX(tsk_Name,GanttView[[#This Row],[_Row]])="",TRUE()),"",INDEX(tsk_Show,GanttView[[#This Row],[_Row]])&amp;"")</f>
        <v/>
      </c>
      <c r="M74" s="132" t="n">
        <f aca="false">ROW()-ROW(GanttView[[#Headers],[ID]])</f>
        <v>69</v>
      </c>
      <c r="N74" s="133" t="b">
        <f aca="false">IF(IFERROR(INDEX(tsk_Name,GanttView[[#This Row],[_Row]])="",TRUE()),FALSE(),INDEX(tsk_IsSummary,GanttView[[#This Row],[_Row]]))</f>
        <v>0</v>
      </c>
      <c r="O74" s="133" t="b">
        <f aca="false">IF(IFERROR(INDEX(tsk_Name,GanttView[[#This Row],[_Row]])="",TRUE()),FALSE(),AND(INDEX(tsk_IsLeaf,GanttView[[#This Row],[_Row]])=1,N(INDEX(tsk_Duration,GanttView[[#This Row],[_Row]]))=0))</f>
        <v>0</v>
      </c>
      <c r="P74" s="134" t="n">
        <f aca="false">IF(IFERROR(INDEX(tsk_Name,GanttView[[#This Row],[_Row]])="",TRUE()),0,IF(AND(INDEX(tsk_IsLeaf,GanttView[[#This Row],[_Row]])=1,NOT(GanttView[[#This Row],[_IsMilestone]]),N(GanttView[[#This Row],[%]])&gt;0),GanttView[[#This Row],[Forecast Start]],0))</f>
        <v>0</v>
      </c>
      <c r="Q74" s="134" t="n">
        <f aca="false">IF(GanttView[[#This Row],[_DoneFrom]]=0,0,IF(GanttView[[#This Row],[%]]&gt;=1,GanttView[[#This Row],[Forecast Finish]],MAX(GanttView[[#This Row],[_DoneFrom]],GanttView[[#This Row],[Forecast Start]]+ROUND((GanttView[[#This Row],[Forecast Finish]]-GanttView[[#This Row],[Forecast Start]]+1)*GanttView[[#This Row],[%]],0)-1)))</f>
        <v>0</v>
      </c>
      <c r="R74" s="134" t="n">
        <f aca="false">IF(IFERROR(INDEX(tsk_Name,GanttView[[#This Row],[_Row]])="",TRUE()),0,IF(OR(INDEX(tsk_IsLeaf,GanttView[[#This Row],[_Row]])&lt;&gt;1,GanttView[[#This Row],[_IsMilestone]],N(GanttView[[#This Row],[%]])&gt;=1),0,IF(GanttView[[#This Row],[_DoneTo]]&gt;0,GanttView[[#This Row],[_DoneTo]]+1,GanttView[[#This Row],[Forecast Start]])))</f>
        <v>0</v>
      </c>
      <c r="S74" s="134" t="n">
        <f aca="false">IF(GanttView[[#This Row],[_RemFrom]]=0,0,GanttView[[#This Row],[Forecast Finish]])</f>
        <v>0</v>
      </c>
      <c r="T74" s="133" t="b">
        <f aca="false">IF(IFERROR(INDEX(tsk_Name,GanttView[[#This Row],[_Row]])="",TRUE()),FALSE(),N(INDEX(tsk_Variance,GanttView[[#This Row],[_Row]]))&gt;0)</f>
        <v>0</v>
      </c>
      <c r="U74" s="134" t="n">
        <f aca="false">IF(IFERROR(INDEX(tsk_Name,GanttView[[#This Row],[_Row]])="",TRUE()),0,N(INDEX(tsk_Deadline,GanttView[[#This Row],[_Row]])))</f>
        <v>0</v>
      </c>
      <c r="V74" s="133" t="b">
        <f aca="false">IF(IFERROR(INDEX(tsk_Name,GanttView[[#This Row],[_Row]])="",TRUE()),FALSE(),INDEX(tsk_Critical,GanttView[[#This Row],[_Row]])="Yes")</f>
        <v>0</v>
      </c>
    </row>
    <row r="75" customFormat="false" ht="15" hidden="false" customHeight="false" outlineLevel="0" collapsed="false">
      <c r="A75" s="127" t="str">
        <f aca="false">IF(IFERROR(INDEX(tsk_Name,GanttView[[#This Row],[_Row]])="",TRUE()),"",INDEX(tsk_ID,GanttView[[#This Row],[_Row]]))</f>
        <v/>
      </c>
      <c r="B75" s="127" t="str">
        <f aca="false">IF(IFERROR(INDEX(tsk_Name,GanttView[[#This Row],[_Row]])="",TRUE()),"",INDEX(tsk_WBS,GanttView[[#This Row],[_Row]]))</f>
        <v/>
      </c>
      <c r="C75" s="128" t="str">
        <f aca="false">IF(IFERROR(INDEX(tsk_Name,GanttView[[#This Row],[_Row]])="",TRUE()),"",REPT("    ",INDEX(tsk_Level,GanttView[[#This Row],[_Row]])-1)&amp;INDEX(tsk_Name,GanttView[[#This Row],[_Row]]))</f>
        <v/>
      </c>
      <c r="D75" s="127" t="str">
        <f aca="false">IF(IFERROR(INDEX(tsk_Name,GanttView[[#This Row],[_Row]])="",TRUE()),"",IF(INDEX(tsk_IsSummary,GanttView[[#This Row],[_Row]]),NETWORKDAYS.INTL(INDEX(tsk_FcStart,GanttView[[#This Row],[_Row]]),INDEX(tsk_FcFinish,GanttView[[#This Row],[_Row]]),WorkWeek,Holidays),N(INDEX(tsk_Duration,GanttView[[#This Row],[_Row]]))))</f>
        <v/>
      </c>
      <c r="E75" s="129" t="str">
        <f aca="false">IF(IFERROR(INDEX(tsk_Name,GanttView[[#This Row],[_Row]])="",TRUE()),"",INDEX(tsk_PlanStart,GanttView[[#This Row],[_Row]]))</f>
        <v/>
      </c>
      <c r="F75" s="129" t="str">
        <f aca="false">IF(IFERROR(INDEX(tsk_Name,GanttView[[#This Row],[_Row]])="",TRUE()),"",INDEX(tsk_PlanFinish,GanttView[[#This Row],[_Row]]))</f>
        <v/>
      </c>
      <c r="G75" s="129" t="str">
        <f aca="false">IF(IFERROR(INDEX(tsk_Name,GanttView[[#This Row],[_Row]])="",TRUE()),"",INDEX(tsk_FcStart,GanttView[[#This Row],[_Row]]))</f>
        <v/>
      </c>
      <c r="H75" s="129" t="str">
        <f aca="false">IF(IFERROR(INDEX(tsk_Name,GanttView[[#This Row],[_Row]])="",TRUE()),"",INDEX(tsk_FcFinish,GanttView[[#This Row],[_Row]]))</f>
        <v/>
      </c>
      <c r="I75" s="130" t="str">
        <f aca="false">IF(IFERROR(INDEX(tsk_Name,GanttView[[#This Row],[_Row]])="",TRUE()),"",INDEX(tsk_Progress,GanttView[[#This Row],[_Row]]))</f>
        <v/>
      </c>
      <c r="J75" s="128" t="str">
        <f aca="false">IF(IFERROR(INDEX(tsk_Name,GanttView[[#This Row],[_Row]])="",TRUE()),"",INDEX(tsk_ResourceNames,GanttView[[#This Row],[_Row]])&amp;"")</f>
        <v/>
      </c>
      <c r="K75" s="131" t="str">
        <f aca="false">IF(IFERROR(INDEX(tsk_Name,GanttView[[#This Row],[_Row]])="",TRUE()),"",INDEX(tsk_Status,GanttView[[#This Row],[_Row]]))</f>
        <v/>
      </c>
      <c r="L75" s="131" t="str">
        <f aca="false">IF(IFERROR(INDEX(tsk_Name,GanttView[[#This Row],[_Row]])="",TRUE()),"",INDEX(tsk_Show,GanttView[[#This Row],[_Row]])&amp;"")</f>
        <v/>
      </c>
      <c r="M75" s="132" t="n">
        <f aca="false">ROW()-ROW(GanttView[[#Headers],[ID]])</f>
        <v>70</v>
      </c>
      <c r="N75" s="133" t="b">
        <f aca="false">IF(IFERROR(INDEX(tsk_Name,GanttView[[#This Row],[_Row]])="",TRUE()),FALSE(),INDEX(tsk_IsSummary,GanttView[[#This Row],[_Row]]))</f>
        <v>0</v>
      </c>
      <c r="O75" s="133" t="b">
        <f aca="false">IF(IFERROR(INDEX(tsk_Name,GanttView[[#This Row],[_Row]])="",TRUE()),FALSE(),AND(INDEX(tsk_IsLeaf,GanttView[[#This Row],[_Row]])=1,N(INDEX(tsk_Duration,GanttView[[#This Row],[_Row]]))=0))</f>
        <v>0</v>
      </c>
      <c r="P75" s="134" t="n">
        <f aca="false">IF(IFERROR(INDEX(tsk_Name,GanttView[[#This Row],[_Row]])="",TRUE()),0,IF(AND(INDEX(tsk_IsLeaf,GanttView[[#This Row],[_Row]])=1,NOT(GanttView[[#This Row],[_IsMilestone]]),N(GanttView[[#This Row],[%]])&gt;0),GanttView[[#This Row],[Forecast Start]],0))</f>
        <v>0</v>
      </c>
      <c r="Q75" s="134" t="n">
        <f aca="false">IF(GanttView[[#This Row],[_DoneFrom]]=0,0,IF(GanttView[[#This Row],[%]]&gt;=1,GanttView[[#This Row],[Forecast Finish]],MAX(GanttView[[#This Row],[_DoneFrom]],GanttView[[#This Row],[Forecast Start]]+ROUND((GanttView[[#This Row],[Forecast Finish]]-GanttView[[#This Row],[Forecast Start]]+1)*GanttView[[#This Row],[%]],0)-1)))</f>
        <v>0</v>
      </c>
      <c r="R75" s="134" t="n">
        <f aca="false">IF(IFERROR(INDEX(tsk_Name,GanttView[[#This Row],[_Row]])="",TRUE()),0,IF(OR(INDEX(tsk_IsLeaf,GanttView[[#This Row],[_Row]])&lt;&gt;1,GanttView[[#This Row],[_IsMilestone]],N(GanttView[[#This Row],[%]])&gt;=1),0,IF(GanttView[[#This Row],[_DoneTo]]&gt;0,GanttView[[#This Row],[_DoneTo]]+1,GanttView[[#This Row],[Forecast Start]])))</f>
        <v>0</v>
      </c>
      <c r="S75" s="134" t="n">
        <f aca="false">IF(GanttView[[#This Row],[_RemFrom]]=0,0,GanttView[[#This Row],[Forecast Finish]])</f>
        <v>0</v>
      </c>
      <c r="T75" s="133" t="b">
        <f aca="false">IF(IFERROR(INDEX(tsk_Name,GanttView[[#This Row],[_Row]])="",TRUE()),FALSE(),N(INDEX(tsk_Variance,GanttView[[#This Row],[_Row]]))&gt;0)</f>
        <v>0</v>
      </c>
      <c r="U75" s="134" t="n">
        <f aca="false">IF(IFERROR(INDEX(tsk_Name,GanttView[[#This Row],[_Row]])="",TRUE()),0,N(INDEX(tsk_Deadline,GanttView[[#This Row],[_Row]])))</f>
        <v>0</v>
      </c>
      <c r="V75" s="133" t="b">
        <f aca="false">IF(IFERROR(INDEX(tsk_Name,GanttView[[#This Row],[_Row]])="",TRUE()),FALSE(),INDEX(tsk_Critical,GanttView[[#This Row],[_Row]])="Yes")</f>
        <v>0</v>
      </c>
    </row>
    <row r="76" customFormat="false" ht="15" hidden="false" customHeight="false" outlineLevel="0" collapsed="false">
      <c r="A76" s="127" t="str">
        <f aca="false">IF(IFERROR(INDEX(tsk_Name,GanttView[[#This Row],[_Row]])="",TRUE()),"",INDEX(tsk_ID,GanttView[[#This Row],[_Row]]))</f>
        <v/>
      </c>
      <c r="B76" s="127" t="str">
        <f aca="false">IF(IFERROR(INDEX(tsk_Name,GanttView[[#This Row],[_Row]])="",TRUE()),"",INDEX(tsk_WBS,GanttView[[#This Row],[_Row]]))</f>
        <v/>
      </c>
      <c r="C76" s="128" t="str">
        <f aca="false">IF(IFERROR(INDEX(tsk_Name,GanttView[[#This Row],[_Row]])="",TRUE()),"",REPT("    ",INDEX(tsk_Level,GanttView[[#This Row],[_Row]])-1)&amp;INDEX(tsk_Name,GanttView[[#This Row],[_Row]]))</f>
        <v/>
      </c>
      <c r="D76" s="127" t="str">
        <f aca="false">IF(IFERROR(INDEX(tsk_Name,GanttView[[#This Row],[_Row]])="",TRUE()),"",IF(INDEX(tsk_IsSummary,GanttView[[#This Row],[_Row]]),NETWORKDAYS.INTL(INDEX(tsk_FcStart,GanttView[[#This Row],[_Row]]),INDEX(tsk_FcFinish,GanttView[[#This Row],[_Row]]),WorkWeek,Holidays),N(INDEX(tsk_Duration,GanttView[[#This Row],[_Row]]))))</f>
        <v/>
      </c>
      <c r="E76" s="129" t="str">
        <f aca="false">IF(IFERROR(INDEX(tsk_Name,GanttView[[#This Row],[_Row]])="",TRUE()),"",INDEX(tsk_PlanStart,GanttView[[#This Row],[_Row]]))</f>
        <v/>
      </c>
      <c r="F76" s="129" t="str">
        <f aca="false">IF(IFERROR(INDEX(tsk_Name,GanttView[[#This Row],[_Row]])="",TRUE()),"",INDEX(tsk_PlanFinish,GanttView[[#This Row],[_Row]]))</f>
        <v/>
      </c>
      <c r="G76" s="129" t="str">
        <f aca="false">IF(IFERROR(INDEX(tsk_Name,GanttView[[#This Row],[_Row]])="",TRUE()),"",INDEX(tsk_FcStart,GanttView[[#This Row],[_Row]]))</f>
        <v/>
      </c>
      <c r="H76" s="129" t="str">
        <f aca="false">IF(IFERROR(INDEX(tsk_Name,GanttView[[#This Row],[_Row]])="",TRUE()),"",INDEX(tsk_FcFinish,GanttView[[#This Row],[_Row]]))</f>
        <v/>
      </c>
      <c r="I76" s="130" t="str">
        <f aca="false">IF(IFERROR(INDEX(tsk_Name,GanttView[[#This Row],[_Row]])="",TRUE()),"",INDEX(tsk_Progress,GanttView[[#This Row],[_Row]]))</f>
        <v/>
      </c>
      <c r="J76" s="128" t="str">
        <f aca="false">IF(IFERROR(INDEX(tsk_Name,GanttView[[#This Row],[_Row]])="",TRUE()),"",INDEX(tsk_ResourceNames,GanttView[[#This Row],[_Row]])&amp;"")</f>
        <v/>
      </c>
      <c r="K76" s="131" t="str">
        <f aca="false">IF(IFERROR(INDEX(tsk_Name,GanttView[[#This Row],[_Row]])="",TRUE()),"",INDEX(tsk_Status,GanttView[[#This Row],[_Row]]))</f>
        <v/>
      </c>
      <c r="L76" s="131" t="str">
        <f aca="false">IF(IFERROR(INDEX(tsk_Name,GanttView[[#This Row],[_Row]])="",TRUE()),"",INDEX(tsk_Show,GanttView[[#This Row],[_Row]])&amp;"")</f>
        <v/>
      </c>
      <c r="M76" s="132" t="n">
        <f aca="false">ROW()-ROW(GanttView[[#Headers],[ID]])</f>
        <v>71</v>
      </c>
      <c r="N76" s="133" t="b">
        <f aca="false">IF(IFERROR(INDEX(tsk_Name,GanttView[[#This Row],[_Row]])="",TRUE()),FALSE(),INDEX(tsk_IsSummary,GanttView[[#This Row],[_Row]]))</f>
        <v>0</v>
      </c>
      <c r="O76" s="133" t="b">
        <f aca="false">IF(IFERROR(INDEX(tsk_Name,GanttView[[#This Row],[_Row]])="",TRUE()),FALSE(),AND(INDEX(tsk_IsLeaf,GanttView[[#This Row],[_Row]])=1,N(INDEX(tsk_Duration,GanttView[[#This Row],[_Row]]))=0))</f>
        <v>0</v>
      </c>
      <c r="P76" s="134" t="n">
        <f aca="false">IF(IFERROR(INDEX(tsk_Name,GanttView[[#This Row],[_Row]])="",TRUE()),0,IF(AND(INDEX(tsk_IsLeaf,GanttView[[#This Row],[_Row]])=1,NOT(GanttView[[#This Row],[_IsMilestone]]),N(GanttView[[#This Row],[%]])&gt;0),GanttView[[#This Row],[Forecast Start]],0))</f>
        <v>0</v>
      </c>
      <c r="Q76" s="134" t="n">
        <f aca="false">IF(GanttView[[#This Row],[_DoneFrom]]=0,0,IF(GanttView[[#This Row],[%]]&gt;=1,GanttView[[#This Row],[Forecast Finish]],MAX(GanttView[[#This Row],[_DoneFrom]],GanttView[[#This Row],[Forecast Start]]+ROUND((GanttView[[#This Row],[Forecast Finish]]-GanttView[[#This Row],[Forecast Start]]+1)*GanttView[[#This Row],[%]],0)-1)))</f>
        <v>0</v>
      </c>
      <c r="R76" s="134" t="n">
        <f aca="false">IF(IFERROR(INDEX(tsk_Name,GanttView[[#This Row],[_Row]])="",TRUE()),0,IF(OR(INDEX(tsk_IsLeaf,GanttView[[#This Row],[_Row]])&lt;&gt;1,GanttView[[#This Row],[_IsMilestone]],N(GanttView[[#This Row],[%]])&gt;=1),0,IF(GanttView[[#This Row],[_DoneTo]]&gt;0,GanttView[[#This Row],[_DoneTo]]+1,GanttView[[#This Row],[Forecast Start]])))</f>
        <v>0</v>
      </c>
      <c r="S76" s="134" t="n">
        <f aca="false">IF(GanttView[[#This Row],[_RemFrom]]=0,0,GanttView[[#This Row],[Forecast Finish]])</f>
        <v>0</v>
      </c>
      <c r="T76" s="133" t="b">
        <f aca="false">IF(IFERROR(INDEX(tsk_Name,GanttView[[#This Row],[_Row]])="",TRUE()),FALSE(),N(INDEX(tsk_Variance,GanttView[[#This Row],[_Row]]))&gt;0)</f>
        <v>0</v>
      </c>
      <c r="U76" s="134" t="n">
        <f aca="false">IF(IFERROR(INDEX(tsk_Name,GanttView[[#This Row],[_Row]])="",TRUE()),0,N(INDEX(tsk_Deadline,GanttView[[#This Row],[_Row]])))</f>
        <v>0</v>
      </c>
      <c r="V76" s="133" t="b">
        <f aca="false">IF(IFERROR(INDEX(tsk_Name,GanttView[[#This Row],[_Row]])="",TRUE()),FALSE(),INDEX(tsk_Critical,GanttView[[#This Row],[_Row]])="Yes")</f>
        <v>0</v>
      </c>
    </row>
    <row r="77" customFormat="false" ht="15" hidden="false" customHeight="false" outlineLevel="0" collapsed="false">
      <c r="A77" s="127" t="str">
        <f aca="false">IF(IFERROR(INDEX(tsk_Name,GanttView[[#This Row],[_Row]])="",TRUE()),"",INDEX(tsk_ID,GanttView[[#This Row],[_Row]]))</f>
        <v/>
      </c>
      <c r="B77" s="127" t="str">
        <f aca="false">IF(IFERROR(INDEX(tsk_Name,GanttView[[#This Row],[_Row]])="",TRUE()),"",INDEX(tsk_WBS,GanttView[[#This Row],[_Row]]))</f>
        <v/>
      </c>
      <c r="C77" s="128" t="str">
        <f aca="false">IF(IFERROR(INDEX(tsk_Name,GanttView[[#This Row],[_Row]])="",TRUE()),"",REPT("    ",INDEX(tsk_Level,GanttView[[#This Row],[_Row]])-1)&amp;INDEX(tsk_Name,GanttView[[#This Row],[_Row]]))</f>
        <v/>
      </c>
      <c r="D77" s="127" t="str">
        <f aca="false">IF(IFERROR(INDEX(tsk_Name,GanttView[[#This Row],[_Row]])="",TRUE()),"",IF(INDEX(tsk_IsSummary,GanttView[[#This Row],[_Row]]),NETWORKDAYS.INTL(INDEX(tsk_FcStart,GanttView[[#This Row],[_Row]]),INDEX(tsk_FcFinish,GanttView[[#This Row],[_Row]]),WorkWeek,Holidays),N(INDEX(tsk_Duration,GanttView[[#This Row],[_Row]]))))</f>
        <v/>
      </c>
      <c r="E77" s="129" t="str">
        <f aca="false">IF(IFERROR(INDEX(tsk_Name,GanttView[[#This Row],[_Row]])="",TRUE()),"",INDEX(tsk_PlanStart,GanttView[[#This Row],[_Row]]))</f>
        <v/>
      </c>
      <c r="F77" s="129" t="str">
        <f aca="false">IF(IFERROR(INDEX(tsk_Name,GanttView[[#This Row],[_Row]])="",TRUE()),"",INDEX(tsk_PlanFinish,GanttView[[#This Row],[_Row]]))</f>
        <v/>
      </c>
      <c r="G77" s="129" t="str">
        <f aca="false">IF(IFERROR(INDEX(tsk_Name,GanttView[[#This Row],[_Row]])="",TRUE()),"",INDEX(tsk_FcStart,GanttView[[#This Row],[_Row]]))</f>
        <v/>
      </c>
      <c r="H77" s="129" t="str">
        <f aca="false">IF(IFERROR(INDEX(tsk_Name,GanttView[[#This Row],[_Row]])="",TRUE()),"",INDEX(tsk_FcFinish,GanttView[[#This Row],[_Row]]))</f>
        <v/>
      </c>
      <c r="I77" s="130" t="str">
        <f aca="false">IF(IFERROR(INDEX(tsk_Name,GanttView[[#This Row],[_Row]])="",TRUE()),"",INDEX(tsk_Progress,GanttView[[#This Row],[_Row]]))</f>
        <v/>
      </c>
      <c r="J77" s="128" t="str">
        <f aca="false">IF(IFERROR(INDEX(tsk_Name,GanttView[[#This Row],[_Row]])="",TRUE()),"",INDEX(tsk_ResourceNames,GanttView[[#This Row],[_Row]])&amp;"")</f>
        <v/>
      </c>
      <c r="K77" s="131" t="str">
        <f aca="false">IF(IFERROR(INDEX(tsk_Name,GanttView[[#This Row],[_Row]])="",TRUE()),"",INDEX(tsk_Status,GanttView[[#This Row],[_Row]]))</f>
        <v/>
      </c>
      <c r="L77" s="131" t="str">
        <f aca="false">IF(IFERROR(INDEX(tsk_Name,GanttView[[#This Row],[_Row]])="",TRUE()),"",INDEX(tsk_Show,GanttView[[#This Row],[_Row]])&amp;"")</f>
        <v/>
      </c>
      <c r="M77" s="132" t="n">
        <f aca="false">ROW()-ROW(GanttView[[#Headers],[ID]])</f>
        <v>72</v>
      </c>
      <c r="N77" s="133" t="b">
        <f aca="false">IF(IFERROR(INDEX(tsk_Name,GanttView[[#This Row],[_Row]])="",TRUE()),FALSE(),INDEX(tsk_IsSummary,GanttView[[#This Row],[_Row]]))</f>
        <v>0</v>
      </c>
      <c r="O77" s="133" t="b">
        <f aca="false">IF(IFERROR(INDEX(tsk_Name,GanttView[[#This Row],[_Row]])="",TRUE()),FALSE(),AND(INDEX(tsk_IsLeaf,GanttView[[#This Row],[_Row]])=1,N(INDEX(tsk_Duration,GanttView[[#This Row],[_Row]]))=0))</f>
        <v>0</v>
      </c>
      <c r="P77" s="134" t="n">
        <f aca="false">IF(IFERROR(INDEX(tsk_Name,GanttView[[#This Row],[_Row]])="",TRUE()),0,IF(AND(INDEX(tsk_IsLeaf,GanttView[[#This Row],[_Row]])=1,NOT(GanttView[[#This Row],[_IsMilestone]]),N(GanttView[[#This Row],[%]])&gt;0),GanttView[[#This Row],[Forecast Start]],0))</f>
        <v>0</v>
      </c>
      <c r="Q77" s="134" t="n">
        <f aca="false">IF(GanttView[[#This Row],[_DoneFrom]]=0,0,IF(GanttView[[#This Row],[%]]&gt;=1,GanttView[[#This Row],[Forecast Finish]],MAX(GanttView[[#This Row],[_DoneFrom]],GanttView[[#This Row],[Forecast Start]]+ROUND((GanttView[[#This Row],[Forecast Finish]]-GanttView[[#This Row],[Forecast Start]]+1)*GanttView[[#This Row],[%]],0)-1)))</f>
        <v>0</v>
      </c>
      <c r="R77" s="134" t="n">
        <f aca="false">IF(IFERROR(INDEX(tsk_Name,GanttView[[#This Row],[_Row]])="",TRUE()),0,IF(OR(INDEX(tsk_IsLeaf,GanttView[[#This Row],[_Row]])&lt;&gt;1,GanttView[[#This Row],[_IsMilestone]],N(GanttView[[#This Row],[%]])&gt;=1),0,IF(GanttView[[#This Row],[_DoneTo]]&gt;0,GanttView[[#This Row],[_DoneTo]]+1,GanttView[[#This Row],[Forecast Start]])))</f>
        <v>0</v>
      </c>
      <c r="S77" s="134" t="n">
        <f aca="false">IF(GanttView[[#This Row],[_RemFrom]]=0,0,GanttView[[#This Row],[Forecast Finish]])</f>
        <v>0</v>
      </c>
      <c r="T77" s="133" t="b">
        <f aca="false">IF(IFERROR(INDEX(tsk_Name,GanttView[[#This Row],[_Row]])="",TRUE()),FALSE(),N(INDEX(tsk_Variance,GanttView[[#This Row],[_Row]]))&gt;0)</f>
        <v>0</v>
      </c>
      <c r="U77" s="134" t="n">
        <f aca="false">IF(IFERROR(INDEX(tsk_Name,GanttView[[#This Row],[_Row]])="",TRUE()),0,N(INDEX(tsk_Deadline,GanttView[[#This Row],[_Row]])))</f>
        <v>0</v>
      </c>
      <c r="V77" s="133" t="b">
        <f aca="false">IF(IFERROR(INDEX(tsk_Name,GanttView[[#This Row],[_Row]])="",TRUE()),FALSE(),INDEX(tsk_Critical,GanttView[[#This Row],[_Row]])="Yes")</f>
        <v>0</v>
      </c>
    </row>
    <row r="78" customFormat="false" ht="15" hidden="false" customHeight="false" outlineLevel="0" collapsed="false">
      <c r="A78" s="127" t="str">
        <f aca="false">IF(IFERROR(INDEX(tsk_Name,GanttView[[#This Row],[_Row]])="",TRUE()),"",INDEX(tsk_ID,GanttView[[#This Row],[_Row]]))</f>
        <v/>
      </c>
      <c r="B78" s="127" t="str">
        <f aca="false">IF(IFERROR(INDEX(tsk_Name,GanttView[[#This Row],[_Row]])="",TRUE()),"",INDEX(tsk_WBS,GanttView[[#This Row],[_Row]]))</f>
        <v/>
      </c>
      <c r="C78" s="128" t="str">
        <f aca="false">IF(IFERROR(INDEX(tsk_Name,GanttView[[#This Row],[_Row]])="",TRUE()),"",REPT("    ",INDEX(tsk_Level,GanttView[[#This Row],[_Row]])-1)&amp;INDEX(tsk_Name,GanttView[[#This Row],[_Row]]))</f>
        <v/>
      </c>
      <c r="D78" s="127" t="str">
        <f aca="false">IF(IFERROR(INDEX(tsk_Name,GanttView[[#This Row],[_Row]])="",TRUE()),"",IF(INDEX(tsk_IsSummary,GanttView[[#This Row],[_Row]]),NETWORKDAYS.INTL(INDEX(tsk_FcStart,GanttView[[#This Row],[_Row]]),INDEX(tsk_FcFinish,GanttView[[#This Row],[_Row]]),WorkWeek,Holidays),N(INDEX(tsk_Duration,GanttView[[#This Row],[_Row]]))))</f>
        <v/>
      </c>
      <c r="E78" s="129" t="str">
        <f aca="false">IF(IFERROR(INDEX(tsk_Name,GanttView[[#This Row],[_Row]])="",TRUE()),"",INDEX(tsk_PlanStart,GanttView[[#This Row],[_Row]]))</f>
        <v/>
      </c>
      <c r="F78" s="129" t="str">
        <f aca="false">IF(IFERROR(INDEX(tsk_Name,GanttView[[#This Row],[_Row]])="",TRUE()),"",INDEX(tsk_PlanFinish,GanttView[[#This Row],[_Row]]))</f>
        <v/>
      </c>
      <c r="G78" s="129" t="str">
        <f aca="false">IF(IFERROR(INDEX(tsk_Name,GanttView[[#This Row],[_Row]])="",TRUE()),"",INDEX(tsk_FcStart,GanttView[[#This Row],[_Row]]))</f>
        <v/>
      </c>
      <c r="H78" s="129" t="str">
        <f aca="false">IF(IFERROR(INDEX(tsk_Name,GanttView[[#This Row],[_Row]])="",TRUE()),"",INDEX(tsk_FcFinish,GanttView[[#This Row],[_Row]]))</f>
        <v/>
      </c>
      <c r="I78" s="130" t="str">
        <f aca="false">IF(IFERROR(INDEX(tsk_Name,GanttView[[#This Row],[_Row]])="",TRUE()),"",INDEX(tsk_Progress,GanttView[[#This Row],[_Row]]))</f>
        <v/>
      </c>
      <c r="J78" s="128" t="str">
        <f aca="false">IF(IFERROR(INDEX(tsk_Name,GanttView[[#This Row],[_Row]])="",TRUE()),"",INDEX(tsk_ResourceNames,GanttView[[#This Row],[_Row]])&amp;"")</f>
        <v/>
      </c>
      <c r="K78" s="131" t="str">
        <f aca="false">IF(IFERROR(INDEX(tsk_Name,GanttView[[#This Row],[_Row]])="",TRUE()),"",INDEX(tsk_Status,GanttView[[#This Row],[_Row]]))</f>
        <v/>
      </c>
      <c r="L78" s="131" t="str">
        <f aca="false">IF(IFERROR(INDEX(tsk_Name,GanttView[[#This Row],[_Row]])="",TRUE()),"",INDEX(tsk_Show,GanttView[[#This Row],[_Row]])&amp;"")</f>
        <v/>
      </c>
      <c r="M78" s="132" t="n">
        <f aca="false">ROW()-ROW(GanttView[[#Headers],[ID]])</f>
        <v>73</v>
      </c>
      <c r="N78" s="133" t="b">
        <f aca="false">IF(IFERROR(INDEX(tsk_Name,GanttView[[#This Row],[_Row]])="",TRUE()),FALSE(),INDEX(tsk_IsSummary,GanttView[[#This Row],[_Row]]))</f>
        <v>0</v>
      </c>
      <c r="O78" s="133" t="b">
        <f aca="false">IF(IFERROR(INDEX(tsk_Name,GanttView[[#This Row],[_Row]])="",TRUE()),FALSE(),AND(INDEX(tsk_IsLeaf,GanttView[[#This Row],[_Row]])=1,N(INDEX(tsk_Duration,GanttView[[#This Row],[_Row]]))=0))</f>
        <v>0</v>
      </c>
      <c r="P78" s="134" t="n">
        <f aca="false">IF(IFERROR(INDEX(tsk_Name,GanttView[[#This Row],[_Row]])="",TRUE()),0,IF(AND(INDEX(tsk_IsLeaf,GanttView[[#This Row],[_Row]])=1,NOT(GanttView[[#This Row],[_IsMilestone]]),N(GanttView[[#This Row],[%]])&gt;0),GanttView[[#This Row],[Forecast Start]],0))</f>
        <v>0</v>
      </c>
      <c r="Q78" s="134" t="n">
        <f aca="false">IF(GanttView[[#This Row],[_DoneFrom]]=0,0,IF(GanttView[[#This Row],[%]]&gt;=1,GanttView[[#This Row],[Forecast Finish]],MAX(GanttView[[#This Row],[_DoneFrom]],GanttView[[#This Row],[Forecast Start]]+ROUND((GanttView[[#This Row],[Forecast Finish]]-GanttView[[#This Row],[Forecast Start]]+1)*GanttView[[#This Row],[%]],0)-1)))</f>
        <v>0</v>
      </c>
      <c r="R78" s="134" t="n">
        <f aca="false">IF(IFERROR(INDEX(tsk_Name,GanttView[[#This Row],[_Row]])="",TRUE()),0,IF(OR(INDEX(tsk_IsLeaf,GanttView[[#This Row],[_Row]])&lt;&gt;1,GanttView[[#This Row],[_IsMilestone]],N(GanttView[[#This Row],[%]])&gt;=1),0,IF(GanttView[[#This Row],[_DoneTo]]&gt;0,GanttView[[#This Row],[_DoneTo]]+1,GanttView[[#This Row],[Forecast Start]])))</f>
        <v>0</v>
      </c>
      <c r="S78" s="134" t="n">
        <f aca="false">IF(GanttView[[#This Row],[_RemFrom]]=0,0,GanttView[[#This Row],[Forecast Finish]])</f>
        <v>0</v>
      </c>
      <c r="T78" s="133" t="b">
        <f aca="false">IF(IFERROR(INDEX(tsk_Name,GanttView[[#This Row],[_Row]])="",TRUE()),FALSE(),N(INDEX(tsk_Variance,GanttView[[#This Row],[_Row]]))&gt;0)</f>
        <v>0</v>
      </c>
      <c r="U78" s="134" t="n">
        <f aca="false">IF(IFERROR(INDEX(tsk_Name,GanttView[[#This Row],[_Row]])="",TRUE()),0,N(INDEX(tsk_Deadline,GanttView[[#This Row],[_Row]])))</f>
        <v>0</v>
      </c>
      <c r="V78" s="133" t="b">
        <f aca="false">IF(IFERROR(INDEX(tsk_Name,GanttView[[#This Row],[_Row]])="",TRUE()),FALSE(),INDEX(tsk_Critical,GanttView[[#This Row],[_Row]])="Yes")</f>
        <v>0</v>
      </c>
    </row>
    <row r="79" customFormat="false" ht="15" hidden="false" customHeight="false" outlineLevel="0" collapsed="false">
      <c r="A79" s="127" t="str">
        <f aca="false">IF(IFERROR(INDEX(tsk_Name,GanttView[[#This Row],[_Row]])="",TRUE()),"",INDEX(tsk_ID,GanttView[[#This Row],[_Row]]))</f>
        <v/>
      </c>
      <c r="B79" s="127" t="str">
        <f aca="false">IF(IFERROR(INDEX(tsk_Name,GanttView[[#This Row],[_Row]])="",TRUE()),"",INDEX(tsk_WBS,GanttView[[#This Row],[_Row]]))</f>
        <v/>
      </c>
      <c r="C79" s="128" t="str">
        <f aca="false">IF(IFERROR(INDEX(tsk_Name,GanttView[[#This Row],[_Row]])="",TRUE()),"",REPT("    ",INDEX(tsk_Level,GanttView[[#This Row],[_Row]])-1)&amp;INDEX(tsk_Name,GanttView[[#This Row],[_Row]]))</f>
        <v/>
      </c>
      <c r="D79" s="127" t="str">
        <f aca="false">IF(IFERROR(INDEX(tsk_Name,GanttView[[#This Row],[_Row]])="",TRUE()),"",IF(INDEX(tsk_IsSummary,GanttView[[#This Row],[_Row]]),NETWORKDAYS.INTL(INDEX(tsk_FcStart,GanttView[[#This Row],[_Row]]),INDEX(tsk_FcFinish,GanttView[[#This Row],[_Row]]),WorkWeek,Holidays),N(INDEX(tsk_Duration,GanttView[[#This Row],[_Row]]))))</f>
        <v/>
      </c>
      <c r="E79" s="129" t="str">
        <f aca="false">IF(IFERROR(INDEX(tsk_Name,GanttView[[#This Row],[_Row]])="",TRUE()),"",INDEX(tsk_PlanStart,GanttView[[#This Row],[_Row]]))</f>
        <v/>
      </c>
      <c r="F79" s="129" t="str">
        <f aca="false">IF(IFERROR(INDEX(tsk_Name,GanttView[[#This Row],[_Row]])="",TRUE()),"",INDEX(tsk_PlanFinish,GanttView[[#This Row],[_Row]]))</f>
        <v/>
      </c>
      <c r="G79" s="129" t="str">
        <f aca="false">IF(IFERROR(INDEX(tsk_Name,GanttView[[#This Row],[_Row]])="",TRUE()),"",INDEX(tsk_FcStart,GanttView[[#This Row],[_Row]]))</f>
        <v/>
      </c>
      <c r="H79" s="129" t="str">
        <f aca="false">IF(IFERROR(INDEX(tsk_Name,GanttView[[#This Row],[_Row]])="",TRUE()),"",INDEX(tsk_FcFinish,GanttView[[#This Row],[_Row]]))</f>
        <v/>
      </c>
      <c r="I79" s="130" t="str">
        <f aca="false">IF(IFERROR(INDEX(tsk_Name,GanttView[[#This Row],[_Row]])="",TRUE()),"",INDEX(tsk_Progress,GanttView[[#This Row],[_Row]]))</f>
        <v/>
      </c>
      <c r="J79" s="128" t="str">
        <f aca="false">IF(IFERROR(INDEX(tsk_Name,GanttView[[#This Row],[_Row]])="",TRUE()),"",INDEX(tsk_ResourceNames,GanttView[[#This Row],[_Row]])&amp;"")</f>
        <v/>
      </c>
      <c r="K79" s="131" t="str">
        <f aca="false">IF(IFERROR(INDEX(tsk_Name,GanttView[[#This Row],[_Row]])="",TRUE()),"",INDEX(tsk_Status,GanttView[[#This Row],[_Row]]))</f>
        <v/>
      </c>
      <c r="L79" s="131" t="str">
        <f aca="false">IF(IFERROR(INDEX(tsk_Name,GanttView[[#This Row],[_Row]])="",TRUE()),"",INDEX(tsk_Show,GanttView[[#This Row],[_Row]])&amp;"")</f>
        <v/>
      </c>
      <c r="M79" s="132" t="n">
        <f aca="false">ROW()-ROW(GanttView[[#Headers],[ID]])</f>
        <v>74</v>
      </c>
      <c r="N79" s="133" t="b">
        <f aca="false">IF(IFERROR(INDEX(tsk_Name,GanttView[[#This Row],[_Row]])="",TRUE()),FALSE(),INDEX(tsk_IsSummary,GanttView[[#This Row],[_Row]]))</f>
        <v>0</v>
      </c>
      <c r="O79" s="133" t="b">
        <f aca="false">IF(IFERROR(INDEX(tsk_Name,GanttView[[#This Row],[_Row]])="",TRUE()),FALSE(),AND(INDEX(tsk_IsLeaf,GanttView[[#This Row],[_Row]])=1,N(INDEX(tsk_Duration,GanttView[[#This Row],[_Row]]))=0))</f>
        <v>0</v>
      </c>
      <c r="P79" s="134" t="n">
        <f aca="false">IF(IFERROR(INDEX(tsk_Name,GanttView[[#This Row],[_Row]])="",TRUE()),0,IF(AND(INDEX(tsk_IsLeaf,GanttView[[#This Row],[_Row]])=1,NOT(GanttView[[#This Row],[_IsMilestone]]),N(GanttView[[#This Row],[%]])&gt;0),GanttView[[#This Row],[Forecast Start]],0))</f>
        <v>0</v>
      </c>
      <c r="Q79" s="134" t="n">
        <f aca="false">IF(GanttView[[#This Row],[_DoneFrom]]=0,0,IF(GanttView[[#This Row],[%]]&gt;=1,GanttView[[#This Row],[Forecast Finish]],MAX(GanttView[[#This Row],[_DoneFrom]],GanttView[[#This Row],[Forecast Start]]+ROUND((GanttView[[#This Row],[Forecast Finish]]-GanttView[[#This Row],[Forecast Start]]+1)*GanttView[[#This Row],[%]],0)-1)))</f>
        <v>0</v>
      </c>
      <c r="R79" s="134" t="n">
        <f aca="false">IF(IFERROR(INDEX(tsk_Name,GanttView[[#This Row],[_Row]])="",TRUE()),0,IF(OR(INDEX(tsk_IsLeaf,GanttView[[#This Row],[_Row]])&lt;&gt;1,GanttView[[#This Row],[_IsMilestone]],N(GanttView[[#This Row],[%]])&gt;=1),0,IF(GanttView[[#This Row],[_DoneTo]]&gt;0,GanttView[[#This Row],[_DoneTo]]+1,GanttView[[#This Row],[Forecast Start]])))</f>
        <v>0</v>
      </c>
      <c r="S79" s="134" t="n">
        <f aca="false">IF(GanttView[[#This Row],[_RemFrom]]=0,0,GanttView[[#This Row],[Forecast Finish]])</f>
        <v>0</v>
      </c>
      <c r="T79" s="133" t="b">
        <f aca="false">IF(IFERROR(INDEX(tsk_Name,GanttView[[#This Row],[_Row]])="",TRUE()),FALSE(),N(INDEX(tsk_Variance,GanttView[[#This Row],[_Row]]))&gt;0)</f>
        <v>0</v>
      </c>
      <c r="U79" s="134" t="n">
        <f aca="false">IF(IFERROR(INDEX(tsk_Name,GanttView[[#This Row],[_Row]])="",TRUE()),0,N(INDEX(tsk_Deadline,GanttView[[#This Row],[_Row]])))</f>
        <v>0</v>
      </c>
      <c r="V79" s="133" t="b">
        <f aca="false">IF(IFERROR(INDEX(tsk_Name,GanttView[[#This Row],[_Row]])="",TRUE()),FALSE(),INDEX(tsk_Critical,GanttView[[#This Row],[_Row]])="Yes")</f>
        <v>0</v>
      </c>
    </row>
    <row r="80" customFormat="false" ht="15" hidden="false" customHeight="false" outlineLevel="0" collapsed="false">
      <c r="A80" s="127" t="str">
        <f aca="false">IF(IFERROR(INDEX(tsk_Name,GanttView[[#This Row],[_Row]])="",TRUE()),"",INDEX(tsk_ID,GanttView[[#This Row],[_Row]]))</f>
        <v/>
      </c>
      <c r="B80" s="127" t="str">
        <f aca="false">IF(IFERROR(INDEX(tsk_Name,GanttView[[#This Row],[_Row]])="",TRUE()),"",INDEX(tsk_WBS,GanttView[[#This Row],[_Row]]))</f>
        <v/>
      </c>
      <c r="C80" s="128" t="str">
        <f aca="false">IF(IFERROR(INDEX(tsk_Name,GanttView[[#This Row],[_Row]])="",TRUE()),"",REPT("    ",INDEX(tsk_Level,GanttView[[#This Row],[_Row]])-1)&amp;INDEX(tsk_Name,GanttView[[#This Row],[_Row]]))</f>
        <v/>
      </c>
      <c r="D80" s="127" t="str">
        <f aca="false">IF(IFERROR(INDEX(tsk_Name,GanttView[[#This Row],[_Row]])="",TRUE()),"",IF(INDEX(tsk_IsSummary,GanttView[[#This Row],[_Row]]),NETWORKDAYS.INTL(INDEX(tsk_FcStart,GanttView[[#This Row],[_Row]]),INDEX(tsk_FcFinish,GanttView[[#This Row],[_Row]]),WorkWeek,Holidays),N(INDEX(tsk_Duration,GanttView[[#This Row],[_Row]]))))</f>
        <v/>
      </c>
      <c r="E80" s="129" t="str">
        <f aca="false">IF(IFERROR(INDEX(tsk_Name,GanttView[[#This Row],[_Row]])="",TRUE()),"",INDEX(tsk_PlanStart,GanttView[[#This Row],[_Row]]))</f>
        <v/>
      </c>
      <c r="F80" s="129" t="str">
        <f aca="false">IF(IFERROR(INDEX(tsk_Name,GanttView[[#This Row],[_Row]])="",TRUE()),"",INDEX(tsk_PlanFinish,GanttView[[#This Row],[_Row]]))</f>
        <v/>
      </c>
      <c r="G80" s="129" t="str">
        <f aca="false">IF(IFERROR(INDEX(tsk_Name,GanttView[[#This Row],[_Row]])="",TRUE()),"",INDEX(tsk_FcStart,GanttView[[#This Row],[_Row]]))</f>
        <v/>
      </c>
      <c r="H80" s="129" t="str">
        <f aca="false">IF(IFERROR(INDEX(tsk_Name,GanttView[[#This Row],[_Row]])="",TRUE()),"",INDEX(tsk_FcFinish,GanttView[[#This Row],[_Row]]))</f>
        <v/>
      </c>
      <c r="I80" s="130" t="str">
        <f aca="false">IF(IFERROR(INDEX(tsk_Name,GanttView[[#This Row],[_Row]])="",TRUE()),"",INDEX(tsk_Progress,GanttView[[#This Row],[_Row]]))</f>
        <v/>
      </c>
      <c r="J80" s="128" t="str">
        <f aca="false">IF(IFERROR(INDEX(tsk_Name,GanttView[[#This Row],[_Row]])="",TRUE()),"",INDEX(tsk_ResourceNames,GanttView[[#This Row],[_Row]])&amp;"")</f>
        <v/>
      </c>
      <c r="K80" s="131" t="str">
        <f aca="false">IF(IFERROR(INDEX(tsk_Name,GanttView[[#This Row],[_Row]])="",TRUE()),"",INDEX(tsk_Status,GanttView[[#This Row],[_Row]]))</f>
        <v/>
      </c>
      <c r="L80" s="131" t="str">
        <f aca="false">IF(IFERROR(INDEX(tsk_Name,GanttView[[#This Row],[_Row]])="",TRUE()),"",INDEX(tsk_Show,GanttView[[#This Row],[_Row]])&amp;"")</f>
        <v/>
      </c>
      <c r="M80" s="132" t="n">
        <f aca="false">ROW()-ROW(GanttView[[#Headers],[ID]])</f>
        <v>75</v>
      </c>
      <c r="N80" s="133" t="b">
        <f aca="false">IF(IFERROR(INDEX(tsk_Name,GanttView[[#This Row],[_Row]])="",TRUE()),FALSE(),INDEX(tsk_IsSummary,GanttView[[#This Row],[_Row]]))</f>
        <v>0</v>
      </c>
      <c r="O80" s="133" t="b">
        <f aca="false">IF(IFERROR(INDEX(tsk_Name,GanttView[[#This Row],[_Row]])="",TRUE()),FALSE(),AND(INDEX(tsk_IsLeaf,GanttView[[#This Row],[_Row]])=1,N(INDEX(tsk_Duration,GanttView[[#This Row],[_Row]]))=0))</f>
        <v>0</v>
      </c>
      <c r="P80" s="134" t="n">
        <f aca="false">IF(IFERROR(INDEX(tsk_Name,GanttView[[#This Row],[_Row]])="",TRUE()),0,IF(AND(INDEX(tsk_IsLeaf,GanttView[[#This Row],[_Row]])=1,NOT(GanttView[[#This Row],[_IsMilestone]]),N(GanttView[[#This Row],[%]])&gt;0),GanttView[[#This Row],[Forecast Start]],0))</f>
        <v>0</v>
      </c>
      <c r="Q80" s="134" t="n">
        <f aca="false">IF(GanttView[[#This Row],[_DoneFrom]]=0,0,IF(GanttView[[#This Row],[%]]&gt;=1,GanttView[[#This Row],[Forecast Finish]],MAX(GanttView[[#This Row],[_DoneFrom]],GanttView[[#This Row],[Forecast Start]]+ROUND((GanttView[[#This Row],[Forecast Finish]]-GanttView[[#This Row],[Forecast Start]]+1)*GanttView[[#This Row],[%]],0)-1)))</f>
        <v>0</v>
      </c>
      <c r="R80" s="134" t="n">
        <f aca="false">IF(IFERROR(INDEX(tsk_Name,GanttView[[#This Row],[_Row]])="",TRUE()),0,IF(OR(INDEX(tsk_IsLeaf,GanttView[[#This Row],[_Row]])&lt;&gt;1,GanttView[[#This Row],[_IsMilestone]],N(GanttView[[#This Row],[%]])&gt;=1),0,IF(GanttView[[#This Row],[_DoneTo]]&gt;0,GanttView[[#This Row],[_DoneTo]]+1,GanttView[[#This Row],[Forecast Start]])))</f>
        <v>0</v>
      </c>
      <c r="S80" s="134" t="n">
        <f aca="false">IF(GanttView[[#This Row],[_RemFrom]]=0,0,GanttView[[#This Row],[Forecast Finish]])</f>
        <v>0</v>
      </c>
      <c r="T80" s="133" t="b">
        <f aca="false">IF(IFERROR(INDEX(tsk_Name,GanttView[[#This Row],[_Row]])="",TRUE()),FALSE(),N(INDEX(tsk_Variance,GanttView[[#This Row],[_Row]]))&gt;0)</f>
        <v>0</v>
      </c>
      <c r="U80" s="134" t="n">
        <f aca="false">IF(IFERROR(INDEX(tsk_Name,GanttView[[#This Row],[_Row]])="",TRUE()),0,N(INDEX(tsk_Deadline,GanttView[[#This Row],[_Row]])))</f>
        <v>0</v>
      </c>
      <c r="V80" s="133" t="b">
        <f aca="false">IF(IFERROR(INDEX(tsk_Name,GanttView[[#This Row],[_Row]])="",TRUE()),FALSE(),INDEX(tsk_Critical,GanttView[[#This Row],[_Row]])="Yes")</f>
        <v>0</v>
      </c>
    </row>
    <row r="81" customFormat="false" ht="15" hidden="false" customHeight="false" outlineLevel="0" collapsed="false">
      <c r="A81" s="127" t="str">
        <f aca="false">IF(IFERROR(INDEX(tsk_Name,GanttView[[#This Row],[_Row]])="",TRUE()),"",INDEX(tsk_ID,GanttView[[#This Row],[_Row]]))</f>
        <v/>
      </c>
      <c r="B81" s="127" t="str">
        <f aca="false">IF(IFERROR(INDEX(tsk_Name,GanttView[[#This Row],[_Row]])="",TRUE()),"",INDEX(tsk_WBS,GanttView[[#This Row],[_Row]]))</f>
        <v/>
      </c>
      <c r="C81" s="128" t="str">
        <f aca="false">IF(IFERROR(INDEX(tsk_Name,GanttView[[#This Row],[_Row]])="",TRUE()),"",REPT("    ",INDEX(tsk_Level,GanttView[[#This Row],[_Row]])-1)&amp;INDEX(tsk_Name,GanttView[[#This Row],[_Row]]))</f>
        <v/>
      </c>
      <c r="D81" s="127" t="str">
        <f aca="false">IF(IFERROR(INDEX(tsk_Name,GanttView[[#This Row],[_Row]])="",TRUE()),"",IF(INDEX(tsk_IsSummary,GanttView[[#This Row],[_Row]]),NETWORKDAYS.INTL(INDEX(tsk_FcStart,GanttView[[#This Row],[_Row]]),INDEX(tsk_FcFinish,GanttView[[#This Row],[_Row]]),WorkWeek,Holidays),N(INDEX(tsk_Duration,GanttView[[#This Row],[_Row]]))))</f>
        <v/>
      </c>
      <c r="E81" s="129" t="str">
        <f aca="false">IF(IFERROR(INDEX(tsk_Name,GanttView[[#This Row],[_Row]])="",TRUE()),"",INDEX(tsk_PlanStart,GanttView[[#This Row],[_Row]]))</f>
        <v/>
      </c>
      <c r="F81" s="129" t="str">
        <f aca="false">IF(IFERROR(INDEX(tsk_Name,GanttView[[#This Row],[_Row]])="",TRUE()),"",INDEX(tsk_PlanFinish,GanttView[[#This Row],[_Row]]))</f>
        <v/>
      </c>
      <c r="G81" s="129" t="str">
        <f aca="false">IF(IFERROR(INDEX(tsk_Name,GanttView[[#This Row],[_Row]])="",TRUE()),"",INDEX(tsk_FcStart,GanttView[[#This Row],[_Row]]))</f>
        <v/>
      </c>
      <c r="H81" s="129" t="str">
        <f aca="false">IF(IFERROR(INDEX(tsk_Name,GanttView[[#This Row],[_Row]])="",TRUE()),"",INDEX(tsk_FcFinish,GanttView[[#This Row],[_Row]]))</f>
        <v/>
      </c>
      <c r="I81" s="130" t="str">
        <f aca="false">IF(IFERROR(INDEX(tsk_Name,GanttView[[#This Row],[_Row]])="",TRUE()),"",INDEX(tsk_Progress,GanttView[[#This Row],[_Row]]))</f>
        <v/>
      </c>
      <c r="J81" s="128" t="str">
        <f aca="false">IF(IFERROR(INDEX(tsk_Name,GanttView[[#This Row],[_Row]])="",TRUE()),"",INDEX(tsk_ResourceNames,GanttView[[#This Row],[_Row]])&amp;"")</f>
        <v/>
      </c>
      <c r="K81" s="131" t="str">
        <f aca="false">IF(IFERROR(INDEX(tsk_Name,GanttView[[#This Row],[_Row]])="",TRUE()),"",INDEX(tsk_Status,GanttView[[#This Row],[_Row]]))</f>
        <v/>
      </c>
      <c r="L81" s="131" t="str">
        <f aca="false">IF(IFERROR(INDEX(tsk_Name,GanttView[[#This Row],[_Row]])="",TRUE()),"",INDEX(tsk_Show,GanttView[[#This Row],[_Row]])&amp;"")</f>
        <v/>
      </c>
      <c r="M81" s="132" t="n">
        <f aca="false">ROW()-ROW(GanttView[[#Headers],[ID]])</f>
        <v>76</v>
      </c>
      <c r="N81" s="133" t="b">
        <f aca="false">IF(IFERROR(INDEX(tsk_Name,GanttView[[#This Row],[_Row]])="",TRUE()),FALSE(),INDEX(tsk_IsSummary,GanttView[[#This Row],[_Row]]))</f>
        <v>0</v>
      </c>
      <c r="O81" s="133" t="b">
        <f aca="false">IF(IFERROR(INDEX(tsk_Name,GanttView[[#This Row],[_Row]])="",TRUE()),FALSE(),AND(INDEX(tsk_IsLeaf,GanttView[[#This Row],[_Row]])=1,N(INDEX(tsk_Duration,GanttView[[#This Row],[_Row]]))=0))</f>
        <v>0</v>
      </c>
      <c r="P81" s="134" t="n">
        <f aca="false">IF(IFERROR(INDEX(tsk_Name,GanttView[[#This Row],[_Row]])="",TRUE()),0,IF(AND(INDEX(tsk_IsLeaf,GanttView[[#This Row],[_Row]])=1,NOT(GanttView[[#This Row],[_IsMilestone]]),N(GanttView[[#This Row],[%]])&gt;0),GanttView[[#This Row],[Forecast Start]],0))</f>
        <v>0</v>
      </c>
      <c r="Q81" s="134" t="n">
        <f aca="false">IF(GanttView[[#This Row],[_DoneFrom]]=0,0,IF(GanttView[[#This Row],[%]]&gt;=1,GanttView[[#This Row],[Forecast Finish]],MAX(GanttView[[#This Row],[_DoneFrom]],GanttView[[#This Row],[Forecast Start]]+ROUND((GanttView[[#This Row],[Forecast Finish]]-GanttView[[#This Row],[Forecast Start]]+1)*GanttView[[#This Row],[%]],0)-1)))</f>
        <v>0</v>
      </c>
      <c r="R81" s="134" t="n">
        <f aca="false">IF(IFERROR(INDEX(tsk_Name,GanttView[[#This Row],[_Row]])="",TRUE()),0,IF(OR(INDEX(tsk_IsLeaf,GanttView[[#This Row],[_Row]])&lt;&gt;1,GanttView[[#This Row],[_IsMilestone]],N(GanttView[[#This Row],[%]])&gt;=1),0,IF(GanttView[[#This Row],[_DoneTo]]&gt;0,GanttView[[#This Row],[_DoneTo]]+1,GanttView[[#This Row],[Forecast Start]])))</f>
        <v>0</v>
      </c>
      <c r="S81" s="134" t="n">
        <f aca="false">IF(GanttView[[#This Row],[_RemFrom]]=0,0,GanttView[[#This Row],[Forecast Finish]])</f>
        <v>0</v>
      </c>
      <c r="T81" s="133" t="b">
        <f aca="false">IF(IFERROR(INDEX(tsk_Name,GanttView[[#This Row],[_Row]])="",TRUE()),FALSE(),N(INDEX(tsk_Variance,GanttView[[#This Row],[_Row]]))&gt;0)</f>
        <v>0</v>
      </c>
      <c r="U81" s="134" t="n">
        <f aca="false">IF(IFERROR(INDEX(tsk_Name,GanttView[[#This Row],[_Row]])="",TRUE()),0,N(INDEX(tsk_Deadline,GanttView[[#This Row],[_Row]])))</f>
        <v>0</v>
      </c>
      <c r="V81" s="133" t="b">
        <f aca="false">IF(IFERROR(INDEX(tsk_Name,GanttView[[#This Row],[_Row]])="",TRUE()),FALSE(),INDEX(tsk_Critical,GanttView[[#This Row],[_Row]])="Yes")</f>
        <v>0</v>
      </c>
    </row>
    <row r="82" customFormat="false" ht="15" hidden="false" customHeight="false" outlineLevel="0" collapsed="false">
      <c r="A82" s="127" t="str">
        <f aca="false">IF(IFERROR(INDEX(tsk_Name,GanttView[[#This Row],[_Row]])="",TRUE()),"",INDEX(tsk_ID,GanttView[[#This Row],[_Row]]))</f>
        <v/>
      </c>
      <c r="B82" s="127" t="str">
        <f aca="false">IF(IFERROR(INDEX(tsk_Name,GanttView[[#This Row],[_Row]])="",TRUE()),"",INDEX(tsk_WBS,GanttView[[#This Row],[_Row]]))</f>
        <v/>
      </c>
      <c r="C82" s="128" t="str">
        <f aca="false">IF(IFERROR(INDEX(tsk_Name,GanttView[[#This Row],[_Row]])="",TRUE()),"",REPT("    ",INDEX(tsk_Level,GanttView[[#This Row],[_Row]])-1)&amp;INDEX(tsk_Name,GanttView[[#This Row],[_Row]]))</f>
        <v/>
      </c>
      <c r="D82" s="127" t="str">
        <f aca="false">IF(IFERROR(INDEX(tsk_Name,GanttView[[#This Row],[_Row]])="",TRUE()),"",IF(INDEX(tsk_IsSummary,GanttView[[#This Row],[_Row]]),NETWORKDAYS.INTL(INDEX(tsk_FcStart,GanttView[[#This Row],[_Row]]),INDEX(tsk_FcFinish,GanttView[[#This Row],[_Row]]),WorkWeek,Holidays),N(INDEX(tsk_Duration,GanttView[[#This Row],[_Row]]))))</f>
        <v/>
      </c>
      <c r="E82" s="129" t="str">
        <f aca="false">IF(IFERROR(INDEX(tsk_Name,GanttView[[#This Row],[_Row]])="",TRUE()),"",INDEX(tsk_PlanStart,GanttView[[#This Row],[_Row]]))</f>
        <v/>
      </c>
      <c r="F82" s="129" t="str">
        <f aca="false">IF(IFERROR(INDEX(tsk_Name,GanttView[[#This Row],[_Row]])="",TRUE()),"",INDEX(tsk_PlanFinish,GanttView[[#This Row],[_Row]]))</f>
        <v/>
      </c>
      <c r="G82" s="129" t="str">
        <f aca="false">IF(IFERROR(INDEX(tsk_Name,GanttView[[#This Row],[_Row]])="",TRUE()),"",INDEX(tsk_FcStart,GanttView[[#This Row],[_Row]]))</f>
        <v/>
      </c>
      <c r="H82" s="129" t="str">
        <f aca="false">IF(IFERROR(INDEX(tsk_Name,GanttView[[#This Row],[_Row]])="",TRUE()),"",INDEX(tsk_FcFinish,GanttView[[#This Row],[_Row]]))</f>
        <v/>
      </c>
      <c r="I82" s="130" t="str">
        <f aca="false">IF(IFERROR(INDEX(tsk_Name,GanttView[[#This Row],[_Row]])="",TRUE()),"",INDEX(tsk_Progress,GanttView[[#This Row],[_Row]]))</f>
        <v/>
      </c>
      <c r="J82" s="128" t="str">
        <f aca="false">IF(IFERROR(INDEX(tsk_Name,GanttView[[#This Row],[_Row]])="",TRUE()),"",INDEX(tsk_ResourceNames,GanttView[[#This Row],[_Row]])&amp;"")</f>
        <v/>
      </c>
      <c r="K82" s="131" t="str">
        <f aca="false">IF(IFERROR(INDEX(tsk_Name,GanttView[[#This Row],[_Row]])="",TRUE()),"",INDEX(tsk_Status,GanttView[[#This Row],[_Row]]))</f>
        <v/>
      </c>
      <c r="L82" s="131" t="str">
        <f aca="false">IF(IFERROR(INDEX(tsk_Name,GanttView[[#This Row],[_Row]])="",TRUE()),"",INDEX(tsk_Show,GanttView[[#This Row],[_Row]])&amp;"")</f>
        <v/>
      </c>
      <c r="M82" s="132" t="n">
        <f aca="false">ROW()-ROW(GanttView[[#Headers],[ID]])</f>
        <v>77</v>
      </c>
      <c r="N82" s="133" t="b">
        <f aca="false">IF(IFERROR(INDEX(tsk_Name,GanttView[[#This Row],[_Row]])="",TRUE()),FALSE(),INDEX(tsk_IsSummary,GanttView[[#This Row],[_Row]]))</f>
        <v>0</v>
      </c>
      <c r="O82" s="133" t="b">
        <f aca="false">IF(IFERROR(INDEX(tsk_Name,GanttView[[#This Row],[_Row]])="",TRUE()),FALSE(),AND(INDEX(tsk_IsLeaf,GanttView[[#This Row],[_Row]])=1,N(INDEX(tsk_Duration,GanttView[[#This Row],[_Row]]))=0))</f>
        <v>0</v>
      </c>
      <c r="P82" s="134" t="n">
        <f aca="false">IF(IFERROR(INDEX(tsk_Name,GanttView[[#This Row],[_Row]])="",TRUE()),0,IF(AND(INDEX(tsk_IsLeaf,GanttView[[#This Row],[_Row]])=1,NOT(GanttView[[#This Row],[_IsMilestone]]),N(GanttView[[#This Row],[%]])&gt;0),GanttView[[#This Row],[Forecast Start]],0))</f>
        <v>0</v>
      </c>
      <c r="Q82" s="134" t="n">
        <f aca="false">IF(GanttView[[#This Row],[_DoneFrom]]=0,0,IF(GanttView[[#This Row],[%]]&gt;=1,GanttView[[#This Row],[Forecast Finish]],MAX(GanttView[[#This Row],[_DoneFrom]],GanttView[[#This Row],[Forecast Start]]+ROUND((GanttView[[#This Row],[Forecast Finish]]-GanttView[[#This Row],[Forecast Start]]+1)*GanttView[[#This Row],[%]],0)-1)))</f>
        <v>0</v>
      </c>
      <c r="R82" s="134" t="n">
        <f aca="false">IF(IFERROR(INDEX(tsk_Name,GanttView[[#This Row],[_Row]])="",TRUE()),0,IF(OR(INDEX(tsk_IsLeaf,GanttView[[#This Row],[_Row]])&lt;&gt;1,GanttView[[#This Row],[_IsMilestone]],N(GanttView[[#This Row],[%]])&gt;=1),0,IF(GanttView[[#This Row],[_DoneTo]]&gt;0,GanttView[[#This Row],[_DoneTo]]+1,GanttView[[#This Row],[Forecast Start]])))</f>
        <v>0</v>
      </c>
      <c r="S82" s="134" t="n">
        <f aca="false">IF(GanttView[[#This Row],[_RemFrom]]=0,0,GanttView[[#This Row],[Forecast Finish]])</f>
        <v>0</v>
      </c>
      <c r="T82" s="133" t="b">
        <f aca="false">IF(IFERROR(INDEX(tsk_Name,GanttView[[#This Row],[_Row]])="",TRUE()),FALSE(),N(INDEX(tsk_Variance,GanttView[[#This Row],[_Row]]))&gt;0)</f>
        <v>0</v>
      </c>
      <c r="U82" s="134" t="n">
        <f aca="false">IF(IFERROR(INDEX(tsk_Name,GanttView[[#This Row],[_Row]])="",TRUE()),0,N(INDEX(tsk_Deadline,GanttView[[#This Row],[_Row]])))</f>
        <v>0</v>
      </c>
      <c r="V82" s="133" t="b">
        <f aca="false">IF(IFERROR(INDEX(tsk_Name,GanttView[[#This Row],[_Row]])="",TRUE()),FALSE(),INDEX(tsk_Critical,GanttView[[#This Row],[_Row]])="Yes")</f>
        <v>0</v>
      </c>
    </row>
    <row r="83" customFormat="false" ht="15" hidden="false" customHeight="false" outlineLevel="0" collapsed="false">
      <c r="A83" s="127" t="str">
        <f aca="false">IF(IFERROR(INDEX(tsk_Name,GanttView[[#This Row],[_Row]])="",TRUE()),"",INDEX(tsk_ID,GanttView[[#This Row],[_Row]]))</f>
        <v/>
      </c>
      <c r="B83" s="127" t="str">
        <f aca="false">IF(IFERROR(INDEX(tsk_Name,GanttView[[#This Row],[_Row]])="",TRUE()),"",INDEX(tsk_WBS,GanttView[[#This Row],[_Row]]))</f>
        <v/>
      </c>
      <c r="C83" s="128" t="str">
        <f aca="false">IF(IFERROR(INDEX(tsk_Name,GanttView[[#This Row],[_Row]])="",TRUE()),"",REPT("    ",INDEX(tsk_Level,GanttView[[#This Row],[_Row]])-1)&amp;INDEX(tsk_Name,GanttView[[#This Row],[_Row]]))</f>
        <v/>
      </c>
      <c r="D83" s="127" t="str">
        <f aca="false">IF(IFERROR(INDEX(tsk_Name,GanttView[[#This Row],[_Row]])="",TRUE()),"",IF(INDEX(tsk_IsSummary,GanttView[[#This Row],[_Row]]),NETWORKDAYS.INTL(INDEX(tsk_FcStart,GanttView[[#This Row],[_Row]]),INDEX(tsk_FcFinish,GanttView[[#This Row],[_Row]]),WorkWeek,Holidays),N(INDEX(tsk_Duration,GanttView[[#This Row],[_Row]]))))</f>
        <v/>
      </c>
      <c r="E83" s="129" t="str">
        <f aca="false">IF(IFERROR(INDEX(tsk_Name,GanttView[[#This Row],[_Row]])="",TRUE()),"",INDEX(tsk_PlanStart,GanttView[[#This Row],[_Row]]))</f>
        <v/>
      </c>
      <c r="F83" s="129" t="str">
        <f aca="false">IF(IFERROR(INDEX(tsk_Name,GanttView[[#This Row],[_Row]])="",TRUE()),"",INDEX(tsk_PlanFinish,GanttView[[#This Row],[_Row]]))</f>
        <v/>
      </c>
      <c r="G83" s="129" t="str">
        <f aca="false">IF(IFERROR(INDEX(tsk_Name,GanttView[[#This Row],[_Row]])="",TRUE()),"",INDEX(tsk_FcStart,GanttView[[#This Row],[_Row]]))</f>
        <v/>
      </c>
      <c r="H83" s="129" t="str">
        <f aca="false">IF(IFERROR(INDEX(tsk_Name,GanttView[[#This Row],[_Row]])="",TRUE()),"",INDEX(tsk_FcFinish,GanttView[[#This Row],[_Row]]))</f>
        <v/>
      </c>
      <c r="I83" s="130" t="str">
        <f aca="false">IF(IFERROR(INDEX(tsk_Name,GanttView[[#This Row],[_Row]])="",TRUE()),"",INDEX(tsk_Progress,GanttView[[#This Row],[_Row]]))</f>
        <v/>
      </c>
      <c r="J83" s="128" t="str">
        <f aca="false">IF(IFERROR(INDEX(tsk_Name,GanttView[[#This Row],[_Row]])="",TRUE()),"",INDEX(tsk_ResourceNames,GanttView[[#This Row],[_Row]])&amp;"")</f>
        <v/>
      </c>
      <c r="K83" s="131" t="str">
        <f aca="false">IF(IFERROR(INDEX(tsk_Name,GanttView[[#This Row],[_Row]])="",TRUE()),"",INDEX(tsk_Status,GanttView[[#This Row],[_Row]]))</f>
        <v/>
      </c>
      <c r="L83" s="131" t="str">
        <f aca="false">IF(IFERROR(INDEX(tsk_Name,GanttView[[#This Row],[_Row]])="",TRUE()),"",INDEX(tsk_Show,GanttView[[#This Row],[_Row]])&amp;"")</f>
        <v/>
      </c>
      <c r="M83" s="132" t="n">
        <f aca="false">ROW()-ROW(GanttView[[#Headers],[ID]])</f>
        <v>78</v>
      </c>
      <c r="N83" s="133" t="b">
        <f aca="false">IF(IFERROR(INDEX(tsk_Name,GanttView[[#This Row],[_Row]])="",TRUE()),FALSE(),INDEX(tsk_IsSummary,GanttView[[#This Row],[_Row]]))</f>
        <v>0</v>
      </c>
      <c r="O83" s="133" t="b">
        <f aca="false">IF(IFERROR(INDEX(tsk_Name,GanttView[[#This Row],[_Row]])="",TRUE()),FALSE(),AND(INDEX(tsk_IsLeaf,GanttView[[#This Row],[_Row]])=1,N(INDEX(tsk_Duration,GanttView[[#This Row],[_Row]]))=0))</f>
        <v>0</v>
      </c>
      <c r="P83" s="134" t="n">
        <f aca="false">IF(IFERROR(INDEX(tsk_Name,GanttView[[#This Row],[_Row]])="",TRUE()),0,IF(AND(INDEX(tsk_IsLeaf,GanttView[[#This Row],[_Row]])=1,NOT(GanttView[[#This Row],[_IsMilestone]]),N(GanttView[[#This Row],[%]])&gt;0),GanttView[[#This Row],[Forecast Start]],0))</f>
        <v>0</v>
      </c>
      <c r="Q83" s="134" t="n">
        <f aca="false">IF(GanttView[[#This Row],[_DoneFrom]]=0,0,IF(GanttView[[#This Row],[%]]&gt;=1,GanttView[[#This Row],[Forecast Finish]],MAX(GanttView[[#This Row],[_DoneFrom]],GanttView[[#This Row],[Forecast Start]]+ROUND((GanttView[[#This Row],[Forecast Finish]]-GanttView[[#This Row],[Forecast Start]]+1)*GanttView[[#This Row],[%]],0)-1)))</f>
        <v>0</v>
      </c>
      <c r="R83" s="134" t="n">
        <f aca="false">IF(IFERROR(INDEX(tsk_Name,GanttView[[#This Row],[_Row]])="",TRUE()),0,IF(OR(INDEX(tsk_IsLeaf,GanttView[[#This Row],[_Row]])&lt;&gt;1,GanttView[[#This Row],[_IsMilestone]],N(GanttView[[#This Row],[%]])&gt;=1),0,IF(GanttView[[#This Row],[_DoneTo]]&gt;0,GanttView[[#This Row],[_DoneTo]]+1,GanttView[[#This Row],[Forecast Start]])))</f>
        <v>0</v>
      </c>
      <c r="S83" s="134" t="n">
        <f aca="false">IF(GanttView[[#This Row],[_RemFrom]]=0,0,GanttView[[#This Row],[Forecast Finish]])</f>
        <v>0</v>
      </c>
      <c r="T83" s="133" t="b">
        <f aca="false">IF(IFERROR(INDEX(tsk_Name,GanttView[[#This Row],[_Row]])="",TRUE()),FALSE(),N(INDEX(tsk_Variance,GanttView[[#This Row],[_Row]]))&gt;0)</f>
        <v>0</v>
      </c>
      <c r="U83" s="134" t="n">
        <f aca="false">IF(IFERROR(INDEX(tsk_Name,GanttView[[#This Row],[_Row]])="",TRUE()),0,N(INDEX(tsk_Deadline,GanttView[[#This Row],[_Row]])))</f>
        <v>0</v>
      </c>
      <c r="V83" s="133" t="b">
        <f aca="false">IF(IFERROR(INDEX(tsk_Name,GanttView[[#This Row],[_Row]])="",TRUE()),FALSE(),INDEX(tsk_Critical,GanttView[[#This Row],[_Row]])="Yes")</f>
        <v>0</v>
      </c>
    </row>
    <row r="84" customFormat="false" ht="15" hidden="false" customHeight="false" outlineLevel="0" collapsed="false">
      <c r="A84" s="127" t="str">
        <f aca="false">IF(IFERROR(INDEX(tsk_Name,GanttView[[#This Row],[_Row]])="",TRUE()),"",INDEX(tsk_ID,GanttView[[#This Row],[_Row]]))</f>
        <v/>
      </c>
      <c r="B84" s="127" t="str">
        <f aca="false">IF(IFERROR(INDEX(tsk_Name,GanttView[[#This Row],[_Row]])="",TRUE()),"",INDEX(tsk_WBS,GanttView[[#This Row],[_Row]]))</f>
        <v/>
      </c>
      <c r="C84" s="128" t="str">
        <f aca="false">IF(IFERROR(INDEX(tsk_Name,GanttView[[#This Row],[_Row]])="",TRUE()),"",REPT("    ",INDEX(tsk_Level,GanttView[[#This Row],[_Row]])-1)&amp;INDEX(tsk_Name,GanttView[[#This Row],[_Row]]))</f>
        <v/>
      </c>
      <c r="D84" s="127" t="str">
        <f aca="false">IF(IFERROR(INDEX(tsk_Name,GanttView[[#This Row],[_Row]])="",TRUE()),"",IF(INDEX(tsk_IsSummary,GanttView[[#This Row],[_Row]]),NETWORKDAYS.INTL(INDEX(tsk_FcStart,GanttView[[#This Row],[_Row]]),INDEX(tsk_FcFinish,GanttView[[#This Row],[_Row]]),WorkWeek,Holidays),N(INDEX(tsk_Duration,GanttView[[#This Row],[_Row]]))))</f>
        <v/>
      </c>
      <c r="E84" s="129" t="str">
        <f aca="false">IF(IFERROR(INDEX(tsk_Name,GanttView[[#This Row],[_Row]])="",TRUE()),"",INDEX(tsk_PlanStart,GanttView[[#This Row],[_Row]]))</f>
        <v/>
      </c>
      <c r="F84" s="129" t="str">
        <f aca="false">IF(IFERROR(INDEX(tsk_Name,GanttView[[#This Row],[_Row]])="",TRUE()),"",INDEX(tsk_PlanFinish,GanttView[[#This Row],[_Row]]))</f>
        <v/>
      </c>
      <c r="G84" s="129" t="str">
        <f aca="false">IF(IFERROR(INDEX(tsk_Name,GanttView[[#This Row],[_Row]])="",TRUE()),"",INDEX(tsk_FcStart,GanttView[[#This Row],[_Row]]))</f>
        <v/>
      </c>
      <c r="H84" s="129" t="str">
        <f aca="false">IF(IFERROR(INDEX(tsk_Name,GanttView[[#This Row],[_Row]])="",TRUE()),"",INDEX(tsk_FcFinish,GanttView[[#This Row],[_Row]]))</f>
        <v/>
      </c>
      <c r="I84" s="130" t="str">
        <f aca="false">IF(IFERROR(INDEX(tsk_Name,GanttView[[#This Row],[_Row]])="",TRUE()),"",INDEX(tsk_Progress,GanttView[[#This Row],[_Row]]))</f>
        <v/>
      </c>
      <c r="J84" s="128" t="str">
        <f aca="false">IF(IFERROR(INDEX(tsk_Name,GanttView[[#This Row],[_Row]])="",TRUE()),"",INDEX(tsk_ResourceNames,GanttView[[#This Row],[_Row]])&amp;"")</f>
        <v/>
      </c>
      <c r="K84" s="131" t="str">
        <f aca="false">IF(IFERROR(INDEX(tsk_Name,GanttView[[#This Row],[_Row]])="",TRUE()),"",INDEX(tsk_Status,GanttView[[#This Row],[_Row]]))</f>
        <v/>
      </c>
      <c r="L84" s="131" t="str">
        <f aca="false">IF(IFERROR(INDEX(tsk_Name,GanttView[[#This Row],[_Row]])="",TRUE()),"",INDEX(tsk_Show,GanttView[[#This Row],[_Row]])&amp;"")</f>
        <v/>
      </c>
      <c r="M84" s="132" t="n">
        <f aca="false">ROW()-ROW(GanttView[[#Headers],[ID]])</f>
        <v>79</v>
      </c>
      <c r="N84" s="133" t="b">
        <f aca="false">IF(IFERROR(INDEX(tsk_Name,GanttView[[#This Row],[_Row]])="",TRUE()),FALSE(),INDEX(tsk_IsSummary,GanttView[[#This Row],[_Row]]))</f>
        <v>0</v>
      </c>
      <c r="O84" s="133" t="b">
        <f aca="false">IF(IFERROR(INDEX(tsk_Name,GanttView[[#This Row],[_Row]])="",TRUE()),FALSE(),AND(INDEX(tsk_IsLeaf,GanttView[[#This Row],[_Row]])=1,N(INDEX(tsk_Duration,GanttView[[#This Row],[_Row]]))=0))</f>
        <v>0</v>
      </c>
      <c r="P84" s="134" t="n">
        <f aca="false">IF(IFERROR(INDEX(tsk_Name,GanttView[[#This Row],[_Row]])="",TRUE()),0,IF(AND(INDEX(tsk_IsLeaf,GanttView[[#This Row],[_Row]])=1,NOT(GanttView[[#This Row],[_IsMilestone]]),N(GanttView[[#This Row],[%]])&gt;0),GanttView[[#This Row],[Forecast Start]],0))</f>
        <v>0</v>
      </c>
      <c r="Q84" s="134" t="n">
        <f aca="false">IF(GanttView[[#This Row],[_DoneFrom]]=0,0,IF(GanttView[[#This Row],[%]]&gt;=1,GanttView[[#This Row],[Forecast Finish]],MAX(GanttView[[#This Row],[_DoneFrom]],GanttView[[#This Row],[Forecast Start]]+ROUND((GanttView[[#This Row],[Forecast Finish]]-GanttView[[#This Row],[Forecast Start]]+1)*GanttView[[#This Row],[%]],0)-1)))</f>
        <v>0</v>
      </c>
      <c r="R84" s="134" t="n">
        <f aca="false">IF(IFERROR(INDEX(tsk_Name,GanttView[[#This Row],[_Row]])="",TRUE()),0,IF(OR(INDEX(tsk_IsLeaf,GanttView[[#This Row],[_Row]])&lt;&gt;1,GanttView[[#This Row],[_IsMilestone]],N(GanttView[[#This Row],[%]])&gt;=1),0,IF(GanttView[[#This Row],[_DoneTo]]&gt;0,GanttView[[#This Row],[_DoneTo]]+1,GanttView[[#This Row],[Forecast Start]])))</f>
        <v>0</v>
      </c>
      <c r="S84" s="134" t="n">
        <f aca="false">IF(GanttView[[#This Row],[_RemFrom]]=0,0,GanttView[[#This Row],[Forecast Finish]])</f>
        <v>0</v>
      </c>
      <c r="T84" s="133" t="b">
        <f aca="false">IF(IFERROR(INDEX(tsk_Name,GanttView[[#This Row],[_Row]])="",TRUE()),FALSE(),N(INDEX(tsk_Variance,GanttView[[#This Row],[_Row]]))&gt;0)</f>
        <v>0</v>
      </c>
      <c r="U84" s="134" t="n">
        <f aca="false">IF(IFERROR(INDEX(tsk_Name,GanttView[[#This Row],[_Row]])="",TRUE()),0,N(INDEX(tsk_Deadline,GanttView[[#This Row],[_Row]])))</f>
        <v>0</v>
      </c>
      <c r="V84" s="133" t="b">
        <f aca="false">IF(IFERROR(INDEX(tsk_Name,GanttView[[#This Row],[_Row]])="",TRUE()),FALSE(),INDEX(tsk_Critical,GanttView[[#This Row],[_Row]])="Yes")</f>
        <v>0</v>
      </c>
    </row>
    <row r="85" customFormat="false" ht="15" hidden="false" customHeight="false" outlineLevel="0" collapsed="false">
      <c r="A85" s="127" t="str">
        <f aca="false">IF(IFERROR(INDEX(tsk_Name,GanttView[[#This Row],[_Row]])="",TRUE()),"",INDEX(tsk_ID,GanttView[[#This Row],[_Row]]))</f>
        <v/>
      </c>
      <c r="B85" s="127" t="str">
        <f aca="false">IF(IFERROR(INDEX(tsk_Name,GanttView[[#This Row],[_Row]])="",TRUE()),"",INDEX(tsk_WBS,GanttView[[#This Row],[_Row]]))</f>
        <v/>
      </c>
      <c r="C85" s="128" t="str">
        <f aca="false">IF(IFERROR(INDEX(tsk_Name,GanttView[[#This Row],[_Row]])="",TRUE()),"",REPT("    ",INDEX(tsk_Level,GanttView[[#This Row],[_Row]])-1)&amp;INDEX(tsk_Name,GanttView[[#This Row],[_Row]]))</f>
        <v/>
      </c>
      <c r="D85" s="127" t="str">
        <f aca="false">IF(IFERROR(INDEX(tsk_Name,GanttView[[#This Row],[_Row]])="",TRUE()),"",IF(INDEX(tsk_IsSummary,GanttView[[#This Row],[_Row]]),NETWORKDAYS.INTL(INDEX(tsk_FcStart,GanttView[[#This Row],[_Row]]),INDEX(tsk_FcFinish,GanttView[[#This Row],[_Row]]),WorkWeek,Holidays),N(INDEX(tsk_Duration,GanttView[[#This Row],[_Row]]))))</f>
        <v/>
      </c>
      <c r="E85" s="129" t="str">
        <f aca="false">IF(IFERROR(INDEX(tsk_Name,GanttView[[#This Row],[_Row]])="",TRUE()),"",INDEX(tsk_PlanStart,GanttView[[#This Row],[_Row]]))</f>
        <v/>
      </c>
      <c r="F85" s="129" t="str">
        <f aca="false">IF(IFERROR(INDEX(tsk_Name,GanttView[[#This Row],[_Row]])="",TRUE()),"",INDEX(tsk_PlanFinish,GanttView[[#This Row],[_Row]]))</f>
        <v/>
      </c>
      <c r="G85" s="129" t="str">
        <f aca="false">IF(IFERROR(INDEX(tsk_Name,GanttView[[#This Row],[_Row]])="",TRUE()),"",INDEX(tsk_FcStart,GanttView[[#This Row],[_Row]]))</f>
        <v/>
      </c>
      <c r="H85" s="129" t="str">
        <f aca="false">IF(IFERROR(INDEX(tsk_Name,GanttView[[#This Row],[_Row]])="",TRUE()),"",INDEX(tsk_FcFinish,GanttView[[#This Row],[_Row]]))</f>
        <v/>
      </c>
      <c r="I85" s="130" t="str">
        <f aca="false">IF(IFERROR(INDEX(tsk_Name,GanttView[[#This Row],[_Row]])="",TRUE()),"",INDEX(tsk_Progress,GanttView[[#This Row],[_Row]]))</f>
        <v/>
      </c>
      <c r="J85" s="128" t="str">
        <f aca="false">IF(IFERROR(INDEX(tsk_Name,GanttView[[#This Row],[_Row]])="",TRUE()),"",INDEX(tsk_ResourceNames,GanttView[[#This Row],[_Row]])&amp;"")</f>
        <v/>
      </c>
      <c r="K85" s="131" t="str">
        <f aca="false">IF(IFERROR(INDEX(tsk_Name,GanttView[[#This Row],[_Row]])="",TRUE()),"",INDEX(tsk_Status,GanttView[[#This Row],[_Row]]))</f>
        <v/>
      </c>
      <c r="L85" s="131" t="str">
        <f aca="false">IF(IFERROR(INDEX(tsk_Name,GanttView[[#This Row],[_Row]])="",TRUE()),"",INDEX(tsk_Show,GanttView[[#This Row],[_Row]])&amp;"")</f>
        <v/>
      </c>
      <c r="M85" s="132" t="n">
        <f aca="false">ROW()-ROW(GanttView[[#Headers],[ID]])</f>
        <v>80</v>
      </c>
      <c r="N85" s="133" t="b">
        <f aca="false">IF(IFERROR(INDEX(tsk_Name,GanttView[[#This Row],[_Row]])="",TRUE()),FALSE(),INDEX(tsk_IsSummary,GanttView[[#This Row],[_Row]]))</f>
        <v>0</v>
      </c>
      <c r="O85" s="133" t="b">
        <f aca="false">IF(IFERROR(INDEX(tsk_Name,GanttView[[#This Row],[_Row]])="",TRUE()),FALSE(),AND(INDEX(tsk_IsLeaf,GanttView[[#This Row],[_Row]])=1,N(INDEX(tsk_Duration,GanttView[[#This Row],[_Row]]))=0))</f>
        <v>0</v>
      </c>
      <c r="P85" s="134" t="n">
        <f aca="false">IF(IFERROR(INDEX(tsk_Name,GanttView[[#This Row],[_Row]])="",TRUE()),0,IF(AND(INDEX(tsk_IsLeaf,GanttView[[#This Row],[_Row]])=1,NOT(GanttView[[#This Row],[_IsMilestone]]),N(GanttView[[#This Row],[%]])&gt;0),GanttView[[#This Row],[Forecast Start]],0))</f>
        <v>0</v>
      </c>
      <c r="Q85" s="134" t="n">
        <f aca="false">IF(GanttView[[#This Row],[_DoneFrom]]=0,0,IF(GanttView[[#This Row],[%]]&gt;=1,GanttView[[#This Row],[Forecast Finish]],MAX(GanttView[[#This Row],[_DoneFrom]],GanttView[[#This Row],[Forecast Start]]+ROUND((GanttView[[#This Row],[Forecast Finish]]-GanttView[[#This Row],[Forecast Start]]+1)*GanttView[[#This Row],[%]],0)-1)))</f>
        <v>0</v>
      </c>
      <c r="R85" s="134" t="n">
        <f aca="false">IF(IFERROR(INDEX(tsk_Name,GanttView[[#This Row],[_Row]])="",TRUE()),0,IF(OR(INDEX(tsk_IsLeaf,GanttView[[#This Row],[_Row]])&lt;&gt;1,GanttView[[#This Row],[_IsMilestone]],N(GanttView[[#This Row],[%]])&gt;=1),0,IF(GanttView[[#This Row],[_DoneTo]]&gt;0,GanttView[[#This Row],[_DoneTo]]+1,GanttView[[#This Row],[Forecast Start]])))</f>
        <v>0</v>
      </c>
      <c r="S85" s="134" t="n">
        <f aca="false">IF(GanttView[[#This Row],[_RemFrom]]=0,0,GanttView[[#This Row],[Forecast Finish]])</f>
        <v>0</v>
      </c>
      <c r="T85" s="133" t="b">
        <f aca="false">IF(IFERROR(INDEX(tsk_Name,GanttView[[#This Row],[_Row]])="",TRUE()),FALSE(),N(INDEX(tsk_Variance,GanttView[[#This Row],[_Row]]))&gt;0)</f>
        <v>0</v>
      </c>
      <c r="U85" s="134" t="n">
        <f aca="false">IF(IFERROR(INDEX(tsk_Name,GanttView[[#This Row],[_Row]])="",TRUE()),0,N(INDEX(tsk_Deadline,GanttView[[#This Row],[_Row]])))</f>
        <v>0</v>
      </c>
      <c r="V85" s="133" t="b">
        <f aca="false">IF(IFERROR(INDEX(tsk_Name,GanttView[[#This Row],[_Row]])="",TRUE()),FALSE(),INDEX(tsk_Critical,GanttView[[#This Row],[_Row]])="Yes")</f>
        <v>0</v>
      </c>
    </row>
    <row r="86" customFormat="false" ht="15" hidden="false" customHeight="false" outlineLevel="0" collapsed="false">
      <c r="A86" s="127" t="str">
        <f aca="false">IF(IFERROR(INDEX(tsk_Name,GanttView[[#This Row],[_Row]])="",TRUE()),"",INDEX(tsk_ID,GanttView[[#This Row],[_Row]]))</f>
        <v/>
      </c>
      <c r="B86" s="127" t="str">
        <f aca="false">IF(IFERROR(INDEX(tsk_Name,GanttView[[#This Row],[_Row]])="",TRUE()),"",INDEX(tsk_WBS,GanttView[[#This Row],[_Row]]))</f>
        <v/>
      </c>
      <c r="C86" s="128" t="str">
        <f aca="false">IF(IFERROR(INDEX(tsk_Name,GanttView[[#This Row],[_Row]])="",TRUE()),"",REPT("    ",INDEX(tsk_Level,GanttView[[#This Row],[_Row]])-1)&amp;INDEX(tsk_Name,GanttView[[#This Row],[_Row]]))</f>
        <v/>
      </c>
      <c r="D86" s="127" t="str">
        <f aca="false">IF(IFERROR(INDEX(tsk_Name,GanttView[[#This Row],[_Row]])="",TRUE()),"",IF(INDEX(tsk_IsSummary,GanttView[[#This Row],[_Row]]),NETWORKDAYS.INTL(INDEX(tsk_FcStart,GanttView[[#This Row],[_Row]]),INDEX(tsk_FcFinish,GanttView[[#This Row],[_Row]]),WorkWeek,Holidays),N(INDEX(tsk_Duration,GanttView[[#This Row],[_Row]]))))</f>
        <v/>
      </c>
      <c r="E86" s="129" t="str">
        <f aca="false">IF(IFERROR(INDEX(tsk_Name,GanttView[[#This Row],[_Row]])="",TRUE()),"",INDEX(tsk_PlanStart,GanttView[[#This Row],[_Row]]))</f>
        <v/>
      </c>
      <c r="F86" s="129" t="str">
        <f aca="false">IF(IFERROR(INDEX(tsk_Name,GanttView[[#This Row],[_Row]])="",TRUE()),"",INDEX(tsk_PlanFinish,GanttView[[#This Row],[_Row]]))</f>
        <v/>
      </c>
      <c r="G86" s="129" t="str">
        <f aca="false">IF(IFERROR(INDEX(tsk_Name,GanttView[[#This Row],[_Row]])="",TRUE()),"",INDEX(tsk_FcStart,GanttView[[#This Row],[_Row]]))</f>
        <v/>
      </c>
      <c r="H86" s="129" t="str">
        <f aca="false">IF(IFERROR(INDEX(tsk_Name,GanttView[[#This Row],[_Row]])="",TRUE()),"",INDEX(tsk_FcFinish,GanttView[[#This Row],[_Row]]))</f>
        <v/>
      </c>
      <c r="I86" s="130" t="str">
        <f aca="false">IF(IFERROR(INDEX(tsk_Name,GanttView[[#This Row],[_Row]])="",TRUE()),"",INDEX(tsk_Progress,GanttView[[#This Row],[_Row]]))</f>
        <v/>
      </c>
      <c r="J86" s="128" t="str">
        <f aca="false">IF(IFERROR(INDEX(tsk_Name,GanttView[[#This Row],[_Row]])="",TRUE()),"",INDEX(tsk_ResourceNames,GanttView[[#This Row],[_Row]])&amp;"")</f>
        <v/>
      </c>
      <c r="K86" s="131" t="str">
        <f aca="false">IF(IFERROR(INDEX(tsk_Name,GanttView[[#This Row],[_Row]])="",TRUE()),"",INDEX(tsk_Status,GanttView[[#This Row],[_Row]]))</f>
        <v/>
      </c>
      <c r="L86" s="131" t="str">
        <f aca="false">IF(IFERROR(INDEX(tsk_Name,GanttView[[#This Row],[_Row]])="",TRUE()),"",INDEX(tsk_Show,GanttView[[#This Row],[_Row]])&amp;"")</f>
        <v/>
      </c>
      <c r="M86" s="132" t="n">
        <f aca="false">ROW()-ROW(GanttView[[#Headers],[ID]])</f>
        <v>81</v>
      </c>
      <c r="N86" s="133" t="b">
        <f aca="false">IF(IFERROR(INDEX(tsk_Name,GanttView[[#This Row],[_Row]])="",TRUE()),FALSE(),INDEX(tsk_IsSummary,GanttView[[#This Row],[_Row]]))</f>
        <v>0</v>
      </c>
      <c r="O86" s="133" t="b">
        <f aca="false">IF(IFERROR(INDEX(tsk_Name,GanttView[[#This Row],[_Row]])="",TRUE()),FALSE(),AND(INDEX(tsk_IsLeaf,GanttView[[#This Row],[_Row]])=1,N(INDEX(tsk_Duration,GanttView[[#This Row],[_Row]]))=0))</f>
        <v>0</v>
      </c>
      <c r="P86" s="134" t="n">
        <f aca="false">IF(IFERROR(INDEX(tsk_Name,GanttView[[#This Row],[_Row]])="",TRUE()),0,IF(AND(INDEX(tsk_IsLeaf,GanttView[[#This Row],[_Row]])=1,NOT(GanttView[[#This Row],[_IsMilestone]]),N(GanttView[[#This Row],[%]])&gt;0),GanttView[[#This Row],[Forecast Start]],0))</f>
        <v>0</v>
      </c>
      <c r="Q86" s="134" t="n">
        <f aca="false">IF(GanttView[[#This Row],[_DoneFrom]]=0,0,IF(GanttView[[#This Row],[%]]&gt;=1,GanttView[[#This Row],[Forecast Finish]],MAX(GanttView[[#This Row],[_DoneFrom]],GanttView[[#This Row],[Forecast Start]]+ROUND((GanttView[[#This Row],[Forecast Finish]]-GanttView[[#This Row],[Forecast Start]]+1)*GanttView[[#This Row],[%]],0)-1)))</f>
        <v>0</v>
      </c>
      <c r="R86" s="134" t="n">
        <f aca="false">IF(IFERROR(INDEX(tsk_Name,GanttView[[#This Row],[_Row]])="",TRUE()),0,IF(OR(INDEX(tsk_IsLeaf,GanttView[[#This Row],[_Row]])&lt;&gt;1,GanttView[[#This Row],[_IsMilestone]],N(GanttView[[#This Row],[%]])&gt;=1),0,IF(GanttView[[#This Row],[_DoneTo]]&gt;0,GanttView[[#This Row],[_DoneTo]]+1,GanttView[[#This Row],[Forecast Start]])))</f>
        <v>0</v>
      </c>
      <c r="S86" s="134" t="n">
        <f aca="false">IF(GanttView[[#This Row],[_RemFrom]]=0,0,GanttView[[#This Row],[Forecast Finish]])</f>
        <v>0</v>
      </c>
      <c r="T86" s="133" t="b">
        <f aca="false">IF(IFERROR(INDEX(tsk_Name,GanttView[[#This Row],[_Row]])="",TRUE()),FALSE(),N(INDEX(tsk_Variance,GanttView[[#This Row],[_Row]]))&gt;0)</f>
        <v>0</v>
      </c>
      <c r="U86" s="134" t="n">
        <f aca="false">IF(IFERROR(INDEX(tsk_Name,GanttView[[#This Row],[_Row]])="",TRUE()),0,N(INDEX(tsk_Deadline,GanttView[[#This Row],[_Row]])))</f>
        <v>0</v>
      </c>
      <c r="V86" s="133" t="b">
        <f aca="false">IF(IFERROR(INDEX(tsk_Name,GanttView[[#This Row],[_Row]])="",TRUE()),FALSE(),INDEX(tsk_Critical,GanttView[[#This Row],[_Row]])="Yes")</f>
        <v>0</v>
      </c>
    </row>
    <row r="87" customFormat="false" ht="15" hidden="false" customHeight="false" outlineLevel="0" collapsed="false">
      <c r="A87" s="127" t="str">
        <f aca="false">IF(IFERROR(INDEX(tsk_Name,GanttView[[#This Row],[_Row]])="",TRUE()),"",INDEX(tsk_ID,GanttView[[#This Row],[_Row]]))</f>
        <v/>
      </c>
      <c r="B87" s="127" t="str">
        <f aca="false">IF(IFERROR(INDEX(tsk_Name,GanttView[[#This Row],[_Row]])="",TRUE()),"",INDEX(tsk_WBS,GanttView[[#This Row],[_Row]]))</f>
        <v/>
      </c>
      <c r="C87" s="128" t="str">
        <f aca="false">IF(IFERROR(INDEX(tsk_Name,GanttView[[#This Row],[_Row]])="",TRUE()),"",REPT("    ",INDEX(tsk_Level,GanttView[[#This Row],[_Row]])-1)&amp;INDEX(tsk_Name,GanttView[[#This Row],[_Row]]))</f>
        <v/>
      </c>
      <c r="D87" s="127" t="str">
        <f aca="false">IF(IFERROR(INDEX(tsk_Name,GanttView[[#This Row],[_Row]])="",TRUE()),"",IF(INDEX(tsk_IsSummary,GanttView[[#This Row],[_Row]]),NETWORKDAYS.INTL(INDEX(tsk_FcStart,GanttView[[#This Row],[_Row]]),INDEX(tsk_FcFinish,GanttView[[#This Row],[_Row]]),WorkWeek,Holidays),N(INDEX(tsk_Duration,GanttView[[#This Row],[_Row]]))))</f>
        <v/>
      </c>
      <c r="E87" s="129" t="str">
        <f aca="false">IF(IFERROR(INDEX(tsk_Name,GanttView[[#This Row],[_Row]])="",TRUE()),"",INDEX(tsk_PlanStart,GanttView[[#This Row],[_Row]]))</f>
        <v/>
      </c>
      <c r="F87" s="129" t="str">
        <f aca="false">IF(IFERROR(INDEX(tsk_Name,GanttView[[#This Row],[_Row]])="",TRUE()),"",INDEX(tsk_PlanFinish,GanttView[[#This Row],[_Row]]))</f>
        <v/>
      </c>
      <c r="G87" s="129" t="str">
        <f aca="false">IF(IFERROR(INDEX(tsk_Name,GanttView[[#This Row],[_Row]])="",TRUE()),"",INDEX(tsk_FcStart,GanttView[[#This Row],[_Row]]))</f>
        <v/>
      </c>
      <c r="H87" s="129" t="str">
        <f aca="false">IF(IFERROR(INDEX(tsk_Name,GanttView[[#This Row],[_Row]])="",TRUE()),"",INDEX(tsk_FcFinish,GanttView[[#This Row],[_Row]]))</f>
        <v/>
      </c>
      <c r="I87" s="130" t="str">
        <f aca="false">IF(IFERROR(INDEX(tsk_Name,GanttView[[#This Row],[_Row]])="",TRUE()),"",INDEX(tsk_Progress,GanttView[[#This Row],[_Row]]))</f>
        <v/>
      </c>
      <c r="J87" s="128" t="str">
        <f aca="false">IF(IFERROR(INDEX(tsk_Name,GanttView[[#This Row],[_Row]])="",TRUE()),"",INDEX(tsk_ResourceNames,GanttView[[#This Row],[_Row]])&amp;"")</f>
        <v/>
      </c>
      <c r="K87" s="131" t="str">
        <f aca="false">IF(IFERROR(INDEX(tsk_Name,GanttView[[#This Row],[_Row]])="",TRUE()),"",INDEX(tsk_Status,GanttView[[#This Row],[_Row]]))</f>
        <v/>
      </c>
      <c r="L87" s="131" t="str">
        <f aca="false">IF(IFERROR(INDEX(tsk_Name,GanttView[[#This Row],[_Row]])="",TRUE()),"",INDEX(tsk_Show,GanttView[[#This Row],[_Row]])&amp;"")</f>
        <v/>
      </c>
      <c r="M87" s="132" t="n">
        <f aca="false">ROW()-ROW(GanttView[[#Headers],[ID]])</f>
        <v>82</v>
      </c>
      <c r="N87" s="133" t="b">
        <f aca="false">IF(IFERROR(INDEX(tsk_Name,GanttView[[#This Row],[_Row]])="",TRUE()),FALSE(),INDEX(tsk_IsSummary,GanttView[[#This Row],[_Row]]))</f>
        <v>0</v>
      </c>
      <c r="O87" s="133" t="b">
        <f aca="false">IF(IFERROR(INDEX(tsk_Name,GanttView[[#This Row],[_Row]])="",TRUE()),FALSE(),AND(INDEX(tsk_IsLeaf,GanttView[[#This Row],[_Row]])=1,N(INDEX(tsk_Duration,GanttView[[#This Row],[_Row]]))=0))</f>
        <v>0</v>
      </c>
      <c r="P87" s="134" t="n">
        <f aca="false">IF(IFERROR(INDEX(tsk_Name,GanttView[[#This Row],[_Row]])="",TRUE()),0,IF(AND(INDEX(tsk_IsLeaf,GanttView[[#This Row],[_Row]])=1,NOT(GanttView[[#This Row],[_IsMilestone]]),N(GanttView[[#This Row],[%]])&gt;0),GanttView[[#This Row],[Forecast Start]],0))</f>
        <v>0</v>
      </c>
      <c r="Q87" s="134" t="n">
        <f aca="false">IF(GanttView[[#This Row],[_DoneFrom]]=0,0,IF(GanttView[[#This Row],[%]]&gt;=1,GanttView[[#This Row],[Forecast Finish]],MAX(GanttView[[#This Row],[_DoneFrom]],GanttView[[#This Row],[Forecast Start]]+ROUND((GanttView[[#This Row],[Forecast Finish]]-GanttView[[#This Row],[Forecast Start]]+1)*GanttView[[#This Row],[%]],0)-1)))</f>
        <v>0</v>
      </c>
      <c r="R87" s="134" t="n">
        <f aca="false">IF(IFERROR(INDEX(tsk_Name,GanttView[[#This Row],[_Row]])="",TRUE()),0,IF(OR(INDEX(tsk_IsLeaf,GanttView[[#This Row],[_Row]])&lt;&gt;1,GanttView[[#This Row],[_IsMilestone]],N(GanttView[[#This Row],[%]])&gt;=1),0,IF(GanttView[[#This Row],[_DoneTo]]&gt;0,GanttView[[#This Row],[_DoneTo]]+1,GanttView[[#This Row],[Forecast Start]])))</f>
        <v>0</v>
      </c>
      <c r="S87" s="134" t="n">
        <f aca="false">IF(GanttView[[#This Row],[_RemFrom]]=0,0,GanttView[[#This Row],[Forecast Finish]])</f>
        <v>0</v>
      </c>
      <c r="T87" s="133" t="b">
        <f aca="false">IF(IFERROR(INDEX(tsk_Name,GanttView[[#This Row],[_Row]])="",TRUE()),FALSE(),N(INDEX(tsk_Variance,GanttView[[#This Row],[_Row]]))&gt;0)</f>
        <v>0</v>
      </c>
      <c r="U87" s="134" t="n">
        <f aca="false">IF(IFERROR(INDEX(tsk_Name,GanttView[[#This Row],[_Row]])="",TRUE()),0,N(INDEX(tsk_Deadline,GanttView[[#This Row],[_Row]])))</f>
        <v>0</v>
      </c>
      <c r="V87" s="133" t="b">
        <f aca="false">IF(IFERROR(INDEX(tsk_Name,GanttView[[#This Row],[_Row]])="",TRUE()),FALSE(),INDEX(tsk_Critical,GanttView[[#This Row],[_Row]])="Yes")</f>
        <v>0</v>
      </c>
    </row>
    <row r="88" customFormat="false" ht="15" hidden="false" customHeight="false" outlineLevel="0" collapsed="false">
      <c r="A88" s="127" t="str">
        <f aca="false">IF(IFERROR(INDEX(tsk_Name,GanttView[[#This Row],[_Row]])="",TRUE()),"",INDEX(tsk_ID,GanttView[[#This Row],[_Row]]))</f>
        <v/>
      </c>
      <c r="B88" s="127" t="str">
        <f aca="false">IF(IFERROR(INDEX(tsk_Name,GanttView[[#This Row],[_Row]])="",TRUE()),"",INDEX(tsk_WBS,GanttView[[#This Row],[_Row]]))</f>
        <v/>
      </c>
      <c r="C88" s="128" t="str">
        <f aca="false">IF(IFERROR(INDEX(tsk_Name,GanttView[[#This Row],[_Row]])="",TRUE()),"",REPT("    ",INDEX(tsk_Level,GanttView[[#This Row],[_Row]])-1)&amp;INDEX(tsk_Name,GanttView[[#This Row],[_Row]]))</f>
        <v/>
      </c>
      <c r="D88" s="127" t="str">
        <f aca="false">IF(IFERROR(INDEX(tsk_Name,GanttView[[#This Row],[_Row]])="",TRUE()),"",IF(INDEX(tsk_IsSummary,GanttView[[#This Row],[_Row]]),NETWORKDAYS.INTL(INDEX(tsk_FcStart,GanttView[[#This Row],[_Row]]),INDEX(tsk_FcFinish,GanttView[[#This Row],[_Row]]),WorkWeek,Holidays),N(INDEX(tsk_Duration,GanttView[[#This Row],[_Row]]))))</f>
        <v/>
      </c>
      <c r="E88" s="129" t="str">
        <f aca="false">IF(IFERROR(INDEX(tsk_Name,GanttView[[#This Row],[_Row]])="",TRUE()),"",INDEX(tsk_PlanStart,GanttView[[#This Row],[_Row]]))</f>
        <v/>
      </c>
      <c r="F88" s="129" t="str">
        <f aca="false">IF(IFERROR(INDEX(tsk_Name,GanttView[[#This Row],[_Row]])="",TRUE()),"",INDEX(tsk_PlanFinish,GanttView[[#This Row],[_Row]]))</f>
        <v/>
      </c>
      <c r="G88" s="129" t="str">
        <f aca="false">IF(IFERROR(INDEX(tsk_Name,GanttView[[#This Row],[_Row]])="",TRUE()),"",INDEX(tsk_FcStart,GanttView[[#This Row],[_Row]]))</f>
        <v/>
      </c>
      <c r="H88" s="129" t="str">
        <f aca="false">IF(IFERROR(INDEX(tsk_Name,GanttView[[#This Row],[_Row]])="",TRUE()),"",INDEX(tsk_FcFinish,GanttView[[#This Row],[_Row]]))</f>
        <v/>
      </c>
      <c r="I88" s="130" t="str">
        <f aca="false">IF(IFERROR(INDEX(tsk_Name,GanttView[[#This Row],[_Row]])="",TRUE()),"",INDEX(tsk_Progress,GanttView[[#This Row],[_Row]]))</f>
        <v/>
      </c>
      <c r="J88" s="128" t="str">
        <f aca="false">IF(IFERROR(INDEX(tsk_Name,GanttView[[#This Row],[_Row]])="",TRUE()),"",INDEX(tsk_ResourceNames,GanttView[[#This Row],[_Row]])&amp;"")</f>
        <v/>
      </c>
      <c r="K88" s="131" t="str">
        <f aca="false">IF(IFERROR(INDEX(tsk_Name,GanttView[[#This Row],[_Row]])="",TRUE()),"",INDEX(tsk_Status,GanttView[[#This Row],[_Row]]))</f>
        <v/>
      </c>
      <c r="L88" s="131" t="str">
        <f aca="false">IF(IFERROR(INDEX(tsk_Name,GanttView[[#This Row],[_Row]])="",TRUE()),"",INDEX(tsk_Show,GanttView[[#This Row],[_Row]])&amp;"")</f>
        <v/>
      </c>
      <c r="M88" s="132" t="n">
        <f aca="false">ROW()-ROW(GanttView[[#Headers],[ID]])</f>
        <v>83</v>
      </c>
      <c r="N88" s="133" t="b">
        <f aca="false">IF(IFERROR(INDEX(tsk_Name,GanttView[[#This Row],[_Row]])="",TRUE()),FALSE(),INDEX(tsk_IsSummary,GanttView[[#This Row],[_Row]]))</f>
        <v>0</v>
      </c>
      <c r="O88" s="133" t="b">
        <f aca="false">IF(IFERROR(INDEX(tsk_Name,GanttView[[#This Row],[_Row]])="",TRUE()),FALSE(),AND(INDEX(tsk_IsLeaf,GanttView[[#This Row],[_Row]])=1,N(INDEX(tsk_Duration,GanttView[[#This Row],[_Row]]))=0))</f>
        <v>0</v>
      </c>
      <c r="P88" s="134" t="n">
        <f aca="false">IF(IFERROR(INDEX(tsk_Name,GanttView[[#This Row],[_Row]])="",TRUE()),0,IF(AND(INDEX(tsk_IsLeaf,GanttView[[#This Row],[_Row]])=1,NOT(GanttView[[#This Row],[_IsMilestone]]),N(GanttView[[#This Row],[%]])&gt;0),GanttView[[#This Row],[Forecast Start]],0))</f>
        <v>0</v>
      </c>
      <c r="Q88" s="134" t="n">
        <f aca="false">IF(GanttView[[#This Row],[_DoneFrom]]=0,0,IF(GanttView[[#This Row],[%]]&gt;=1,GanttView[[#This Row],[Forecast Finish]],MAX(GanttView[[#This Row],[_DoneFrom]],GanttView[[#This Row],[Forecast Start]]+ROUND((GanttView[[#This Row],[Forecast Finish]]-GanttView[[#This Row],[Forecast Start]]+1)*GanttView[[#This Row],[%]],0)-1)))</f>
        <v>0</v>
      </c>
      <c r="R88" s="134" t="n">
        <f aca="false">IF(IFERROR(INDEX(tsk_Name,GanttView[[#This Row],[_Row]])="",TRUE()),0,IF(OR(INDEX(tsk_IsLeaf,GanttView[[#This Row],[_Row]])&lt;&gt;1,GanttView[[#This Row],[_IsMilestone]],N(GanttView[[#This Row],[%]])&gt;=1),0,IF(GanttView[[#This Row],[_DoneTo]]&gt;0,GanttView[[#This Row],[_DoneTo]]+1,GanttView[[#This Row],[Forecast Start]])))</f>
        <v>0</v>
      </c>
      <c r="S88" s="134" t="n">
        <f aca="false">IF(GanttView[[#This Row],[_RemFrom]]=0,0,GanttView[[#This Row],[Forecast Finish]])</f>
        <v>0</v>
      </c>
      <c r="T88" s="133" t="b">
        <f aca="false">IF(IFERROR(INDEX(tsk_Name,GanttView[[#This Row],[_Row]])="",TRUE()),FALSE(),N(INDEX(tsk_Variance,GanttView[[#This Row],[_Row]]))&gt;0)</f>
        <v>0</v>
      </c>
      <c r="U88" s="134" t="n">
        <f aca="false">IF(IFERROR(INDEX(tsk_Name,GanttView[[#This Row],[_Row]])="",TRUE()),0,N(INDEX(tsk_Deadline,GanttView[[#This Row],[_Row]])))</f>
        <v>0</v>
      </c>
      <c r="V88" s="133" t="b">
        <f aca="false">IF(IFERROR(INDEX(tsk_Name,GanttView[[#This Row],[_Row]])="",TRUE()),FALSE(),INDEX(tsk_Critical,GanttView[[#This Row],[_Row]])="Yes")</f>
        <v>0</v>
      </c>
    </row>
    <row r="89" customFormat="false" ht="15" hidden="false" customHeight="false" outlineLevel="0" collapsed="false">
      <c r="A89" s="127" t="str">
        <f aca="false">IF(IFERROR(INDEX(tsk_Name,GanttView[[#This Row],[_Row]])="",TRUE()),"",INDEX(tsk_ID,GanttView[[#This Row],[_Row]]))</f>
        <v/>
      </c>
      <c r="B89" s="127" t="str">
        <f aca="false">IF(IFERROR(INDEX(tsk_Name,GanttView[[#This Row],[_Row]])="",TRUE()),"",INDEX(tsk_WBS,GanttView[[#This Row],[_Row]]))</f>
        <v/>
      </c>
      <c r="C89" s="128" t="str">
        <f aca="false">IF(IFERROR(INDEX(tsk_Name,GanttView[[#This Row],[_Row]])="",TRUE()),"",REPT("    ",INDEX(tsk_Level,GanttView[[#This Row],[_Row]])-1)&amp;INDEX(tsk_Name,GanttView[[#This Row],[_Row]]))</f>
        <v/>
      </c>
      <c r="D89" s="127" t="str">
        <f aca="false">IF(IFERROR(INDEX(tsk_Name,GanttView[[#This Row],[_Row]])="",TRUE()),"",IF(INDEX(tsk_IsSummary,GanttView[[#This Row],[_Row]]),NETWORKDAYS.INTL(INDEX(tsk_FcStart,GanttView[[#This Row],[_Row]]),INDEX(tsk_FcFinish,GanttView[[#This Row],[_Row]]),WorkWeek,Holidays),N(INDEX(tsk_Duration,GanttView[[#This Row],[_Row]]))))</f>
        <v/>
      </c>
      <c r="E89" s="129" t="str">
        <f aca="false">IF(IFERROR(INDEX(tsk_Name,GanttView[[#This Row],[_Row]])="",TRUE()),"",INDEX(tsk_PlanStart,GanttView[[#This Row],[_Row]]))</f>
        <v/>
      </c>
      <c r="F89" s="129" t="str">
        <f aca="false">IF(IFERROR(INDEX(tsk_Name,GanttView[[#This Row],[_Row]])="",TRUE()),"",INDEX(tsk_PlanFinish,GanttView[[#This Row],[_Row]]))</f>
        <v/>
      </c>
      <c r="G89" s="129" t="str">
        <f aca="false">IF(IFERROR(INDEX(tsk_Name,GanttView[[#This Row],[_Row]])="",TRUE()),"",INDEX(tsk_FcStart,GanttView[[#This Row],[_Row]]))</f>
        <v/>
      </c>
      <c r="H89" s="129" t="str">
        <f aca="false">IF(IFERROR(INDEX(tsk_Name,GanttView[[#This Row],[_Row]])="",TRUE()),"",INDEX(tsk_FcFinish,GanttView[[#This Row],[_Row]]))</f>
        <v/>
      </c>
      <c r="I89" s="130" t="str">
        <f aca="false">IF(IFERROR(INDEX(tsk_Name,GanttView[[#This Row],[_Row]])="",TRUE()),"",INDEX(tsk_Progress,GanttView[[#This Row],[_Row]]))</f>
        <v/>
      </c>
      <c r="J89" s="128" t="str">
        <f aca="false">IF(IFERROR(INDEX(tsk_Name,GanttView[[#This Row],[_Row]])="",TRUE()),"",INDEX(tsk_ResourceNames,GanttView[[#This Row],[_Row]])&amp;"")</f>
        <v/>
      </c>
      <c r="K89" s="131" t="str">
        <f aca="false">IF(IFERROR(INDEX(tsk_Name,GanttView[[#This Row],[_Row]])="",TRUE()),"",INDEX(tsk_Status,GanttView[[#This Row],[_Row]]))</f>
        <v/>
      </c>
      <c r="L89" s="131" t="str">
        <f aca="false">IF(IFERROR(INDEX(tsk_Name,GanttView[[#This Row],[_Row]])="",TRUE()),"",INDEX(tsk_Show,GanttView[[#This Row],[_Row]])&amp;"")</f>
        <v/>
      </c>
      <c r="M89" s="132" t="n">
        <f aca="false">ROW()-ROW(GanttView[[#Headers],[ID]])</f>
        <v>84</v>
      </c>
      <c r="N89" s="133" t="b">
        <f aca="false">IF(IFERROR(INDEX(tsk_Name,GanttView[[#This Row],[_Row]])="",TRUE()),FALSE(),INDEX(tsk_IsSummary,GanttView[[#This Row],[_Row]]))</f>
        <v>0</v>
      </c>
      <c r="O89" s="133" t="b">
        <f aca="false">IF(IFERROR(INDEX(tsk_Name,GanttView[[#This Row],[_Row]])="",TRUE()),FALSE(),AND(INDEX(tsk_IsLeaf,GanttView[[#This Row],[_Row]])=1,N(INDEX(tsk_Duration,GanttView[[#This Row],[_Row]]))=0))</f>
        <v>0</v>
      </c>
      <c r="P89" s="134" t="n">
        <f aca="false">IF(IFERROR(INDEX(tsk_Name,GanttView[[#This Row],[_Row]])="",TRUE()),0,IF(AND(INDEX(tsk_IsLeaf,GanttView[[#This Row],[_Row]])=1,NOT(GanttView[[#This Row],[_IsMilestone]]),N(GanttView[[#This Row],[%]])&gt;0),GanttView[[#This Row],[Forecast Start]],0))</f>
        <v>0</v>
      </c>
      <c r="Q89" s="134" t="n">
        <f aca="false">IF(GanttView[[#This Row],[_DoneFrom]]=0,0,IF(GanttView[[#This Row],[%]]&gt;=1,GanttView[[#This Row],[Forecast Finish]],MAX(GanttView[[#This Row],[_DoneFrom]],GanttView[[#This Row],[Forecast Start]]+ROUND((GanttView[[#This Row],[Forecast Finish]]-GanttView[[#This Row],[Forecast Start]]+1)*GanttView[[#This Row],[%]],0)-1)))</f>
        <v>0</v>
      </c>
      <c r="R89" s="134" t="n">
        <f aca="false">IF(IFERROR(INDEX(tsk_Name,GanttView[[#This Row],[_Row]])="",TRUE()),0,IF(OR(INDEX(tsk_IsLeaf,GanttView[[#This Row],[_Row]])&lt;&gt;1,GanttView[[#This Row],[_IsMilestone]],N(GanttView[[#This Row],[%]])&gt;=1),0,IF(GanttView[[#This Row],[_DoneTo]]&gt;0,GanttView[[#This Row],[_DoneTo]]+1,GanttView[[#This Row],[Forecast Start]])))</f>
        <v>0</v>
      </c>
      <c r="S89" s="134" t="n">
        <f aca="false">IF(GanttView[[#This Row],[_RemFrom]]=0,0,GanttView[[#This Row],[Forecast Finish]])</f>
        <v>0</v>
      </c>
      <c r="T89" s="133" t="b">
        <f aca="false">IF(IFERROR(INDEX(tsk_Name,GanttView[[#This Row],[_Row]])="",TRUE()),FALSE(),N(INDEX(tsk_Variance,GanttView[[#This Row],[_Row]]))&gt;0)</f>
        <v>0</v>
      </c>
      <c r="U89" s="134" t="n">
        <f aca="false">IF(IFERROR(INDEX(tsk_Name,GanttView[[#This Row],[_Row]])="",TRUE()),0,N(INDEX(tsk_Deadline,GanttView[[#This Row],[_Row]])))</f>
        <v>0</v>
      </c>
      <c r="V89" s="133" t="b">
        <f aca="false">IF(IFERROR(INDEX(tsk_Name,GanttView[[#This Row],[_Row]])="",TRUE()),FALSE(),INDEX(tsk_Critical,GanttView[[#This Row],[_Row]])="Yes")</f>
        <v>0</v>
      </c>
    </row>
    <row r="90" customFormat="false" ht="15" hidden="false" customHeight="false" outlineLevel="0" collapsed="false">
      <c r="A90" s="127" t="str">
        <f aca="false">IF(IFERROR(INDEX(tsk_Name,GanttView[[#This Row],[_Row]])="",TRUE()),"",INDEX(tsk_ID,GanttView[[#This Row],[_Row]]))</f>
        <v/>
      </c>
      <c r="B90" s="127" t="str">
        <f aca="false">IF(IFERROR(INDEX(tsk_Name,GanttView[[#This Row],[_Row]])="",TRUE()),"",INDEX(tsk_WBS,GanttView[[#This Row],[_Row]]))</f>
        <v/>
      </c>
      <c r="C90" s="128" t="str">
        <f aca="false">IF(IFERROR(INDEX(tsk_Name,GanttView[[#This Row],[_Row]])="",TRUE()),"",REPT("    ",INDEX(tsk_Level,GanttView[[#This Row],[_Row]])-1)&amp;INDEX(tsk_Name,GanttView[[#This Row],[_Row]]))</f>
        <v/>
      </c>
      <c r="D90" s="127" t="str">
        <f aca="false">IF(IFERROR(INDEX(tsk_Name,GanttView[[#This Row],[_Row]])="",TRUE()),"",IF(INDEX(tsk_IsSummary,GanttView[[#This Row],[_Row]]),NETWORKDAYS.INTL(INDEX(tsk_FcStart,GanttView[[#This Row],[_Row]]),INDEX(tsk_FcFinish,GanttView[[#This Row],[_Row]]),WorkWeek,Holidays),N(INDEX(tsk_Duration,GanttView[[#This Row],[_Row]]))))</f>
        <v/>
      </c>
      <c r="E90" s="129" t="str">
        <f aca="false">IF(IFERROR(INDEX(tsk_Name,GanttView[[#This Row],[_Row]])="",TRUE()),"",INDEX(tsk_PlanStart,GanttView[[#This Row],[_Row]]))</f>
        <v/>
      </c>
      <c r="F90" s="129" t="str">
        <f aca="false">IF(IFERROR(INDEX(tsk_Name,GanttView[[#This Row],[_Row]])="",TRUE()),"",INDEX(tsk_PlanFinish,GanttView[[#This Row],[_Row]]))</f>
        <v/>
      </c>
      <c r="G90" s="129" t="str">
        <f aca="false">IF(IFERROR(INDEX(tsk_Name,GanttView[[#This Row],[_Row]])="",TRUE()),"",INDEX(tsk_FcStart,GanttView[[#This Row],[_Row]]))</f>
        <v/>
      </c>
      <c r="H90" s="129" t="str">
        <f aca="false">IF(IFERROR(INDEX(tsk_Name,GanttView[[#This Row],[_Row]])="",TRUE()),"",INDEX(tsk_FcFinish,GanttView[[#This Row],[_Row]]))</f>
        <v/>
      </c>
      <c r="I90" s="130" t="str">
        <f aca="false">IF(IFERROR(INDEX(tsk_Name,GanttView[[#This Row],[_Row]])="",TRUE()),"",INDEX(tsk_Progress,GanttView[[#This Row],[_Row]]))</f>
        <v/>
      </c>
      <c r="J90" s="128" t="str">
        <f aca="false">IF(IFERROR(INDEX(tsk_Name,GanttView[[#This Row],[_Row]])="",TRUE()),"",INDEX(tsk_ResourceNames,GanttView[[#This Row],[_Row]])&amp;"")</f>
        <v/>
      </c>
      <c r="K90" s="131" t="str">
        <f aca="false">IF(IFERROR(INDEX(tsk_Name,GanttView[[#This Row],[_Row]])="",TRUE()),"",INDEX(tsk_Status,GanttView[[#This Row],[_Row]]))</f>
        <v/>
      </c>
      <c r="L90" s="131" t="str">
        <f aca="false">IF(IFERROR(INDEX(tsk_Name,GanttView[[#This Row],[_Row]])="",TRUE()),"",INDEX(tsk_Show,GanttView[[#This Row],[_Row]])&amp;"")</f>
        <v/>
      </c>
      <c r="M90" s="132" t="n">
        <f aca="false">ROW()-ROW(GanttView[[#Headers],[ID]])</f>
        <v>85</v>
      </c>
      <c r="N90" s="133" t="b">
        <f aca="false">IF(IFERROR(INDEX(tsk_Name,GanttView[[#This Row],[_Row]])="",TRUE()),FALSE(),INDEX(tsk_IsSummary,GanttView[[#This Row],[_Row]]))</f>
        <v>0</v>
      </c>
      <c r="O90" s="133" t="b">
        <f aca="false">IF(IFERROR(INDEX(tsk_Name,GanttView[[#This Row],[_Row]])="",TRUE()),FALSE(),AND(INDEX(tsk_IsLeaf,GanttView[[#This Row],[_Row]])=1,N(INDEX(tsk_Duration,GanttView[[#This Row],[_Row]]))=0))</f>
        <v>0</v>
      </c>
      <c r="P90" s="134" t="n">
        <f aca="false">IF(IFERROR(INDEX(tsk_Name,GanttView[[#This Row],[_Row]])="",TRUE()),0,IF(AND(INDEX(tsk_IsLeaf,GanttView[[#This Row],[_Row]])=1,NOT(GanttView[[#This Row],[_IsMilestone]]),N(GanttView[[#This Row],[%]])&gt;0),GanttView[[#This Row],[Forecast Start]],0))</f>
        <v>0</v>
      </c>
      <c r="Q90" s="134" t="n">
        <f aca="false">IF(GanttView[[#This Row],[_DoneFrom]]=0,0,IF(GanttView[[#This Row],[%]]&gt;=1,GanttView[[#This Row],[Forecast Finish]],MAX(GanttView[[#This Row],[_DoneFrom]],GanttView[[#This Row],[Forecast Start]]+ROUND((GanttView[[#This Row],[Forecast Finish]]-GanttView[[#This Row],[Forecast Start]]+1)*GanttView[[#This Row],[%]],0)-1)))</f>
        <v>0</v>
      </c>
      <c r="R90" s="134" t="n">
        <f aca="false">IF(IFERROR(INDEX(tsk_Name,GanttView[[#This Row],[_Row]])="",TRUE()),0,IF(OR(INDEX(tsk_IsLeaf,GanttView[[#This Row],[_Row]])&lt;&gt;1,GanttView[[#This Row],[_IsMilestone]],N(GanttView[[#This Row],[%]])&gt;=1),0,IF(GanttView[[#This Row],[_DoneTo]]&gt;0,GanttView[[#This Row],[_DoneTo]]+1,GanttView[[#This Row],[Forecast Start]])))</f>
        <v>0</v>
      </c>
      <c r="S90" s="134" t="n">
        <f aca="false">IF(GanttView[[#This Row],[_RemFrom]]=0,0,GanttView[[#This Row],[Forecast Finish]])</f>
        <v>0</v>
      </c>
      <c r="T90" s="133" t="b">
        <f aca="false">IF(IFERROR(INDEX(tsk_Name,GanttView[[#This Row],[_Row]])="",TRUE()),FALSE(),N(INDEX(tsk_Variance,GanttView[[#This Row],[_Row]]))&gt;0)</f>
        <v>0</v>
      </c>
      <c r="U90" s="134" t="n">
        <f aca="false">IF(IFERROR(INDEX(tsk_Name,GanttView[[#This Row],[_Row]])="",TRUE()),0,N(INDEX(tsk_Deadline,GanttView[[#This Row],[_Row]])))</f>
        <v>0</v>
      </c>
      <c r="V90" s="133" t="b">
        <f aca="false">IF(IFERROR(INDEX(tsk_Name,GanttView[[#This Row],[_Row]])="",TRUE()),FALSE(),INDEX(tsk_Critical,GanttView[[#This Row],[_Row]])="Yes")</f>
        <v>0</v>
      </c>
    </row>
    <row r="91" customFormat="false" ht="15" hidden="false" customHeight="false" outlineLevel="0" collapsed="false">
      <c r="A91" s="127" t="str">
        <f aca="false">IF(IFERROR(INDEX(tsk_Name,GanttView[[#This Row],[_Row]])="",TRUE()),"",INDEX(tsk_ID,GanttView[[#This Row],[_Row]]))</f>
        <v/>
      </c>
      <c r="B91" s="127" t="str">
        <f aca="false">IF(IFERROR(INDEX(tsk_Name,GanttView[[#This Row],[_Row]])="",TRUE()),"",INDEX(tsk_WBS,GanttView[[#This Row],[_Row]]))</f>
        <v/>
      </c>
      <c r="C91" s="128" t="str">
        <f aca="false">IF(IFERROR(INDEX(tsk_Name,GanttView[[#This Row],[_Row]])="",TRUE()),"",REPT("    ",INDEX(tsk_Level,GanttView[[#This Row],[_Row]])-1)&amp;INDEX(tsk_Name,GanttView[[#This Row],[_Row]]))</f>
        <v/>
      </c>
      <c r="D91" s="127" t="str">
        <f aca="false">IF(IFERROR(INDEX(tsk_Name,GanttView[[#This Row],[_Row]])="",TRUE()),"",IF(INDEX(tsk_IsSummary,GanttView[[#This Row],[_Row]]),NETWORKDAYS.INTL(INDEX(tsk_FcStart,GanttView[[#This Row],[_Row]]),INDEX(tsk_FcFinish,GanttView[[#This Row],[_Row]]),WorkWeek,Holidays),N(INDEX(tsk_Duration,GanttView[[#This Row],[_Row]]))))</f>
        <v/>
      </c>
      <c r="E91" s="129" t="str">
        <f aca="false">IF(IFERROR(INDEX(tsk_Name,GanttView[[#This Row],[_Row]])="",TRUE()),"",INDEX(tsk_PlanStart,GanttView[[#This Row],[_Row]]))</f>
        <v/>
      </c>
      <c r="F91" s="129" t="str">
        <f aca="false">IF(IFERROR(INDEX(tsk_Name,GanttView[[#This Row],[_Row]])="",TRUE()),"",INDEX(tsk_PlanFinish,GanttView[[#This Row],[_Row]]))</f>
        <v/>
      </c>
      <c r="G91" s="129" t="str">
        <f aca="false">IF(IFERROR(INDEX(tsk_Name,GanttView[[#This Row],[_Row]])="",TRUE()),"",INDEX(tsk_FcStart,GanttView[[#This Row],[_Row]]))</f>
        <v/>
      </c>
      <c r="H91" s="129" t="str">
        <f aca="false">IF(IFERROR(INDEX(tsk_Name,GanttView[[#This Row],[_Row]])="",TRUE()),"",INDEX(tsk_FcFinish,GanttView[[#This Row],[_Row]]))</f>
        <v/>
      </c>
      <c r="I91" s="130" t="str">
        <f aca="false">IF(IFERROR(INDEX(tsk_Name,GanttView[[#This Row],[_Row]])="",TRUE()),"",INDEX(tsk_Progress,GanttView[[#This Row],[_Row]]))</f>
        <v/>
      </c>
      <c r="J91" s="128" t="str">
        <f aca="false">IF(IFERROR(INDEX(tsk_Name,GanttView[[#This Row],[_Row]])="",TRUE()),"",INDEX(tsk_ResourceNames,GanttView[[#This Row],[_Row]])&amp;"")</f>
        <v/>
      </c>
      <c r="K91" s="131" t="str">
        <f aca="false">IF(IFERROR(INDEX(tsk_Name,GanttView[[#This Row],[_Row]])="",TRUE()),"",INDEX(tsk_Status,GanttView[[#This Row],[_Row]]))</f>
        <v/>
      </c>
      <c r="L91" s="131" t="str">
        <f aca="false">IF(IFERROR(INDEX(tsk_Name,GanttView[[#This Row],[_Row]])="",TRUE()),"",INDEX(tsk_Show,GanttView[[#This Row],[_Row]])&amp;"")</f>
        <v/>
      </c>
      <c r="M91" s="132" t="n">
        <f aca="false">ROW()-ROW(GanttView[[#Headers],[ID]])</f>
        <v>86</v>
      </c>
      <c r="N91" s="133" t="b">
        <f aca="false">IF(IFERROR(INDEX(tsk_Name,GanttView[[#This Row],[_Row]])="",TRUE()),FALSE(),INDEX(tsk_IsSummary,GanttView[[#This Row],[_Row]]))</f>
        <v>0</v>
      </c>
      <c r="O91" s="133" t="b">
        <f aca="false">IF(IFERROR(INDEX(tsk_Name,GanttView[[#This Row],[_Row]])="",TRUE()),FALSE(),AND(INDEX(tsk_IsLeaf,GanttView[[#This Row],[_Row]])=1,N(INDEX(tsk_Duration,GanttView[[#This Row],[_Row]]))=0))</f>
        <v>0</v>
      </c>
      <c r="P91" s="134" t="n">
        <f aca="false">IF(IFERROR(INDEX(tsk_Name,GanttView[[#This Row],[_Row]])="",TRUE()),0,IF(AND(INDEX(tsk_IsLeaf,GanttView[[#This Row],[_Row]])=1,NOT(GanttView[[#This Row],[_IsMilestone]]),N(GanttView[[#This Row],[%]])&gt;0),GanttView[[#This Row],[Forecast Start]],0))</f>
        <v>0</v>
      </c>
      <c r="Q91" s="134" t="n">
        <f aca="false">IF(GanttView[[#This Row],[_DoneFrom]]=0,0,IF(GanttView[[#This Row],[%]]&gt;=1,GanttView[[#This Row],[Forecast Finish]],MAX(GanttView[[#This Row],[_DoneFrom]],GanttView[[#This Row],[Forecast Start]]+ROUND((GanttView[[#This Row],[Forecast Finish]]-GanttView[[#This Row],[Forecast Start]]+1)*GanttView[[#This Row],[%]],0)-1)))</f>
        <v>0</v>
      </c>
      <c r="R91" s="134" t="n">
        <f aca="false">IF(IFERROR(INDEX(tsk_Name,GanttView[[#This Row],[_Row]])="",TRUE()),0,IF(OR(INDEX(tsk_IsLeaf,GanttView[[#This Row],[_Row]])&lt;&gt;1,GanttView[[#This Row],[_IsMilestone]],N(GanttView[[#This Row],[%]])&gt;=1),0,IF(GanttView[[#This Row],[_DoneTo]]&gt;0,GanttView[[#This Row],[_DoneTo]]+1,GanttView[[#This Row],[Forecast Start]])))</f>
        <v>0</v>
      </c>
      <c r="S91" s="134" t="n">
        <f aca="false">IF(GanttView[[#This Row],[_RemFrom]]=0,0,GanttView[[#This Row],[Forecast Finish]])</f>
        <v>0</v>
      </c>
      <c r="T91" s="133" t="b">
        <f aca="false">IF(IFERROR(INDEX(tsk_Name,GanttView[[#This Row],[_Row]])="",TRUE()),FALSE(),N(INDEX(tsk_Variance,GanttView[[#This Row],[_Row]]))&gt;0)</f>
        <v>0</v>
      </c>
      <c r="U91" s="134" t="n">
        <f aca="false">IF(IFERROR(INDEX(tsk_Name,GanttView[[#This Row],[_Row]])="",TRUE()),0,N(INDEX(tsk_Deadline,GanttView[[#This Row],[_Row]])))</f>
        <v>0</v>
      </c>
      <c r="V91" s="133" t="b">
        <f aca="false">IF(IFERROR(INDEX(tsk_Name,GanttView[[#This Row],[_Row]])="",TRUE()),FALSE(),INDEX(tsk_Critical,GanttView[[#This Row],[_Row]])="Yes")</f>
        <v>0</v>
      </c>
    </row>
    <row r="92" customFormat="false" ht="15" hidden="false" customHeight="false" outlineLevel="0" collapsed="false">
      <c r="A92" s="127" t="str">
        <f aca="false">IF(IFERROR(INDEX(tsk_Name,GanttView[[#This Row],[_Row]])="",TRUE()),"",INDEX(tsk_ID,GanttView[[#This Row],[_Row]]))</f>
        <v/>
      </c>
      <c r="B92" s="127" t="str">
        <f aca="false">IF(IFERROR(INDEX(tsk_Name,GanttView[[#This Row],[_Row]])="",TRUE()),"",INDEX(tsk_WBS,GanttView[[#This Row],[_Row]]))</f>
        <v/>
      </c>
      <c r="C92" s="128" t="str">
        <f aca="false">IF(IFERROR(INDEX(tsk_Name,GanttView[[#This Row],[_Row]])="",TRUE()),"",REPT("    ",INDEX(tsk_Level,GanttView[[#This Row],[_Row]])-1)&amp;INDEX(tsk_Name,GanttView[[#This Row],[_Row]]))</f>
        <v/>
      </c>
      <c r="D92" s="127" t="str">
        <f aca="false">IF(IFERROR(INDEX(tsk_Name,GanttView[[#This Row],[_Row]])="",TRUE()),"",IF(INDEX(tsk_IsSummary,GanttView[[#This Row],[_Row]]),NETWORKDAYS.INTL(INDEX(tsk_FcStart,GanttView[[#This Row],[_Row]]),INDEX(tsk_FcFinish,GanttView[[#This Row],[_Row]]),WorkWeek,Holidays),N(INDEX(tsk_Duration,GanttView[[#This Row],[_Row]]))))</f>
        <v/>
      </c>
      <c r="E92" s="129" t="str">
        <f aca="false">IF(IFERROR(INDEX(tsk_Name,GanttView[[#This Row],[_Row]])="",TRUE()),"",INDEX(tsk_PlanStart,GanttView[[#This Row],[_Row]]))</f>
        <v/>
      </c>
      <c r="F92" s="129" t="str">
        <f aca="false">IF(IFERROR(INDEX(tsk_Name,GanttView[[#This Row],[_Row]])="",TRUE()),"",INDEX(tsk_PlanFinish,GanttView[[#This Row],[_Row]]))</f>
        <v/>
      </c>
      <c r="G92" s="129" t="str">
        <f aca="false">IF(IFERROR(INDEX(tsk_Name,GanttView[[#This Row],[_Row]])="",TRUE()),"",INDEX(tsk_FcStart,GanttView[[#This Row],[_Row]]))</f>
        <v/>
      </c>
      <c r="H92" s="129" t="str">
        <f aca="false">IF(IFERROR(INDEX(tsk_Name,GanttView[[#This Row],[_Row]])="",TRUE()),"",INDEX(tsk_FcFinish,GanttView[[#This Row],[_Row]]))</f>
        <v/>
      </c>
      <c r="I92" s="130" t="str">
        <f aca="false">IF(IFERROR(INDEX(tsk_Name,GanttView[[#This Row],[_Row]])="",TRUE()),"",INDEX(tsk_Progress,GanttView[[#This Row],[_Row]]))</f>
        <v/>
      </c>
      <c r="J92" s="128" t="str">
        <f aca="false">IF(IFERROR(INDEX(tsk_Name,GanttView[[#This Row],[_Row]])="",TRUE()),"",INDEX(tsk_ResourceNames,GanttView[[#This Row],[_Row]])&amp;"")</f>
        <v/>
      </c>
      <c r="K92" s="131" t="str">
        <f aca="false">IF(IFERROR(INDEX(tsk_Name,GanttView[[#This Row],[_Row]])="",TRUE()),"",INDEX(tsk_Status,GanttView[[#This Row],[_Row]]))</f>
        <v/>
      </c>
      <c r="L92" s="131" t="str">
        <f aca="false">IF(IFERROR(INDEX(tsk_Name,GanttView[[#This Row],[_Row]])="",TRUE()),"",INDEX(tsk_Show,GanttView[[#This Row],[_Row]])&amp;"")</f>
        <v/>
      </c>
      <c r="M92" s="132" t="n">
        <f aca="false">ROW()-ROW(GanttView[[#Headers],[ID]])</f>
        <v>87</v>
      </c>
      <c r="N92" s="133" t="b">
        <f aca="false">IF(IFERROR(INDEX(tsk_Name,GanttView[[#This Row],[_Row]])="",TRUE()),FALSE(),INDEX(tsk_IsSummary,GanttView[[#This Row],[_Row]]))</f>
        <v>0</v>
      </c>
      <c r="O92" s="133" t="b">
        <f aca="false">IF(IFERROR(INDEX(tsk_Name,GanttView[[#This Row],[_Row]])="",TRUE()),FALSE(),AND(INDEX(tsk_IsLeaf,GanttView[[#This Row],[_Row]])=1,N(INDEX(tsk_Duration,GanttView[[#This Row],[_Row]]))=0))</f>
        <v>0</v>
      </c>
      <c r="P92" s="134" t="n">
        <f aca="false">IF(IFERROR(INDEX(tsk_Name,GanttView[[#This Row],[_Row]])="",TRUE()),0,IF(AND(INDEX(tsk_IsLeaf,GanttView[[#This Row],[_Row]])=1,NOT(GanttView[[#This Row],[_IsMilestone]]),N(GanttView[[#This Row],[%]])&gt;0),GanttView[[#This Row],[Forecast Start]],0))</f>
        <v>0</v>
      </c>
      <c r="Q92" s="134" t="n">
        <f aca="false">IF(GanttView[[#This Row],[_DoneFrom]]=0,0,IF(GanttView[[#This Row],[%]]&gt;=1,GanttView[[#This Row],[Forecast Finish]],MAX(GanttView[[#This Row],[_DoneFrom]],GanttView[[#This Row],[Forecast Start]]+ROUND((GanttView[[#This Row],[Forecast Finish]]-GanttView[[#This Row],[Forecast Start]]+1)*GanttView[[#This Row],[%]],0)-1)))</f>
        <v>0</v>
      </c>
      <c r="R92" s="134" t="n">
        <f aca="false">IF(IFERROR(INDEX(tsk_Name,GanttView[[#This Row],[_Row]])="",TRUE()),0,IF(OR(INDEX(tsk_IsLeaf,GanttView[[#This Row],[_Row]])&lt;&gt;1,GanttView[[#This Row],[_IsMilestone]],N(GanttView[[#This Row],[%]])&gt;=1),0,IF(GanttView[[#This Row],[_DoneTo]]&gt;0,GanttView[[#This Row],[_DoneTo]]+1,GanttView[[#This Row],[Forecast Start]])))</f>
        <v>0</v>
      </c>
      <c r="S92" s="134" t="n">
        <f aca="false">IF(GanttView[[#This Row],[_RemFrom]]=0,0,GanttView[[#This Row],[Forecast Finish]])</f>
        <v>0</v>
      </c>
      <c r="T92" s="133" t="b">
        <f aca="false">IF(IFERROR(INDEX(tsk_Name,GanttView[[#This Row],[_Row]])="",TRUE()),FALSE(),N(INDEX(tsk_Variance,GanttView[[#This Row],[_Row]]))&gt;0)</f>
        <v>0</v>
      </c>
      <c r="U92" s="134" t="n">
        <f aca="false">IF(IFERROR(INDEX(tsk_Name,GanttView[[#This Row],[_Row]])="",TRUE()),0,N(INDEX(tsk_Deadline,GanttView[[#This Row],[_Row]])))</f>
        <v>0</v>
      </c>
      <c r="V92" s="133" t="b">
        <f aca="false">IF(IFERROR(INDEX(tsk_Name,GanttView[[#This Row],[_Row]])="",TRUE()),FALSE(),INDEX(tsk_Critical,GanttView[[#This Row],[_Row]])="Yes")</f>
        <v>0</v>
      </c>
    </row>
    <row r="93" customFormat="false" ht="15" hidden="false" customHeight="false" outlineLevel="0" collapsed="false">
      <c r="A93" s="127" t="str">
        <f aca="false">IF(IFERROR(INDEX(tsk_Name,GanttView[[#This Row],[_Row]])="",TRUE()),"",INDEX(tsk_ID,GanttView[[#This Row],[_Row]]))</f>
        <v/>
      </c>
      <c r="B93" s="127" t="str">
        <f aca="false">IF(IFERROR(INDEX(tsk_Name,GanttView[[#This Row],[_Row]])="",TRUE()),"",INDEX(tsk_WBS,GanttView[[#This Row],[_Row]]))</f>
        <v/>
      </c>
      <c r="C93" s="128" t="str">
        <f aca="false">IF(IFERROR(INDEX(tsk_Name,GanttView[[#This Row],[_Row]])="",TRUE()),"",REPT("    ",INDEX(tsk_Level,GanttView[[#This Row],[_Row]])-1)&amp;INDEX(tsk_Name,GanttView[[#This Row],[_Row]]))</f>
        <v/>
      </c>
      <c r="D93" s="127" t="str">
        <f aca="false">IF(IFERROR(INDEX(tsk_Name,GanttView[[#This Row],[_Row]])="",TRUE()),"",IF(INDEX(tsk_IsSummary,GanttView[[#This Row],[_Row]]),NETWORKDAYS.INTL(INDEX(tsk_FcStart,GanttView[[#This Row],[_Row]]),INDEX(tsk_FcFinish,GanttView[[#This Row],[_Row]]),WorkWeek,Holidays),N(INDEX(tsk_Duration,GanttView[[#This Row],[_Row]]))))</f>
        <v/>
      </c>
      <c r="E93" s="129" t="str">
        <f aca="false">IF(IFERROR(INDEX(tsk_Name,GanttView[[#This Row],[_Row]])="",TRUE()),"",INDEX(tsk_PlanStart,GanttView[[#This Row],[_Row]]))</f>
        <v/>
      </c>
      <c r="F93" s="129" t="str">
        <f aca="false">IF(IFERROR(INDEX(tsk_Name,GanttView[[#This Row],[_Row]])="",TRUE()),"",INDEX(tsk_PlanFinish,GanttView[[#This Row],[_Row]]))</f>
        <v/>
      </c>
      <c r="G93" s="129" t="str">
        <f aca="false">IF(IFERROR(INDEX(tsk_Name,GanttView[[#This Row],[_Row]])="",TRUE()),"",INDEX(tsk_FcStart,GanttView[[#This Row],[_Row]]))</f>
        <v/>
      </c>
      <c r="H93" s="129" t="str">
        <f aca="false">IF(IFERROR(INDEX(tsk_Name,GanttView[[#This Row],[_Row]])="",TRUE()),"",INDEX(tsk_FcFinish,GanttView[[#This Row],[_Row]]))</f>
        <v/>
      </c>
      <c r="I93" s="130" t="str">
        <f aca="false">IF(IFERROR(INDEX(tsk_Name,GanttView[[#This Row],[_Row]])="",TRUE()),"",INDEX(tsk_Progress,GanttView[[#This Row],[_Row]]))</f>
        <v/>
      </c>
      <c r="J93" s="128" t="str">
        <f aca="false">IF(IFERROR(INDEX(tsk_Name,GanttView[[#This Row],[_Row]])="",TRUE()),"",INDEX(tsk_ResourceNames,GanttView[[#This Row],[_Row]])&amp;"")</f>
        <v/>
      </c>
      <c r="K93" s="131" t="str">
        <f aca="false">IF(IFERROR(INDEX(tsk_Name,GanttView[[#This Row],[_Row]])="",TRUE()),"",INDEX(tsk_Status,GanttView[[#This Row],[_Row]]))</f>
        <v/>
      </c>
      <c r="L93" s="131" t="str">
        <f aca="false">IF(IFERROR(INDEX(tsk_Name,GanttView[[#This Row],[_Row]])="",TRUE()),"",INDEX(tsk_Show,GanttView[[#This Row],[_Row]])&amp;"")</f>
        <v/>
      </c>
      <c r="M93" s="132" t="n">
        <f aca="false">ROW()-ROW(GanttView[[#Headers],[ID]])</f>
        <v>88</v>
      </c>
      <c r="N93" s="133" t="b">
        <f aca="false">IF(IFERROR(INDEX(tsk_Name,GanttView[[#This Row],[_Row]])="",TRUE()),FALSE(),INDEX(tsk_IsSummary,GanttView[[#This Row],[_Row]]))</f>
        <v>0</v>
      </c>
      <c r="O93" s="133" t="b">
        <f aca="false">IF(IFERROR(INDEX(tsk_Name,GanttView[[#This Row],[_Row]])="",TRUE()),FALSE(),AND(INDEX(tsk_IsLeaf,GanttView[[#This Row],[_Row]])=1,N(INDEX(tsk_Duration,GanttView[[#This Row],[_Row]]))=0))</f>
        <v>0</v>
      </c>
      <c r="P93" s="134" t="n">
        <f aca="false">IF(IFERROR(INDEX(tsk_Name,GanttView[[#This Row],[_Row]])="",TRUE()),0,IF(AND(INDEX(tsk_IsLeaf,GanttView[[#This Row],[_Row]])=1,NOT(GanttView[[#This Row],[_IsMilestone]]),N(GanttView[[#This Row],[%]])&gt;0),GanttView[[#This Row],[Forecast Start]],0))</f>
        <v>0</v>
      </c>
      <c r="Q93" s="134" t="n">
        <f aca="false">IF(GanttView[[#This Row],[_DoneFrom]]=0,0,IF(GanttView[[#This Row],[%]]&gt;=1,GanttView[[#This Row],[Forecast Finish]],MAX(GanttView[[#This Row],[_DoneFrom]],GanttView[[#This Row],[Forecast Start]]+ROUND((GanttView[[#This Row],[Forecast Finish]]-GanttView[[#This Row],[Forecast Start]]+1)*GanttView[[#This Row],[%]],0)-1)))</f>
        <v>0</v>
      </c>
      <c r="R93" s="134" t="n">
        <f aca="false">IF(IFERROR(INDEX(tsk_Name,GanttView[[#This Row],[_Row]])="",TRUE()),0,IF(OR(INDEX(tsk_IsLeaf,GanttView[[#This Row],[_Row]])&lt;&gt;1,GanttView[[#This Row],[_IsMilestone]],N(GanttView[[#This Row],[%]])&gt;=1),0,IF(GanttView[[#This Row],[_DoneTo]]&gt;0,GanttView[[#This Row],[_DoneTo]]+1,GanttView[[#This Row],[Forecast Start]])))</f>
        <v>0</v>
      </c>
      <c r="S93" s="134" t="n">
        <f aca="false">IF(GanttView[[#This Row],[_RemFrom]]=0,0,GanttView[[#This Row],[Forecast Finish]])</f>
        <v>0</v>
      </c>
      <c r="T93" s="133" t="b">
        <f aca="false">IF(IFERROR(INDEX(tsk_Name,GanttView[[#This Row],[_Row]])="",TRUE()),FALSE(),N(INDEX(tsk_Variance,GanttView[[#This Row],[_Row]]))&gt;0)</f>
        <v>0</v>
      </c>
      <c r="U93" s="134" t="n">
        <f aca="false">IF(IFERROR(INDEX(tsk_Name,GanttView[[#This Row],[_Row]])="",TRUE()),0,N(INDEX(tsk_Deadline,GanttView[[#This Row],[_Row]])))</f>
        <v>0</v>
      </c>
      <c r="V93" s="133" t="b">
        <f aca="false">IF(IFERROR(INDEX(tsk_Name,GanttView[[#This Row],[_Row]])="",TRUE()),FALSE(),INDEX(tsk_Critical,GanttView[[#This Row],[_Row]])="Yes")</f>
        <v>0</v>
      </c>
    </row>
    <row r="94" customFormat="false" ht="15" hidden="false" customHeight="false" outlineLevel="0" collapsed="false">
      <c r="A94" s="127" t="str">
        <f aca="false">IF(IFERROR(INDEX(tsk_Name,GanttView[[#This Row],[_Row]])="",TRUE()),"",INDEX(tsk_ID,GanttView[[#This Row],[_Row]]))</f>
        <v/>
      </c>
      <c r="B94" s="127" t="str">
        <f aca="false">IF(IFERROR(INDEX(tsk_Name,GanttView[[#This Row],[_Row]])="",TRUE()),"",INDEX(tsk_WBS,GanttView[[#This Row],[_Row]]))</f>
        <v/>
      </c>
      <c r="C94" s="128" t="str">
        <f aca="false">IF(IFERROR(INDEX(tsk_Name,GanttView[[#This Row],[_Row]])="",TRUE()),"",REPT("    ",INDEX(tsk_Level,GanttView[[#This Row],[_Row]])-1)&amp;INDEX(tsk_Name,GanttView[[#This Row],[_Row]]))</f>
        <v/>
      </c>
      <c r="D94" s="127" t="str">
        <f aca="false">IF(IFERROR(INDEX(tsk_Name,GanttView[[#This Row],[_Row]])="",TRUE()),"",IF(INDEX(tsk_IsSummary,GanttView[[#This Row],[_Row]]),NETWORKDAYS.INTL(INDEX(tsk_FcStart,GanttView[[#This Row],[_Row]]),INDEX(tsk_FcFinish,GanttView[[#This Row],[_Row]]),WorkWeek,Holidays),N(INDEX(tsk_Duration,GanttView[[#This Row],[_Row]]))))</f>
        <v/>
      </c>
      <c r="E94" s="129" t="str">
        <f aca="false">IF(IFERROR(INDEX(tsk_Name,GanttView[[#This Row],[_Row]])="",TRUE()),"",INDEX(tsk_PlanStart,GanttView[[#This Row],[_Row]]))</f>
        <v/>
      </c>
      <c r="F94" s="129" t="str">
        <f aca="false">IF(IFERROR(INDEX(tsk_Name,GanttView[[#This Row],[_Row]])="",TRUE()),"",INDEX(tsk_PlanFinish,GanttView[[#This Row],[_Row]]))</f>
        <v/>
      </c>
      <c r="G94" s="129" t="str">
        <f aca="false">IF(IFERROR(INDEX(tsk_Name,GanttView[[#This Row],[_Row]])="",TRUE()),"",INDEX(tsk_FcStart,GanttView[[#This Row],[_Row]]))</f>
        <v/>
      </c>
      <c r="H94" s="129" t="str">
        <f aca="false">IF(IFERROR(INDEX(tsk_Name,GanttView[[#This Row],[_Row]])="",TRUE()),"",INDEX(tsk_FcFinish,GanttView[[#This Row],[_Row]]))</f>
        <v/>
      </c>
      <c r="I94" s="130" t="str">
        <f aca="false">IF(IFERROR(INDEX(tsk_Name,GanttView[[#This Row],[_Row]])="",TRUE()),"",INDEX(tsk_Progress,GanttView[[#This Row],[_Row]]))</f>
        <v/>
      </c>
      <c r="J94" s="128" t="str">
        <f aca="false">IF(IFERROR(INDEX(tsk_Name,GanttView[[#This Row],[_Row]])="",TRUE()),"",INDEX(tsk_ResourceNames,GanttView[[#This Row],[_Row]])&amp;"")</f>
        <v/>
      </c>
      <c r="K94" s="131" t="str">
        <f aca="false">IF(IFERROR(INDEX(tsk_Name,GanttView[[#This Row],[_Row]])="",TRUE()),"",INDEX(tsk_Status,GanttView[[#This Row],[_Row]]))</f>
        <v/>
      </c>
      <c r="L94" s="131" t="str">
        <f aca="false">IF(IFERROR(INDEX(tsk_Name,GanttView[[#This Row],[_Row]])="",TRUE()),"",INDEX(tsk_Show,GanttView[[#This Row],[_Row]])&amp;"")</f>
        <v/>
      </c>
      <c r="M94" s="132" t="n">
        <f aca="false">ROW()-ROW(GanttView[[#Headers],[ID]])</f>
        <v>89</v>
      </c>
      <c r="N94" s="133" t="b">
        <f aca="false">IF(IFERROR(INDEX(tsk_Name,GanttView[[#This Row],[_Row]])="",TRUE()),FALSE(),INDEX(tsk_IsSummary,GanttView[[#This Row],[_Row]]))</f>
        <v>0</v>
      </c>
      <c r="O94" s="133" t="b">
        <f aca="false">IF(IFERROR(INDEX(tsk_Name,GanttView[[#This Row],[_Row]])="",TRUE()),FALSE(),AND(INDEX(tsk_IsLeaf,GanttView[[#This Row],[_Row]])=1,N(INDEX(tsk_Duration,GanttView[[#This Row],[_Row]]))=0))</f>
        <v>0</v>
      </c>
      <c r="P94" s="134" t="n">
        <f aca="false">IF(IFERROR(INDEX(tsk_Name,GanttView[[#This Row],[_Row]])="",TRUE()),0,IF(AND(INDEX(tsk_IsLeaf,GanttView[[#This Row],[_Row]])=1,NOT(GanttView[[#This Row],[_IsMilestone]]),N(GanttView[[#This Row],[%]])&gt;0),GanttView[[#This Row],[Forecast Start]],0))</f>
        <v>0</v>
      </c>
      <c r="Q94" s="134" t="n">
        <f aca="false">IF(GanttView[[#This Row],[_DoneFrom]]=0,0,IF(GanttView[[#This Row],[%]]&gt;=1,GanttView[[#This Row],[Forecast Finish]],MAX(GanttView[[#This Row],[_DoneFrom]],GanttView[[#This Row],[Forecast Start]]+ROUND((GanttView[[#This Row],[Forecast Finish]]-GanttView[[#This Row],[Forecast Start]]+1)*GanttView[[#This Row],[%]],0)-1)))</f>
        <v>0</v>
      </c>
      <c r="R94" s="134" t="n">
        <f aca="false">IF(IFERROR(INDEX(tsk_Name,GanttView[[#This Row],[_Row]])="",TRUE()),0,IF(OR(INDEX(tsk_IsLeaf,GanttView[[#This Row],[_Row]])&lt;&gt;1,GanttView[[#This Row],[_IsMilestone]],N(GanttView[[#This Row],[%]])&gt;=1),0,IF(GanttView[[#This Row],[_DoneTo]]&gt;0,GanttView[[#This Row],[_DoneTo]]+1,GanttView[[#This Row],[Forecast Start]])))</f>
        <v>0</v>
      </c>
      <c r="S94" s="134" t="n">
        <f aca="false">IF(GanttView[[#This Row],[_RemFrom]]=0,0,GanttView[[#This Row],[Forecast Finish]])</f>
        <v>0</v>
      </c>
      <c r="T94" s="133" t="b">
        <f aca="false">IF(IFERROR(INDEX(tsk_Name,GanttView[[#This Row],[_Row]])="",TRUE()),FALSE(),N(INDEX(tsk_Variance,GanttView[[#This Row],[_Row]]))&gt;0)</f>
        <v>0</v>
      </c>
      <c r="U94" s="134" t="n">
        <f aca="false">IF(IFERROR(INDEX(tsk_Name,GanttView[[#This Row],[_Row]])="",TRUE()),0,N(INDEX(tsk_Deadline,GanttView[[#This Row],[_Row]])))</f>
        <v>0</v>
      </c>
      <c r="V94" s="133" t="b">
        <f aca="false">IF(IFERROR(INDEX(tsk_Name,GanttView[[#This Row],[_Row]])="",TRUE()),FALSE(),INDEX(tsk_Critical,GanttView[[#This Row],[_Row]])="Yes")</f>
        <v>0</v>
      </c>
    </row>
    <row r="95" customFormat="false" ht="15" hidden="false" customHeight="false" outlineLevel="0" collapsed="false">
      <c r="A95" s="127" t="str">
        <f aca="false">IF(IFERROR(INDEX(tsk_Name,GanttView[[#This Row],[_Row]])="",TRUE()),"",INDEX(tsk_ID,GanttView[[#This Row],[_Row]]))</f>
        <v/>
      </c>
      <c r="B95" s="127" t="str">
        <f aca="false">IF(IFERROR(INDEX(tsk_Name,GanttView[[#This Row],[_Row]])="",TRUE()),"",INDEX(tsk_WBS,GanttView[[#This Row],[_Row]]))</f>
        <v/>
      </c>
      <c r="C95" s="128" t="str">
        <f aca="false">IF(IFERROR(INDEX(tsk_Name,GanttView[[#This Row],[_Row]])="",TRUE()),"",REPT("    ",INDEX(tsk_Level,GanttView[[#This Row],[_Row]])-1)&amp;INDEX(tsk_Name,GanttView[[#This Row],[_Row]]))</f>
        <v/>
      </c>
      <c r="D95" s="127" t="str">
        <f aca="false">IF(IFERROR(INDEX(tsk_Name,GanttView[[#This Row],[_Row]])="",TRUE()),"",IF(INDEX(tsk_IsSummary,GanttView[[#This Row],[_Row]]),NETWORKDAYS.INTL(INDEX(tsk_FcStart,GanttView[[#This Row],[_Row]]),INDEX(tsk_FcFinish,GanttView[[#This Row],[_Row]]),WorkWeek,Holidays),N(INDEX(tsk_Duration,GanttView[[#This Row],[_Row]]))))</f>
        <v/>
      </c>
      <c r="E95" s="129" t="str">
        <f aca="false">IF(IFERROR(INDEX(tsk_Name,GanttView[[#This Row],[_Row]])="",TRUE()),"",INDEX(tsk_PlanStart,GanttView[[#This Row],[_Row]]))</f>
        <v/>
      </c>
      <c r="F95" s="129" t="str">
        <f aca="false">IF(IFERROR(INDEX(tsk_Name,GanttView[[#This Row],[_Row]])="",TRUE()),"",INDEX(tsk_PlanFinish,GanttView[[#This Row],[_Row]]))</f>
        <v/>
      </c>
      <c r="G95" s="129" t="str">
        <f aca="false">IF(IFERROR(INDEX(tsk_Name,GanttView[[#This Row],[_Row]])="",TRUE()),"",INDEX(tsk_FcStart,GanttView[[#This Row],[_Row]]))</f>
        <v/>
      </c>
      <c r="H95" s="129" t="str">
        <f aca="false">IF(IFERROR(INDEX(tsk_Name,GanttView[[#This Row],[_Row]])="",TRUE()),"",INDEX(tsk_FcFinish,GanttView[[#This Row],[_Row]]))</f>
        <v/>
      </c>
      <c r="I95" s="130" t="str">
        <f aca="false">IF(IFERROR(INDEX(tsk_Name,GanttView[[#This Row],[_Row]])="",TRUE()),"",INDEX(tsk_Progress,GanttView[[#This Row],[_Row]]))</f>
        <v/>
      </c>
      <c r="J95" s="128" t="str">
        <f aca="false">IF(IFERROR(INDEX(tsk_Name,GanttView[[#This Row],[_Row]])="",TRUE()),"",INDEX(tsk_ResourceNames,GanttView[[#This Row],[_Row]])&amp;"")</f>
        <v/>
      </c>
      <c r="K95" s="131" t="str">
        <f aca="false">IF(IFERROR(INDEX(tsk_Name,GanttView[[#This Row],[_Row]])="",TRUE()),"",INDEX(tsk_Status,GanttView[[#This Row],[_Row]]))</f>
        <v/>
      </c>
      <c r="L95" s="131" t="str">
        <f aca="false">IF(IFERROR(INDEX(tsk_Name,GanttView[[#This Row],[_Row]])="",TRUE()),"",INDEX(tsk_Show,GanttView[[#This Row],[_Row]])&amp;"")</f>
        <v/>
      </c>
      <c r="M95" s="132" t="n">
        <f aca="false">ROW()-ROW(GanttView[[#Headers],[ID]])</f>
        <v>90</v>
      </c>
      <c r="N95" s="133" t="b">
        <f aca="false">IF(IFERROR(INDEX(tsk_Name,GanttView[[#This Row],[_Row]])="",TRUE()),FALSE(),INDEX(tsk_IsSummary,GanttView[[#This Row],[_Row]]))</f>
        <v>0</v>
      </c>
      <c r="O95" s="133" t="b">
        <f aca="false">IF(IFERROR(INDEX(tsk_Name,GanttView[[#This Row],[_Row]])="",TRUE()),FALSE(),AND(INDEX(tsk_IsLeaf,GanttView[[#This Row],[_Row]])=1,N(INDEX(tsk_Duration,GanttView[[#This Row],[_Row]]))=0))</f>
        <v>0</v>
      </c>
      <c r="P95" s="134" t="n">
        <f aca="false">IF(IFERROR(INDEX(tsk_Name,GanttView[[#This Row],[_Row]])="",TRUE()),0,IF(AND(INDEX(tsk_IsLeaf,GanttView[[#This Row],[_Row]])=1,NOT(GanttView[[#This Row],[_IsMilestone]]),N(GanttView[[#This Row],[%]])&gt;0),GanttView[[#This Row],[Forecast Start]],0))</f>
        <v>0</v>
      </c>
      <c r="Q95" s="134" t="n">
        <f aca="false">IF(GanttView[[#This Row],[_DoneFrom]]=0,0,IF(GanttView[[#This Row],[%]]&gt;=1,GanttView[[#This Row],[Forecast Finish]],MAX(GanttView[[#This Row],[_DoneFrom]],GanttView[[#This Row],[Forecast Start]]+ROUND((GanttView[[#This Row],[Forecast Finish]]-GanttView[[#This Row],[Forecast Start]]+1)*GanttView[[#This Row],[%]],0)-1)))</f>
        <v>0</v>
      </c>
      <c r="R95" s="134" t="n">
        <f aca="false">IF(IFERROR(INDEX(tsk_Name,GanttView[[#This Row],[_Row]])="",TRUE()),0,IF(OR(INDEX(tsk_IsLeaf,GanttView[[#This Row],[_Row]])&lt;&gt;1,GanttView[[#This Row],[_IsMilestone]],N(GanttView[[#This Row],[%]])&gt;=1),0,IF(GanttView[[#This Row],[_DoneTo]]&gt;0,GanttView[[#This Row],[_DoneTo]]+1,GanttView[[#This Row],[Forecast Start]])))</f>
        <v>0</v>
      </c>
      <c r="S95" s="134" t="n">
        <f aca="false">IF(GanttView[[#This Row],[_RemFrom]]=0,0,GanttView[[#This Row],[Forecast Finish]])</f>
        <v>0</v>
      </c>
      <c r="T95" s="133" t="b">
        <f aca="false">IF(IFERROR(INDEX(tsk_Name,GanttView[[#This Row],[_Row]])="",TRUE()),FALSE(),N(INDEX(tsk_Variance,GanttView[[#This Row],[_Row]]))&gt;0)</f>
        <v>0</v>
      </c>
      <c r="U95" s="134" t="n">
        <f aca="false">IF(IFERROR(INDEX(tsk_Name,GanttView[[#This Row],[_Row]])="",TRUE()),0,N(INDEX(tsk_Deadline,GanttView[[#This Row],[_Row]])))</f>
        <v>0</v>
      </c>
      <c r="V95" s="133" t="b">
        <f aca="false">IF(IFERROR(INDEX(tsk_Name,GanttView[[#This Row],[_Row]])="",TRUE()),FALSE(),INDEX(tsk_Critical,GanttView[[#This Row],[_Row]])="Yes")</f>
        <v>0</v>
      </c>
    </row>
    <row r="96" customFormat="false" ht="15" hidden="false" customHeight="false" outlineLevel="0" collapsed="false">
      <c r="A96" s="127" t="str">
        <f aca="false">IF(IFERROR(INDEX(tsk_Name,GanttView[[#This Row],[_Row]])="",TRUE()),"",INDEX(tsk_ID,GanttView[[#This Row],[_Row]]))</f>
        <v/>
      </c>
      <c r="B96" s="127" t="str">
        <f aca="false">IF(IFERROR(INDEX(tsk_Name,GanttView[[#This Row],[_Row]])="",TRUE()),"",INDEX(tsk_WBS,GanttView[[#This Row],[_Row]]))</f>
        <v/>
      </c>
      <c r="C96" s="128" t="str">
        <f aca="false">IF(IFERROR(INDEX(tsk_Name,GanttView[[#This Row],[_Row]])="",TRUE()),"",REPT("    ",INDEX(tsk_Level,GanttView[[#This Row],[_Row]])-1)&amp;INDEX(tsk_Name,GanttView[[#This Row],[_Row]]))</f>
        <v/>
      </c>
      <c r="D96" s="127" t="str">
        <f aca="false">IF(IFERROR(INDEX(tsk_Name,GanttView[[#This Row],[_Row]])="",TRUE()),"",IF(INDEX(tsk_IsSummary,GanttView[[#This Row],[_Row]]),NETWORKDAYS.INTL(INDEX(tsk_FcStart,GanttView[[#This Row],[_Row]]),INDEX(tsk_FcFinish,GanttView[[#This Row],[_Row]]),WorkWeek,Holidays),N(INDEX(tsk_Duration,GanttView[[#This Row],[_Row]]))))</f>
        <v/>
      </c>
      <c r="E96" s="129" t="str">
        <f aca="false">IF(IFERROR(INDEX(tsk_Name,GanttView[[#This Row],[_Row]])="",TRUE()),"",INDEX(tsk_PlanStart,GanttView[[#This Row],[_Row]]))</f>
        <v/>
      </c>
      <c r="F96" s="129" t="str">
        <f aca="false">IF(IFERROR(INDEX(tsk_Name,GanttView[[#This Row],[_Row]])="",TRUE()),"",INDEX(tsk_PlanFinish,GanttView[[#This Row],[_Row]]))</f>
        <v/>
      </c>
      <c r="G96" s="129" t="str">
        <f aca="false">IF(IFERROR(INDEX(tsk_Name,GanttView[[#This Row],[_Row]])="",TRUE()),"",INDEX(tsk_FcStart,GanttView[[#This Row],[_Row]]))</f>
        <v/>
      </c>
      <c r="H96" s="129" t="str">
        <f aca="false">IF(IFERROR(INDEX(tsk_Name,GanttView[[#This Row],[_Row]])="",TRUE()),"",INDEX(tsk_FcFinish,GanttView[[#This Row],[_Row]]))</f>
        <v/>
      </c>
      <c r="I96" s="130" t="str">
        <f aca="false">IF(IFERROR(INDEX(tsk_Name,GanttView[[#This Row],[_Row]])="",TRUE()),"",INDEX(tsk_Progress,GanttView[[#This Row],[_Row]]))</f>
        <v/>
      </c>
      <c r="J96" s="128" t="str">
        <f aca="false">IF(IFERROR(INDEX(tsk_Name,GanttView[[#This Row],[_Row]])="",TRUE()),"",INDEX(tsk_ResourceNames,GanttView[[#This Row],[_Row]])&amp;"")</f>
        <v/>
      </c>
      <c r="K96" s="131" t="str">
        <f aca="false">IF(IFERROR(INDEX(tsk_Name,GanttView[[#This Row],[_Row]])="",TRUE()),"",INDEX(tsk_Status,GanttView[[#This Row],[_Row]]))</f>
        <v/>
      </c>
      <c r="L96" s="131" t="str">
        <f aca="false">IF(IFERROR(INDEX(tsk_Name,GanttView[[#This Row],[_Row]])="",TRUE()),"",INDEX(tsk_Show,GanttView[[#This Row],[_Row]])&amp;"")</f>
        <v/>
      </c>
      <c r="M96" s="132" t="n">
        <f aca="false">ROW()-ROW(GanttView[[#Headers],[ID]])</f>
        <v>91</v>
      </c>
      <c r="N96" s="133" t="b">
        <f aca="false">IF(IFERROR(INDEX(tsk_Name,GanttView[[#This Row],[_Row]])="",TRUE()),FALSE(),INDEX(tsk_IsSummary,GanttView[[#This Row],[_Row]]))</f>
        <v>0</v>
      </c>
      <c r="O96" s="133" t="b">
        <f aca="false">IF(IFERROR(INDEX(tsk_Name,GanttView[[#This Row],[_Row]])="",TRUE()),FALSE(),AND(INDEX(tsk_IsLeaf,GanttView[[#This Row],[_Row]])=1,N(INDEX(tsk_Duration,GanttView[[#This Row],[_Row]]))=0))</f>
        <v>0</v>
      </c>
      <c r="P96" s="134" t="n">
        <f aca="false">IF(IFERROR(INDEX(tsk_Name,GanttView[[#This Row],[_Row]])="",TRUE()),0,IF(AND(INDEX(tsk_IsLeaf,GanttView[[#This Row],[_Row]])=1,NOT(GanttView[[#This Row],[_IsMilestone]]),N(GanttView[[#This Row],[%]])&gt;0),GanttView[[#This Row],[Forecast Start]],0))</f>
        <v>0</v>
      </c>
      <c r="Q96" s="134" t="n">
        <f aca="false">IF(GanttView[[#This Row],[_DoneFrom]]=0,0,IF(GanttView[[#This Row],[%]]&gt;=1,GanttView[[#This Row],[Forecast Finish]],MAX(GanttView[[#This Row],[_DoneFrom]],GanttView[[#This Row],[Forecast Start]]+ROUND((GanttView[[#This Row],[Forecast Finish]]-GanttView[[#This Row],[Forecast Start]]+1)*GanttView[[#This Row],[%]],0)-1)))</f>
        <v>0</v>
      </c>
      <c r="R96" s="134" t="n">
        <f aca="false">IF(IFERROR(INDEX(tsk_Name,GanttView[[#This Row],[_Row]])="",TRUE()),0,IF(OR(INDEX(tsk_IsLeaf,GanttView[[#This Row],[_Row]])&lt;&gt;1,GanttView[[#This Row],[_IsMilestone]],N(GanttView[[#This Row],[%]])&gt;=1),0,IF(GanttView[[#This Row],[_DoneTo]]&gt;0,GanttView[[#This Row],[_DoneTo]]+1,GanttView[[#This Row],[Forecast Start]])))</f>
        <v>0</v>
      </c>
      <c r="S96" s="134" t="n">
        <f aca="false">IF(GanttView[[#This Row],[_RemFrom]]=0,0,GanttView[[#This Row],[Forecast Finish]])</f>
        <v>0</v>
      </c>
      <c r="T96" s="133" t="b">
        <f aca="false">IF(IFERROR(INDEX(tsk_Name,GanttView[[#This Row],[_Row]])="",TRUE()),FALSE(),N(INDEX(tsk_Variance,GanttView[[#This Row],[_Row]]))&gt;0)</f>
        <v>0</v>
      </c>
      <c r="U96" s="134" t="n">
        <f aca="false">IF(IFERROR(INDEX(tsk_Name,GanttView[[#This Row],[_Row]])="",TRUE()),0,N(INDEX(tsk_Deadline,GanttView[[#This Row],[_Row]])))</f>
        <v>0</v>
      </c>
      <c r="V96" s="133" t="b">
        <f aca="false">IF(IFERROR(INDEX(tsk_Name,GanttView[[#This Row],[_Row]])="",TRUE()),FALSE(),INDEX(tsk_Critical,GanttView[[#This Row],[_Row]])="Yes")</f>
        <v>0</v>
      </c>
    </row>
    <row r="97" customFormat="false" ht="15" hidden="false" customHeight="false" outlineLevel="0" collapsed="false">
      <c r="A97" s="127" t="str">
        <f aca="false">IF(IFERROR(INDEX(tsk_Name,GanttView[[#This Row],[_Row]])="",TRUE()),"",INDEX(tsk_ID,GanttView[[#This Row],[_Row]]))</f>
        <v/>
      </c>
      <c r="B97" s="127" t="str">
        <f aca="false">IF(IFERROR(INDEX(tsk_Name,GanttView[[#This Row],[_Row]])="",TRUE()),"",INDEX(tsk_WBS,GanttView[[#This Row],[_Row]]))</f>
        <v/>
      </c>
      <c r="C97" s="128" t="str">
        <f aca="false">IF(IFERROR(INDEX(tsk_Name,GanttView[[#This Row],[_Row]])="",TRUE()),"",REPT("    ",INDEX(tsk_Level,GanttView[[#This Row],[_Row]])-1)&amp;INDEX(tsk_Name,GanttView[[#This Row],[_Row]]))</f>
        <v/>
      </c>
      <c r="D97" s="127" t="str">
        <f aca="false">IF(IFERROR(INDEX(tsk_Name,GanttView[[#This Row],[_Row]])="",TRUE()),"",IF(INDEX(tsk_IsSummary,GanttView[[#This Row],[_Row]]),NETWORKDAYS.INTL(INDEX(tsk_FcStart,GanttView[[#This Row],[_Row]]),INDEX(tsk_FcFinish,GanttView[[#This Row],[_Row]]),WorkWeek,Holidays),N(INDEX(tsk_Duration,GanttView[[#This Row],[_Row]]))))</f>
        <v/>
      </c>
      <c r="E97" s="129" t="str">
        <f aca="false">IF(IFERROR(INDEX(tsk_Name,GanttView[[#This Row],[_Row]])="",TRUE()),"",INDEX(tsk_PlanStart,GanttView[[#This Row],[_Row]]))</f>
        <v/>
      </c>
      <c r="F97" s="129" t="str">
        <f aca="false">IF(IFERROR(INDEX(tsk_Name,GanttView[[#This Row],[_Row]])="",TRUE()),"",INDEX(tsk_PlanFinish,GanttView[[#This Row],[_Row]]))</f>
        <v/>
      </c>
      <c r="G97" s="129" t="str">
        <f aca="false">IF(IFERROR(INDEX(tsk_Name,GanttView[[#This Row],[_Row]])="",TRUE()),"",INDEX(tsk_FcStart,GanttView[[#This Row],[_Row]]))</f>
        <v/>
      </c>
      <c r="H97" s="129" t="str">
        <f aca="false">IF(IFERROR(INDEX(tsk_Name,GanttView[[#This Row],[_Row]])="",TRUE()),"",INDEX(tsk_FcFinish,GanttView[[#This Row],[_Row]]))</f>
        <v/>
      </c>
      <c r="I97" s="130" t="str">
        <f aca="false">IF(IFERROR(INDEX(tsk_Name,GanttView[[#This Row],[_Row]])="",TRUE()),"",INDEX(tsk_Progress,GanttView[[#This Row],[_Row]]))</f>
        <v/>
      </c>
      <c r="J97" s="128" t="str">
        <f aca="false">IF(IFERROR(INDEX(tsk_Name,GanttView[[#This Row],[_Row]])="",TRUE()),"",INDEX(tsk_ResourceNames,GanttView[[#This Row],[_Row]])&amp;"")</f>
        <v/>
      </c>
      <c r="K97" s="131" t="str">
        <f aca="false">IF(IFERROR(INDEX(tsk_Name,GanttView[[#This Row],[_Row]])="",TRUE()),"",INDEX(tsk_Status,GanttView[[#This Row],[_Row]]))</f>
        <v/>
      </c>
      <c r="L97" s="131" t="str">
        <f aca="false">IF(IFERROR(INDEX(tsk_Name,GanttView[[#This Row],[_Row]])="",TRUE()),"",INDEX(tsk_Show,GanttView[[#This Row],[_Row]])&amp;"")</f>
        <v/>
      </c>
      <c r="M97" s="132" t="n">
        <f aca="false">ROW()-ROW(GanttView[[#Headers],[ID]])</f>
        <v>92</v>
      </c>
      <c r="N97" s="133" t="b">
        <f aca="false">IF(IFERROR(INDEX(tsk_Name,GanttView[[#This Row],[_Row]])="",TRUE()),FALSE(),INDEX(tsk_IsSummary,GanttView[[#This Row],[_Row]]))</f>
        <v>0</v>
      </c>
      <c r="O97" s="133" t="b">
        <f aca="false">IF(IFERROR(INDEX(tsk_Name,GanttView[[#This Row],[_Row]])="",TRUE()),FALSE(),AND(INDEX(tsk_IsLeaf,GanttView[[#This Row],[_Row]])=1,N(INDEX(tsk_Duration,GanttView[[#This Row],[_Row]]))=0))</f>
        <v>0</v>
      </c>
      <c r="P97" s="134" t="n">
        <f aca="false">IF(IFERROR(INDEX(tsk_Name,GanttView[[#This Row],[_Row]])="",TRUE()),0,IF(AND(INDEX(tsk_IsLeaf,GanttView[[#This Row],[_Row]])=1,NOT(GanttView[[#This Row],[_IsMilestone]]),N(GanttView[[#This Row],[%]])&gt;0),GanttView[[#This Row],[Forecast Start]],0))</f>
        <v>0</v>
      </c>
      <c r="Q97" s="134" t="n">
        <f aca="false">IF(GanttView[[#This Row],[_DoneFrom]]=0,0,IF(GanttView[[#This Row],[%]]&gt;=1,GanttView[[#This Row],[Forecast Finish]],MAX(GanttView[[#This Row],[_DoneFrom]],GanttView[[#This Row],[Forecast Start]]+ROUND((GanttView[[#This Row],[Forecast Finish]]-GanttView[[#This Row],[Forecast Start]]+1)*GanttView[[#This Row],[%]],0)-1)))</f>
        <v>0</v>
      </c>
      <c r="R97" s="134" t="n">
        <f aca="false">IF(IFERROR(INDEX(tsk_Name,GanttView[[#This Row],[_Row]])="",TRUE()),0,IF(OR(INDEX(tsk_IsLeaf,GanttView[[#This Row],[_Row]])&lt;&gt;1,GanttView[[#This Row],[_IsMilestone]],N(GanttView[[#This Row],[%]])&gt;=1),0,IF(GanttView[[#This Row],[_DoneTo]]&gt;0,GanttView[[#This Row],[_DoneTo]]+1,GanttView[[#This Row],[Forecast Start]])))</f>
        <v>0</v>
      </c>
      <c r="S97" s="134" t="n">
        <f aca="false">IF(GanttView[[#This Row],[_RemFrom]]=0,0,GanttView[[#This Row],[Forecast Finish]])</f>
        <v>0</v>
      </c>
      <c r="T97" s="133" t="b">
        <f aca="false">IF(IFERROR(INDEX(tsk_Name,GanttView[[#This Row],[_Row]])="",TRUE()),FALSE(),N(INDEX(tsk_Variance,GanttView[[#This Row],[_Row]]))&gt;0)</f>
        <v>0</v>
      </c>
      <c r="U97" s="134" t="n">
        <f aca="false">IF(IFERROR(INDEX(tsk_Name,GanttView[[#This Row],[_Row]])="",TRUE()),0,N(INDEX(tsk_Deadline,GanttView[[#This Row],[_Row]])))</f>
        <v>0</v>
      </c>
      <c r="V97" s="133" t="b">
        <f aca="false">IF(IFERROR(INDEX(tsk_Name,GanttView[[#This Row],[_Row]])="",TRUE()),FALSE(),INDEX(tsk_Critical,GanttView[[#This Row],[_Row]])="Yes")</f>
        <v>0</v>
      </c>
    </row>
    <row r="98" customFormat="false" ht="15" hidden="false" customHeight="false" outlineLevel="0" collapsed="false">
      <c r="A98" s="127" t="str">
        <f aca="false">IF(IFERROR(INDEX(tsk_Name,GanttView[[#This Row],[_Row]])="",TRUE()),"",INDEX(tsk_ID,GanttView[[#This Row],[_Row]]))</f>
        <v/>
      </c>
      <c r="B98" s="127" t="str">
        <f aca="false">IF(IFERROR(INDEX(tsk_Name,GanttView[[#This Row],[_Row]])="",TRUE()),"",INDEX(tsk_WBS,GanttView[[#This Row],[_Row]]))</f>
        <v/>
      </c>
      <c r="C98" s="128" t="str">
        <f aca="false">IF(IFERROR(INDEX(tsk_Name,GanttView[[#This Row],[_Row]])="",TRUE()),"",REPT("    ",INDEX(tsk_Level,GanttView[[#This Row],[_Row]])-1)&amp;INDEX(tsk_Name,GanttView[[#This Row],[_Row]]))</f>
        <v/>
      </c>
      <c r="D98" s="127" t="str">
        <f aca="false">IF(IFERROR(INDEX(tsk_Name,GanttView[[#This Row],[_Row]])="",TRUE()),"",IF(INDEX(tsk_IsSummary,GanttView[[#This Row],[_Row]]),NETWORKDAYS.INTL(INDEX(tsk_FcStart,GanttView[[#This Row],[_Row]]),INDEX(tsk_FcFinish,GanttView[[#This Row],[_Row]]),WorkWeek,Holidays),N(INDEX(tsk_Duration,GanttView[[#This Row],[_Row]]))))</f>
        <v/>
      </c>
      <c r="E98" s="129" t="str">
        <f aca="false">IF(IFERROR(INDEX(tsk_Name,GanttView[[#This Row],[_Row]])="",TRUE()),"",INDEX(tsk_PlanStart,GanttView[[#This Row],[_Row]]))</f>
        <v/>
      </c>
      <c r="F98" s="129" t="str">
        <f aca="false">IF(IFERROR(INDEX(tsk_Name,GanttView[[#This Row],[_Row]])="",TRUE()),"",INDEX(tsk_PlanFinish,GanttView[[#This Row],[_Row]]))</f>
        <v/>
      </c>
      <c r="G98" s="129" t="str">
        <f aca="false">IF(IFERROR(INDEX(tsk_Name,GanttView[[#This Row],[_Row]])="",TRUE()),"",INDEX(tsk_FcStart,GanttView[[#This Row],[_Row]]))</f>
        <v/>
      </c>
      <c r="H98" s="129" t="str">
        <f aca="false">IF(IFERROR(INDEX(tsk_Name,GanttView[[#This Row],[_Row]])="",TRUE()),"",INDEX(tsk_FcFinish,GanttView[[#This Row],[_Row]]))</f>
        <v/>
      </c>
      <c r="I98" s="130" t="str">
        <f aca="false">IF(IFERROR(INDEX(tsk_Name,GanttView[[#This Row],[_Row]])="",TRUE()),"",INDEX(tsk_Progress,GanttView[[#This Row],[_Row]]))</f>
        <v/>
      </c>
      <c r="J98" s="128" t="str">
        <f aca="false">IF(IFERROR(INDEX(tsk_Name,GanttView[[#This Row],[_Row]])="",TRUE()),"",INDEX(tsk_ResourceNames,GanttView[[#This Row],[_Row]])&amp;"")</f>
        <v/>
      </c>
      <c r="K98" s="131" t="str">
        <f aca="false">IF(IFERROR(INDEX(tsk_Name,GanttView[[#This Row],[_Row]])="",TRUE()),"",INDEX(tsk_Status,GanttView[[#This Row],[_Row]]))</f>
        <v/>
      </c>
      <c r="L98" s="131" t="str">
        <f aca="false">IF(IFERROR(INDEX(tsk_Name,GanttView[[#This Row],[_Row]])="",TRUE()),"",INDEX(tsk_Show,GanttView[[#This Row],[_Row]])&amp;"")</f>
        <v/>
      </c>
      <c r="M98" s="132" t="n">
        <f aca="false">ROW()-ROW(GanttView[[#Headers],[ID]])</f>
        <v>93</v>
      </c>
      <c r="N98" s="133" t="b">
        <f aca="false">IF(IFERROR(INDEX(tsk_Name,GanttView[[#This Row],[_Row]])="",TRUE()),FALSE(),INDEX(tsk_IsSummary,GanttView[[#This Row],[_Row]]))</f>
        <v>0</v>
      </c>
      <c r="O98" s="133" t="b">
        <f aca="false">IF(IFERROR(INDEX(tsk_Name,GanttView[[#This Row],[_Row]])="",TRUE()),FALSE(),AND(INDEX(tsk_IsLeaf,GanttView[[#This Row],[_Row]])=1,N(INDEX(tsk_Duration,GanttView[[#This Row],[_Row]]))=0))</f>
        <v>0</v>
      </c>
      <c r="P98" s="134" t="n">
        <f aca="false">IF(IFERROR(INDEX(tsk_Name,GanttView[[#This Row],[_Row]])="",TRUE()),0,IF(AND(INDEX(tsk_IsLeaf,GanttView[[#This Row],[_Row]])=1,NOT(GanttView[[#This Row],[_IsMilestone]]),N(GanttView[[#This Row],[%]])&gt;0),GanttView[[#This Row],[Forecast Start]],0))</f>
        <v>0</v>
      </c>
      <c r="Q98" s="134" t="n">
        <f aca="false">IF(GanttView[[#This Row],[_DoneFrom]]=0,0,IF(GanttView[[#This Row],[%]]&gt;=1,GanttView[[#This Row],[Forecast Finish]],MAX(GanttView[[#This Row],[_DoneFrom]],GanttView[[#This Row],[Forecast Start]]+ROUND((GanttView[[#This Row],[Forecast Finish]]-GanttView[[#This Row],[Forecast Start]]+1)*GanttView[[#This Row],[%]],0)-1)))</f>
        <v>0</v>
      </c>
      <c r="R98" s="134" t="n">
        <f aca="false">IF(IFERROR(INDEX(tsk_Name,GanttView[[#This Row],[_Row]])="",TRUE()),0,IF(OR(INDEX(tsk_IsLeaf,GanttView[[#This Row],[_Row]])&lt;&gt;1,GanttView[[#This Row],[_IsMilestone]],N(GanttView[[#This Row],[%]])&gt;=1),0,IF(GanttView[[#This Row],[_DoneTo]]&gt;0,GanttView[[#This Row],[_DoneTo]]+1,GanttView[[#This Row],[Forecast Start]])))</f>
        <v>0</v>
      </c>
      <c r="S98" s="134" t="n">
        <f aca="false">IF(GanttView[[#This Row],[_RemFrom]]=0,0,GanttView[[#This Row],[Forecast Finish]])</f>
        <v>0</v>
      </c>
      <c r="T98" s="133" t="b">
        <f aca="false">IF(IFERROR(INDEX(tsk_Name,GanttView[[#This Row],[_Row]])="",TRUE()),FALSE(),N(INDEX(tsk_Variance,GanttView[[#This Row],[_Row]]))&gt;0)</f>
        <v>0</v>
      </c>
      <c r="U98" s="134" t="n">
        <f aca="false">IF(IFERROR(INDEX(tsk_Name,GanttView[[#This Row],[_Row]])="",TRUE()),0,N(INDEX(tsk_Deadline,GanttView[[#This Row],[_Row]])))</f>
        <v>0</v>
      </c>
      <c r="V98" s="133" t="b">
        <f aca="false">IF(IFERROR(INDEX(tsk_Name,GanttView[[#This Row],[_Row]])="",TRUE()),FALSE(),INDEX(tsk_Critical,GanttView[[#This Row],[_Row]])="Yes")</f>
        <v>0</v>
      </c>
    </row>
    <row r="99" customFormat="false" ht="15" hidden="false" customHeight="false" outlineLevel="0" collapsed="false">
      <c r="A99" s="127" t="str">
        <f aca="false">IF(IFERROR(INDEX(tsk_Name,GanttView[[#This Row],[_Row]])="",TRUE()),"",INDEX(tsk_ID,GanttView[[#This Row],[_Row]]))</f>
        <v/>
      </c>
      <c r="B99" s="127" t="str">
        <f aca="false">IF(IFERROR(INDEX(tsk_Name,GanttView[[#This Row],[_Row]])="",TRUE()),"",INDEX(tsk_WBS,GanttView[[#This Row],[_Row]]))</f>
        <v/>
      </c>
      <c r="C99" s="128" t="str">
        <f aca="false">IF(IFERROR(INDEX(tsk_Name,GanttView[[#This Row],[_Row]])="",TRUE()),"",REPT("    ",INDEX(tsk_Level,GanttView[[#This Row],[_Row]])-1)&amp;INDEX(tsk_Name,GanttView[[#This Row],[_Row]]))</f>
        <v/>
      </c>
      <c r="D99" s="127" t="str">
        <f aca="false">IF(IFERROR(INDEX(tsk_Name,GanttView[[#This Row],[_Row]])="",TRUE()),"",IF(INDEX(tsk_IsSummary,GanttView[[#This Row],[_Row]]),NETWORKDAYS.INTL(INDEX(tsk_FcStart,GanttView[[#This Row],[_Row]]),INDEX(tsk_FcFinish,GanttView[[#This Row],[_Row]]),WorkWeek,Holidays),N(INDEX(tsk_Duration,GanttView[[#This Row],[_Row]]))))</f>
        <v/>
      </c>
      <c r="E99" s="129" t="str">
        <f aca="false">IF(IFERROR(INDEX(tsk_Name,GanttView[[#This Row],[_Row]])="",TRUE()),"",INDEX(tsk_PlanStart,GanttView[[#This Row],[_Row]]))</f>
        <v/>
      </c>
      <c r="F99" s="129" t="str">
        <f aca="false">IF(IFERROR(INDEX(tsk_Name,GanttView[[#This Row],[_Row]])="",TRUE()),"",INDEX(tsk_PlanFinish,GanttView[[#This Row],[_Row]]))</f>
        <v/>
      </c>
      <c r="G99" s="129" t="str">
        <f aca="false">IF(IFERROR(INDEX(tsk_Name,GanttView[[#This Row],[_Row]])="",TRUE()),"",INDEX(tsk_FcStart,GanttView[[#This Row],[_Row]]))</f>
        <v/>
      </c>
      <c r="H99" s="129" t="str">
        <f aca="false">IF(IFERROR(INDEX(tsk_Name,GanttView[[#This Row],[_Row]])="",TRUE()),"",INDEX(tsk_FcFinish,GanttView[[#This Row],[_Row]]))</f>
        <v/>
      </c>
      <c r="I99" s="130" t="str">
        <f aca="false">IF(IFERROR(INDEX(tsk_Name,GanttView[[#This Row],[_Row]])="",TRUE()),"",INDEX(tsk_Progress,GanttView[[#This Row],[_Row]]))</f>
        <v/>
      </c>
      <c r="J99" s="128" t="str">
        <f aca="false">IF(IFERROR(INDEX(tsk_Name,GanttView[[#This Row],[_Row]])="",TRUE()),"",INDEX(tsk_ResourceNames,GanttView[[#This Row],[_Row]])&amp;"")</f>
        <v/>
      </c>
      <c r="K99" s="131" t="str">
        <f aca="false">IF(IFERROR(INDEX(tsk_Name,GanttView[[#This Row],[_Row]])="",TRUE()),"",INDEX(tsk_Status,GanttView[[#This Row],[_Row]]))</f>
        <v/>
      </c>
      <c r="L99" s="131" t="str">
        <f aca="false">IF(IFERROR(INDEX(tsk_Name,GanttView[[#This Row],[_Row]])="",TRUE()),"",INDEX(tsk_Show,GanttView[[#This Row],[_Row]])&amp;"")</f>
        <v/>
      </c>
      <c r="M99" s="132" t="n">
        <f aca="false">ROW()-ROW(GanttView[[#Headers],[ID]])</f>
        <v>94</v>
      </c>
      <c r="N99" s="133" t="b">
        <f aca="false">IF(IFERROR(INDEX(tsk_Name,GanttView[[#This Row],[_Row]])="",TRUE()),FALSE(),INDEX(tsk_IsSummary,GanttView[[#This Row],[_Row]]))</f>
        <v>0</v>
      </c>
      <c r="O99" s="133" t="b">
        <f aca="false">IF(IFERROR(INDEX(tsk_Name,GanttView[[#This Row],[_Row]])="",TRUE()),FALSE(),AND(INDEX(tsk_IsLeaf,GanttView[[#This Row],[_Row]])=1,N(INDEX(tsk_Duration,GanttView[[#This Row],[_Row]]))=0))</f>
        <v>0</v>
      </c>
      <c r="P99" s="134" t="n">
        <f aca="false">IF(IFERROR(INDEX(tsk_Name,GanttView[[#This Row],[_Row]])="",TRUE()),0,IF(AND(INDEX(tsk_IsLeaf,GanttView[[#This Row],[_Row]])=1,NOT(GanttView[[#This Row],[_IsMilestone]]),N(GanttView[[#This Row],[%]])&gt;0),GanttView[[#This Row],[Forecast Start]],0))</f>
        <v>0</v>
      </c>
      <c r="Q99" s="134" t="n">
        <f aca="false">IF(GanttView[[#This Row],[_DoneFrom]]=0,0,IF(GanttView[[#This Row],[%]]&gt;=1,GanttView[[#This Row],[Forecast Finish]],MAX(GanttView[[#This Row],[_DoneFrom]],GanttView[[#This Row],[Forecast Start]]+ROUND((GanttView[[#This Row],[Forecast Finish]]-GanttView[[#This Row],[Forecast Start]]+1)*GanttView[[#This Row],[%]],0)-1)))</f>
        <v>0</v>
      </c>
      <c r="R99" s="134" t="n">
        <f aca="false">IF(IFERROR(INDEX(tsk_Name,GanttView[[#This Row],[_Row]])="",TRUE()),0,IF(OR(INDEX(tsk_IsLeaf,GanttView[[#This Row],[_Row]])&lt;&gt;1,GanttView[[#This Row],[_IsMilestone]],N(GanttView[[#This Row],[%]])&gt;=1),0,IF(GanttView[[#This Row],[_DoneTo]]&gt;0,GanttView[[#This Row],[_DoneTo]]+1,GanttView[[#This Row],[Forecast Start]])))</f>
        <v>0</v>
      </c>
      <c r="S99" s="134" t="n">
        <f aca="false">IF(GanttView[[#This Row],[_RemFrom]]=0,0,GanttView[[#This Row],[Forecast Finish]])</f>
        <v>0</v>
      </c>
      <c r="T99" s="133" t="b">
        <f aca="false">IF(IFERROR(INDEX(tsk_Name,GanttView[[#This Row],[_Row]])="",TRUE()),FALSE(),N(INDEX(tsk_Variance,GanttView[[#This Row],[_Row]]))&gt;0)</f>
        <v>0</v>
      </c>
      <c r="U99" s="134" t="n">
        <f aca="false">IF(IFERROR(INDEX(tsk_Name,GanttView[[#This Row],[_Row]])="",TRUE()),0,N(INDEX(tsk_Deadline,GanttView[[#This Row],[_Row]])))</f>
        <v>0</v>
      </c>
      <c r="V99" s="133" t="b">
        <f aca="false">IF(IFERROR(INDEX(tsk_Name,GanttView[[#This Row],[_Row]])="",TRUE()),FALSE(),INDEX(tsk_Critical,GanttView[[#This Row],[_Row]])="Yes")</f>
        <v>0</v>
      </c>
    </row>
    <row r="100" customFormat="false" ht="15" hidden="false" customHeight="false" outlineLevel="0" collapsed="false">
      <c r="A100" s="127" t="str">
        <f aca="false">IF(IFERROR(INDEX(tsk_Name,GanttView[[#This Row],[_Row]])="",TRUE()),"",INDEX(tsk_ID,GanttView[[#This Row],[_Row]]))</f>
        <v/>
      </c>
      <c r="B100" s="127" t="str">
        <f aca="false">IF(IFERROR(INDEX(tsk_Name,GanttView[[#This Row],[_Row]])="",TRUE()),"",INDEX(tsk_WBS,GanttView[[#This Row],[_Row]]))</f>
        <v/>
      </c>
      <c r="C100" s="128" t="str">
        <f aca="false">IF(IFERROR(INDEX(tsk_Name,GanttView[[#This Row],[_Row]])="",TRUE()),"",REPT("    ",INDEX(tsk_Level,GanttView[[#This Row],[_Row]])-1)&amp;INDEX(tsk_Name,GanttView[[#This Row],[_Row]]))</f>
        <v/>
      </c>
      <c r="D100" s="127" t="str">
        <f aca="false">IF(IFERROR(INDEX(tsk_Name,GanttView[[#This Row],[_Row]])="",TRUE()),"",IF(INDEX(tsk_IsSummary,GanttView[[#This Row],[_Row]]),NETWORKDAYS.INTL(INDEX(tsk_FcStart,GanttView[[#This Row],[_Row]]),INDEX(tsk_FcFinish,GanttView[[#This Row],[_Row]]),WorkWeek,Holidays),N(INDEX(tsk_Duration,GanttView[[#This Row],[_Row]]))))</f>
        <v/>
      </c>
      <c r="E100" s="129" t="str">
        <f aca="false">IF(IFERROR(INDEX(tsk_Name,GanttView[[#This Row],[_Row]])="",TRUE()),"",INDEX(tsk_PlanStart,GanttView[[#This Row],[_Row]]))</f>
        <v/>
      </c>
      <c r="F100" s="129" t="str">
        <f aca="false">IF(IFERROR(INDEX(tsk_Name,GanttView[[#This Row],[_Row]])="",TRUE()),"",INDEX(tsk_PlanFinish,GanttView[[#This Row],[_Row]]))</f>
        <v/>
      </c>
      <c r="G100" s="129" t="str">
        <f aca="false">IF(IFERROR(INDEX(tsk_Name,GanttView[[#This Row],[_Row]])="",TRUE()),"",INDEX(tsk_FcStart,GanttView[[#This Row],[_Row]]))</f>
        <v/>
      </c>
      <c r="H100" s="129" t="str">
        <f aca="false">IF(IFERROR(INDEX(tsk_Name,GanttView[[#This Row],[_Row]])="",TRUE()),"",INDEX(tsk_FcFinish,GanttView[[#This Row],[_Row]]))</f>
        <v/>
      </c>
      <c r="I100" s="130" t="str">
        <f aca="false">IF(IFERROR(INDEX(tsk_Name,GanttView[[#This Row],[_Row]])="",TRUE()),"",INDEX(tsk_Progress,GanttView[[#This Row],[_Row]]))</f>
        <v/>
      </c>
      <c r="J100" s="128" t="str">
        <f aca="false">IF(IFERROR(INDEX(tsk_Name,GanttView[[#This Row],[_Row]])="",TRUE()),"",INDEX(tsk_ResourceNames,GanttView[[#This Row],[_Row]])&amp;"")</f>
        <v/>
      </c>
      <c r="K100" s="131" t="str">
        <f aca="false">IF(IFERROR(INDEX(tsk_Name,GanttView[[#This Row],[_Row]])="",TRUE()),"",INDEX(tsk_Status,GanttView[[#This Row],[_Row]]))</f>
        <v/>
      </c>
      <c r="L100" s="131" t="str">
        <f aca="false">IF(IFERROR(INDEX(tsk_Name,GanttView[[#This Row],[_Row]])="",TRUE()),"",INDEX(tsk_Show,GanttView[[#This Row],[_Row]])&amp;"")</f>
        <v/>
      </c>
      <c r="M100" s="132" t="n">
        <f aca="false">ROW()-ROW(GanttView[[#Headers],[ID]])</f>
        <v>95</v>
      </c>
      <c r="N100" s="133" t="b">
        <f aca="false">IF(IFERROR(INDEX(tsk_Name,GanttView[[#This Row],[_Row]])="",TRUE()),FALSE(),INDEX(tsk_IsSummary,GanttView[[#This Row],[_Row]]))</f>
        <v>0</v>
      </c>
      <c r="O100" s="133" t="b">
        <f aca="false">IF(IFERROR(INDEX(tsk_Name,GanttView[[#This Row],[_Row]])="",TRUE()),FALSE(),AND(INDEX(tsk_IsLeaf,GanttView[[#This Row],[_Row]])=1,N(INDEX(tsk_Duration,GanttView[[#This Row],[_Row]]))=0))</f>
        <v>0</v>
      </c>
      <c r="P100" s="134" t="n">
        <f aca="false">IF(IFERROR(INDEX(tsk_Name,GanttView[[#This Row],[_Row]])="",TRUE()),0,IF(AND(INDEX(tsk_IsLeaf,GanttView[[#This Row],[_Row]])=1,NOT(GanttView[[#This Row],[_IsMilestone]]),N(GanttView[[#This Row],[%]])&gt;0),GanttView[[#This Row],[Forecast Start]],0))</f>
        <v>0</v>
      </c>
      <c r="Q100" s="134" t="n">
        <f aca="false">IF(GanttView[[#This Row],[_DoneFrom]]=0,0,IF(GanttView[[#This Row],[%]]&gt;=1,GanttView[[#This Row],[Forecast Finish]],MAX(GanttView[[#This Row],[_DoneFrom]],GanttView[[#This Row],[Forecast Start]]+ROUND((GanttView[[#This Row],[Forecast Finish]]-GanttView[[#This Row],[Forecast Start]]+1)*GanttView[[#This Row],[%]],0)-1)))</f>
        <v>0</v>
      </c>
      <c r="R100" s="134" t="n">
        <f aca="false">IF(IFERROR(INDEX(tsk_Name,GanttView[[#This Row],[_Row]])="",TRUE()),0,IF(OR(INDEX(tsk_IsLeaf,GanttView[[#This Row],[_Row]])&lt;&gt;1,GanttView[[#This Row],[_IsMilestone]],N(GanttView[[#This Row],[%]])&gt;=1),0,IF(GanttView[[#This Row],[_DoneTo]]&gt;0,GanttView[[#This Row],[_DoneTo]]+1,GanttView[[#This Row],[Forecast Start]])))</f>
        <v>0</v>
      </c>
      <c r="S100" s="134" t="n">
        <f aca="false">IF(GanttView[[#This Row],[_RemFrom]]=0,0,GanttView[[#This Row],[Forecast Finish]])</f>
        <v>0</v>
      </c>
      <c r="T100" s="133" t="b">
        <f aca="false">IF(IFERROR(INDEX(tsk_Name,GanttView[[#This Row],[_Row]])="",TRUE()),FALSE(),N(INDEX(tsk_Variance,GanttView[[#This Row],[_Row]]))&gt;0)</f>
        <v>0</v>
      </c>
      <c r="U100" s="134" t="n">
        <f aca="false">IF(IFERROR(INDEX(tsk_Name,GanttView[[#This Row],[_Row]])="",TRUE()),0,N(INDEX(tsk_Deadline,GanttView[[#This Row],[_Row]])))</f>
        <v>0</v>
      </c>
      <c r="V100" s="133" t="b">
        <f aca="false">IF(IFERROR(INDEX(tsk_Name,GanttView[[#This Row],[_Row]])="",TRUE()),FALSE(),INDEX(tsk_Critical,GanttView[[#This Row],[_Row]])="Yes")</f>
        <v>0</v>
      </c>
    </row>
    <row r="101" customFormat="false" ht="15" hidden="false" customHeight="false" outlineLevel="0" collapsed="false">
      <c r="A101" s="127" t="str">
        <f aca="false">IF(IFERROR(INDEX(tsk_Name,GanttView[[#This Row],[_Row]])="",TRUE()),"",INDEX(tsk_ID,GanttView[[#This Row],[_Row]]))</f>
        <v/>
      </c>
      <c r="B101" s="127" t="str">
        <f aca="false">IF(IFERROR(INDEX(tsk_Name,GanttView[[#This Row],[_Row]])="",TRUE()),"",INDEX(tsk_WBS,GanttView[[#This Row],[_Row]]))</f>
        <v/>
      </c>
      <c r="C101" s="128" t="str">
        <f aca="false">IF(IFERROR(INDEX(tsk_Name,GanttView[[#This Row],[_Row]])="",TRUE()),"",REPT("    ",INDEX(tsk_Level,GanttView[[#This Row],[_Row]])-1)&amp;INDEX(tsk_Name,GanttView[[#This Row],[_Row]]))</f>
        <v/>
      </c>
      <c r="D101" s="127" t="str">
        <f aca="false">IF(IFERROR(INDEX(tsk_Name,GanttView[[#This Row],[_Row]])="",TRUE()),"",IF(INDEX(tsk_IsSummary,GanttView[[#This Row],[_Row]]),NETWORKDAYS.INTL(INDEX(tsk_FcStart,GanttView[[#This Row],[_Row]]),INDEX(tsk_FcFinish,GanttView[[#This Row],[_Row]]),WorkWeek,Holidays),N(INDEX(tsk_Duration,GanttView[[#This Row],[_Row]]))))</f>
        <v/>
      </c>
      <c r="E101" s="129" t="str">
        <f aca="false">IF(IFERROR(INDEX(tsk_Name,GanttView[[#This Row],[_Row]])="",TRUE()),"",INDEX(tsk_PlanStart,GanttView[[#This Row],[_Row]]))</f>
        <v/>
      </c>
      <c r="F101" s="129" t="str">
        <f aca="false">IF(IFERROR(INDEX(tsk_Name,GanttView[[#This Row],[_Row]])="",TRUE()),"",INDEX(tsk_PlanFinish,GanttView[[#This Row],[_Row]]))</f>
        <v/>
      </c>
      <c r="G101" s="129" t="str">
        <f aca="false">IF(IFERROR(INDEX(tsk_Name,GanttView[[#This Row],[_Row]])="",TRUE()),"",INDEX(tsk_FcStart,GanttView[[#This Row],[_Row]]))</f>
        <v/>
      </c>
      <c r="H101" s="129" t="str">
        <f aca="false">IF(IFERROR(INDEX(tsk_Name,GanttView[[#This Row],[_Row]])="",TRUE()),"",INDEX(tsk_FcFinish,GanttView[[#This Row],[_Row]]))</f>
        <v/>
      </c>
      <c r="I101" s="130" t="str">
        <f aca="false">IF(IFERROR(INDEX(tsk_Name,GanttView[[#This Row],[_Row]])="",TRUE()),"",INDEX(tsk_Progress,GanttView[[#This Row],[_Row]]))</f>
        <v/>
      </c>
      <c r="J101" s="128" t="str">
        <f aca="false">IF(IFERROR(INDEX(tsk_Name,GanttView[[#This Row],[_Row]])="",TRUE()),"",INDEX(tsk_ResourceNames,GanttView[[#This Row],[_Row]])&amp;"")</f>
        <v/>
      </c>
      <c r="K101" s="131" t="str">
        <f aca="false">IF(IFERROR(INDEX(tsk_Name,GanttView[[#This Row],[_Row]])="",TRUE()),"",INDEX(tsk_Status,GanttView[[#This Row],[_Row]]))</f>
        <v/>
      </c>
      <c r="L101" s="131" t="str">
        <f aca="false">IF(IFERROR(INDEX(tsk_Name,GanttView[[#This Row],[_Row]])="",TRUE()),"",INDEX(tsk_Show,GanttView[[#This Row],[_Row]])&amp;"")</f>
        <v/>
      </c>
      <c r="M101" s="132" t="n">
        <f aca="false">ROW()-ROW(GanttView[[#Headers],[ID]])</f>
        <v>96</v>
      </c>
      <c r="N101" s="133" t="b">
        <f aca="false">IF(IFERROR(INDEX(tsk_Name,GanttView[[#This Row],[_Row]])="",TRUE()),FALSE(),INDEX(tsk_IsSummary,GanttView[[#This Row],[_Row]]))</f>
        <v>0</v>
      </c>
      <c r="O101" s="133" t="b">
        <f aca="false">IF(IFERROR(INDEX(tsk_Name,GanttView[[#This Row],[_Row]])="",TRUE()),FALSE(),AND(INDEX(tsk_IsLeaf,GanttView[[#This Row],[_Row]])=1,N(INDEX(tsk_Duration,GanttView[[#This Row],[_Row]]))=0))</f>
        <v>0</v>
      </c>
      <c r="P101" s="134" t="n">
        <f aca="false">IF(IFERROR(INDEX(tsk_Name,GanttView[[#This Row],[_Row]])="",TRUE()),0,IF(AND(INDEX(tsk_IsLeaf,GanttView[[#This Row],[_Row]])=1,NOT(GanttView[[#This Row],[_IsMilestone]]),N(GanttView[[#This Row],[%]])&gt;0),GanttView[[#This Row],[Forecast Start]],0))</f>
        <v>0</v>
      </c>
      <c r="Q101" s="134" t="n">
        <f aca="false">IF(GanttView[[#This Row],[_DoneFrom]]=0,0,IF(GanttView[[#This Row],[%]]&gt;=1,GanttView[[#This Row],[Forecast Finish]],MAX(GanttView[[#This Row],[_DoneFrom]],GanttView[[#This Row],[Forecast Start]]+ROUND((GanttView[[#This Row],[Forecast Finish]]-GanttView[[#This Row],[Forecast Start]]+1)*GanttView[[#This Row],[%]],0)-1)))</f>
        <v>0</v>
      </c>
      <c r="R101" s="134" t="n">
        <f aca="false">IF(IFERROR(INDEX(tsk_Name,GanttView[[#This Row],[_Row]])="",TRUE()),0,IF(OR(INDEX(tsk_IsLeaf,GanttView[[#This Row],[_Row]])&lt;&gt;1,GanttView[[#This Row],[_IsMilestone]],N(GanttView[[#This Row],[%]])&gt;=1),0,IF(GanttView[[#This Row],[_DoneTo]]&gt;0,GanttView[[#This Row],[_DoneTo]]+1,GanttView[[#This Row],[Forecast Start]])))</f>
        <v>0</v>
      </c>
      <c r="S101" s="134" t="n">
        <f aca="false">IF(GanttView[[#This Row],[_RemFrom]]=0,0,GanttView[[#This Row],[Forecast Finish]])</f>
        <v>0</v>
      </c>
      <c r="T101" s="133" t="b">
        <f aca="false">IF(IFERROR(INDEX(tsk_Name,GanttView[[#This Row],[_Row]])="",TRUE()),FALSE(),N(INDEX(tsk_Variance,GanttView[[#This Row],[_Row]]))&gt;0)</f>
        <v>0</v>
      </c>
      <c r="U101" s="134" t="n">
        <f aca="false">IF(IFERROR(INDEX(tsk_Name,GanttView[[#This Row],[_Row]])="",TRUE()),0,N(INDEX(tsk_Deadline,GanttView[[#This Row],[_Row]])))</f>
        <v>0</v>
      </c>
      <c r="V101" s="133" t="b">
        <f aca="false">IF(IFERROR(INDEX(tsk_Name,GanttView[[#This Row],[_Row]])="",TRUE()),FALSE(),INDEX(tsk_Critical,GanttView[[#This Row],[_Row]])="Yes")</f>
        <v>0</v>
      </c>
    </row>
    <row r="102" customFormat="false" ht="15" hidden="false" customHeight="false" outlineLevel="0" collapsed="false">
      <c r="A102" s="127" t="str">
        <f aca="false">IF(IFERROR(INDEX(tsk_Name,GanttView[[#This Row],[_Row]])="",TRUE()),"",INDEX(tsk_ID,GanttView[[#This Row],[_Row]]))</f>
        <v/>
      </c>
      <c r="B102" s="127" t="str">
        <f aca="false">IF(IFERROR(INDEX(tsk_Name,GanttView[[#This Row],[_Row]])="",TRUE()),"",INDEX(tsk_WBS,GanttView[[#This Row],[_Row]]))</f>
        <v/>
      </c>
      <c r="C102" s="128" t="str">
        <f aca="false">IF(IFERROR(INDEX(tsk_Name,GanttView[[#This Row],[_Row]])="",TRUE()),"",REPT("    ",INDEX(tsk_Level,GanttView[[#This Row],[_Row]])-1)&amp;INDEX(tsk_Name,GanttView[[#This Row],[_Row]]))</f>
        <v/>
      </c>
      <c r="D102" s="127" t="str">
        <f aca="false">IF(IFERROR(INDEX(tsk_Name,GanttView[[#This Row],[_Row]])="",TRUE()),"",IF(INDEX(tsk_IsSummary,GanttView[[#This Row],[_Row]]),NETWORKDAYS.INTL(INDEX(tsk_FcStart,GanttView[[#This Row],[_Row]]),INDEX(tsk_FcFinish,GanttView[[#This Row],[_Row]]),WorkWeek,Holidays),N(INDEX(tsk_Duration,GanttView[[#This Row],[_Row]]))))</f>
        <v/>
      </c>
      <c r="E102" s="129" t="str">
        <f aca="false">IF(IFERROR(INDEX(tsk_Name,GanttView[[#This Row],[_Row]])="",TRUE()),"",INDEX(tsk_PlanStart,GanttView[[#This Row],[_Row]]))</f>
        <v/>
      </c>
      <c r="F102" s="129" t="str">
        <f aca="false">IF(IFERROR(INDEX(tsk_Name,GanttView[[#This Row],[_Row]])="",TRUE()),"",INDEX(tsk_PlanFinish,GanttView[[#This Row],[_Row]]))</f>
        <v/>
      </c>
      <c r="G102" s="129" t="str">
        <f aca="false">IF(IFERROR(INDEX(tsk_Name,GanttView[[#This Row],[_Row]])="",TRUE()),"",INDEX(tsk_FcStart,GanttView[[#This Row],[_Row]]))</f>
        <v/>
      </c>
      <c r="H102" s="129" t="str">
        <f aca="false">IF(IFERROR(INDEX(tsk_Name,GanttView[[#This Row],[_Row]])="",TRUE()),"",INDEX(tsk_FcFinish,GanttView[[#This Row],[_Row]]))</f>
        <v/>
      </c>
      <c r="I102" s="130" t="str">
        <f aca="false">IF(IFERROR(INDEX(tsk_Name,GanttView[[#This Row],[_Row]])="",TRUE()),"",INDEX(tsk_Progress,GanttView[[#This Row],[_Row]]))</f>
        <v/>
      </c>
      <c r="J102" s="128" t="str">
        <f aca="false">IF(IFERROR(INDEX(tsk_Name,GanttView[[#This Row],[_Row]])="",TRUE()),"",INDEX(tsk_ResourceNames,GanttView[[#This Row],[_Row]])&amp;"")</f>
        <v/>
      </c>
      <c r="K102" s="131" t="str">
        <f aca="false">IF(IFERROR(INDEX(tsk_Name,GanttView[[#This Row],[_Row]])="",TRUE()),"",INDEX(tsk_Status,GanttView[[#This Row],[_Row]]))</f>
        <v/>
      </c>
      <c r="L102" s="131" t="str">
        <f aca="false">IF(IFERROR(INDEX(tsk_Name,GanttView[[#This Row],[_Row]])="",TRUE()),"",INDEX(tsk_Show,GanttView[[#This Row],[_Row]])&amp;"")</f>
        <v/>
      </c>
      <c r="M102" s="132" t="n">
        <f aca="false">ROW()-ROW(GanttView[[#Headers],[ID]])</f>
        <v>97</v>
      </c>
      <c r="N102" s="133" t="b">
        <f aca="false">IF(IFERROR(INDEX(tsk_Name,GanttView[[#This Row],[_Row]])="",TRUE()),FALSE(),INDEX(tsk_IsSummary,GanttView[[#This Row],[_Row]]))</f>
        <v>0</v>
      </c>
      <c r="O102" s="133" t="b">
        <f aca="false">IF(IFERROR(INDEX(tsk_Name,GanttView[[#This Row],[_Row]])="",TRUE()),FALSE(),AND(INDEX(tsk_IsLeaf,GanttView[[#This Row],[_Row]])=1,N(INDEX(tsk_Duration,GanttView[[#This Row],[_Row]]))=0))</f>
        <v>0</v>
      </c>
      <c r="P102" s="134" t="n">
        <f aca="false">IF(IFERROR(INDEX(tsk_Name,GanttView[[#This Row],[_Row]])="",TRUE()),0,IF(AND(INDEX(tsk_IsLeaf,GanttView[[#This Row],[_Row]])=1,NOT(GanttView[[#This Row],[_IsMilestone]]),N(GanttView[[#This Row],[%]])&gt;0),GanttView[[#This Row],[Forecast Start]],0))</f>
        <v>0</v>
      </c>
      <c r="Q102" s="134" t="n">
        <f aca="false">IF(GanttView[[#This Row],[_DoneFrom]]=0,0,IF(GanttView[[#This Row],[%]]&gt;=1,GanttView[[#This Row],[Forecast Finish]],MAX(GanttView[[#This Row],[_DoneFrom]],GanttView[[#This Row],[Forecast Start]]+ROUND((GanttView[[#This Row],[Forecast Finish]]-GanttView[[#This Row],[Forecast Start]]+1)*GanttView[[#This Row],[%]],0)-1)))</f>
        <v>0</v>
      </c>
      <c r="R102" s="134" t="n">
        <f aca="false">IF(IFERROR(INDEX(tsk_Name,GanttView[[#This Row],[_Row]])="",TRUE()),0,IF(OR(INDEX(tsk_IsLeaf,GanttView[[#This Row],[_Row]])&lt;&gt;1,GanttView[[#This Row],[_IsMilestone]],N(GanttView[[#This Row],[%]])&gt;=1),0,IF(GanttView[[#This Row],[_DoneTo]]&gt;0,GanttView[[#This Row],[_DoneTo]]+1,GanttView[[#This Row],[Forecast Start]])))</f>
        <v>0</v>
      </c>
      <c r="S102" s="134" t="n">
        <f aca="false">IF(GanttView[[#This Row],[_RemFrom]]=0,0,GanttView[[#This Row],[Forecast Finish]])</f>
        <v>0</v>
      </c>
      <c r="T102" s="133" t="b">
        <f aca="false">IF(IFERROR(INDEX(tsk_Name,GanttView[[#This Row],[_Row]])="",TRUE()),FALSE(),N(INDEX(tsk_Variance,GanttView[[#This Row],[_Row]]))&gt;0)</f>
        <v>0</v>
      </c>
      <c r="U102" s="134" t="n">
        <f aca="false">IF(IFERROR(INDEX(tsk_Name,GanttView[[#This Row],[_Row]])="",TRUE()),0,N(INDEX(tsk_Deadline,GanttView[[#This Row],[_Row]])))</f>
        <v>0</v>
      </c>
      <c r="V102" s="133" t="b">
        <f aca="false">IF(IFERROR(INDEX(tsk_Name,GanttView[[#This Row],[_Row]])="",TRUE()),FALSE(),INDEX(tsk_Critical,GanttView[[#This Row],[_Row]])="Yes")</f>
        <v>0</v>
      </c>
    </row>
    <row r="103" customFormat="false" ht="15" hidden="false" customHeight="false" outlineLevel="0" collapsed="false">
      <c r="A103" s="127" t="str">
        <f aca="false">IF(IFERROR(INDEX(tsk_Name,GanttView[[#This Row],[_Row]])="",TRUE()),"",INDEX(tsk_ID,GanttView[[#This Row],[_Row]]))</f>
        <v/>
      </c>
      <c r="B103" s="127" t="str">
        <f aca="false">IF(IFERROR(INDEX(tsk_Name,GanttView[[#This Row],[_Row]])="",TRUE()),"",INDEX(tsk_WBS,GanttView[[#This Row],[_Row]]))</f>
        <v/>
      </c>
      <c r="C103" s="128" t="str">
        <f aca="false">IF(IFERROR(INDEX(tsk_Name,GanttView[[#This Row],[_Row]])="",TRUE()),"",REPT("    ",INDEX(tsk_Level,GanttView[[#This Row],[_Row]])-1)&amp;INDEX(tsk_Name,GanttView[[#This Row],[_Row]]))</f>
        <v/>
      </c>
      <c r="D103" s="127" t="str">
        <f aca="false">IF(IFERROR(INDEX(tsk_Name,GanttView[[#This Row],[_Row]])="",TRUE()),"",IF(INDEX(tsk_IsSummary,GanttView[[#This Row],[_Row]]),NETWORKDAYS.INTL(INDEX(tsk_FcStart,GanttView[[#This Row],[_Row]]),INDEX(tsk_FcFinish,GanttView[[#This Row],[_Row]]),WorkWeek,Holidays),N(INDEX(tsk_Duration,GanttView[[#This Row],[_Row]]))))</f>
        <v/>
      </c>
      <c r="E103" s="129" t="str">
        <f aca="false">IF(IFERROR(INDEX(tsk_Name,GanttView[[#This Row],[_Row]])="",TRUE()),"",INDEX(tsk_PlanStart,GanttView[[#This Row],[_Row]]))</f>
        <v/>
      </c>
      <c r="F103" s="129" t="str">
        <f aca="false">IF(IFERROR(INDEX(tsk_Name,GanttView[[#This Row],[_Row]])="",TRUE()),"",INDEX(tsk_PlanFinish,GanttView[[#This Row],[_Row]]))</f>
        <v/>
      </c>
      <c r="G103" s="129" t="str">
        <f aca="false">IF(IFERROR(INDEX(tsk_Name,GanttView[[#This Row],[_Row]])="",TRUE()),"",INDEX(tsk_FcStart,GanttView[[#This Row],[_Row]]))</f>
        <v/>
      </c>
      <c r="H103" s="129" t="str">
        <f aca="false">IF(IFERROR(INDEX(tsk_Name,GanttView[[#This Row],[_Row]])="",TRUE()),"",INDEX(tsk_FcFinish,GanttView[[#This Row],[_Row]]))</f>
        <v/>
      </c>
      <c r="I103" s="130" t="str">
        <f aca="false">IF(IFERROR(INDEX(tsk_Name,GanttView[[#This Row],[_Row]])="",TRUE()),"",INDEX(tsk_Progress,GanttView[[#This Row],[_Row]]))</f>
        <v/>
      </c>
      <c r="J103" s="128" t="str">
        <f aca="false">IF(IFERROR(INDEX(tsk_Name,GanttView[[#This Row],[_Row]])="",TRUE()),"",INDEX(tsk_ResourceNames,GanttView[[#This Row],[_Row]])&amp;"")</f>
        <v/>
      </c>
      <c r="K103" s="131" t="str">
        <f aca="false">IF(IFERROR(INDEX(tsk_Name,GanttView[[#This Row],[_Row]])="",TRUE()),"",INDEX(tsk_Status,GanttView[[#This Row],[_Row]]))</f>
        <v/>
      </c>
      <c r="L103" s="131" t="str">
        <f aca="false">IF(IFERROR(INDEX(tsk_Name,GanttView[[#This Row],[_Row]])="",TRUE()),"",INDEX(tsk_Show,GanttView[[#This Row],[_Row]])&amp;"")</f>
        <v/>
      </c>
      <c r="M103" s="132" t="n">
        <f aca="false">ROW()-ROW(GanttView[[#Headers],[ID]])</f>
        <v>98</v>
      </c>
      <c r="N103" s="133" t="b">
        <f aca="false">IF(IFERROR(INDEX(tsk_Name,GanttView[[#This Row],[_Row]])="",TRUE()),FALSE(),INDEX(tsk_IsSummary,GanttView[[#This Row],[_Row]]))</f>
        <v>0</v>
      </c>
      <c r="O103" s="133" t="b">
        <f aca="false">IF(IFERROR(INDEX(tsk_Name,GanttView[[#This Row],[_Row]])="",TRUE()),FALSE(),AND(INDEX(tsk_IsLeaf,GanttView[[#This Row],[_Row]])=1,N(INDEX(tsk_Duration,GanttView[[#This Row],[_Row]]))=0))</f>
        <v>0</v>
      </c>
      <c r="P103" s="134" t="n">
        <f aca="false">IF(IFERROR(INDEX(tsk_Name,GanttView[[#This Row],[_Row]])="",TRUE()),0,IF(AND(INDEX(tsk_IsLeaf,GanttView[[#This Row],[_Row]])=1,NOT(GanttView[[#This Row],[_IsMilestone]]),N(GanttView[[#This Row],[%]])&gt;0),GanttView[[#This Row],[Forecast Start]],0))</f>
        <v>0</v>
      </c>
      <c r="Q103" s="134" t="n">
        <f aca="false">IF(GanttView[[#This Row],[_DoneFrom]]=0,0,IF(GanttView[[#This Row],[%]]&gt;=1,GanttView[[#This Row],[Forecast Finish]],MAX(GanttView[[#This Row],[_DoneFrom]],GanttView[[#This Row],[Forecast Start]]+ROUND((GanttView[[#This Row],[Forecast Finish]]-GanttView[[#This Row],[Forecast Start]]+1)*GanttView[[#This Row],[%]],0)-1)))</f>
        <v>0</v>
      </c>
      <c r="R103" s="134" t="n">
        <f aca="false">IF(IFERROR(INDEX(tsk_Name,GanttView[[#This Row],[_Row]])="",TRUE()),0,IF(OR(INDEX(tsk_IsLeaf,GanttView[[#This Row],[_Row]])&lt;&gt;1,GanttView[[#This Row],[_IsMilestone]],N(GanttView[[#This Row],[%]])&gt;=1),0,IF(GanttView[[#This Row],[_DoneTo]]&gt;0,GanttView[[#This Row],[_DoneTo]]+1,GanttView[[#This Row],[Forecast Start]])))</f>
        <v>0</v>
      </c>
      <c r="S103" s="134" t="n">
        <f aca="false">IF(GanttView[[#This Row],[_RemFrom]]=0,0,GanttView[[#This Row],[Forecast Finish]])</f>
        <v>0</v>
      </c>
      <c r="T103" s="133" t="b">
        <f aca="false">IF(IFERROR(INDEX(tsk_Name,GanttView[[#This Row],[_Row]])="",TRUE()),FALSE(),N(INDEX(tsk_Variance,GanttView[[#This Row],[_Row]]))&gt;0)</f>
        <v>0</v>
      </c>
      <c r="U103" s="134" t="n">
        <f aca="false">IF(IFERROR(INDEX(tsk_Name,GanttView[[#This Row],[_Row]])="",TRUE()),0,N(INDEX(tsk_Deadline,GanttView[[#This Row],[_Row]])))</f>
        <v>0</v>
      </c>
      <c r="V103" s="133" t="b">
        <f aca="false">IF(IFERROR(INDEX(tsk_Name,GanttView[[#This Row],[_Row]])="",TRUE()),FALSE(),INDEX(tsk_Critical,GanttView[[#This Row],[_Row]])="Yes")</f>
        <v>0</v>
      </c>
    </row>
    <row r="104" customFormat="false" ht="15" hidden="false" customHeight="false" outlineLevel="0" collapsed="false">
      <c r="A104" s="127" t="str">
        <f aca="false">IF(IFERROR(INDEX(tsk_Name,GanttView[[#This Row],[_Row]])="",TRUE()),"",INDEX(tsk_ID,GanttView[[#This Row],[_Row]]))</f>
        <v/>
      </c>
      <c r="B104" s="127" t="str">
        <f aca="false">IF(IFERROR(INDEX(tsk_Name,GanttView[[#This Row],[_Row]])="",TRUE()),"",INDEX(tsk_WBS,GanttView[[#This Row],[_Row]]))</f>
        <v/>
      </c>
      <c r="C104" s="128" t="str">
        <f aca="false">IF(IFERROR(INDEX(tsk_Name,GanttView[[#This Row],[_Row]])="",TRUE()),"",REPT("    ",INDEX(tsk_Level,GanttView[[#This Row],[_Row]])-1)&amp;INDEX(tsk_Name,GanttView[[#This Row],[_Row]]))</f>
        <v/>
      </c>
      <c r="D104" s="127" t="str">
        <f aca="false">IF(IFERROR(INDEX(tsk_Name,GanttView[[#This Row],[_Row]])="",TRUE()),"",IF(INDEX(tsk_IsSummary,GanttView[[#This Row],[_Row]]),NETWORKDAYS.INTL(INDEX(tsk_FcStart,GanttView[[#This Row],[_Row]]),INDEX(tsk_FcFinish,GanttView[[#This Row],[_Row]]),WorkWeek,Holidays),N(INDEX(tsk_Duration,GanttView[[#This Row],[_Row]]))))</f>
        <v/>
      </c>
      <c r="E104" s="129" t="str">
        <f aca="false">IF(IFERROR(INDEX(tsk_Name,GanttView[[#This Row],[_Row]])="",TRUE()),"",INDEX(tsk_PlanStart,GanttView[[#This Row],[_Row]]))</f>
        <v/>
      </c>
      <c r="F104" s="129" t="str">
        <f aca="false">IF(IFERROR(INDEX(tsk_Name,GanttView[[#This Row],[_Row]])="",TRUE()),"",INDEX(tsk_PlanFinish,GanttView[[#This Row],[_Row]]))</f>
        <v/>
      </c>
      <c r="G104" s="129" t="str">
        <f aca="false">IF(IFERROR(INDEX(tsk_Name,GanttView[[#This Row],[_Row]])="",TRUE()),"",INDEX(tsk_FcStart,GanttView[[#This Row],[_Row]]))</f>
        <v/>
      </c>
      <c r="H104" s="129" t="str">
        <f aca="false">IF(IFERROR(INDEX(tsk_Name,GanttView[[#This Row],[_Row]])="",TRUE()),"",INDEX(tsk_FcFinish,GanttView[[#This Row],[_Row]]))</f>
        <v/>
      </c>
      <c r="I104" s="130" t="str">
        <f aca="false">IF(IFERROR(INDEX(tsk_Name,GanttView[[#This Row],[_Row]])="",TRUE()),"",INDEX(tsk_Progress,GanttView[[#This Row],[_Row]]))</f>
        <v/>
      </c>
      <c r="J104" s="128" t="str">
        <f aca="false">IF(IFERROR(INDEX(tsk_Name,GanttView[[#This Row],[_Row]])="",TRUE()),"",INDEX(tsk_ResourceNames,GanttView[[#This Row],[_Row]])&amp;"")</f>
        <v/>
      </c>
      <c r="K104" s="131" t="str">
        <f aca="false">IF(IFERROR(INDEX(tsk_Name,GanttView[[#This Row],[_Row]])="",TRUE()),"",INDEX(tsk_Status,GanttView[[#This Row],[_Row]]))</f>
        <v/>
      </c>
      <c r="L104" s="131" t="str">
        <f aca="false">IF(IFERROR(INDEX(tsk_Name,GanttView[[#This Row],[_Row]])="",TRUE()),"",INDEX(tsk_Show,GanttView[[#This Row],[_Row]])&amp;"")</f>
        <v/>
      </c>
      <c r="M104" s="132" t="n">
        <f aca="false">ROW()-ROW(GanttView[[#Headers],[ID]])</f>
        <v>99</v>
      </c>
      <c r="N104" s="133" t="b">
        <f aca="false">IF(IFERROR(INDEX(tsk_Name,GanttView[[#This Row],[_Row]])="",TRUE()),FALSE(),INDEX(tsk_IsSummary,GanttView[[#This Row],[_Row]]))</f>
        <v>0</v>
      </c>
      <c r="O104" s="133" t="b">
        <f aca="false">IF(IFERROR(INDEX(tsk_Name,GanttView[[#This Row],[_Row]])="",TRUE()),FALSE(),AND(INDEX(tsk_IsLeaf,GanttView[[#This Row],[_Row]])=1,N(INDEX(tsk_Duration,GanttView[[#This Row],[_Row]]))=0))</f>
        <v>0</v>
      </c>
      <c r="P104" s="134" t="n">
        <f aca="false">IF(IFERROR(INDEX(tsk_Name,GanttView[[#This Row],[_Row]])="",TRUE()),0,IF(AND(INDEX(tsk_IsLeaf,GanttView[[#This Row],[_Row]])=1,NOT(GanttView[[#This Row],[_IsMilestone]]),N(GanttView[[#This Row],[%]])&gt;0),GanttView[[#This Row],[Forecast Start]],0))</f>
        <v>0</v>
      </c>
      <c r="Q104" s="134" t="n">
        <f aca="false">IF(GanttView[[#This Row],[_DoneFrom]]=0,0,IF(GanttView[[#This Row],[%]]&gt;=1,GanttView[[#This Row],[Forecast Finish]],MAX(GanttView[[#This Row],[_DoneFrom]],GanttView[[#This Row],[Forecast Start]]+ROUND((GanttView[[#This Row],[Forecast Finish]]-GanttView[[#This Row],[Forecast Start]]+1)*GanttView[[#This Row],[%]],0)-1)))</f>
        <v>0</v>
      </c>
      <c r="R104" s="134" t="n">
        <f aca="false">IF(IFERROR(INDEX(tsk_Name,GanttView[[#This Row],[_Row]])="",TRUE()),0,IF(OR(INDEX(tsk_IsLeaf,GanttView[[#This Row],[_Row]])&lt;&gt;1,GanttView[[#This Row],[_IsMilestone]],N(GanttView[[#This Row],[%]])&gt;=1),0,IF(GanttView[[#This Row],[_DoneTo]]&gt;0,GanttView[[#This Row],[_DoneTo]]+1,GanttView[[#This Row],[Forecast Start]])))</f>
        <v>0</v>
      </c>
      <c r="S104" s="134" t="n">
        <f aca="false">IF(GanttView[[#This Row],[_RemFrom]]=0,0,GanttView[[#This Row],[Forecast Finish]])</f>
        <v>0</v>
      </c>
      <c r="T104" s="133" t="b">
        <f aca="false">IF(IFERROR(INDEX(tsk_Name,GanttView[[#This Row],[_Row]])="",TRUE()),FALSE(),N(INDEX(tsk_Variance,GanttView[[#This Row],[_Row]]))&gt;0)</f>
        <v>0</v>
      </c>
      <c r="U104" s="134" t="n">
        <f aca="false">IF(IFERROR(INDEX(tsk_Name,GanttView[[#This Row],[_Row]])="",TRUE()),0,N(INDEX(tsk_Deadline,GanttView[[#This Row],[_Row]])))</f>
        <v>0</v>
      </c>
      <c r="V104" s="133" t="b">
        <f aca="false">IF(IFERROR(INDEX(tsk_Name,GanttView[[#This Row],[_Row]])="",TRUE()),FALSE(),INDEX(tsk_Critical,GanttView[[#This Row],[_Row]])="Yes")</f>
        <v>0</v>
      </c>
    </row>
    <row r="105" customFormat="false" ht="15" hidden="false" customHeight="false" outlineLevel="0" collapsed="false">
      <c r="A105" s="127" t="str">
        <f aca="false">IF(IFERROR(INDEX(tsk_Name,GanttView[[#This Row],[_Row]])="",TRUE()),"",INDEX(tsk_ID,GanttView[[#This Row],[_Row]]))</f>
        <v/>
      </c>
      <c r="B105" s="127" t="str">
        <f aca="false">IF(IFERROR(INDEX(tsk_Name,GanttView[[#This Row],[_Row]])="",TRUE()),"",INDEX(tsk_WBS,GanttView[[#This Row],[_Row]]))</f>
        <v/>
      </c>
      <c r="C105" s="128" t="str">
        <f aca="false">IF(IFERROR(INDEX(tsk_Name,GanttView[[#This Row],[_Row]])="",TRUE()),"",REPT("    ",INDEX(tsk_Level,GanttView[[#This Row],[_Row]])-1)&amp;INDEX(tsk_Name,GanttView[[#This Row],[_Row]]))</f>
        <v/>
      </c>
      <c r="D105" s="127" t="str">
        <f aca="false">IF(IFERROR(INDEX(tsk_Name,GanttView[[#This Row],[_Row]])="",TRUE()),"",IF(INDEX(tsk_IsSummary,GanttView[[#This Row],[_Row]]),NETWORKDAYS.INTL(INDEX(tsk_FcStart,GanttView[[#This Row],[_Row]]),INDEX(tsk_FcFinish,GanttView[[#This Row],[_Row]]),WorkWeek,Holidays),N(INDEX(tsk_Duration,GanttView[[#This Row],[_Row]]))))</f>
        <v/>
      </c>
      <c r="E105" s="129" t="str">
        <f aca="false">IF(IFERROR(INDEX(tsk_Name,GanttView[[#This Row],[_Row]])="",TRUE()),"",INDEX(tsk_PlanStart,GanttView[[#This Row],[_Row]]))</f>
        <v/>
      </c>
      <c r="F105" s="129" t="str">
        <f aca="false">IF(IFERROR(INDEX(tsk_Name,GanttView[[#This Row],[_Row]])="",TRUE()),"",INDEX(tsk_PlanFinish,GanttView[[#This Row],[_Row]]))</f>
        <v/>
      </c>
      <c r="G105" s="129" t="str">
        <f aca="false">IF(IFERROR(INDEX(tsk_Name,GanttView[[#This Row],[_Row]])="",TRUE()),"",INDEX(tsk_FcStart,GanttView[[#This Row],[_Row]]))</f>
        <v/>
      </c>
      <c r="H105" s="129" t="str">
        <f aca="false">IF(IFERROR(INDEX(tsk_Name,GanttView[[#This Row],[_Row]])="",TRUE()),"",INDEX(tsk_FcFinish,GanttView[[#This Row],[_Row]]))</f>
        <v/>
      </c>
      <c r="I105" s="130" t="str">
        <f aca="false">IF(IFERROR(INDEX(tsk_Name,GanttView[[#This Row],[_Row]])="",TRUE()),"",INDEX(tsk_Progress,GanttView[[#This Row],[_Row]]))</f>
        <v/>
      </c>
      <c r="J105" s="128" t="str">
        <f aca="false">IF(IFERROR(INDEX(tsk_Name,GanttView[[#This Row],[_Row]])="",TRUE()),"",INDEX(tsk_ResourceNames,GanttView[[#This Row],[_Row]])&amp;"")</f>
        <v/>
      </c>
      <c r="K105" s="131" t="str">
        <f aca="false">IF(IFERROR(INDEX(tsk_Name,GanttView[[#This Row],[_Row]])="",TRUE()),"",INDEX(tsk_Status,GanttView[[#This Row],[_Row]]))</f>
        <v/>
      </c>
      <c r="L105" s="131" t="str">
        <f aca="false">IF(IFERROR(INDEX(tsk_Name,GanttView[[#This Row],[_Row]])="",TRUE()),"",INDEX(tsk_Show,GanttView[[#This Row],[_Row]])&amp;"")</f>
        <v/>
      </c>
      <c r="M105" s="132" t="n">
        <f aca="false">ROW()-ROW(GanttView[[#Headers],[ID]])</f>
        <v>100</v>
      </c>
      <c r="N105" s="133" t="b">
        <f aca="false">IF(IFERROR(INDEX(tsk_Name,GanttView[[#This Row],[_Row]])="",TRUE()),FALSE(),INDEX(tsk_IsSummary,GanttView[[#This Row],[_Row]]))</f>
        <v>0</v>
      </c>
      <c r="O105" s="133" t="b">
        <f aca="false">IF(IFERROR(INDEX(tsk_Name,GanttView[[#This Row],[_Row]])="",TRUE()),FALSE(),AND(INDEX(tsk_IsLeaf,GanttView[[#This Row],[_Row]])=1,N(INDEX(tsk_Duration,GanttView[[#This Row],[_Row]]))=0))</f>
        <v>0</v>
      </c>
      <c r="P105" s="134" t="n">
        <f aca="false">IF(IFERROR(INDEX(tsk_Name,GanttView[[#This Row],[_Row]])="",TRUE()),0,IF(AND(INDEX(tsk_IsLeaf,GanttView[[#This Row],[_Row]])=1,NOT(GanttView[[#This Row],[_IsMilestone]]),N(GanttView[[#This Row],[%]])&gt;0),GanttView[[#This Row],[Forecast Start]],0))</f>
        <v>0</v>
      </c>
      <c r="Q105" s="134" t="n">
        <f aca="false">IF(GanttView[[#This Row],[_DoneFrom]]=0,0,IF(GanttView[[#This Row],[%]]&gt;=1,GanttView[[#This Row],[Forecast Finish]],MAX(GanttView[[#This Row],[_DoneFrom]],GanttView[[#This Row],[Forecast Start]]+ROUND((GanttView[[#This Row],[Forecast Finish]]-GanttView[[#This Row],[Forecast Start]]+1)*GanttView[[#This Row],[%]],0)-1)))</f>
        <v>0</v>
      </c>
      <c r="R105" s="134" t="n">
        <f aca="false">IF(IFERROR(INDEX(tsk_Name,GanttView[[#This Row],[_Row]])="",TRUE()),0,IF(OR(INDEX(tsk_IsLeaf,GanttView[[#This Row],[_Row]])&lt;&gt;1,GanttView[[#This Row],[_IsMilestone]],N(GanttView[[#This Row],[%]])&gt;=1),0,IF(GanttView[[#This Row],[_DoneTo]]&gt;0,GanttView[[#This Row],[_DoneTo]]+1,GanttView[[#This Row],[Forecast Start]])))</f>
        <v>0</v>
      </c>
      <c r="S105" s="134" t="n">
        <f aca="false">IF(GanttView[[#This Row],[_RemFrom]]=0,0,GanttView[[#This Row],[Forecast Finish]])</f>
        <v>0</v>
      </c>
      <c r="T105" s="133" t="b">
        <f aca="false">IF(IFERROR(INDEX(tsk_Name,GanttView[[#This Row],[_Row]])="",TRUE()),FALSE(),N(INDEX(tsk_Variance,GanttView[[#This Row],[_Row]]))&gt;0)</f>
        <v>0</v>
      </c>
      <c r="U105" s="134" t="n">
        <f aca="false">IF(IFERROR(INDEX(tsk_Name,GanttView[[#This Row],[_Row]])="",TRUE()),0,N(INDEX(tsk_Deadline,GanttView[[#This Row],[_Row]])))</f>
        <v>0</v>
      </c>
      <c r="V105" s="133" t="b">
        <f aca="false">IF(IFERROR(INDEX(tsk_Name,GanttView[[#This Row],[_Row]])="",TRUE()),FALSE(),INDEX(tsk_Critical,GanttView[[#This Row],[_Row]])="Yes")</f>
        <v>0</v>
      </c>
    </row>
    <row r="106" customFormat="false" ht="15" hidden="false" customHeight="false" outlineLevel="0" collapsed="false">
      <c r="A106" s="127" t="str">
        <f aca="false">IF(IFERROR(INDEX(tsk_Name,GanttView[[#This Row],[_Row]])="",TRUE()),"",INDEX(tsk_ID,GanttView[[#This Row],[_Row]]))</f>
        <v/>
      </c>
      <c r="B106" s="127" t="str">
        <f aca="false">IF(IFERROR(INDEX(tsk_Name,GanttView[[#This Row],[_Row]])="",TRUE()),"",INDEX(tsk_WBS,GanttView[[#This Row],[_Row]]))</f>
        <v/>
      </c>
      <c r="C106" s="128" t="str">
        <f aca="false">IF(IFERROR(INDEX(tsk_Name,GanttView[[#This Row],[_Row]])="",TRUE()),"",REPT("    ",INDEX(tsk_Level,GanttView[[#This Row],[_Row]])-1)&amp;INDEX(tsk_Name,GanttView[[#This Row],[_Row]]))</f>
        <v/>
      </c>
      <c r="D106" s="127" t="str">
        <f aca="false">IF(IFERROR(INDEX(tsk_Name,GanttView[[#This Row],[_Row]])="",TRUE()),"",IF(INDEX(tsk_IsSummary,GanttView[[#This Row],[_Row]]),NETWORKDAYS.INTL(INDEX(tsk_FcStart,GanttView[[#This Row],[_Row]]),INDEX(tsk_FcFinish,GanttView[[#This Row],[_Row]]),WorkWeek,Holidays),N(INDEX(tsk_Duration,GanttView[[#This Row],[_Row]]))))</f>
        <v/>
      </c>
      <c r="E106" s="129" t="str">
        <f aca="false">IF(IFERROR(INDEX(tsk_Name,GanttView[[#This Row],[_Row]])="",TRUE()),"",INDEX(tsk_PlanStart,GanttView[[#This Row],[_Row]]))</f>
        <v/>
      </c>
      <c r="F106" s="129" t="str">
        <f aca="false">IF(IFERROR(INDEX(tsk_Name,GanttView[[#This Row],[_Row]])="",TRUE()),"",INDEX(tsk_PlanFinish,GanttView[[#This Row],[_Row]]))</f>
        <v/>
      </c>
      <c r="G106" s="129" t="str">
        <f aca="false">IF(IFERROR(INDEX(tsk_Name,GanttView[[#This Row],[_Row]])="",TRUE()),"",INDEX(tsk_FcStart,GanttView[[#This Row],[_Row]]))</f>
        <v/>
      </c>
      <c r="H106" s="129" t="str">
        <f aca="false">IF(IFERROR(INDEX(tsk_Name,GanttView[[#This Row],[_Row]])="",TRUE()),"",INDEX(tsk_FcFinish,GanttView[[#This Row],[_Row]]))</f>
        <v/>
      </c>
      <c r="I106" s="130" t="str">
        <f aca="false">IF(IFERROR(INDEX(tsk_Name,GanttView[[#This Row],[_Row]])="",TRUE()),"",INDEX(tsk_Progress,GanttView[[#This Row],[_Row]]))</f>
        <v/>
      </c>
      <c r="J106" s="128" t="str">
        <f aca="false">IF(IFERROR(INDEX(tsk_Name,GanttView[[#This Row],[_Row]])="",TRUE()),"",INDEX(tsk_ResourceNames,GanttView[[#This Row],[_Row]])&amp;"")</f>
        <v/>
      </c>
      <c r="K106" s="131" t="str">
        <f aca="false">IF(IFERROR(INDEX(tsk_Name,GanttView[[#This Row],[_Row]])="",TRUE()),"",INDEX(tsk_Status,GanttView[[#This Row],[_Row]]))</f>
        <v/>
      </c>
      <c r="L106" s="131" t="str">
        <f aca="false">IF(IFERROR(INDEX(tsk_Name,GanttView[[#This Row],[_Row]])="",TRUE()),"",INDEX(tsk_Show,GanttView[[#This Row],[_Row]])&amp;"")</f>
        <v/>
      </c>
      <c r="M106" s="132" t="n">
        <f aca="false">ROW()-ROW(GanttView[[#Headers],[ID]])</f>
        <v>101</v>
      </c>
      <c r="N106" s="133" t="b">
        <f aca="false">IF(IFERROR(INDEX(tsk_Name,GanttView[[#This Row],[_Row]])="",TRUE()),FALSE(),INDEX(tsk_IsSummary,GanttView[[#This Row],[_Row]]))</f>
        <v>0</v>
      </c>
      <c r="O106" s="133" t="b">
        <f aca="false">IF(IFERROR(INDEX(tsk_Name,GanttView[[#This Row],[_Row]])="",TRUE()),FALSE(),AND(INDEX(tsk_IsLeaf,GanttView[[#This Row],[_Row]])=1,N(INDEX(tsk_Duration,GanttView[[#This Row],[_Row]]))=0))</f>
        <v>0</v>
      </c>
      <c r="P106" s="134" t="n">
        <f aca="false">IF(IFERROR(INDEX(tsk_Name,GanttView[[#This Row],[_Row]])="",TRUE()),0,IF(AND(INDEX(tsk_IsLeaf,GanttView[[#This Row],[_Row]])=1,NOT(GanttView[[#This Row],[_IsMilestone]]),N(GanttView[[#This Row],[%]])&gt;0),GanttView[[#This Row],[Forecast Start]],0))</f>
        <v>0</v>
      </c>
      <c r="Q106" s="134" t="n">
        <f aca="false">IF(GanttView[[#This Row],[_DoneFrom]]=0,0,IF(GanttView[[#This Row],[%]]&gt;=1,GanttView[[#This Row],[Forecast Finish]],MAX(GanttView[[#This Row],[_DoneFrom]],GanttView[[#This Row],[Forecast Start]]+ROUND((GanttView[[#This Row],[Forecast Finish]]-GanttView[[#This Row],[Forecast Start]]+1)*GanttView[[#This Row],[%]],0)-1)))</f>
        <v>0</v>
      </c>
      <c r="R106" s="134" t="n">
        <f aca="false">IF(IFERROR(INDEX(tsk_Name,GanttView[[#This Row],[_Row]])="",TRUE()),0,IF(OR(INDEX(tsk_IsLeaf,GanttView[[#This Row],[_Row]])&lt;&gt;1,GanttView[[#This Row],[_IsMilestone]],N(GanttView[[#This Row],[%]])&gt;=1),0,IF(GanttView[[#This Row],[_DoneTo]]&gt;0,GanttView[[#This Row],[_DoneTo]]+1,GanttView[[#This Row],[Forecast Start]])))</f>
        <v>0</v>
      </c>
      <c r="S106" s="134" t="n">
        <f aca="false">IF(GanttView[[#This Row],[_RemFrom]]=0,0,GanttView[[#This Row],[Forecast Finish]])</f>
        <v>0</v>
      </c>
      <c r="T106" s="133" t="b">
        <f aca="false">IF(IFERROR(INDEX(tsk_Name,GanttView[[#This Row],[_Row]])="",TRUE()),FALSE(),N(INDEX(tsk_Variance,GanttView[[#This Row],[_Row]]))&gt;0)</f>
        <v>0</v>
      </c>
      <c r="U106" s="134" t="n">
        <f aca="false">IF(IFERROR(INDEX(tsk_Name,GanttView[[#This Row],[_Row]])="",TRUE()),0,N(INDEX(tsk_Deadline,GanttView[[#This Row],[_Row]])))</f>
        <v>0</v>
      </c>
      <c r="V106" s="133" t="b">
        <f aca="false">IF(IFERROR(INDEX(tsk_Name,GanttView[[#This Row],[_Row]])="",TRUE()),FALSE(),INDEX(tsk_Critical,GanttView[[#This Row],[_Row]])="Yes")</f>
        <v>0</v>
      </c>
    </row>
    <row r="107" customFormat="false" ht="15" hidden="false" customHeight="false" outlineLevel="0" collapsed="false">
      <c r="A107" s="127" t="str">
        <f aca="false">IF(IFERROR(INDEX(tsk_Name,GanttView[[#This Row],[_Row]])="",TRUE()),"",INDEX(tsk_ID,GanttView[[#This Row],[_Row]]))</f>
        <v/>
      </c>
      <c r="B107" s="127" t="str">
        <f aca="false">IF(IFERROR(INDEX(tsk_Name,GanttView[[#This Row],[_Row]])="",TRUE()),"",INDEX(tsk_WBS,GanttView[[#This Row],[_Row]]))</f>
        <v/>
      </c>
      <c r="C107" s="128" t="str">
        <f aca="false">IF(IFERROR(INDEX(tsk_Name,GanttView[[#This Row],[_Row]])="",TRUE()),"",REPT("    ",INDEX(tsk_Level,GanttView[[#This Row],[_Row]])-1)&amp;INDEX(tsk_Name,GanttView[[#This Row],[_Row]]))</f>
        <v/>
      </c>
      <c r="D107" s="127" t="str">
        <f aca="false">IF(IFERROR(INDEX(tsk_Name,GanttView[[#This Row],[_Row]])="",TRUE()),"",IF(INDEX(tsk_IsSummary,GanttView[[#This Row],[_Row]]),NETWORKDAYS.INTL(INDEX(tsk_FcStart,GanttView[[#This Row],[_Row]]),INDEX(tsk_FcFinish,GanttView[[#This Row],[_Row]]),WorkWeek,Holidays),N(INDEX(tsk_Duration,GanttView[[#This Row],[_Row]]))))</f>
        <v/>
      </c>
      <c r="E107" s="129" t="str">
        <f aca="false">IF(IFERROR(INDEX(tsk_Name,GanttView[[#This Row],[_Row]])="",TRUE()),"",INDEX(tsk_PlanStart,GanttView[[#This Row],[_Row]]))</f>
        <v/>
      </c>
      <c r="F107" s="129" t="str">
        <f aca="false">IF(IFERROR(INDEX(tsk_Name,GanttView[[#This Row],[_Row]])="",TRUE()),"",INDEX(tsk_PlanFinish,GanttView[[#This Row],[_Row]]))</f>
        <v/>
      </c>
      <c r="G107" s="129" t="str">
        <f aca="false">IF(IFERROR(INDEX(tsk_Name,GanttView[[#This Row],[_Row]])="",TRUE()),"",INDEX(tsk_FcStart,GanttView[[#This Row],[_Row]]))</f>
        <v/>
      </c>
      <c r="H107" s="129" t="str">
        <f aca="false">IF(IFERROR(INDEX(tsk_Name,GanttView[[#This Row],[_Row]])="",TRUE()),"",INDEX(tsk_FcFinish,GanttView[[#This Row],[_Row]]))</f>
        <v/>
      </c>
      <c r="I107" s="130" t="str">
        <f aca="false">IF(IFERROR(INDEX(tsk_Name,GanttView[[#This Row],[_Row]])="",TRUE()),"",INDEX(tsk_Progress,GanttView[[#This Row],[_Row]]))</f>
        <v/>
      </c>
      <c r="J107" s="128" t="str">
        <f aca="false">IF(IFERROR(INDEX(tsk_Name,GanttView[[#This Row],[_Row]])="",TRUE()),"",INDEX(tsk_ResourceNames,GanttView[[#This Row],[_Row]])&amp;"")</f>
        <v/>
      </c>
      <c r="K107" s="131" t="str">
        <f aca="false">IF(IFERROR(INDEX(tsk_Name,GanttView[[#This Row],[_Row]])="",TRUE()),"",INDEX(tsk_Status,GanttView[[#This Row],[_Row]]))</f>
        <v/>
      </c>
      <c r="L107" s="131" t="str">
        <f aca="false">IF(IFERROR(INDEX(tsk_Name,GanttView[[#This Row],[_Row]])="",TRUE()),"",INDEX(tsk_Show,GanttView[[#This Row],[_Row]])&amp;"")</f>
        <v/>
      </c>
      <c r="M107" s="132" t="n">
        <f aca="false">ROW()-ROW(GanttView[[#Headers],[ID]])</f>
        <v>102</v>
      </c>
      <c r="N107" s="133" t="b">
        <f aca="false">IF(IFERROR(INDEX(tsk_Name,GanttView[[#This Row],[_Row]])="",TRUE()),FALSE(),INDEX(tsk_IsSummary,GanttView[[#This Row],[_Row]]))</f>
        <v>0</v>
      </c>
      <c r="O107" s="133" t="b">
        <f aca="false">IF(IFERROR(INDEX(tsk_Name,GanttView[[#This Row],[_Row]])="",TRUE()),FALSE(),AND(INDEX(tsk_IsLeaf,GanttView[[#This Row],[_Row]])=1,N(INDEX(tsk_Duration,GanttView[[#This Row],[_Row]]))=0))</f>
        <v>0</v>
      </c>
      <c r="P107" s="134" t="n">
        <f aca="false">IF(IFERROR(INDEX(tsk_Name,GanttView[[#This Row],[_Row]])="",TRUE()),0,IF(AND(INDEX(tsk_IsLeaf,GanttView[[#This Row],[_Row]])=1,NOT(GanttView[[#This Row],[_IsMilestone]]),N(GanttView[[#This Row],[%]])&gt;0),GanttView[[#This Row],[Forecast Start]],0))</f>
        <v>0</v>
      </c>
      <c r="Q107" s="134" t="n">
        <f aca="false">IF(GanttView[[#This Row],[_DoneFrom]]=0,0,IF(GanttView[[#This Row],[%]]&gt;=1,GanttView[[#This Row],[Forecast Finish]],MAX(GanttView[[#This Row],[_DoneFrom]],GanttView[[#This Row],[Forecast Start]]+ROUND((GanttView[[#This Row],[Forecast Finish]]-GanttView[[#This Row],[Forecast Start]]+1)*GanttView[[#This Row],[%]],0)-1)))</f>
        <v>0</v>
      </c>
      <c r="R107" s="134" t="n">
        <f aca="false">IF(IFERROR(INDEX(tsk_Name,GanttView[[#This Row],[_Row]])="",TRUE()),0,IF(OR(INDEX(tsk_IsLeaf,GanttView[[#This Row],[_Row]])&lt;&gt;1,GanttView[[#This Row],[_IsMilestone]],N(GanttView[[#This Row],[%]])&gt;=1),0,IF(GanttView[[#This Row],[_DoneTo]]&gt;0,GanttView[[#This Row],[_DoneTo]]+1,GanttView[[#This Row],[Forecast Start]])))</f>
        <v>0</v>
      </c>
      <c r="S107" s="134" t="n">
        <f aca="false">IF(GanttView[[#This Row],[_RemFrom]]=0,0,GanttView[[#This Row],[Forecast Finish]])</f>
        <v>0</v>
      </c>
      <c r="T107" s="133" t="b">
        <f aca="false">IF(IFERROR(INDEX(tsk_Name,GanttView[[#This Row],[_Row]])="",TRUE()),FALSE(),N(INDEX(tsk_Variance,GanttView[[#This Row],[_Row]]))&gt;0)</f>
        <v>0</v>
      </c>
      <c r="U107" s="134" t="n">
        <f aca="false">IF(IFERROR(INDEX(tsk_Name,GanttView[[#This Row],[_Row]])="",TRUE()),0,N(INDEX(tsk_Deadline,GanttView[[#This Row],[_Row]])))</f>
        <v>0</v>
      </c>
      <c r="V107" s="133" t="b">
        <f aca="false">IF(IFERROR(INDEX(tsk_Name,GanttView[[#This Row],[_Row]])="",TRUE()),FALSE(),INDEX(tsk_Critical,GanttView[[#This Row],[_Row]])="Yes")</f>
        <v>0</v>
      </c>
    </row>
    <row r="108" customFormat="false" ht="15" hidden="false" customHeight="false" outlineLevel="0" collapsed="false">
      <c r="A108" s="127" t="str">
        <f aca="false">IF(IFERROR(INDEX(tsk_Name,GanttView[[#This Row],[_Row]])="",TRUE()),"",INDEX(tsk_ID,GanttView[[#This Row],[_Row]]))</f>
        <v/>
      </c>
      <c r="B108" s="127" t="str">
        <f aca="false">IF(IFERROR(INDEX(tsk_Name,GanttView[[#This Row],[_Row]])="",TRUE()),"",INDEX(tsk_WBS,GanttView[[#This Row],[_Row]]))</f>
        <v/>
      </c>
      <c r="C108" s="128" t="str">
        <f aca="false">IF(IFERROR(INDEX(tsk_Name,GanttView[[#This Row],[_Row]])="",TRUE()),"",REPT("    ",INDEX(tsk_Level,GanttView[[#This Row],[_Row]])-1)&amp;INDEX(tsk_Name,GanttView[[#This Row],[_Row]]))</f>
        <v/>
      </c>
      <c r="D108" s="127" t="str">
        <f aca="false">IF(IFERROR(INDEX(tsk_Name,GanttView[[#This Row],[_Row]])="",TRUE()),"",IF(INDEX(tsk_IsSummary,GanttView[[#This Row],[_Row]]),NETWORKDAYS.INTL(INDEX(tsk_FcStart,GanttView[[#This Row],[_Row]]),INDEX(tsk_FcFinish,GanttView[[#This Row],[_Row]]),WorkWeek,Holidays),N(INDEX(tsk_Duration,GanttView[[#This Row],[_Row]]))))</f>
        <v/>
      </c>
      <c r="E108" s="129" t="str">
        <f aca="false">IF(IFERROR(INDEX(tsk_Name,GanttView[[#This Row],[_Row]])="",TRUE()),"",INDEX(tsk_PlanStart,GanttView[[#This Row],[_Row]]))</f>
        <v/>
      </c>
      <c r="F108" s="129" t="str">
        <f aca="false">IF(IFERROR(INDEX(tsk_Name,GanttView[[#This Row],[_Row]])="",TRUE()),"",INDEX(tsk_PlanFinish,GanttView[[#This Row],[_Row]]))</f>
        <v/>
      </c>
      <c r="G108" s="129" t="str">
        <f aca="false">IF(IFERROR(INDEX(tsk_Name,GanttView[[#This Row],[_Row]])="",TRUE()),"",INDEX(tsk_FcStart,GanttView[[#This Row],[_Row]]))</f>
        <v/>
      </c>
      <c r="H108" s="129" t="str">
        <f aca="false">IF(IFERROR(INDEX(tsk_Name,GanttView[[#This Row],[_Row]])="",TRUE()),"",INDEX(tsk_FcFinish,GanttView[[#This Row],[_Row]]))</f>
        <v/>
      </c>
      <c r="I108" s="130" t="str">
        <f aca="false">IF(IFERROR(INDEX(tsk_Name,GanttView[[#This Row],[_Row]])="",TRUE()),"",INDEX(tsk_Progress,GanttView[[#This Row],[_Row]]))</f>
        <v/>
      </c>
      <c r="J108" s="128" t="str">
        <f aca="false">IF(IFERROR(INDEX(tsk_Name,GanttView[[#This Row],[_Row]])="",TRUE()),"",INDEX(tsk_ResourceNames,GanttView[[#This Row],[_Row]])&amp;"")</f>
        <v/>
      </c>
      <c r="K108" s="131" t="str">
        <f aca="false">IF(IFERROR(INDEX(tsk_Name,GanttView[[#This Row],[_Row]])="",TRUE()),"",INDEX(tsk_Status,GanttView[[#This Row],[_Row]]))</f>
        <v/>
      </c>
      <c r="L108" s="131" t="str">
        <f aca="false">IF(IFERROR(INDEX(tsk_Name,GanttView[[#This Row],[_Row]])="",TRUE()),"",INDEX(tsk_Show,GanttView[[#This Row],[_Row]])&amp;"")</f>
        <v/>
      </c>
      <c r="M108" s="132" t="n">
        <f aca="false">ROW()-ROW(GanttView[[#Headers],[ID]])</f>
        <v>103</v>
      </c>
      <c r="N108" s="133" t="b">
        <f aca="false">IF(IFERROR(INDEX(tsk_Name,GanttView[[#This Row],[_Row]])="",TRUE()),FALSE(),INDEX(tsk_IsSummary,GanttView[[#This Row],[_Row]]))</f>
        <v>0</v>
      </c>
      <c r="O108" s="133" t="b">
        <f aca="false">IF(IFERROR(INDEX(tsk_Name,GanttView[[#This Row],[_Row]])="",TRUE()),FALSE(),AND(INDEX(tsk_IsLeaf,GanttView[[#This Row],[_Row]])=1,N(INDEX(tsk_Duration,GanttView[[#This Row],[_Row]]))=0))</f>
        <v>0</v>
      </c>
      <c r="P108" s="134" t="n">
        <f aca="false">IF(IFERROR(INDEX(tsk_Name,GanttView[[#This Row],[_Row]])="",TRUE()),0,IF(AND(INDEX(tsk_IsLeaf,GanttView[[#This Row],[_Row]])=1,NOT(GanttView[[#This Row],[_IsMilestone]]),N(GanttView[[#This Row],[%]])&gt;0),GanttView[[#This Row],[Forecast Start]],0))</f>
        <v>0</v>
      </c>
      <c r="Q108" s="134" t="n">
        <f aca="false">IF(GanttView[[#This Row],[_DoneFrom]]=0,0,IF(GanttView[[#This Row],[%]]&gt;=1,GanttView[[#This Row],[Forecast Finish]],MAX(GanttView[[#This Row],[_DoneFrom]],GanttView[[#This Row],[Forecast Start]]+ROUND((GanttView[[#This Row],[Forecast Finish]]-GanttView[[#This Row],[Forecast Start]]+1)*GanttView[[#This Row],[%]],0)-1)))</f>
        <v>0</v>
      </c>
      <c r="R108" s="134" t="n">
        <f aca="false">IF(IFERROR(INDEX(tsk_Name,GanttView[[#This Row],[_Row]])="",TRUE()),0,IF(OR(INDEX(tsk_IsLeaf,GanttView[[#This Row],[_Row]])&lt;&gt;1,GanttView[[#This Row],[_IsMilestone]],N(GanttView[[#This Row],[%]])&gt;=1),0,IF(GanttView[[#This Row],[_DoneTo]]&gt;0,GanttView[[#This Row],[_DoneTo]]+1,GanttView[[#This Row],[Forecast Start]])))</f>
        <v>0</v>
      </c>
      <c r="S108" s="134" t="n">
        <f aca="false">IF(GanttView[[#This Row],[_RemFrom]]=0,0,GanttView[[#This Row],[Forecast Finish]])</f>
        <v>0</v>
      </c>
      <c r="T108" s="133" t="b">
        <f aca="false">IF(IFERROR(INDEX(tsk_Name,GanttView[[#This Row],[_Row]])="",TRUE()),FALSE(),N(INDEX(tsk_Variance,GanttView[[#This Row],[_Row]]))&gt;0)</f>
        <v>0</v>
      </c>
      <c r="U108" s="134" t="n">
        <f aca="false">IF(IFERROR(INDEX(tsk_Name,GanttView[[#This Row],[_Row]])="",TRUE()),0,N(INDEX(tsk_Deadline,GanttView[[#This Row],[_Row]])))</f>
        <v>0</v>
      </c>
      <c r="V108" s="133" t="b">
        <f aca="false">IF(IFERROR(INDEX(tsk_Name,GanttView[[#This Row],[_Row]])="",TRUE()),FALSE(),INDEX(tsk_Critical,GanttView[[#This Row],[_Row]])="Yes")</f>
        <v>0</v>
      </c>
    </row>
    <row r="109" customFormat="false" ht="15" hidden="false" customHeight="false" outlineLevel="0" collapsed="false">
      <c r="A109" s="127" t="str">
        <f aca="false">IF(IFERROR(INDEX(tsk_Name,GanttView[[#This Row],[_Row]])="",TRUE()),"",INDEX(tsk_ID,GanttView[[#This Row],[_Row]]))</f>
        <v/>
      </c>
      <c r="B109" s="127" t="str">
        <f aca="false">IF(IFERROR(INDEX(tsk_Name,GanttView[[#This Row],[_Row]])="",TRUE()),"",INDEX(tsk_WBS,GanttView[[#This Row],[_Row]]))</f>
        <v/>
      </c>
      <c r="C109" s="128" t="str">
        <f aca="false">IF(IFERROR(INDEX(tsk_Name,GanttView[[#This Row],[_Row]])="",TRUE()),"",REPT("    ",INDEX(tsk_Level,GanttView[[#This Row],[_Row]])-1)&amp;INDEX(tsk_Name,GanttView[[#This Row],[_Row]]))</f>
        <v/>
      </c>
      <c r="D109" s="127" t="str">
        <f aca="false">IF(IFERROR(INDEX(tsk_Name,GanttView[[#This Row],[_Row]])="",TRUE()),"",IF(INDEX(tsk_IsSummary,GanttView[[#This Row],[_Row]]),NETWORKDAYS.INTL(INDEX(tsk_FcStart,GanttView[[#This Row],[_Row]]),INDEX(tsk_FcFinish,GanttView[[#This Row],[_Row]]),WorkWeek,Holidays),N(INDEX(tsk_Duration,GanttView[[#This Row],[_Row]]))))</f>
        <v/>
      </c>
      <c r="E109" s="129" t="str">
        <f aca="false">IF(IFERROR(INDEX(tsk_Name,GanttView[[#This Row],[_Row]])="",TRUE()),"",INDEX(tsk_PlanStart,GanttView[[#This Row],[_Row]]))</f>
        <v/>
      </c>
      <c r="F109" s="129" t="str">
        <f aca="false">IF(IFERROR(INDEX(tsk_Name,GanttView[[#This Row],[_Row]])="",TRUE()),"",INDEX(tsk_PlanFinish,GanttView[[#This Row],[_Row]]))</f>
        <v/>
      </c>
      <c r="G109" s="129" t="str">
        <f aca="false">IF(IFERROR(INDEX(tsk_Name,GanttView[[#This Row],[_Row]])="",TRUE()),"",INDEX(tsk_FcStart,GanttView[[#This Row],[_Row]]))</f>
        <v/>
      </c>
      <c r="H109" s="129" t="str">
        <f aca="false">IF(IFERROR(INDEX(tsk_Name,GanttView[[#This Row],[_Row]])="",TRUE()),"",INDEX(tsk_FcFinish,GanttView[[#This Row],[_Row]]))</f>
        <v/>
      </c>
      <c r="I109" s="130" t="str">
        <f aca="false">IF(IFERROR(INDEX(tsk_Name,GanttView[[#This Row],[_Row]])="",TRUE()),"",INDEX(tsk_Progress,GanttView[[#This Row],[_Row]]))</f>
        <v/>
      </c>
      <c r="J109" s="128" t="str">
        <f aca="false">IF(IFERROR(INDEX(tsk_Name,GanttView[[#This Row],[_Row]])="",TRUE()),"",INDEX(tsk_ResourceNames,GanttView[[#This Row],[_Row]])&amp;"")</f>
        <v/>
      </c>
      <c r="K109" s="131" t="str">
        <f aca="false">IF(IFERROR(INDEX(tsk_Name,GanttView[[#This Row],[_Row]])="",TRUE()),"",INDEX(tsk_Status,GanttView[[#This Row],[_Row]]))</f>
        <v/>
      </c>
      <c r="L109" s="131" t="str">
        <f aca="false">IF(IFERROR(INDEX(tsk_Name,GanttView[[#This Row],[_Row]])="",TRUE()),"",INDEX(tsk_Show,GanttView[[#This Row],[_Row]])&amp;"")</f>
        <v/>
      </c>
      <c r="M109" s="132" t="n">
        <f aca="false">ROW()-ROW(GanttView[[#Headers],[ID]])</f>
        <v>104</v>
      </c>
      <c r="N109" s="133" t="b">
        <f aca="false">IF(IFERROR(INDEX(tsk_Name,GanttView[[#This Row],[_Row]])="",TRUE()),FALSE(),INDEX(tsk_IsSummary,GanttView[[#This Row],[_Row]]))</f>
        <v>0</v>
      </c>
      <c r="O109" s="133" t="b">
        <f aca="false">IF(IFERROR(INDEX(tsk_Name,GanttView[[#This Row],[_Row]])="",TRUE()),FALSE(),AND(INDEX(tsk_IsLeaf,GanttView[[#This Row],[_Row]])=1,N(INDEX(tsk_Duration,GanttView[[#This Row],[_Row]]))=0))</f>
        <v>0</v>
      </c>
      <c r="P109" s="134" t="n">
        <f aca="false">IF(IFERROR(INDEX(tsk_Name,GanttView[[#This Row],[_Row]])="",TRUE()),0,IF(AND(INDEX(tsk_IsLeaf,GanttView[[#This Row],[_Row]])=1,NOT(GanttView[[#This Row],[_IsMilestone]]),N(GanttView[[#This Row],[%]])&gt;0),GanttView[[#This Row],[Forecast Start]],0))</f>
        <v>0</v>
      </c>
      <c r="Q109" s="134" t="n">
        <f aca="false">IF(GanttView[[#This Row],[_DoneFrom]]=0,0,IF(GanttView[[#This Row],[%]]&gt;=1,GanttView[[#This Row],[Forecast Finish]],MAX(GanttView[[#This Row],[_DoneFrom]],GanttView[[#This Row],[Forecast Start]]+ROUND((GanttView[[#This Row],[Forecast Finish]]-GanttView[[#This Row],[Forecast Start]]+1)*GanttView[[#This Row],[%]],0)-1)))</f>
        <v>0</v>
      </c>
      <c r="R109" s="134" t="n">
        <f aca="false">IF(IFERROR(INDEX(tsk_Name,GanttView[[#This Row],[_Row]])="",TRUE()),0,IF(OR(INDEX(tsk_IsLeaf,GanttView[[#This Row],[_Row]])&lt;&gt;1,GanttView[[#This Row],[_IsMilestone]],N(GanttView[[#This Row],[%]])&gt;=1),0,IF(GanttView[[#This Row],[_DoneTo]]&gt;0,GanttView[[#This Row],[_DoneTo]]+1,GanttView[[#This Row],[Forecast Start]])))</f>
        <v>0</v>
      </c>
      <c r="S109" s="134" t="n">
        <f aca="false">IF(GanttView[[#This Row],[_RemFrom]]=0,0,GanttView[[#This Row],[Forecast Finish]])</f>
        <v>0</v>
      </c>
      <c r="T109" s="133" t="b">
        <f aca="false">IF(IFERROR(INDEX(tsk_Name,GanttView[[#This Row],[_Row]])="",TRUE()),FALSE(),N(INDEX(tsk_Variance,GanttView[[#This Row],[_Row]]))&gt;0)</f>
        <v>0</v>
      </c>
      <c r="U109" s="134" t="n">
        <f aca="false">IF(IFERROR(INDEX(tsk_Name,GanttView[[#This Row],[_Row]])="",TRUE()),0,N(INDEX(tsk_Deadline,GanttView[[#This Row],[_Row]])))</f>
        <v>0</v>
      </c>
      <c r="V109" s="133" t="b">
        <f aca="false">IF(IFERROR(INDEX(tsk_Name,GanttView[[#This Row],[_Row]])="",TRUE()),FALSE(),INDEX(tsk_Critical,GanttView[[#This Row],[_Row]])="Yes")</f>
        <v>0</v>
      </c>
    </row>
    <row r="110" customFormat="false" ht="15" hidden="false" customHeight="false" outlineLevel="0" collapsed="false">
      <c r="A110" s="127" t="str">
        <f aca="false">IF(IFERROR(INDEX(tsk_Name,GanttView[[#This Row],[_Row]])="",TRUE()),"",INDEX(tsk_ID,GanttView[[#This Row],[_Row]]))</f>
        <v/>
      </c>
      <c r="B110" s="127" t="str">
        <f aca="false">IF(IFERROR(INDEX(tsk_Name,GanttView[[#This Row],[_Row]])="",TRUE()),"",INDEX(tsk_WBS,GanttView[[#This Row],[_Row]]))</f>
        <v/>
      </c>
      <c r="C110" s="128" t="str">
        <f aca="false">IF(IFERROR(INDEX(tsk_Name,GanttView[[#This Row],[_Row]])="",TRUE()),"",REPT("    ",INDEX(tsk_Level,GanttView[[#This Row],[_Row]])-1)&amp;INDEX(tsk_Name,GanttView[[#This Row],[_Row]]))</f>
        <v/>
      </c>
      <c r="D110" s="127" t="str">
        <f aca="false">IF(IFERROR(INDEX(tsk_Name,GanttView[[#This Row],[_Row]])="",TRUE()),"",IF(INDEX(tsk_IsSummary,GanttView[[#This Row],[_Row]]),NETWORKDAYS.INTL(INDEX(tsk_FcStart,GanttView[[#This Row],[_Row]]),INDEX(tsk_FcFinish,GanttView[[#This Row],[_Row]]),WorkWeek,Holidays),N(INDEX(tsk_Duration,GanttView[[#This Row],[_Row]]))))</f>
        <v/>
      </c>
      <c r="E110" s="129" t="str">
        <f aca="false">IF(IFERROR(INDEX(tsk_Name,GanttView[[#This Row],[_Row]])="",TRUE()),"",INDEX(tsk_PlanStart,GanttView[[#This Row],[_Row]]))</f>
        <v/>
      </c>
      <c r="F110" s="129" t="str">
        <f aca="false">IF(IFERROR(INDEX(tsk_Name,GanttView[[#This Row],[_Row]])="",TRUE()),"",INDEX(tsk_PlanFinish,GanttView[[#This Row],[_Row]]))</f>
        <v/>
      </c>
      <c r="G110" s="129" t="str">
        <f aca="false">IF(IFERROR(INDEX(tsk_Name,GanttView[[#This Row],[_Row]])="",TRUE()),"",INDEX(tsk_FcStart,GanttView[[#This Row],[_Row]]))</f>
        <v/>
      </c>
      <c r="H110" s="129" t="str">
        <f aca="false">IF(IFERROR(INDEX(tsk_Name,GanttView[[#This Row],[_Row]])="",TRUE()),"",INDEX(tsk_FcFinish,GanttView[[#This Row],[_Row]]))</f>
        <v/>
      </c>
      <c r="I110" s="130" t="str">
        <f aca="false">IF(IFERROR(INDEX(tsk_Name,GanttView[[#This Row],[_Row]])="",TRUE()),"",INDEX(tsk_Progress,GanttView[[#This Row],[_Row]]))</f>
        <v/>
      </c>
      <c r="J110" s="128" t="str">
        <f aca="false">IF(IFERROR(INDEX(tsk_Name,GanttView[[#This Row],[_Row]])="",TRUE()),"",INDEX(tsk_ResourceNames,GanttView[[#This Row],[_Row]])&amp;"")</f>
        <v/>
      </c>
      <c r="K110" s="131" t="str">
        <f aca="false">IF(IFERROR(INDEX(tsk_Name,GanttView[[#This Row],[_Row]])="",TRUE()),"",INDEX(tsk_Status,GanttView[[#This Row],[_Row]]))</f>
        <v/>
      </c>
      <c r="L110" s="131" t="str">
        <f aca="false">IF(IFERROR(INDEX(tsk_Name,GanttView[[#This Row],[_Row]])="",TRUE()),"",INDEX(tsk_Show,GanttView[[#This Row],[_Row]])&amp;"")</f>
        <v/>
      </c>
      <c r="M110" s="132" t="n">
        <f aca="false">ROW()-ROW(GanttView[[#Headers],[ID]])</f>
        <v>105</v>
      </c>
      <c r="N110" s="133" t="b">
        <f aca="false">IF(IFERROR(INDEX(tsk_Name,GanttView[[#This Row],[_Row]])="",TRUE()),FALSE(),INDEX(tsk_IsSummary,GanttView[[#This Row],[_Row]]))</f>
        <v>0</v>
      </c>
      <c r="O110" s="133" t="b">
        <f aca="false">IF(IFERROR(INDEX(tsk_Name,GanttView[[#This Row],[_Row]])="",TRUE()),FALSE(),AND(INDEX(tsk_IsLeaf,GanttView[[#This Row],[_Row]])=1,N(INDEX(tsk_Duration,GanttView[[#This Row],[_Row]]))=0))</f>
        <v>0</v>
      </c>
      <c r="P110" s="134" t="n">
        <f aca="false">IF(IFERROR(INDEX(tsk_Name,GanttView[[#This Row],[_Row]])="",TRUE()),0,IF(AND(INDEX(tsk_IsLeaf,GanttView[[#This Row],[_Row]])=1,NOT(GanttView[[#This Row],[_IsMilestone]]),N(GanttView[[#This Row],[%]])&gt;0),GanttView[[#This Row],[Forecast Start]],0))</f>
        <v>0</v>
      </c>
      <c r="Q110" s="134" t="n">
        <f aca="false">IF(GanttView[[#This Row],[_DoneFrom]]=0,0,IF(GanttView[[#This Row],[%]]&gt;=1,GanttView[[#This Row],[Forecast Finish]],MAX(GanttView[[#This Row],[_DoneFrom]],GanttView[[#This Row],[Forecast Start]]+ROUND((GanttView[[#This Row],[Forecast Finish]]-GanttView[[#This Row],[Forecast Start]]+1)*GanttView[[#This Row],[%]],0)-1)))</f>
        <v>0</v>
      </c>
      <c r="R110" s="134" t="n">
        <f aca="false">IF(IFERROR(INDEX(tsk_Name,GanttView[[#This Row],[_Row]])="",TRUE()),0,IF(OR(INDEX(tsk_IsLeaf,GanttView[[#This Row],[_Row]])&lt;&gt;1,GanttView[[#This Row],[_IsMilestone]],N(GanttView[[#This Row],[%]])&gt;=1),0,IF(GanttView[[#This Row],[_DoneTo]]&gt;0,GanttView[[#This Row],[_DoneTo]]+1,GanttView[[#This Row],[Forecast Start]])))</f>
        <v>0</v>
      </c>
      <c r="S110" s="134" t="n">
        <f aca="false">IF(GanttView[[#This Row],[_RemFrom]]=0,0,GanttView[[#This Row],[Forecast Finish]])</f>
        <v>0</v>
      </c>
      <c r="T110" s="133" t="b">
        <f aca="false">IF(IFERROR(INDEX(tsk_Name,GanttView[[#This Row],[_Row]])="",TRUE()),FALSE(),N(INDEX(tsk_Variance,GanttView[[#This Row],[_Row]]))&gt;0)</f>
        <v>0</v>
      </c>
      <c r="U110" s="134" t="n">
        <f aca="false">IF(IFERROR(INDEX(tsk_Name,GanttView[[#This Row],[_Row]])="",TRUE()),0,N(INDEX(tsk_Deadline,GanttView[[#This Row],[_Row]])))</f>
        <v>0</v>
      </c>
      <c r="V110" s="133" t="b">
        <f aca="false">IF(IFERROR(INDEX(tsk_Name,GanttView[[#This Row],[_Row]])="",TRUE()),FALSE(),INDEX(tsk_Critical,GanttView[[#This Row],[_Row]])="Yes")</f>
        <v>0</v>
      </c>
    </row>
    <row r="111" customFormat="false" ht="15" hidden="false" customHeight="false" outlineLevel="0" collapsed="false">
      <c r="A111" s="127" t="str">
        <f aca="false">IF(IFERROR(INDEX(tsk_Name,GanttView[[#This Row],[_Row]])="",TRUE()),"",INDEX(tsk_ID,GanttView[[#This Row],[_Row]]))</f>
        <v/>
      </c>
      <c r="B111" s="127" t="str">
        <f aca="false">IF(IFERROR(INDEX(tsk_Name,GanttView[[#This Row],[_Row]])="",TRUE()),"",INDEX(tsk_WBS,GanttView[[#This Row],[_Row]]))</f>
        <v/>
      </c>
      <c r="C111" s="128" t="str">
        <f aca="false">IF(IFERROR(INDEX(tsk_Name,GanttView[[#This Row],[_Row]])="",TRUE()),"",REPT("    ",INDEX(tsk_Level,GanttView[[#This Row],[_Row]])-1)&amp;INDEX(tsk_Name,GanttView[[#This Row],[_Row]]))</f>
        <v/>
      </c>
      <c r="D111" s="127" t="str">
        <f aca="false">IF(IFERROR(INDEX(tsk_Name,GanttView[[#This Row],[_Row]])="",TRUE()),"",IF(INDEX(tsk_IsSummary,GanttView[[#This Row],[_Row]]),NETWORKDAYS.INTL(INDEX(tsk_FcStart,GanttView[[#This Row],[_Row]]),INDEX(tsk_FcFinish,GanttView[[#This Row],[_Row]]),WorkWeek,Holidays),N(INDEX(tsk_Duration,GanttView[[#This Row],[_Row]]))))</f>
        <v/>
      </c>
      <c r="E111" s="129" t="str">
        <f aca="false">IF(IFERROR(INDEX(tsk_Name,GanttView[[#This Row],[_Row]])="",TRUE()),"",INDEX(tsk_PlanStart,GanttView[[#This Row],[_Row]]))</f>
        <v/>
      </c>
      <c r="F111" s="129" t="str">
        <f aca="false">IF(IFERROR(INDEX(tsk_Name,GanttView[[#This Row],[_Row]])="",TRUE()),"",INDEX(tsk_PlanFinish,GanttView[[#This Row],[_Row]]))</f>
        <v/>
      </c>
      <c r="G111" s="129" t="str">
        <f aca="false">IF(IFERROR(INDEX(tsk_Name,GanttView[[#This Row],[_Row]])="",TRUE()),"",INDEX(tsk_FcStart,GanttView[[#This Row],[_Row]]))</f>
        <v/>
      </c>
      <c r="H111" s="129" t="str">
        <f aca="false">IF(IFERROR(INDEX(tsk_Name,GanttView[[#This Row],[_Row]])="",TRUE()),"",INDEX(tsk_FcFinish,GanttView[[#This Row],[_Row]]))</f>
        <v/>
      </c>
      <c r="I111" s="130" t="str">
        <f aca="false">IF(IFERROR(INDEX(tsk_Name,GanttView[[#This Row],[_Row]])="",TRUE()),"",INDEX(tsk_Progress,GanttView[[#This Row],[_Row]]))</f>
        <v/>
      </c>
      <c r="J111" s="128" t="str">
        <f aca="false">IF(IFERROR(INDEX(tsk_Name,GanttView[[#This Row],[_Row]])="",TRUE()),"",INDEX(tsk_ResourceNames,GanttView[[#This Row],[_Row]])&amp;"")</f>
        <v/>
      </c>
      <c r="K111" s="131" t="str">
        <f aca="false">IF(IFERROR(INDEX(tsk_Name,GanttView[[#This Row],[_Row]])="",TRUE()),"",INDEX(tsk_Status,GanttView[[#This Row],[_Row]]))</f>
        <v/>
      </c>
      <c r="L111" s="131" t="str">
        <f aca="false">IF(IFERROR(INDEX(tsk_Name,GanttView[[#This Row],[_Row]])="",TRUE()),"",INDEX(tsk_Show,GanttView[[#This Row],[_Row]])&amp;"")</f>
        <v/>
      </c>
      <c r="M111" s="132" t="n">
        <f aca="false">ROW()-ROW(GanttView[[#Headers],[ID]])</f>
        <v>106</v>
      </c>
      <c r="N111" s="133" t="b">
        <f aca="false">IF(IFERROR(INDEX(tsk_Name,GanttView[[#This Row],[_Row]])="",TRUE()),FALSE(),INDEX(tsk_IsSummary,GanttView[[#This Row],[_Row]]))</f>
        <v>0</v>
      </c>
      <c r="O111" s="133" t="b">
        <f aca="false">IF(IFERROR(INDEX(tsk_Name,GanttView[[#This Row],[_Row]])="",TRUE()),FALSE(),AND(INDEX(tsk_IsLeaf,GanttView[[#This Row],[_Row]])=1,N(INDEX(tsk_Duration,GanttView[[#This Row],[_Row]]))=0))</f>
        <v>0</v>
      </c>
      <c r="P111" s="134" t="n">
        <f aca="false">IF(IFERROR(INDEX(tsk_Name,GanttView[[#This Row],[_Row]])="",TRUE()),0,IF(AND(INDEX(tsk_IsLeaf,GanttView[[#This Row],[_Row]])=1,NOT(GanttView[[#This Row],[_IsMilestone]]),N(GanttView[[#This Row],[%]])&gt;0),GanttView[[#This Row],[Forecast Start]],0))</f>
        <v>0</v>
      </c>
      <c r="Q111" s="134" t="n">
        <f aca="false">IF(GanttView[[#This Row],[_DoneFrom]]=0,0,IF(GanttView[[#This Row],[%]]&gt;=1,GanttView[[#This Row],[Forecast Finish]],MAX(GanttView[[#This Row],[_DoneFrom]],GanttView[[#This Row],[Forecast Start]]+ROUND((GanttView[[#This Row],[Forecast Finish]]-GanttView[[#This Row],[Forecast Start]]+1)*GanttView[[#This Row],[%]],0)-1)))</f>
        <v>0</v>
      </c>
      <c r="R111" s="134" t="n">
        <f aca="false">IF(IFERROR(INDEX(tsk_Name,GanttView[[#This Row],[_Row]])="",TRUE()),0,IF(OR(INDEX(tsk_IsLeaf,GanttView[[#This Row],[_Row]])&lt;&gt;1,GanttView[[#This Row],[_IsMilestone]],N(GanttView[[#This Row],[%]])&gt;=1),0,IF(GanttView[[#This Row],[_DoneTo]]&gt;0,GanttView[[#This Row],[_DoneTo]]+1,GanttView[[#This Row],[Forecast Start]])))</f>
        <v>0</v>
      </c>
      <c r="S111" s="134" t="n">
        <f aca="false">IF(GanttView[[#This Row],[_RemFrom]]=0,0,GanttView[[#This Row],[Forecast Finish]])</f>
        <v>0</v>
      </c>
      <c r="T111" s="133" t="b">
        <f aca="false">IF(IFERROR(INDEX(tsk_Name,GanttView[[#This Row],[_Row]])="",TRUE()),FALSE(),N(INDEX(tsk_Variance,GanttView[[#This Row],[_Row]]))&gt;0)</f>
        <v>0</v>
      </c>
      <c r="U111" s="134" t="n">
        <f aca="false">IF(IFERROR(INDEX(tsk_Name,GanttView[[#This Row],[_Row]])="",TRUE()),0,N(INDEX(tsk_Deadline,GanttView[[#This Row],[_Row]])))</f>
        <v>0</v>
      </c>
      <c r="V111" s="133" t="b">
        <f aca="false">IF(IFERROR(INDEX(tsk_Name,GanttView[[#This Row],[_Row]])="",TRUE()),FALSE(),INDEX(tsk_Critical,GanttView[[#This Row],[_Row]])="Yes")</f>
        <v>0</v>
      </c>
    </row>
    <row r="112" customFormat="false" ht="15" hidden="false" customHeight="false" outlineLevel="0" collapsed="false">
      <c r="A112" s="127" t="str">
        <f aca="false">IF(IFERROR(INDEX(tsk_Name,GanttView[[#This Row],[_Row]])="",TRUE()),"",INDEX(tsk_ID,GanttView[[#This Row],[_Row]]))</f>
        <v/>
      </c>
      <c r="B112" s="127" t="str">
        <f aca="false">IF(IFERROR(INDEX(tsk_Name,GanttView[[#This Row],[_Row]])="",TRUE()),"",INDEX(tsk_WBS,GanttView[[#This Row],[_Row]]))</f>
        <v/>
      </c>
      <c r="C112" s="128" t="str">
        <f aca="false">IF(IFERROR(INDEX(tsk_Name,GanttView[[#This Row],[_Row]])="",TRUE()),"",REPT("    ",INDEX(tsk_Level,GanttView[[#This Row],[_Row]])-1)&amp;INDEX(tsk_Name,GanttView[[#This Row],[_Row]]))</f>
        <v/>
      </c>
      <c r="D112" s="127" t="str">
        <f aca="false">IF(IFERROR(INDEX(tsk_Name,GanttView[[#This Row],[_Row]])="",TRUE()),"",IF(INDEX(tsk_IsSummary,GanttView[[#This Row],[_Row]]),NETWORKDAYS.INTL(INDEX(tsk_FcStart,GanttView[[#This Row],[_Row]]),INDEX(tsk_FcFinish,GanttView[[#This Row],[_Row]]),WorkWeek,Holidays),N(INDEX(tsk_Duration,GanttView[[#This Row],[_Row]]))))</f>
        <v/>
      </c>
      <c r="E112" s="129" t="str">
        <f aca="false">IF(IFERROR(INDEX(tsk_Name,GanttView[[#This Row],[_Row]])="",TRUE()),"",INDEX(tsk_PlanStart,GanttView[[#This Row],[_Row]]))</f>
        <v/>
      </c>
      <c r="F112" s="129" t="str">
        <f aca="false">IF(IFERROR(INDEX(tsk_Name,GanttView[[#This Row],[_Row]])="",TRUE()),"",INDEX(tsk_PlanFinish,GanttView[[#This Row],[_Row]]))</f>
        <v/>
      </c>
      <c r="G112" s="129" t="str">
        <f aca="false">IF(IFERROR(INDEX(tsk_Name,GanttView[[#This Row],[_Row]])="",TRUE()),"",INDEX(tsk_FcStart,GanttView[[#This Row],[_Row]]))</f>
        <v/>
      </c>
      <c r="H112" s="129" t="str">
        <f aca="false">IF(IFERROR(INDEX(tsk_Name,GanttView[[#This Row],[_Row]])="",TRUE()),"",INDEX(tsk_FcFinish,GanttView[[#This Row],[_Row]]))</f>
        <v/>
      </c>
      <c r="I112" s="130" t="str">
        <f aca="false">IF(IFERROR(INDEX(tsk_Name,GanttView[[#This Row],[_Row]])="",TRUE()),"",INDEX(tsk_Progress,GanttView[[#This Row],[_Row]]))</f>
        <v/>
      </c>
      <c r="J112" s="128" t="str">
        <f aca="false">IF(IFERROR(INDEX(tsk_Name,GanttView[[#This Row],[_Row]])="",TRUE()),"",INDEX(tsk_ResourceNames,GanttView[[#This Row],[_Row]])&amp;"")</f>
        <v/>
      </c>
      <c r="K112" s="131" t="str">
        <f aca="false">IF(IFERROR(INDEX(tsk_Name,GanttView[[#This Row],[_Row]])="",TRUE()),"",INDEX(tsk_Status,GanttView[[#This Row],[_Row]]))</f>
        <v/>
      </c>
      <c r="L112" s="131" t="str">
        <f aca="false">IF(IFERROR(INDEX(tsk_Name,GanttView[[#This Row],[_Row]])="",TRUE()),"",INDEX(tsk_Show,GanttView[[#This Row],[_Row]])&amp;"")</f>
        <v/>
      </c>
      <c r="M112" s="132" t="n">
        <f aca="false">ROW()-ROW(GanttView[[#Headers],[ID]])</f>
        <v>107</v>
      </c>
      <c r="N112" s="133" t="b">
        <f aca="false">IF(IFERROR(INDEX(tsk_Name,GanttView[[#This Row],[_Row]])="",TRUE()),FALSE(),INDEX(tsk_IsSummary,GanttView[[#This Row],[_Row]]))</f>
        <v>0</v>
      </c>
      <c r="O112" s="133" t="b">
        <f aca="false">IF(IFERROR(INDEX(tsk_Name,GanttView[[#This Row],[_Row]])="",TRUE()),FALSE(),AND(INDEX(tsk_IsLeaf,GanttView[[#This Row],[_Row]])=1,N(INDEX(tsk_Duration,GanttView[[#This Row],[_Row]]))=0))</f>
        <v>0</v>
      </c>
      <c r="P112" s="134" t="n">
        <f aca="false">IF(IFERROR(INDEX(tsk_Name,GanttView[[#This Row],[_Row]])="",TRUE()),0,IF(AND(INDEX(tsk_IsLeaf,GanttView[[#This Row],[_Row]])=1,NOT(GanttView[[#This Row],[_IsMilestone]]),N(GanttView[[#This Row],[%]])&gt;0),GanttView[[#This Row],[Forecast Start]],0))</f>
        <v>0</v>
      </c>
      <c r="Q112" s="134" t="n">
        <f aca="false">IF(GanttView[[#This Row],[_DoneFrom]]=0,0,IF(GanttView[[#This Row],[%]]&gt;=1,GanttView[[#This Row],[Forecast Finish]],MAX(GanttView[[#This Row],[_DoneFrom]],GanttView[[#This Row],[Forecast Start]]+ROUND((GanttView[[#This Row],[Forecast Finish]]-GanttView[[#This Row],[Forecast Start]]+1)*GanttView[[#This Row],[%]],0)-1)))</f>
        <v>0</v>
      </c>
      <c r="R112" s="134" t="n">
        <f aca="false">IF(IFERROR(INDEX(tsk_Name,GanttView[[#This Row],[_Row]])="",TRUE()),0,IF(OR(INDEX(tsk_IsLeaf,GanttView[[#This Row],[_Row]])&lt;&gt;1,GanttView[[#This Row],[_IsMilestone]],N(GanttView[[#This Row],[%]])&gt;=1),0,IF(GanttView[[#This Row],[_DoneTo]]&gt;0,GanttView[[#This Row],[_DoneTo]]+1,GanttView[[#This Row],[Forecast Start]])))</f>
        <v>0</v>
      </c>
      <c r="S112" s="134" t="n">
        <f aca="false">IF(GanttView[[#This Row],[_RemFrom]]=0,0,GanttView[[#This Row],[Forecast Finish]])</f>
        <v>0</v>
      </c>
      <c r="T112" s="133" t="b">
        <f aca="false">IF(IFERROR(INDEX(tsk_Name,GanttView[[#This Row],[_Row]])="",TRUE()),FALSE(),N(INDEX(tsk_Variance,GanttView[[#This Row],[_Row]]))&gt;0)</f>
        <v>0</v>
      </c>
      <c r="U112" s="134" t="n">
        <f aca="false">IF(IFERROR(INDEX(tsk_Name,GanttView[[#This Row],[_Row]])="",TRUE()),0,N(INDEX(tsk_Deadline,GanttView[[#This Row],[_Row]])))</f>
        <v>0</v>
      </c>
      <c r="V112" s="133" t="b">
        <f aca="false">IF(IFERROR(INDEX(tsk_Name,GanttView[[#This Row],[_Row]])="",TRUE()),FALSE(),INDEX(tsk_Critical,GanttView[[#This Row],[_Row]])="Yes")</f>
        <v>0</v>
      </c>
    </row>
    <row r="113" customFormat="false" ht="15" hidden="false" customHeight="false" outlineLevel="0" collapsed="false">
      <c r="A113" s="127" t="str">
        <f aca="false">IF(IFERROR(INDEX(tsk_Name,GanttView[[#This Row],[_Row]])="",TRUE()),"",INDEX(tsk_ID,GanttView[[#This Row],[_Row]]))</f>
        <v/>
      </c>
      <c r="B113" s="127" t="str">
        <f aca="false">IF(IFERROR(INDEX(tsk_Name,GanttView[[#This Row],[_Row]])="",TRUE()),"",INDEX(tsk_WBS,GanttView[[#This Row],[_Row]]))</f>
        <v/>
      </c>
      <c r="C113" s="128" t="str">
        <f aca="false">IF(IFERROR(INDEX(tsk_Name,GanttView[[#This Row],[_Row]])="",TRUE()),"",REPT("    ",INDEX(tsk_Level,GanttView[[#This Row],[_Row]])-1)&amp;INDEX(tsk_Name,GanttView[[#This Row],[_Row]]))</f>
        <v/>
      </c>
      <c r="D113" s="127" t="str">
        <f aca="false">IF(IFERROR(INDEX(tsk_Name,GanttView[[#This Row],[_Row]])="",TRUE()),"",IF(INDEX(tsk_IsSummary,GanttView[[#This Row],[_Row]]),NETWORKDAYS.INTL(INDEX(tsk_FcStart,GanttView[[#This Row],[_Row]]),INDEX(tsk_FcFinish,GanttView[[#This Row],[_Row]]),WorkWeek,Holidays),N(INDEX(tsk_Duration,GanttView[[#This Row],[_Row]]))))</f>
        <v/>
      </c>
      <c r="E113" s="129" t="str">
        <f aca="false">IF(IFERROR(INDEX(tsk_Name,GanttView[[#This Row],[_Row]])="",TRUE()),"",INDEX(tsk_PlanStart,GanttView[[#This Row],[_Row]]))</f>
        <v/>
      </c>
      <c r="F113" s="129" t="str">
        <f aca="false">IF(IFERROR(INDEX(tsk_Name,GanttView[[#This Row],[_Row]])="",TRUE()),"",INDEX(tsk_PlanFinish,GanttView[[#This Row],[_Row]]))</f>
        <v/>
      </c>
      <c r="G113" s="129" t="str">
        <f aca="false">IF(IFERROR(INDEX(tsk_Name,GanttView[[#This Row],[_Row]])="",TRUE()),"",INDEX(tsk_FcStart,GanttView[[#This Row],[_Row]]))</f>
        <v/>
      </c>
      <c r="H113" s="129" t="str">
        <f aca="false">IF(IFERROR(INDEX(tsk_Name,GanttView[[#This Row],[_Row]])="",TRUE()),"",INDEX(tsk_FcFinish,GanttView[[#This Row],[_Row]]))</f>
        <v/>
      </c>
      <c r="I113" s="130" t="str">
        <f aca="false">IF(IFERROR(INDEX(tsk_Name,GanttView[[#This Row],[_Row]])="",TRUE()),"",INDEX(tsk_Progress,GanttView[[#This Row],[_Row]]))</f>
        <v/>
      </c>
      <c r="J113" s="128" t="str">
        <f aca="false">IF(IFERROR(INDEX(tsk_Name,GanttView[[#This Row],[_Row]])="",TRUE()),"",INDEX(tsk_ResourceNames,GanttView[[#This Row],[_Row]])&amp;"")</f>
        <v/>
      </c>
      <c r="K113" s="131" t="str">
        <f aca="false">IF(IFERROR(INDEX(tsk_Name,GanttView[[#This Row],[_Row]])="",TRUE()),"",INDEX(tsk_Status,GanttView[[#This Row],[_Row]]))</f>
        <v/>
      </c>
      <c r="L113" s="131" t="str">
        <f aca="false">IF(IFERROR(INDEX(tsk_Name,GanttView[[#This Row],[_Row]])="",TRUE()),"",INDEX(tsk_Show,GanttView[[#This Row],[_Row]])&amp;"")</f>
        <v/>
      </c>
      <c r="M113" s="132" t="n">
        <f aca="false">ROW()-ROW(GanttView[[#Headers],[ID]])</f>
        <v>108</v>
      </c>
      <c r="N113" s="133" t="b">
        <f aca="false">IF(IFERROR(INDEX(tsk_Name,GanttView[[#This Row],[_Row]])="",TRUE()),FALSE(),INDEX(tsk_IsSummary,GanttView[[#This Row],[_Row]]))</f>
        <v>0</v>
      </c>
      <c r="O113" s="133" t="b">
        <f aca="false">IF(IFERROR(INDEX(tsk_Name,GanttView[[#This Row],[_Row]])="",TRUE()),FALSE(),AND(INDEX(tsk_IsLeaf,GanttView[[#This Row],[_Row]])=1,N(INDEX(tsk_Duration,GanttView[[#This Row],[_Row]]))=0))</f>
        <v>0</v>
      </c>
      <c r="P113" s="134" t="n">
        <f aca="false">IF(IFERROR(INDEX(tsk_Name,GanttView[[#This Row],[_Row]])="",TRUE()),0,IF(AND(INDEX(tsk_IsLeaf,GanttView[[#This Row],[_Row]])=1,NOT(GanttView[[#This Row],[_IsMilestone]]),N(GanttView[[#This Row],[%]])&gt;0),GanttView[[#This Row],[Forecast Start]],0))</f>
        <v>0</v>
      </c>
      <c r="Q113" s="134" t="n">
        <f aca="false">IF(GanttView[[#This Row],[_DoneFrom]]=0,0,IF(GanttView[[#This Row],[%]]&gt;=1,GanttView[[#This Row],[Forecast Finish]],MAX(GanttView[[#This Row],[_DoneFrom]],GanttView[[#This Row],[Forecast Start]]+ROUND((GanttView[[#This Row],[Forecast Finish]]-GanttView[[#This Row],[Forecast Start]]+1)*GanttView[[#This Row],[%]],0)-1)))</f>
        <v>0</v>
      </c>
      <c r="R113" s="134" t="n">
        <f aca="false">IF(IFERROR(INDEX(tsk_Name,GanttView[[#This Row],[_Row]])="",TRUE()),0,IF(OR(INDEX(tsk_IsLeaf,GanttView[[#This Row],[_Row]])&lt;&gt;1,GanttView[[#This Row],[_IsMilestone]],N(GanttView[[#This Row],[%]])&gt;=1),0,IF(GanttView[[#This Row],[_DoneTo]]&gt;0,GanttView[[#This Row],[_DoneTo]]+1,GanttView[[#This Row],[Forecast Start]])))</f>
        <v>0</v>
      </c>
      <c r="S113" s="134" t="n">
        <f aca="false">IF(GanttView[[#This Row],[_RemFrom]]=0,0,GanttView[[#This Row],[Forecast Finish]])</f>
        <v>0</v>
      </c>
      <c r="T113" s="133" t="b">
        <f aca="false">IF(IFERROR(INDEX(tsk_Name,GanttView[[#This Row],[_Row]])="",TRUE()),FALSE(),N(INDEX(tsk_Variance,GanttView[[#This Row],[_Row]]))&gt;0)</f>
        <v>0</v>
      </c>
      <c r="U113" s="134" t="n">
        <f aca="false">IF(IFERROR(INDEX(tsk_Name,GanttView[[#This Row],[_Row]])="",TRUE()),0,N(INDEX(tsk_Deadline,GanttView[[#This Row],[_Row]])))</f>
        <v>0</v>
      </c>
      <c r="V113" s="133" t="b">
        <f aca="false">IF(IFERROR(INDEX(tsk_Name,GanttView[[#This Row],[_Row]])="",TRUE()),FALSE(),INDEX(tsk_Critical,GanttView[[#This Row],[_Row]])="Yes")</f>
        <v>0</v>
      </c>
    </row>
    <row r="114" customFormat="false" ht="15" hidden="false" customHeight="false" outlineLevel="0" collapsed="false">
      <c r="A114" s="127" t="str">
        <f aca="false">IF(IFERROR(INDEX(tsk_Name,GanttView[[#This Row],[_Row]])="",TRUE()),"",INDEX(tsk_ID,GanttView[[#This Row],[_Row]]))</f>
        <v/>
      </c>
      <c r="B114" s="127" t="str">
        <f aca="false">IF(IFERROR(INDEX(tsk_Name,GanttView[[#This Row],[_Row]])="",TRUE()),"",INDEX(tsk_WBS,GanttView[[#This Row],[_Row]]))</f>
        <v/>
      </c>
      <c r="C114" s="128" t="str">
        <f aca="false">IF(IFERROR(INDEX(tsk_Name,GanttView[[#This Row],[_Row]])="",TRUE()),"",REPT("    ",INDEX(tsk_Level,GanttView[[#This Row],[_Row]])-1)&amp;INDEX(tsk_Name,GanttView[[#This Row],[_Row]]))</f>
        <v/>
      </c>
      <c r="D114" s="127" t="str">
        <f aca="false">IF(IFERROR(INDEX(tsk_Name,GanttView[[#This Row],[_Row]])="",TRUE()),"",IF(INDEX(tsk_IsSummary,GanttView[[#This Row],[_Row]]),NETWORKDAYS.INTL(INDEX(tsk_FcStart,GanttView[[#This Row],[_Row]]),INDEX(tsk_FcFinish,GanttView[[#This Row],[_Row]]),WorkWeek,Holidays),N(INDEX(tsk_Duration,GanttView[[#This Row],[_Row]]))))</f>
        <v/>
      </c>
      <c r="E114" s="129" t="str">
        <f aca="false">IF(IFERROR(INDEX(tsk_Name,GanttView[[#This Row],[_Row]])="",TRUE()),"",INDEX(tsk_PlanStart,GanttView[[#This Row],[_Row]]))</f>
        <v/>
      </c>
      <c r="F114" s="129" t="str">
        <f aca="false">IF(IFERROR(INDEX(tsk_Name,GanttView[[#This Row],[_Row]])="",TRUE()),"",INDEX(tsk_PlanFinish,GanttView[[#This Row],[_Row]]))</f>
        <v/>
      </c>
      <c r="G114" s="129" t="str">
        <f aca="false">IF(IFERROR(INDEX(tsk_Name,GanttView[[#This Row],[_Row]])="",TRUE()),"",INDEX(tsk_FcStart,GanttView[[#This Row],[_Row]]))</f>
        <v/>
      </c>
      <c r="H114" s="129" t="str">
        <f aca="false">IF(IFERROR(INDEX(tsk_Name,GanttView[[#This Row],[_Row]])="",TRUE()),"",INDEX(tsk_FcFinish,GanttView[[#This Row],[_Row]]))</f>
        <v/>
      </c>
      <c r="I114" s="130" t="str">
        <f aca="false">IF(IFERROR(INDEX(tsk_Name,GanttView[[#This Row],[_Row]])="",TRUE()),"",INDEX(tsk_Progress,GanttView[[#This Row],[_Row]]))</f>
        <v/>
      </c>
      <c r="J114" s="128" t="str">
        <f aca="false">IF(IFERROR(INDEX(tsk_Name,GanttView[[#This Row],[_Row]])="",TRUE()),"",INDEX(tsk_ResourceNames,GanttView[[#This Row],[_Row]])&amp;"")</f>
        <v/>
      </c>
      <c r="K114" s="131" t="str">
        <f aca="false">IF(IFERROR(INDEX(tsk_Name,GanttView[[#This Row],[_Row]])="",TRUE()),"",INDEX(tsk_Status,GanttView[[#This Row],[_Row]]))</f>
        <v/>
      </c>
      <c r="L114" s="131" t="str">
        <f aca="false">IF(IFERROR(INDEX(tsk_Name,GanttView[[#This Row],[_Row]])="",TRUE()),"",INDEX(tsk_Show,GanttView[[#This Row],[_Row]])&amp;"")</f>
        <v/>
      </c>
      <c r="M114" s="132" t="n">
        <f aca="false">ROW()-ROW(GanttView[[#Headers],[ID]])</f>
        <v>109</v>
      </c>
      <c r="N114" s="133" t="b">
        <f aca="false">IF(IFERROR(INDEX(tsk_Name,GanttView[[#This Row],[_Row]])="",TRUE()),FALSE(),INDEX(tsk_IsSummary,GanttView[[#This Row],[_Row]]))</f>
        <v>0</v>
      </c>
      <c r="O114" s="133" t="b">
        <f aca="false">IF(IFERROR(INDEX(tsk_Name,GanttView[[#This Row],[_Row]])="",TRUE()),FALSE(),AND(INDEX(tsk_IsLeaf,GanttView[[#This Row],[_Row]])=1,N(INDEX(tsk_Duration,GanttView[[#This Row],[_Row]]))=0))</f>
        <v>0</v>
      </c>
      <c r="P114" s="134" t="n">
        <f aca="false">IF(IFERROR(INDEX(tsk_Name,GanttView[[#This Row],[_Row]])="",TRUE()),0,IF(AND(INDEX(tsk_IsLeaf,GanttView[[#This Row],[_Row]])=1,NOT(GanttView[[#This Row],[_IsMilestone]]),N(GanttView[[#This Row],[%]])&gt;0),GanttView[[#This Row],[Forecast Start]],0))</f>
        <v>0</v>
      </c>
      <c r="Q114" s="134" t="n">
        <f aca="false">IF(GanttView[[#This Row],[_DoneFrom]]=0,0,IF(GanttView[[#This Row],[%]]&gt;=1,GanttView[[#This Row],[Forecast Finish]],MAX(GanttView[[#This Row],[_DoneFrom]],GanttView[[#This Row],[Forecast Start]]+ROUND((GanttView[[#This Row],[Forecast Finish]]-GanttView[[#This Row],[Forecast Start]]+1)*GanttView[[#This Row],[%]],0)-1)))</f>
        <v>0</v>
      </c>
      <c r="R114" s="134" t="n">
        <f aca="false">IF(IFERROR(INDEX(tsk_Name,GanttView[[#This Row],[_Row]])="",TRUE()),0,IF(OR(INDEX(tsk_IsLeaf,GanttView[[#This Row],[_Row]])&lt;&gt;1,GanttView[[#This Row],[_IsMilestone]],N(GanttView[[#This Row],[%]])&gt;=1),0,IF(GanttView[[#This Row],[_DoneTo]]&gt;0,GanttView[[#This Row],[_DoneTo]]+1,GanttView[[#This Row],[Forecast Start]])))</f>
        <v>0</v>
      </c>
      <c r="S114" s="134" t="n">
        <f aca="false">IF(GanttView[[#This Row],[_RemFrom]]=0,0,GanttView[[#This Row],[Forecast Finish]])</f>
        <v>0</v>
      </c>
      <c r="T114" s="133" t="b">
        <f aca="false">IF(IFERROR(INDEX(tsk_Name,GanttView[[#This Row],[_Row]])="",TRUE()),FALSE(),N(INDEX(tsk_Variance,GanttView[[#This Row],[_Row]]))&gt;0)</f>
        <v>0</v>
      </c>
      <c r="U114" s="134" t="n">
        <f aca="false">IF(IFERROR(INDEX(tsk_Name,GanttView[[#This Row],[_Row]])="",TRUE()),0,N(INDEX(tsk_Deadline,GanttView[[#This Row],[_Row]])))</f>
        <v>0</v>
      </c>
      <c r="V114" s="133" t="b">
        <f aca="false">IF(IFERROR(INDEX(tsk_Name,GanttView[[#This Row],[_Row]])="",TRUE()),FALSE(),INDEX(tsk_Critical,GanttView[[#This Row],[_Row]])="Yes")</f>
        <v>0</v>
      </c>
    </row>
    <row r="115" customFormat="false" ht="15" hidden="false" customHeight="false" outlineLevel="0" collapsed="false">
      <c r="A115" s="127" t="str">
        <f aca="false">IF(IFERROR(INDEX(tsk_Name,GanttView[[#This Row],[_Row]])="",TRUE()),"",INDEX(tsk_ID,GanttView[[#This Row],[_Row]]))</f>
        <v/>
      </c>
      <c r="B115" s="127" t="str">
        <f aca="false">IF(IFERROR(INDEX(tsk_Name,GanttView[[#This Row],[_Row]])="",TRUE()),"",INDEX(tsk_WBS,GanttView[[#This Row],[_Row]]))</f>
        <v/>
      </c>
      <c r="C115" s="128" t="str">
        <f aca="false">IF(IFERROR(INDEX(tsk_Name,GanttView[[#This Row],[_Row]])="",TRUE()),"",REPT("    ",INDEX(tsk_Level,GanttView[[#This Row],[_Row]])-1)&amp;INDEX(tsk_Name,GanttView[[#This Row],[_Row]]))</f>
        <v/>
      </c>
      <c r="D115" s="127" t="str">
        <f aca="false">IF(IFERROR(INDEX(tsk_Name,GanttView[[#This Row],[_Row]])="",TRUE()),"",IF(INDEX(tsk_IsSummary,GanttView[[#This Row],[_Row]]),NETWORKDAYS.INTL(INDEX(tsk_FcStart,GanttView[[#This Row],[_Row]]),INDEX(tsk_FcFinish,GanttView[[#This Row],[_Row]]),WorkWeek,Holidays),N(INDEX(tsk_Duration,GanttView[[#This Row],[_Row]]))))</f>
        <v/>
      </c>
      <c r="E115" s="129" t="str">
        <f aca="false">IF(IFERROR(INDEX(tsk_Name,GanttView[[#This Row],[_Row]])="",TRUE()),"",INDEX(tsk_PlanStart,GanttView[[#This Row],[_Row]]))</f>
        <v/>
      </c>
      <c r="F115" s="129" t="str">
        <f aca="false">IF(IFERROR(INDEX(tsk_Name,GanttView[[#This Row],[_Row]])="",TRUE()),"",INDEX(tsk_PlanFinish,GanttView[[#This Row],[_Row]]))</f>
        <v/>
      </c>
      <c r="G115" s="129" t="str">
        <f aca="false">IF(IFERROR(INDEX(tsk_Name,GanttView[[#This Row],[_Row]])="",TRUE()),"",INDEX(tsk_FcStart,GanttView[[#This Row],[_Row]]))</f>
        <v/>
      </c>
      <c r="H115" s="129" t="str">
        <f aca="false">IF(IFERROR(INDEX(tsk_Name,GanttView[[#This Row],[_Row]])="",TRUE()),"",INDEX(tsk_FcFinish,GanttView[[#This Row],[_Row]]))</f>
        <v/>
      </c>
      <c r="I115" s="130" t="str">
        <f aca="false">IF(IFERROR(INDEX(tsk_Name,GanttView[[#This Row],[_Row]])="",TRUE()),"",INDEX(tsk_Progress,GanttView[[#This Row],[_Row]]))</f>
        <v/>
      </c>
      <c r="J115" s="128" t="str">
        <f aca="false">IF(IFERROR(INDEX(tsk_Name,GanttView[[#This Row],[_Row]])="",TRUE()),"",INDEX(tsk_ResourceNames,GanttView[[#This Row],[_Row]])&amp;"")</f>
        <v/>
      </c>
      <c r="K115" s="131" t="str">
        <f aca="false">IF(IFERROR(INDEX(tsk_Name,GanttView[[#This Row],[_Row]])="",TRUE()),"",INDEX(tsk_Status,GanttView[[#This Row],[_Row]]))</f>
        <v/>
      </c>
      <c r="L115" s="131" t="str">
        <f aca="false">IF(IFERROR(INDEX(tsk_Name,GanttView[[#This Row],[_Row]])="",TRUE()),"",INDEX(tsk_Show,GanttView[[#This Row],[_Row]])&amp;"")</f>
        <v/>
      </c>
      <c r="M115" s="132" t="n">
        <f aca="false">ROW()-ROW(GanttView[[#Headers],[ID]])</f>
        <v>110</v>
      </c>
      <c r="N115" s="133" t="b">
        <f aca="false">IF(IFERROR(INDEX(tsk_Name,GanttView[[#This Row],[_Row]])="",TRUE()),FALSE(),INDEX(tsk_IsSummary,GanttView[[#This Row],[_Row]]))</f>
        <v>0</v>
      </c>
      <c r="O115" s="133" t="b">
        <f aca="false">IF(IFERROR(INDEX(tsk_Name,GanttView[[#This Row],[_Row]])="",TRUE()),FALSE(),AND(INDEX(tsk_IsLeaf,GanttView[[#This Row],[_Row]])=1,N(INDEX(tsk_Duration,GanttView[[#This Row],[_Row]]))=0))</f>
        <v>0</v>
      </c>
      <c r="P115" s="134" t="n">
        <f aca="false">IF(IFERROR(INDEX(tsk_Name,GanttView[[#This Row],[_Row]])="",TRUE()),0,IF(AND(INDEX(tsk_IsLeaf,GanttView[[#This Row],[_Row]])=1,NOT(GanttView[[#This Row],[_IsMilestone]]),N(GanttView[[#This Row],[%]])&gt;0),GanttView[[#This Row],[Forecast Start]],0))</f>
        <v>0</v>
      </c>
      <c r="Q115" s="134" t="n">
        <f aca="false">IF(GanttView[[#This Row],[_DoneFrom]]=0,0,IF(GanttView[[#This Row],[%]]&gt;=1,GanttView[[#This Row],[Forecast Finish]],MAX(GanttView[[#This Row],[_DoneFrom]],GanttView[[#This Row],[Forecast Start]]+ROUND((GanttView[[#This Row],[Forecast Finish]]-GanttView[[#This Row],[Forecast Start]]+1)*GanttView[[#This Row],[%]],0)-1)))</f>
        <v>0</v>
      </c>
      <c r="R115" s="134" t="n">
        <f aca="false">IF(IFERROR(INDEX(tsk_Name,GanttView[[#This Row],[_Row]])="",TRUE()),0,IF(OR(INDEX(tsk_IsLeaf,GanttView[[#This Row],[_Row]])&lt;&gt;1,GanttView[[#This Row],[_IsMilestone]],N(GanttView[[#This Row],[%]])&gt;=1),0,IF(GanttView[[#This Row],[_DoneTo]]&gt;0,GanttView[[#This Row],[_DoneTo]]+1,GanttView[[#This Row],[Forecast Start]])))</f>
        <v>0</v>
      </c>
      <c r="S115" s="134" t="n">
        <f aca="false">IF(GanttView[[#This Row],[_RemFrom]]=0,0,GanttView[[#This Row],[Forecast Finish]])</f>
        <v>0</v>
      </c>
      <c r="T115" s="133" t="b">
        <f aca="false">IF(IFERROR(INDEX(tsk_Name,GanttView[[#This Row],[_Row]])="",TRUE()),FALSE(),N(INDEX(tsk_Variance,GanttView[[#This Row],[_Row]]))&gt;0)</f>
        <v>0</v>
      </c>
      <c r="U115" s="134" t="n">
        <f aca="false">IF(IFERROR(INDEX(tsk_Name,GanttView[[#This Row],[_Row]])="",TRUE()),0,N(INDEX(tsk_Deadline,GanttView[[#This Row],[_Row]])))</f>
        <v>0</v>
      </c>
      <c r="V115" s="133" t="b">
        <f aca="false">IF(IFERROR(INDEX(tsk_Name,GanttView[[#This Row],[_Row]])="",TRUE()),FALSE(),INDEX(tsk_Critical,GanttView[[#This Row],[_Row]])="Yes")</f>
        <v>0</v>
      </c>
    </row>
    <row r="116" customFormat="false" ht="15" hidden="false" customHeight="false" outlineLevel="0" collapsed="false">
      <c r="A116" s="127" t="str">
        <f aca="false">IF(IFERROR(INDEX(tsk_Name,GanttView[[#This Row],[_Row]])="",TRUE()),"",INDEX(tsk_ID,GanttView[[#This Row],[_Row]]))</f>
        <v/>
      </c>
      <c r="B116" s="127" t="str">
        <f aca="false">IF(IFERROR(INDEX(tsk_Name,GanttView[[#This Row],[_Row]])="",TRUE()),"",INDEX(tsk_WBS,GanttView[[#This Row],[_Row]]))</f>
        <v/>
      </c>
      <c r="C116" s="128" t="str">
        <f aca="false">IF(IFERROR(INDEX(tsk_Name,GanttView[[#This Row],[_Row]])="",TRUE()),"",REPT("    ",INDEX(tsk_Level,GanttView[[#This Row],[_Row]])-1)&amp;INDEX(tsk_Name,GanttView[[#This Row],[_Row]]))</f>
        <v/>
      </c>
      <c r="D116" s="127" t="str">
        <f aca="false">IF(IFERROR(INDEX(tsk_Name,GanttView[[#This Row],[_Row]])="",TRUE()),"",IF(INDEX(tsk_IsSummary,GanttView[[#This Row],[_Row]]),NETWORKDAYS.INTL(INDEX(tsk_FcStart,GanttView[[#This Row],[_Row]]),INDEX(tsk_FcFinish,GanttView[[#This Row],[_Row]]),WorkWeek,Holidays),N(INDEX(tsk_Duration,GanttView[[#This Row],[_Row]]))))</f>
        <v/>
      </c>
      <c r="E116" s="129" t="str">
        <f aca="false">IF(IFERROR(INDEX(tsk_Name,GanttView[[#This Row],[_Row]])="",TRUE()),"",INDEX(tsk_PlanStart,GanttView[[#This Row],[_Row]]))</f>
        <v/>
      </c>
      <c r="F116" s="129" t="str">
        <f aca="false">IF(IFERROR(INDEX(tsk_Name,GanttView[[#This Row],[_Row]])="",TRUE()),"",INDEX(tsk_PlanFinish,GanttView[[#This Row],[_Row]]))</f>
        <v/>
      </c>
      <c r="G116" s="129" t="str">
        <f aca="false">IF(IFERROR(INDEX(tsk_Name,GanttView[[#This Row],[_Row]])="",TRUE()),"",INDEX(tsk_FcStart,GanttView[[#This Row],[_Row]]))</f>
        <v/>
      </c>
      <c r="H116" s="129" t="str">
        <f aca="false">IF(IFERROR(INDEX(tsk_Name,GanttView[[#This Row],[_Row]])="",TRUE()),"",INDEX(tsk_FcFinish,GanttView[[#This Row],[_Row]]))</f>
        <v/>
      </c>
      <c r="I116" s="130" t="str">
        <f aca="false">IF(IFERROR(INDEX(tsk_Name,GanttView[[#This Row],[_Row]])="",TRUE()),"",INDEX(tsk_Progress,GanttView[[#This Row],[_Row]]))</f>
        <v/>
      </c>
      <c r="J116" s="128" t="str">
        <f aca="false">IF(IFERROR(INDEX(tsk_Name,GanttView[[#This Row],[_Row]])="",TRUE()),"",INDEX(tsk_ResourceNames,GanttView[[#This Row],[_Row]])&amp;"")</f>
        <v/>
      </c>
      <c r="K116" s="131" t="str">
        <f aca="false">IF(IFERROR(INDEX(tsk_Name,GanttView[[#This Row],[_Row]])="",TRUE()),"",INDEX(tsk_Status,GanttView[[#This Row],[_Row]]))</f>
        <v/>
      </c>
      <c r="L116" s="131" t="str">
        <f aca="false">IF(IFERROR(INDEX(tsk_Name,GanttView[[#This Row],[_Row]])="",TRUE()),"",INDEX(tsk_Show,GanttView[[#This Row],[_Row]])&amp;"")</f>
        <v/>
      </c>
      <c r="M116" s="132" t="n">
        <f aca="false">ROW()-ROW(GanttView[[#Headers],[ID]])</f>
        <v>111</v>
      </c>
      <c r="N116" s="133" t="b">
        <f aca="false">IF(IFERROR(INDEX(tsk_Name,GanttView[[#This Row],[_Row]])="",TRUE()),FALSE(),INDEX(tsk_IsSummary,GanttView[[#This Row],[_Row]]))</f>
        <v>0</v>
      </c>
      <c r="O116" s="133" t="b">
        <f aca="false">IF(IFERROR(INDEX(tsk_Name,GanttView[[#This Row],[_Row]])="",TRUE()),FALSE(),AND(INDEX(tsk_IsLeaf,GanttView[[#This Row],[_Row]])=1,N(INDEX(tsk_Duration,GanttView[[#This Row],[_Row]]))=0))</f>
        <v>0</v>
      </c>
      <c r="P116" s="134" t="n">
        <f aca="false">IF(IFERROR(INDEX(tsk_Name,GanttView[[#This Row],[_Row]])="",TRUE()),0,IF(AND(INDEX(tsk_IsLeaf,GanttView[[#This Row],[_Row]])=1,NOT(GanttView[[#This Row],[_IsMilestone]]),N(GanttView[[#This Row],[%]])&gt;0),GanttView[[#This Row],[Forecast Start]],0))</f>
        <v>0</v>
      </c>
      <c r="Q116" s="134" t="n">
        <f aca="false">IF(GanttView[[#This Row],[_DoneFrom]]=0,0,IF(GanttView[[#This Row],[%]]&gt;=1,GanttView[[#This Row],[Forecast Finish]],MAX(GanttView[[#This Row],[_DoneFrom]],GanttView[[#This Row],[Forecast Start]]+ROUND((GanttView[[#This Row],[Forecast Finish]]-GanttView[[#This Row],[Forecast Start]]+1)*GanttView[[#This Row],[%]],0)-1)))</f>
        <v>0</v>
      </c>
      <c r="R116" s="134" t="n">
        <f aca="false">IF(IFERROR(INDEX(tsk_Name,GanttView[[#This Row],[_Row]])="",TRUE()),0,IF(OR(INDEX(tsk_IsLeaf,GanttView[[#This Row],[_Row]])&lt;&gt;1,GanttView[[#This Row],[_IsMilestone]],N(GanttView[[#This Row],[%]])&gt;=1),0,IF(GanttView[[#This Row],[_DoneTo]]&gt;0,GanttView[[#This Row],[_DoneTo]]+1,GanttView[[#This Row],[Forecast Start]])))</f>
        <v>0</v>
      </c>
      <c r="S116" s="134" t="n">
        <f aca="false">IF(GanttView[[#This Row],[_RemFrom]]=0,0,GanttView[[#This Row],[Forecast Finish]])</f>
        <v>0</v>
      </c>
      <c r="T116" s="133" t="b">
        <f aca="false">IF(IFERROR(INDEX(tsk_Name,GanttView[[#This Row],[_Row]])="",TRUE()),FALSE(),N(INDEX(tsk_Variance,GanttView[[#This Row],[_Row]]))&gt;0)</f>
        <v>0</v>
      </c>
      <c r="U116" s="134" t="n">
        <f aca="false">IF(IFERROR(INDEX(tsk_Name,GanttView[[#This Row],[_Row]])="",TRUE()),0,N(INDEX(tsk_Deadline,GanttView[[#This Row],[_Row]])))</f>
        <v>0</v>
      </c>
      <c r="V116" s="133" t="b">
        <f aca="false">IF(IFERROR(INDEX(tsk_Name,GanttView[[#This Row],[_Row]])="",TRUE()),FALSE(),INDEX(tsk_Critical,GanttView[[#This Row],[_Row]])="Yes")</f>
        <v>0</v>
      </c>
    </row>
    <row r="117" customFormat="false" ht="15" hidden="false" customHeight="false" outlineLevel="0" collapsed="false">
      <c r="A117" s="127" t="str">
        <f aca="false">IF(IFERROR(INDEX(tsk_Name,GanttView[[#This Row],[_Row]])="",TRUE()),"",INDEX(tsk_ID,GanttView[[#This Row],[_Row]]))</f>
        <v/>
      </c>
      <c r="B117" s="127" t="str">
        <f aca="false">IF(IFERROR(INDEX(tsk_Name,GanttView[[#This Row],[_Row]])="",TRUE()),"",INDEX(tsk_WBS,GanttView[[#This Row],[_Row]]))</f>
        <v/>
      </c>
      <c r="C117" s="128" t="str">
        <f aca="false">IF(IFERROR(INDEX(tsk_Name,GanttView[[#This Row],[_Row]])="",TRUE()),"",REPT("    ",INDEX(tsk_Level,GanttView[[#This Row],[_Row]])-1)&amp;INDEX(tsk_Name,GanttView[[#This Row],[_Row]]))</f>
        <v/>
      </c>
      <c r="D117" s="127" t="str">
        <f aca="false">IF(IFERROR(INDEX(tsk_Name,GanttView[[#This Row],[_Row]])="",TRUE()),"",IF(INDEX(tsk_IsSummary,GanttView[[#This Row],[_Row]]),NETWORKDAYS.INTL(INDEX(tsk_FcStart,GanttView[[#This Row],[_Row]]),INDEX(tsk_FcFinish,GanttView[[#This Row],[_Row]]),WorkWeek,Holidays),N(INDEX(tsk_Duration,GanttView[[#This Row],[_Row]]))))</f>
        <v/>
      </c>
      <c r="E117" s="129" t="str">
        <f aca="false">IF(IFERROR(INDEX(tsk_Name,GanttView[[#This Row],[_Row]])="",TRUE()),"",INDEX(tsk_PlanStart,GanttView[[#This Row],[_Row]]))</f>
        <v/>
      </c>
      <c r="F117" s="129" t="str">
        <f aca="false">IF(IFERROR(INDEX(tsk_Name,GanttView[[#This Row],[_Row]])="",TRUE()),"",INDEX(tsk_PlanFinish,GanttView[[#This Row],[_Row]]))</f>
        <v/>
      </c>
      <c r="G117" s="129" t="str">
        <f aca="false">IF(IFERROR(INDEX(tsk_Name,GanttView[[#This Row],[_Row]])="",TRUE()),"",INDEX(tsk_FcStart,GanttView[[#This Row],[_Row]]))</f>
        <v/>
      </c>
      <c r="H117" s="129" t="str">
        <f aca="false">IF(IFERROR(INDEX(tsk_Name,GanttView[[#This Row],[_Row]])="",TRUE()),"",INDEX(tsk_FcFinish,GanttView[[#This Row],[_Row]]))</f>
        <v/>
      </c>
      <c r="I117" s="130" t="str">
        <f aca="false">IF(IFERROR(INDEX(tsk_Name,GanttView[[#This Row],[_Row]])="",TRUE()),"",INDEX(tsk_Progress,GanttView[[#This Row],[_Row]]))</f>
        <v/>
      </c>
      <c r="J117" s="128" t="str">
        <f aca="false">IF(IFERROR(INDEX(tsk_Name,GanttView[[#This Row],[_Row]])="",TRUE()),"",INDEX(tsk_ResourceNames,GanttView[[#This Row],[_Row]])&amp;"")</f>
        <v/>
      </c>
      <c r="K117" s="131" t="str">
        <f aca="false">IF(IFERROR(INDEX(tsk_Name,GanttView[[#This Row],[_Row]])="",TRUE()),"",INDEX(tsk_Status,GanttView[[#This Row],[_Row]]))</f>
        <v/>
      </c>
      <c r="L117" s="131" t="str">
        <f aca="false">IF(IFERROR(INDEX(tsk_Name,GanttView[[#This Row],[_Row]])="",TRUE()),"",INDEX(tsk_Show,GanttView[[#This Row],[_Row]])&amp;"")</f>
        <v/>
      </c>
      <c r="M117" s="132" t="n">
        <f aca="false">ROW()-ROW(GanttView[[#Headers],[ID]])</f>
        <v>112</v>
      </c>
      <c r="N117" s="133" t="b">
        <f aca="false">IF(IFERROR(INDEX(tsk_Name,GanttView[[#This Row],[_Row]])="",TRUE()),FALSE(),INDEX(tsk_IsSummary,GanttView[[#This Row],[_Row]]))</f>
        <v>0</v>
      </c>
      <c r="O117" s="133" t="b">
        <f aca="false">IF(IFERROR(INDEX(tsk_Name,GanttView[[#This Row],[_Row]])="",TRUE()),FALSE(),AND(INDEX(tsk_IsLeaf,GanttView[[#This Row],[_Row]])=1,N(INDEX(tsk_Duration,GanttView[[#This Row],[_Row]]))=0))</f>
        <v>0</v>
      </c>
      <c r="P117" s="134" t="n">
        <f aca="false">IF(IFERROR(INDEX(tsk_Name,GanttView[[#This Row],[_Row]])="",TRUE()),0,IF(AND(INDEX(tsk_IsLeaf,GanttView[[#This Row],[_Row]])=1,NOT(GanttView[[#This Row],[_IsMilestone]]),N(GanttView[[#This Row],[%]])&gt;0),GanttView[[#This Row],[Forecast Start]],0))</f>
        <v>0</v>
      </c>
      <c r="Q117" s="134" t="n">
        <f aca="false">IF(GanttView[[#This Row],[_DoneFrom]]=0,0,IF(GanttView[[#This Row],[%]]&gt;=1,GanttView[[#This Row],[Forecast Finish]],MAX(GanttView[[#This Row],[_DoneFrom]],GanttView[[#This Row],[Forecast Start]]+ROUND((GanttView[[#This Row],[Forecast Finish]]-GanttView[[#This Row],[Forecast Start]]+1)*GanttView[[#This Row],[%]],0)-1)))</f>
        <v>0</v>
      </c>
      <c r="R117" s="134" t="n">
        <f aca="false">IF(IFERROR(INDEX(tsk_Name,GanttView[[#This Row],[_Row]])="",TRUE()),0,IF(OR(INDEX(tsk_IsLeaf,GanttView[[#This Row],[_Row]])&lt;&gt;1,GanttView[[#This Row],[_IsMilestone]],N(GanttView[[#This Row],[%]])&gt;=1),0,IF(GanttView[[#This Row],[_DoneTo]]&gt;0,GanttView[[#This Row],[_DoneTo]]+1,GanttView[[#This Row],[Forecast Start]])))</f>
        <v>0</v>
      </c>
      <c r="S117" s="134" t="n">
        <f aca="false">IF(GanttView[[#This Row],[_RemFrom]]=0,0,GanttView[[#This Row],[Forecast Finish]])</f>
        <v>0</v>
      </c>
      <c r="T117" s="133" t="b">
        <f aca="false">IF(IFERROR(INDEX(tsk_Name,GanttView[[#This Row],[_Row]])="",TRUE()),FALSE(),N(INDEX(tsk_Variance,GanttView[[#This Row],[_Row]]))&gt;0)</f>
        <v>0</v>
      </c>
      <c r="U117" s="134" t="n">
        <f aca="false">IF(IFERROR(INDEX(tsk_Name,GanttView[[#This Row],[_Row]])="",TRUE()),0,N(INDEX(tsk_Deadline,GanttView[[#This Row],[_Row]])))</f>
        <v>0</v>
      </c>
      <c r="V117" s="133" t="b">
        <f aca="false">IF(IFERROR(INDEX(tsk_Name,GanttView[[#This Row],[_Row]])="",TRUE()),FALSE(),INDEX(tsk_Critical,GanttView[[#This Row],[_Row]])="Yes")</f>
        <v>0</v>
      </c>
    </row>
    <row r="118" customFormat="false" ht="15" hidden="false" customHeight="false" outlineLevel="0" collapsed="false">
      <c r="A118" s="127" t="str">
        <f aca="false">IF(IFERROR(INDEX(tsk_Name,GanttView[[#This Row],[_Row]])="",TRUE()),"",INDEX(tsk_ID,GanttView[[#This Row],[_Row]]))</f>
        <v/>
      </c>
      <c r="B118" s="127" t="str">
        <f aca="false">IF(IFERROR(INDEX(tsk_Name,GanttView[[#This Row],[_Row]])="",TRUE()),"",INDEX(tsk_WBS,GanttView[[#This Row],[_Row]]))</f>
        <v/>
      </c>
      <c r="C118" s="128" t="str">
        <f aca="false">IF(IFERROR(INDEX(tsk_Name,GanttView[[#This Row],[_Row]])="",TRUE()),"",REPT("    ",INDEX(tsk_Level,GanttView[[#This Row],[_Row]])-1)&amp;INDEX(tsk_Name,GanttView[[#This Row],[_Row]]))</f>
        <v/>
      </c>
      <c r="D118" s="127" t="str">
        <f aca="false">IF(IFERROR(INDEX(tsk_Name,GanttView[[#This Row],[_Row]])="",TRUE()),"",IF(INDEX(tsk_IsSummary,GanttView[[#This Row],[_Row]]),NETWORKDAYS.INTL(INDEX(tsk_FcStart,GanttView[[#This Row],[_Row]]),INDEX(tsk_FcFinish,GanttView[[#This Row],[_Row]]),WorkWeek,Holidays),N(INDEX(tsk_Duration,GanttView[[#This Row],[_Row]]))))</f>
        <v/>
      </c>
      <c r="E118" s="129" t="str">
        <f aca="false">IF(IFERROR(INDEX(tsk_Name,GanttView[[#This Row],[_Row]])="",TRUE()),"",INDEX(tsk_PlanStart,GanttView[[#This Row],[_Row]]))</f>
        <v/>
      </c>
      <c r="F118" s="129" t="str">
        <f aca="false">IF(IFERROR(INDEX(tsk_Name,GanttView[[#This Row],[_Row]])="",TRUE()),"",INDEX(tsk_PlanFinish,GanttView[[#This Row],[_Row]]))</f>
        <v/>
      </c>
      <c r="G118" s="129" t="str">
        <f aca="false">IF(IFERROR(INDEX(tsk_Name,GanttView[[#This Row],[_Row]])="",TRUE()),"",INDEX(tsk_FcStart,GanttView[[#This Row],[_Row]]))</f>
        <v/>
      </c>
      <c r="H118" s="129" t="str">
        <f aca="false">IF(IFERROR(INDEX(tsk_Name,GanttView[[#This Row],[_Row]])="",TRUE()),"",INDEX(tsk_FcFinish,GanttView[[#This Row],[_Row]]))</f>
        <v/>
      </c>
      <c r="I118" s="130" t="str">
        <f aca="false">IF(IFERROR(INDEX(tsk_Name,GanttView[[#This Row],[_Row]])="",TRUE()),"",INDEX(tsk_Progress,GanttView[[#This Row],[_Row]]))</f>
        <v/>
      </c>
      <c r="J118" s="128" t="str">
        <f aca="false">IF(IFERROR(INDEX(tsk_Name,GanttView[[#This Row],[_Row]])="",TRUE()),"",INDEX(tsk_ResourceNames,GanttView[[#This Row],[_Row]])&amp;"")</f>
        <v/>
      </c>
      <c r="K118" s="131" t="str">
        <f aca="false">IF(IFERROR(INDEX(tsk_Name,GanttView[[#This Row],[_Row]])="",TRUE()),"",INDEX(tsk_Status,GanttView[[#This Row],[_Row]]))</f>
        <v/>
      </c>
      <c r="L118" s="131" t="str">
        <f aca="false">IF(IFERROR(INDEX(tsk_Name,GanttView[[#This Row],[_Row]])="",TRUE()),"",INDEX(tsk_Show,GanttView[[#This Row],[_Row]])&amp;"")</f>
        <v/>
      </c>
      <c r="M118" s="132" t="n">
        <f aca="false">ROW()-ROW(GanttView[[#Headers],[ID]])</f>
        <v>113</v>
      </c>
      <c r="N118" s="133" t="b">
        <f aca="false">IF(IFERROR(INDEX(tsk_Name,GanttView[[#This Row],[_Row]])="",TRUE()),FALSE(),INDEX(tsk_IsSummary,GanttView[[#This Row],[_Row]]))</f>
        <v>0</v>
      </c>
      <c r="O118" s="133" t="b">
        <f aca="false">IF(IFERROR(INDEX(tsk_Name,GanttView[[#This Row],[_Row]])="",TRUE()),FALSE(),AND(INDEX(tsk_IsLeaf,GanttView[[#This Row],[_Row]])=1,N(INDEX(tsk_Duration,GanttView[[#This Row],[_Row]]))=0))</f>
        <v>0</v>
      </c>
      <c r="P118" s="134" t="n">
        <f aca="false">IF(IFERROR(INDEX(tsk_Name,GanttView[[#This Row],[_Row]])="",TRUE()),0,IF(AND(INDEX(tsk_IsLeaf,GanttView[[#This Row],[_Row]])=1,NOT(GanttView[[#This Row],[_IsMilestone]]),N(GanttView[[#This Row],[%]])&gt;0),GanttView[[#This Row],[Forecast Start]],0))</f>
        <v>0</v>
      </c>
      <c r="Q118" s="134" t="n">
        <f aca="false">IF(GanttView[[#This Row],[_DoneFrom]]=0,0,IF(GanttView[[#This Row],[%]]&gt;=1,GanttView[[#This Row],[Forecast Finish]],MAX(GanttView[[#This Row],[_DoneFrom]],GanttView[[#This Row],[Forecast Start]]+ROUND((GanttView[[#This Row],[Forecast Finish]]-GanttView[[#This Row],[Forecast Start]]+1)*GanttView[[#This Row],[%]],0)-1)))</f>
        <v>0</v>
      </c>
      <c r="R118" s="134" t="n">
        <f aca="false">IF(IFERROR(INDEX(tsk_Name,GanttView[[#This Row],[_Row]])="",TRUE()),0,IF(OR(INDEX(tsk_IsLeaf,GanttView[[#This Row],[_Row]])&lt;&gt;1,GanttView[[#This Row],[_IsMilestone]],N(GanttView[[#This Row],[%]])&gt;=1),0,IF(GanttView[[#This Row],[_DoneTo]]&gt;0,GanttView[[#This Row],[_DoneTo]]+1,GanttView[[#This Row],[Forecast Start]])))</f>
        <v>0</v>
      </c>
      <c r="S118" s="134" t="n">
        <f aca="false">IF(GanttView[[#This Row],[_RemFrom]]=0,0,GanttView[[#This Row],[Forecast Finish]])</f>
        <v>0</v>
      </c>
      <c r="T118" s="133" t="b">
        <f aca="false">IF(IFERROR(INDEX(tsk_Name,GanttView[[#This Row],[_Row]])="",TRUE()),FALSE(),N(INDEX(tsk_Variance,GanttView[[#This Row],[_Row]]))&gt;0)</f>
        <v>0</v>
      </c>
      <c r="U118" s="134" t="n">
        <f aca="false">IF(IFERROR(INDEX(tsk_Name,GanttView[[#This Row],[_Row]])="",TRUE()),0,N(INDEX(tsk_Deadline,GanttView[[#This Row],[_Row]])))</f>
        <v>0</v>
      </c>
      <c r="V118" s="133" t="b">
        <f aca="false">IF(IFERROR(INDEX(tsk_Name,GanttView[[#This Row],[_Row]])="",TRUE()),FALSE(),INDEX(tsk_Critical,GanttView[[#This Row],[_Row]])="Yes")</f>
        <v>0</v>
      </c>
    </row>
    <row r="119" customFormat="false" ht="15" hidden="false" customHeight="false" outlineLevel="0" collapsed="false">
      <c r="A119" s="127" t="str">
        <f aca="false">IF(IFERROR(INDEX(tsk_Name,GanttView[[#This Row],[_Row]])="",TRUE()),"",INDEX(tsk_ID,GanttView[[#This Row],[_Row]]))</f>
        <v/>
      </c>
      <c r="B119" s="127" t="str">
        <f aca="false">IF(IFERROR(INDEX(tsk_Name,GanttView[[#This Row],[_Row]])="",TRUE()),"",INDEX(tsk_WBS,GanttView[[#This Row],[_Row]]))</f>
        <v/>
      </c>
      <c r="C119" s="128" t="str">
        <f aca="false">IF(IFERROR(INDEX(tsk_Name,GanttView[[#This Row],[_Row]])="",TRUE()),"",REPT("    ",INDEX(tsk_Level,GanttView[[#This Row],[_Row]])-1)&amp;INDEX(tsk_Name,GanttView[[#This Row],[_Row]]))</f>
        <v/>
      </c>
      <c r="D119" s="127" t="str">
        <f aca="false">IF(IFERROR(INDEX(tsk_Name,GanttView[[#This Row],[_Row]])="",TRUE()),"",IF(INDEX(tsk_IsSummary,GanttView[[#This Row],[_Row]]),NETWORKDAYS.INTL(INDEX(tsk_FcStart,GanttView[[#This Row],[_Row]]),INDEX(tsk_FcFinish,GanttView[[#This Row],[_Row]]),WorkWeek,Holidays),N(INDEX(tsk_Duration,GanttView[[#This Row],[_Row]]))))</f>
        <v/>
      </c>
      <c r="E119" s="129" t="str">
        <f aca="false">IF(IFERROR(INDEX(tsk_Name,GanttView[[#This Row],[_Row]])="",TRUE()),"",INDEX(tsk_PlanStart,GanttView[[#This Row],[_Row]]))</f>
        <v/>
      </c>
      <c r="F119" s="129" t="str">
        <f aca="false">IF(IFERROR(INDEX(tsk_Name,GanttView[[#This Row],[_Row]])="",TRUE()),"",INDEX(tsk_PlanFinish,GanttView[[#This Row],[_Row]]))</f>
        <v/>
      </c>
      <c r="G119" s="129" t="str">
        <f aca="false">IF(IFERROR(INDEX(tsk_Name,GanttView[[#This Row],[_Row]])="",TRUE()),"",INDEX(tsk_FcStart,GanttView[[#This Row],[_Row]]))</f>
        <v/>
      </c>
      <c r="H119" s="129" t="str">
        <f aca="false">IF(IFERROR(INDEX(tsk_Name,GanttView[[#This Row],[_Row]])="",TRUE()),"",INDEX(tsk_FcFinish,GanttView[[#This Row],[_Row]]))</f>
        <v/>
      </c>
      <c r="I119" s="130" t="str">
        <f aca="false">IF(IFERROR(INDEX(tsk_Name,GanttView[[#This Row],[_Row]])="",TRUE()),"",INDEX(tsk_Progress,GanttView[[#This Row],[_Row]]))</f>
        <v/>
      </c>
      <c r="J119" s="128" t="str">
        <f aca="false">IF(IFERROR(INDEX(tsk_Name,GanttView[[#This Row],[_Row]])="",TRUE()),"",INDEX(tsk_ResourceNames,GanttView[[#This Row],[_Row]])&amp;"")</f>
        <v/>
      </c>
      <c r="K119" s="131" t="str">
        <f aca="false">IF(IFERROR(INDEX(tsk_Name,GanttView[[#This Row],[_Row]])="",TRUE()),"",INDEX(tsk_Status,GanttView[[#This Row],[_Row]]))</f>
        <v/>
      </c>
      <c r="L119" s="131" t="str">
        <f aca="false">IF(IFERROR(INDEX(tsk_Name,GanttView[[#This Row],[_Row]])="",TRUE()),"",INDEX(tsk_Show,GanttView[[#This Row],[_Row]])&amp;"")</f>
        <v/>
      </c>
      <c r="M119" s="132" t="n">
        <f aca="false">ROW()-ROW(GanttView[[#Headers],[ID]])</f>
        <v>114</v>
      </c>
      <c r="N119" s="133" t="b">
        <f aca="false">IF(IFERROR(INDEX(tsk_Name,GanttView[[#This Row],[_Row]])="",TRUE()),FALSE(),INDEX(tsk_IsSummary,GanttView[[#This Row],[_Row]]))</f>
        <v>0</v>
      </c>
      <c r="O119" s="133" t="b">
        <f aca="false">IF(IFERROR(INDEX(tsk_Name,GanttView[[#This Row],[_Row]])="",TRUE()),FALSE(),AND(INDEX(tsk_IsLeaf,GanttView[[#This Row],[_Row]])=1,N(INDEX(tsk_Duration,GanttView[[#This Row],[_Row]]))=0))</f>
        <v>0</v>
      </c>
      <c r="P119" s="134" t="n">
        <f aca="false">IF(IFERROR(INDEX(tsk_Name,GanttView[[#This Row],[_Row]])="",TRUE()),0,IF(AND(INDEX(tsk_IsLeaf,GanttView[[#This Row],[_Row]])=1,NOT(GanttView[[#This Row],[_IsMilestone]]),N(GanttView[[#This Row],[%]])&gt;0),GanttView[[#This Row],[Forecast Start]],0))</f>
        <v>0</v>
      </c>
      <c r="Q119" s="134" t="n">
        <f aca="false">IF(GanttView[[#This Row],[_DoneFrom]]=0,0,IF(GanttView[[#This Row],[%]]&gt;=1,GanttView[[#This Row],[Forecast Finish]],MAX(GanttView[[#This Row],[_DoneFrom]],GanttView[[#This Row],[Forecast Start]]+ROUND((GanttView[[#This Row],[Forecast Finish]]-GanttView[[#This Row],[Forecast Start]]+1)*GanttView[[#This Row],[%]],0)-1)))</f>
        <v>0</v>
      </c>
      <c r="R119" s="134" t="n">
        <f aca="false">IF(IFERROR(INDEX(tsk_Name,GanttView[[#This Row],[_Row]])="",TRUE()),0,IF(OR(INDEX(tsk_IsLeaf,GanttView[[#This Row],[_Row]])&lt;&gt;1,GanttView[[#This Row],[_IsMilestone]],N(GanttView[[#This Row],[%]])&gt;=1),0,IF(GanttView[[#This Row],[_DoneTo]]&gt;0,GanttView[[#This Row],[_DoneTo]]+1,GanttView[[#This Row],[Forecast Start]])))</f>
        <v>0</v>
      </c>
      <c r="S119" s="134" t="n">
        <f aca="false">IF(GanttView[[#This Row],[_RemFrom]]=0,0,GanttView[[#This Row],[Forecast Finish]])</f>
        <v>0</v>
      </c>
      <c r="T119" s="133" t="b">
        <f aca="false">IF(IFERROR(INDEX(tsk_Name,GanttView[[#This Row],[_Row]])="",TRUE()),FALSE(),N(INDEX(tsk_Variance,GanttView[[#This Row],[_Row]]))&gt;0)</f>
        <v>0</v>
      </c>
      <c r="U119" s="134" t="n">
        <f aca="false">IF(IFERROR(INDEX(tsk_Name,GanttView[[#This Row],[_Row]])="",TRUE()),0,N(INDEX(tsk_Deadline,GanttView[[#This Row],[_Row]])))</f>
        <v>0</v>
      </c>
      <c r="V119" s="133" t="b">
        <f aca="false">IF(IFERROR(INDEX(tsk_Name,GanttView[[#This Row],[_Row]])="",TRUE()),FALSE(),INDEX(tsk_Critical,GanttView[[#This Row],[_Row]])="Yes")</f>
        <v>0</v>
      </c>
    </row>
    <row r="120" customFormat="false" ht="15" hidden="false" customHeight="false" outlineLevel="0" collapsed="false">
      <c r="A120" s="127" t="str">
        <f aca="false">IF(IFERROR(INDEX(tsk_Name,GanttView[[#This Row],[_Row]])="",TRUE()),"",INDEX(tsk_ID,GanttView[[#This Row],[_Row]]))</f>
        <v/>
      </c>
      <c r="B120" s="127" t="str">
        <f aca="false">IF(IFERROR(INDEX(tsk_Name,GanttView[[#This Row],[_Row]])="",TRUE()),"",INDEX(tsk_WBS,GanttView[[#This Row],[_Row]]))</f>
        <v/>
      </c>
      <c r="C120" s="128" t="str">
        <f aca="false">IF(IFERROR(INDEX(tsk_Name,GanttView[[#This Row],[_Row]])="",TRUE()),"",REPT("    ",INDEX(tsk_Level,GanttView[[#This Row],[_Row]])-1)&amp;INDEX(tsk_Name,GanttView[[#This Row],[_Row]]))</f>
        <v/>
      </c>
      <c r="D120" s="127" t="str">
        <f aca="false">IF(IFERROR(INDEX(tsk_Name,GanttView[[#This Row],[_Row]])="",TRUE()),"",IF(INDEX(tsk_IsSummary,GanttView[[#This Row],[_Row]]),NETWORKDAYS.INTL(INDEX(tsk_FcStart,GanttView[[#This Row],[_Row]]),INDEX(tsk_FcFinish,GanttView[[#This Row],[_Row]]),WorkWeek,Holidays),N(INDEX(tsk_Duration,GanttView[[#This Row],[_Row]]))))</f>
        <v/>
      </c>
      <c r="E120" s="129" t="str">
        <f aca="false">IF(IFERROR(INDEX(tsk_Name,GanttView[[#This Row],[_Row]])="",TRUE()),"",INDEX(tsk_PlanStart,GanttView[[#This Row],[_Row]]))</f>
        <v/>
      </c>
      <c r="F120" s="129" t="str">
        <f aca="false">IF(IFERROR(INDEX(tsk_Name,GanttView[[#This Row],[_Row]])="",TRUE()),"",INDEX(tsk_PlanFinish,GanttView[[#This Row],[_Row]]))</f>
        <v/>
      </c>
      <c r="G120" s="129" t="str">
        <f aca="false">IF(IFERROR(INDEX(tsk_Name,GanttView[[#This Row],[_Row]])="",TRUE()),"",INDEX(tsk_FcStart,GanttView[[#This Row],[_Row]]))</f>
        <v/>
      </c>
      <c r="H120" s="129" t="str">
        <f aca="false">IF(IFERROR(INDEX(tsk_Name,GanttView[[#This Row],[_Row]])="",TRUE()),"",INDEX(tsk_FcFinish,GanttView[[#This Row],[_Row]]))</f>
        <v/>
      </c>
      <c r="I120" s="130" t="str">
        <f aca="false">IF(IFERROR(INDEX(tsk_Name,GanttView[[#This Row],[_Row]])="",TRUE()),"",INDEX(tsk_Progress,GanttView[[#This Row],[_Row]]))</f>
        <v/>
      </c>
      <c r="J120" s="128" t="str">
        <f aca="false">IF(IFERROR(INDEX(tsk_Name,GanttView[[#This Row],[_Row]])="",TRUE()),"",INDEX(tsk_ResourceNames,GanttView[[#This Row],[_Row]])&amp;"")</f>
        <v/>
      </c>
      <c r="K120" s="131" t="str">
        <f aca="false">IF(IFERROR(INDEX(tsk_Name,GanttView[[#This Row],[_Row]])="",TRUE()),"",INDEX(tsk_Status,GanttView[[#This Row],[_Row]]))</f>
        <v/>
      </c>
      <c r="L120" s="131" t="str">
        <f aca="false">IF(IFERROR(INDEX(tsk_Name,GanttView[[#This Row],[_Row]])="",TRUE()),"",INDEX(tsk_Show,GanttView[[#This Row],[_Row]])&amp;"")</f>
        <v/>
      </c>
      <c r="M120" s="132" t="n">
        <f aca="false">ROW()-ROW(GanttView[[#Headers],[ID]])</f>
        <v>115</v>
      </c>
      <c r="N120" s="133" t="b">
        <f aca="false">IF(IFERROR(INDEX(tsk_Name,GanttView[[#This Row],[_Row]])="",TRUE()),FALSE(),INDEX(tsk_IsSummary,GanttView[[#This Row],[_Row]]))</f>
        <v>0</v>
      </c>
      <c r="O120" s="133" t="b">
        <f aca="false">IF(IFERROR(INDEX(tsk_Name,GanttView[[#This Row],[_Row]])="",TRUE()),FALSE(),AND(INDEX(tsk_IsLeaf,GanttView[[#This Row],[_Row]])=1,N(INDEX(tsk_Duration,GanttView[[#This Row],[_Row]]))=0))</f>
        <v>0</v>
      </c>
      <c r="P120" s="134" t="n">
        <f aca="false">IF(IFERROR(INDEX(tsk_Name,GanttView[[#This Row],[_Row]])="",TRUE()),0,IF(AND(INDEX(tsk_IsLeaf,GanttView[[#This Row],[_Row]])=1,NOT(GanttView[[#This Row],[_IsMilestone]]),N(GanttView[[#This Row],[%]])&gt;0),GanttView[[#This Row],[Forecast Start]],0))</f>
        <v>0</v>
      </c>
      <c r="Q120" s="134" t="n">
        <f aca="false">IF(GanttView[[#This Row],[_DoneFrom]]=0,0,IF(GanttView[[#This Row],[%]]&gt;=1,GanttView[[#This Row],[Forecast Finish]],MAX(GanttView[[#This Row],[_DoneFrom]],GanttView[[#This Row],[Forecast Start]]+ROUND((GanttView[[#This Row],[Forecast Finish]]-GanttView[[#This Row],[Forecast Start]]+1)*GanttView[[#This Row],[%]],0)-1)))</f>
        <v>0</v>
      </c>
      <c r="R120" s="134" t="n">
        <f aca="false">IF(IFERROR(INDEX(tsk_Name,GanttView[[#This Row],[_Row]])="",TRUE()),0,IF(OR(INDEX(tsk_IsLeaf,GanttView[[#This Row],[_Row]])&lt;&gt;1,GanttView[[#This Row],[_IsMilestone]],N(GanttView[[#This Row],[%]])&gt;=1),0,IF(GanttView[[#This Row],[_DoneTo]]&gt;0,GanttView[[#This Row],[_DoneTo]]+1,GanttView[[#This Row],[Forecast Start]])))</f>
        <v>0</v>
      </c>
      <c r="S120" s="134" t="n">
        <f aca="false">IF(GanttView[[#This Row],[_RemFrom]]=0,0,GanttView[[#This Row],[Forecast Finish]])</f>
        <v>0</v>
      </c>
      <c r="T120" s="133" t="b">
        <f aca="false">IF(IFERROR(INDEX(tsk_Name,GanttView[[#This Row],[_Row]])="",TRUE()),FALSE(),N(INDEX(tsk_Variance,GanttView[[#This Row],[_Row]]))&gt;0)</f>
        <v>0</v>
      </c>
      <c r="U120" s="134" t="n">
        <f aca="false">IF(IFERROR(INDEX(tsk_Name,GanttView[[#This Row],[_Row]])="",TRUE()),0,N(INDEX(tsk_Deadline,GanttView[[#This Row],[_Row]])))</f>
        <v>0</v>
      </c>
      <c r="V120" s="133" t="b">
        <f aca="false">IF(IFERROR(INDEX(tsk_Name,GanttView[[#This Row],[_Row]])="",TRUE()),FALSE(),INDEX(tsk_Critical,GanttView[[#This Row],[_Row]])="Yes")</f>
        <v>0</v>
      </c>
    </row>
    <row r="121" customFormat="false" ht="15" hidden="false" customHeight="false" outlineLevel="0" collapsed="false">
      <c r="A121" s="127" t="str">
        <f aca="false">IF(IFERROR(INDEX(tsk_Name,GanttView[[#This Row],[_Row]])="",TRUE()),"",INDEX(tsk_ID,GanttView[[#This Row],[_Row]]))</f>
        <v/>
      </c>
      <c r="B121" s="127" t="str">
        <f aca="false">IF(IFERROR(INDEX(tsk_Name,GanttView[[#This Row],[_Row]])="",TRUE()),"",INDEX(tsk_WBS,GanttView[[#This Row],[_Row]]))</f>
        <v/>
      </c>
      <c r="C121" s="128" t="str">
        <f aca="false">IF(IFERROR(INDEX(tsk_Name,GanttView[[#This Row],[_Row]])="",TRUE()),"",REPT("    ",INDEX(tsk_Level,GanttView[[#This Row],[_Row]])-1)&amp;INDEX(tsk_Name,GanttView[[#This Row],[_Row]]))</f>
        <v/>
      </c>
      <c r="D121" s="127" t="str">
        <f aca="false">IF(IFERROR(INDEX(tsk_Name,GanttView[[#This Row],[_Row]])="",TRUE()),"",IF(INDEX(tsk_IsSummary,GanttView[[#This Row],[_Row]]),NETWORKDAYS.INTL(INDEX(tsk_FcStart,GanttView[[#This Row],[_Row]]),INDEX(tsk_FcFinish,GanttView[[#This Row],[_Row]]),WorkWeek,Holidays),N(INDEX(tsk_Duration,GanttView[[#This Row],[_Row]]))))</f>
        <v/>
      </c>
      <c r="E121" s="129" t="str">
        <f aca="false">IF(IFERROR(INDEX(tsk_Name,GanttView[[#This Row],[_Row]])="",TRUE()),"",INDEX(tsk_PlanStart,GanttView[[#This Row],[_Row]]))</f>
        <v/>
      </c>
      <c r="F121" s="129" t="str">
        <f aca="false">IF(IFERROR(INDEX(tsk_Name,GanttView[[#This Row],[_Row]])="",TRUE()),"",INDEX(tsk_PlanFinish,GanttView[[#This Row],[_Row]]))</f>
        <v/>
      </c>
      <c r="G121" s="129" t="str">
        <f aca="false">IF(IFERROR(INDEX(tsk_Name,GanttView[[#This Row],[_Row]])="",TRUE()),"",INDEX(tsk_FcStart,GanttView[[#This Row],[_Row]]))</f>
        <v/>
      </c>
      <c r="H121" s="129" t="str">
        <f aca="false">IF(IFERROR(INDEX(tsk_Name,GanttView[[#This Row],[_Row]])="",TRUE()),"",INDEX(tsk_FcFinish,GanttView[[#This Row],[_Row]]))</f>
        <v/>
      </c>
      <c r="I121" s="130" t="str">
        <f aca="false">IF(IFERROR(INDEX(tsk_Name,GanttView[[#This Row],[_Row]])="",TRUE()),"",INDEX(tsk_Progress,GanttView[[#This Row],[_Row]]))</f>
        <v/>
      </c>
      <c r="J121" s="128" t="str">
        <f aca="false">IF(IFERROR(INDEX(tsk_Name,GanttView[[#This Row],[_Row]])="",TRUE()),"",INDEX(tsk_ResourceNames,GanttView[[#This Row],[_Row]])&amp;"")</f>
        <v/>
      </c>
      <c r="K121" s="131" t="str">
        <f aca="false">IF(IFERROR(INDEX(tsk_Name,GanttView[[#This Row],[_Row]])="",TRUE()),"",INDEX(tsk_Status,GanttView[[#This Row],[_Row]]))</f>
        <v/>
      </c>
      <c r="L121" s="131" t="str">
        <f aca="false">IF(IFERROR(INDEX(tsk_Name,GanttView[[#This Row],[_Row]])="",TRUE()),"",INDEX(tsk_Show,GanttView[[#This Row],[_Row]])&amp;"")</f>
        <v/>
      </c>
      <c r="M121" s="132" t="n">
        <f aca="false">ROW()-ROW(GanttView[[#Headers],[ID]])</f>
        <v>116</v>
      </c>
      <c r="N121" s="133" t="b">
        <f aca="false">IF(IFERROR(INDEX(tsk_Name,GanttView[[#This Row],[_Row]])="",TRUE()),FALSE(),INDEX(tsk_IsSummary,GanttView[[#This Row],[_Row]]))</f>
        <v>0</v>
      </c>
      <c r="O121" s="133" t="b">
        <f aca="false">IF(IFERROR(INDEX(tsk_Name,GanttView[[#This Row],[_Row]])="",TRUE()),FALSE(),AND(INDEX(tsk_IsLeaf,GanttView[[#This Row],[_Row]])=1,N(INDEX(tsk_Duration,GanttView[[#This Row],[_Row]]))=0))</f>
        <v>0</v>
      </c>
      <c r="P121" s="134" t="n">
        <f aca="false">IF(IFERROR(INDEX(tsk_Name,GanttView[[#This Row],[_Row]])="",TRUE()),0,IF(AND(INDEX(tsk_IsLeaf,GanttView[[#This Row],[_Row]])=1,NOT(GanttView[[#This Row],[_IsMilestone]]),N(GanttView[[#This Row],[%]])&gt;0),GanttView[[#This Row],[Forecast Start]],0))</f>
        <v>0</v>
      </c>
      <c r="Q121" s="134" t="n">
        <f aca="false">IF(GanttView[[#This Row],[_DoneFrom]]=0,0,IF(GanttView[[#This Row],[%]]&gt;=1,GanttView[[#This Row],[Forecast Finish]],MAX(GanttView[[#This Row],[_DoneFrom]],GanttView[[#This Row],[Forecast Start]]+ROUND((GanttView[[#This Row],[Forecast Finish]]-GanttView[[#This Row],[Forecast Start]]+1)*GanttView[[#This Row],[%]],0)-1)))</f>
        <v>0</v>
      </c>
      <c r="R121" s="134" t="n">
        <f aca="false">IF(IFERROR(INDEX(tsk_Name,GanttView[[#This Row],[_Row]])="",TRUE()),0,IF(OR(INDEX(tsk_IsLeaf,GanttView[[#This Row],[_Row]])&lt;&gt;1,GanttView[[#This Row],[_IsMilestone]],N(GanttView[[#This Row],[%]])&gt;=1),0,IF(GanttView[[#This Row],[_DoneTo]]&gt;0,GanttView[[#This Row],[_DoneTo]]+1,GanttView[[#This Row],[Forecast Start]])))</f>
        <v>0</v>
      </c>
      <c r="S121" s="134" t="n">
        <f aca="false">IF(GanttView[[#This Row],[_RemFrom]]=0,0,GanttView[[#This Row],[Forecast Finish]])</f>
        <v>0</v>
      </c>
      <c r="T121" s="133" t="b">
        <f aca="false">IF(IFERROR(INDEX(tsk_Name,GanttView[[#This Row],[_Row]])="",TRUE()),FALSE(),N(INDEX(tsk_Variance,GanttView[[#This Row],[_Row]]))&gt;0)</f>
        <v>0</v>
      </c>
      <c r="U121" s="134" t="n">
        <f aca="false">IF(IFERROR(INDEX(tsk_Name,GanttView[[#This Row],[_Row]])="",TRUE()),0,N(INDEX(tsk_Deadline,GanttView[[#This Row],[_Row]])))</f>
        <v>0</v>
      </c>
      <c r="V121" s="133" t="b">
        <f aca="false">IF(IFERROR(INDEX(tsk_Name,GanttView[[#This Row],[_Row]])="",TRUE()),FALSE(),INDEX(tsk_Critical,GanttView[[#This Row],[_Row]])="Yes")</f>
        <v>0</v>
      </c>
    </row>
    <row r="122" customFormat="false" ht="15" hidden="false" customHeight="false" outlineLevel="0" collapsed="false">
      <c r="A122" s="127" t="str">
        <f aca="false">IF(IFERROR(INDEX(tsk_Name,GanttView[[#This Row],[_Row]])="",TRUE()),"",INDEX(tsk_ID,GanttView[[#This Row],[_Row]]))</f>
        <v/>
      </c>
      <c r="B122" s="127" t="str">
        <f aca="false">IF(IFERROR(INDEX(tsk_Name,GanttView[[#This Row],[_Row]])="",TRUE()),"",INDEX(tsk_WBS,GanttView[[#This Row],[_Row]]))</f>
        <v/>
      </c>
      <c r="C122" s="128" t="str">
        <f aca="false">IF(IFERROR(INDEX(tsk_Name,GanttView[[#This Row],[_Row]])="",TRUE()),"",REPT("    ",INDEX(tsk_Level,GanttView[[#This Row],[_Row]])-1)&amp;INDEX(tsk_Name,GanttView[[#This Row],[_Row]]))</f>
        <v/>
      </c>
      <c r="D122" s="127" t="str">
        <f aca="false">IF(IFERROR(INDEX(tsk_Name,GanttView[[#This Row],[_Row]])="",TRUE()),"",IF(INDEX(tsk_IsSummary,GanttView[[#This Row],[_Row]]),NETWORKDAYS.INTL(INDEX(tsk_FcStart,GanttView[[#This Row],[_Row]]),INDEX(tsk_FcFinish,GanttView[[#This Row],[_Row]]),WorkWeek,Holidays),N(INDEX(tsk_Duration,GanttView[[#This Row],[_Row]]))))</f>
        <v/>
      </c>
      <c r="E122" s="129" t="str">
        <f aca="false">IF(IFERROR(INDEX(tsk_Name,GanttView[[#This Row],[_Row]])="",TRUE()),"",INDEX(tsk_PlanStart,GanttView[[#This Row],[_Row]]))</f>
        <v/>
      </c>
      <c r="F122" s="129" t="str">
        <f aca="false">IF(IFERROR(INDEX(tsk_Name,GanttView[[#This Row],[_Row]])="",TRUE()),"",INDEX(tsk_PlanFinish,GanttView[[#This Row],[_Row]]))</f>
        <v/>
      </c>
      <c r="G122" s="129" t="str">
        <f aca="false">IF(IFERROR(INDEX(tsk_Name,GanttView[[#This Row],[_Row]])="",TRUE()),"",INDEX(tsk_FcStart,GanttView[[#This Row],[_Row]]))</f>
        <v/>
      </c>
      <c r="H122" s="129" t="str">
        <f aca="false">IF(IFERROR(INDEX(tsk_Name,GanttView[[#This Row],[_Row]])="",TRUE()),"",INDEX(tsk_FcFinish,GanttView[[#This Row],[_Row]]))</f>
        <v/>
      </c>
      <c r="I122" s="130" t="str">
        <f aca="false">IF(IFERROR(INDEX(tsk_Name,GanttView[[#This Row],[_Row]])="",TRUE()),"",INDEX(tsk_Progress,GanttView[[#This Row],[_Row]]))</f>
        <v/>
      </c>
      <c r="J122" s="128" t="str">
        <f aca="false">IF(IFERROR(INDEX(tsk_Name,GanttView[[#This Row],[_Row]])="",TRUE()),"",INDEX(tsk_ResourceNames,GanttView[[#This Row],[_Row]])&amp;"")</f>
        <v/>
      </c>
      <c r="K122" s="131" t="str">
        <f aca="false">IF(IFERROR(INDEX(tsk_Name,GanttView[[#This Row],[_Row]])="",TRUE()),"",INDEX(tsk_Status,GanttView[[#This Row],[_Row]]))</f>
        <v/>
      </c>
      <c r="L122" s="131" t="str">
        <f aca="false">IF(IFERROR(INDEX(tsk_Name,GanttView[[#This Row],[_Row]])="",TRUE()),"",INDEX(tsk_Show,GanttView[[#This Row],[_Row]])&amp;"")</f>
        <v/>
      </c>
      <c r="M122" s="132" t="n">
        <f aca="false">ROW()-ROW(GanttView[[#Headers],[ID]])</f>
        <v>117</v>
      </c>
      <c r="N122" s="133" t="b">
        <f aca="false">IF(IFERROR(INDEX(tsk_Name,GanttView[[#This Row],[_Row]])="",TRUE()),FALSE(),INDEX(tsk_IsSummary,GanttView[[#This Row],[_Row]]))</f>
        <v>0</v>
      </c>
      <c r="O122" s="133" t="b">
        <f aca="false">IF(IFERROR(INDEX(tsk_Name,GanttView[[#This Row],[_Row]])="",TRUE()),FALSE(),AND(INDEX(tsk_IsLeaf,GanttView[[#This Row],[_Row]])=1,N(INDEX(tsk_Duration,GanttView[[#This Row],[_Row]]))=0))</f>
        <v>0</v>
      </c>
      <c r="P122" s="134" t="n">
        <f aca="false">IF(IFERROR(INDEX(tsk_Name,GanttView[[#This Row],[_Row]])="",TRUE()),0,IF(AND(INDEX(tsk_IsLeaf,GanttView[[#This Row],[_Row]])=1,NOT(GanttView[[#This Row],[_IsMilestone]]),N(GanttView[[#This Row],[%]])&gt;0),GanttView[[#This Row],[Forecast Start]],0))</f>
        <v>0</v>
      </c>
      <c r="Q122" s="134" t="n">
        <f aca="false">IF(GanttView[[#This Row],[_DoneFrom]]=0,0,IF(GanttView[[#This Row],[%]]&gt;=1,GanttView[[#This Row],[Forecast Finish]],MAX(GanttView[[#This Row],[_DoneFrom]],GanttView[[#This Row],[Forecast Start]]+ROUND((GanttView[[#This Row],[Forecast Finish]]-GanttView[[#This Row],[Forecast Start]]+1)*GanttView[[#This Row],[%]],0)-1)))</f>
        <v>0</v>
      </c>
      <c r="R122" s="134" t="n">
        <f aca="false">IF(IFERROR(INDEX(tsk_Name,GanttView[[#This Row],[_Row]])="",TRUE()),0,IF(OR(INDEX(tsk_IsLeaf,GanttView[[#This Row],[_Row]])&lt;&gt;1,GanttView[[#This Row],[_IsMilestone]],N(GanttView[[#This Row],[%]])&gt;=1),0,IF(GanttView[[#This Row],[_DoneTo]]&gt;0,GanttView[[#This Row],[_DoneTo]]+1,GanttView[[#This Row],[Forecast Start]])))</f>
        <v>0</v>
      </c>
      <c r="S122" s="134" t="n">
        <f aca="false">IF(GanttView[[#This Row],[_RemFrom]]=0,0,GanttView[[#This Row],[Forecast Finish]])</f>
        <v>0</v>
      </c>
      <c r="T122" s="133" t="b">
        <f aca="false">IF(IFERROR(INDEX(tsk_Name,GanttView[[#This Row],[_Row]])="",TRUE()),FALSE(),N(INDEX(tsk_Variance,GanttView[[#This Row],[_Row]]))&gt;0)</f>
        <v>0</v>
      </c>
      <c r="U122" s="134" t="n">
        <f aca="false">IF(IFERROR(INDEX(tsk_Name,GanttView[[#This Row],[_Row]])="",TRUE()),0,N(INDEX(tsk_Deadline,GanttView[[#This Row],[_Row]])))</f>
        <v>0</v>
      </c>
      <c r="V122" s="133" t="b">
        <f aca="false">IF(IFERROR(INDEX(tsk_Name,GanttView[[#This Row],[_Row]])="",TRUE()),FALSE(),INDEX(tsk_Critical,GanttView[[#This Row],[_Row]])="Yes")</f>
        <v>0</v>
      </c>
    </row>
    <row r="123" customFormat="false" ht="15" hidden="false" customHeight="false" outlineLevel="0" collapsed="false">
      <c r="A123" s="127" t="str">
        <f aca="false">IF(IFERROR(INDEX(tsk_Name,GanttView[[#This Row],[_Row]])="",TRUE()),"",INDEX(tsk_ID,GanttView[[#This Row],[_Row]]))</f>
        <v/>
      </c>
      <c r="B123" s="127" t="str">
        <f aca="false">IF(IFERROR(INDEX(tsk_Name,GanttView[[#This Row],[_Row]])="",TRUE()),"",INDEX(tsk_WBS,GanttView[[#This Row],[_Row]]))</f>
        <v/>
      </c>
      <c r="C123" s="128" t="str">
        <f aca="false">IF(IFERROR(INDEX(tsk_Name,GanttView[[#This Row],[_Row]])="",TRUE()),"",REPT("    ",INDEX(tsk_Level,GanttView[[#This Row],[_Row]])-1)&amp;INDEX(tsk_Name,GanttView[[#This Row],[_Row]]))</f>
        <v/>
      </c>
      <c r="D123" s="127" t="str">
        <f aca="false">IF(IFERROR(INDEX(tsk_Name,GanttView[[#This Row],[_Row]])="",TRUE()),"",IF(INDEX(tsk_IsSummary,GanttView[[#This Row],[_Row]]),NETWORKDAYS.INTL(INDEX(tsk_FcStart,GanttView[[#This Row],[_Row]]),INDEX(tsk_FcFinish,GanttView[[#This Row],[_Row]]),WorkWeek,Holidays),N(INDEX(tsk_Duration,GanttView[[#This Row],[_Row]]))))</f>
        <v/>
      </c>
      <c r="E123" s="129" t="str">
        <f aca="false">IF(IFERROR(INDEX(tsk_Name,GanttView[[#This Row],[_Row]])="",TRUE()),"",INDEX(tsk_PlanStart,GanttView[[#This Row],[_Row]]))</f>
        <v/>
      </c>
      <c r="F123" s="129" t="str">
        <f aca="false">IF(IFERROR(INDEX(tsk_Name,GanttView[[#This Row],[_Row]])="",TRUE()),"",INDEX(tsk_PlanFinish,GanttView[[#This Row],[_Row]]))</f>
        <v/>
      </c>
      <c r="G123" s="129" t="str">
        <f aca="false">IF(IFERROR(INDEX(tsk_Name,GanttView[[#This Row],[_Row]])="",TRUE()),"",INDEX(tsk_FcStart,GanttView[[#This Row],[_Row]]))</f>
        <v/>
      </c>
      <c r="H123" s="129" t="str">
        <f aca="false">IF(IFERROR(INDEX(tsk_Name,GanttView[[#This Row],[_Row]])="",TRUE()),"",INDEX(tsk_FcFinish,GanttView[[#This Row],[_Row]]))</f>
        <v/>
      </c>
      <c r="I123" s="130" t="str">
        <f aca="false">IF(IFERROR(INDEX(tsk_Name,GanttView[[#This Row],[_Row]])="",TRUE()),"",INDEX(tsk_Progress,GanttView[[#This Row],[_Row]]))</f>
        <v/>
      </c>
      <c r="J123" s="128" t="str">
        <f aca="false">IF(IFERROR(INDEX(tsk_Name,GanttView[[#This Row],[_Row]])="",TRUE()),"",INDEX(tsk_ResourceNames,GanttView[[#This Row],[_Row]])&amp;"")</f>
        <v/>
      </c>
      <c r="K123" s="131" t="str">
        <f aca="false">IF(IFERROR(INDEX(tsk_Name,GanttView[[#This Row],[_Row]])="",TRUE()),"",INDEX(tsk_Status,GanttView[[#This Row],[_Row]]))</f>
        <v/>
      </c>
      <c r="L123" s="131" t="str">
        <f aca="false">IF(IFERROR(INDEX(tsk_Name,GanttView[[#This Row],[_Row]])="",TRUE()),"",INDEX(tsk_Show,GanttView[[#This Row],[_Row]])&amp;"")</f>
        <v/>
      </c>
      <c r="M123" s="132" t="n">
        <f aca="false">ROW()-ROW(GanttView[[#Headers],[ID]])</f>
        <v>118</v>
      </c>
      <c r="N123" s="133" t="b">
        <f aca="false">IF(IFERROR(INDEX(tsk_Name,GanttView[[#This Row],[_Row]])="",TRUE()),FALSE(),INDEX(tsk_IsSummary,GanttView[[#This Row],[_Row]]))</f>
        <v>0</v>
      </c>
      <c r="O123" s="133" t="b">
        <f aca="false">IF(IFERROR(INDEX(tsk_Name,GanttView[[#This Row],[_Row]])="",TRUE()),FALSE(),AND(INDEX(tsk_IsLeaf,GanttView[[#This Row],[_Row]])=1,N(INDEX(tsk_Duration,GanttView[[#This Row],[_Row]]))=0))</f>
        <v>0</v>
      </c>
      <c r="P123" s="134" t="n">
        <f aca="false">IF(IFERROR(INDEX(tsk_Name,GanttView[[#This Row],[_Row]])="",TRUE()),0,IF(AND(INDEX(tsk_IsLeaf,GanttView[[#This Row],[_Row]])=1,NOT(GanttView[[#This Row],[_IsMilestone]]),N(GanttView[[#This Row],[%]])&gt;0),GanttView[[#This Row],[Forecast Start]],0))</f>
        <v>0</v>
      </c>
      <c r="Q123" s="134" t="n">
        <f aca="false">IF(GanttView[[#This Row],[_DoneFrom]]=0,0,IF(GanttView[[#This Row],[%]]&gt;=1,GanttView[[#This Row],[Forecast Finish]],MAX(GanttView[[#This Row],[_DoneFrom]],GanttView[[#This Row],[Forecast Start]]+ROUND((GanttView[[#This Row],[Forecast Finish]]-GanttView[[#This Row],[Forecast Start]]+1)*GanttView[[#This Row],[%]],0)-1)))</f>
        <v>0</v>
      </c>
      <c r="R123" s="134" t="n">
        <f aca="false">IF(IFERROR(INDEX(tsk_Name,GanttView[[#This Row],[_Row]])="",TRUE()),0,IF(OR(INDEX(tsk_IsLeaf,GanttView[[#This Row],[_Row]])&lt;&gt;1,GanttView[[#This Row],[_IsMilestone]],N(GanttView[[#This Row],[%]])&gt;=1),0,IF(GanttView[[#This Row],[_DoneTo]]&gt;0,GanttView[[#This Row],[_DoneTo]]+1,GanttView[[#This Row],[Forecast Start]])))</f>
        <v>0</v>
      </c>
      <c r="S123" s="134" t="n">
        <f aca="false">IF(GanttView[[#This Row],[_RemFrom]]=0,0,GanttView[[#This Row],[Forecast Finish]])</f>
        <v>0</v>
      </c>
      <c r="T123" s="133" t="b">
        <f aca="false">IF(IFERROR(INDEX(tsk_Name,GanttView[[#This Row],[_Row]])="",TRUE()),FALSE(),N(INDEX(tsk_Variance,GanttView[[#This Row],[_Row]]))&gt;0)</f>
        <v>0</v>
      </c>
      <c r="U123" s="134" t="n">
        <f aca="false">IF(IFERROR(INDEX(tsk_Name,GanttView[[#This Row],[_Row]])="",TRUE()),0,N(INDEX(tsk_Deadline,GanttView[[#This Row],[_Row]])))</f>
        <v>0</v>
      </c>
      <c r="V123" s="133" t="b">
        <f aca="false">IF(IFERROR(INDEX(tsk_Name,GanttView[[#This Row],[_Row]])="",TRUE()),FALSE(),INDEX(tsk_Critical,GanttView[[#This Row],[_Row]])="Yes")</f>
        <v>0</v>
      </c>
    </row>
    <row r="124" customFormat="false" ht="15" hidden="false" customHeight="false" outlineLevel="0" collapsed="false">
      <c r="A124" s="127" t="str">
        <f aca="false">IF(IFERROR(INDEX(tsk_Name,GanttView[[#This Row],[_Row]])="",TRUE()),"",INDEX(tsk_ID,GanttView[[#This Row],[_Row]]))</f>
        <v/>
      </c>
      <c r="B124" s="127" t="str">
        <f aca="false">IF(IFERROR(INDEX(tsk_Name,GanttView[[#This Row],[_Row]])="",TRUE()),"",INDEX(tsk_WBS,GanttView[[#This Row],[_Row]]))</f>
        <v/>
      </c>
      <c r="C124" s="128" t="str">
        <f aca="false">IF(IFERROR(INDEX(tsk_Name,GanttView[[#This Row],[_Row]])="",TRUE()),"",REPT("    ",INDEX(tsk_Level,GanttView[[#This Row],[_Row]])-1)&amp;INDEX(tsk_Name,GanttView[[#This Row],[_Row]]))</f>
        <v/>
      </c>
      <c r="D124" s="127" t="str">
        <f aca="false">IF(IFERROR(INDEX(tsk_Name,GanttView[[#This Row],[_Row]])="",TRUE()),"",IF(INDEX(tsk_IsSummary,GanttView[[#This Row],[_Row]]),NETWORKDAYS.INTL(INDEX(tsk_FcStart,GanttView[[#This Row],[_Row]]),INDEX(tsk_FcFinish,GanttView[[#This Row],[_Row]]),WorkWeek,Holidays),N(INDEX(tsk_Duration,GanttView[[#This Row],[_Row]]))))</f>
        <v/>
      </c>
      <c r="E124" s="129" t="str">
        <f aca="false">IF(IFERROR(INDEX(tsk_Name,GanttView[[#This Row],[_Row]])="",TRUE()),"",INDEX(tsk_PlanStart,GanttView[[#This Row],[_Row]]))</f>
        <v/>
      </c>
      <c r="F124" s="129" t="str">
        <f aca="false">IF(IFERROR(INDEX(tsk_Name,GanttView[[#This Row],[_Row]])="",TRUE()),"",INDEX(tsk_PlanFinish,GanttView[[#This Row],[_Row]]))</f>
        <v/>
      </c>
      <c r="G124" s="129" t="str">
        <f aca="false">IF(IFERROR(INDEX(tsk_Name,GanttView[[#This Row],[_Row]])="",TRUE()),"",INDEX(tsk_FcStart,GanttView[[#This Row],[_Row]]))</f>
        <v/>
      </c>
      <c r="H124" s="129" t="str">
        <f aca="false">IF(IFERROR(INDEX(tsk_Name,GanttView[[#This Row],[_Row]])="",TRUE()),"",INDEX(tsk_FcFinish,GanttView[[#This Row],[_Row]]))</f>
        <v/>
      </c>
      <c r="I124" s="130" t="str">
        <f aca="false">IF(IFERROR(INDEX(tsk_Name,GanttView[[#This Row],[_Row]])="",TRUE()),"",INDEX(tsk_Progress,GanttView[[#This Row],[_Row]]))</f>
        <v/>
      </c>
      <c r="J124" s="128" t="str">
        <f aca="false">IF(IFERROR(INDEX(tsk_Name,GanttView[[#This Row],[_Row]])="",TRUE()),"",INDEX(tsk_ResourceNames,GanttView[[#This Row],[_Row]])&amp;"")</f>
        <v/>
      </c>
      <c r="K124" s="131" t="str">
        <f aca="false">IF(IFERROR(INDEX(tsk_Name,GanttView[[#This Row],[_Row]])="",TRUE()),"",INDEX(tsk_Status,GanttView[[#This Row],[_Row]]))</f>
        <v/>
      </c>
      <c r="L124" s="131" t="str">
        <f aca="false">IF(IFERROR(INDEX(tsk_Name,GanttView[[#This Row],[_Row]])="",TRUE()),"",INDEX(tsk_Show,GanttView[[#This Row],[_Row]])&amp;"")</f>
        <v/>
      </c>
      <c r="M124" s="132" t="n">
        <f aca="false">ROW()-ROW(GanttView[[#Headers],[ID]])</f>
        <v>119</v>
      </c>
      <c r="N124" s="133" t="b">
        <f aca="false">IF(IFERROR(INDEX(tsk_Name,GanttView[[#This Row],[_Row]])="",TRUE()),FALSE(),INDEX(tsk_IsSummary,GanttView[[#This Row],[_Row]]))</f>
        <v>0</v>
      </c>
      <c r="O124" s="133" t="b">
        <f aca="false">IF(IFERROR(INDEX(tsk_Name,GanttView[[#This Row],[_Row]])="",TRUE()),FALSE(),AND(INDEX(tsk_IsLeaf,GanttView[[#This Row],[_Row]])=1,N(INDEX(tsk_Duration,GanttView[[#This Row],[_Row]]))=0))</f>
        <v>0</v>
      </c>
      <c r="P124" s="134" t="n">
        <f aca="false">IF(IFERROR(INDEX(tsk_Name,GanttView[[#This Row],[_Row]])="",TRUE()),0,IF(AND(INDEX(tsk_IsLeaf,GanttView[[#This Row],[_Row]])=1,NOT(GanttView[[#This Row],[_IsMilestone]]),N(GanttView[[#This Row],[%]])&gt;0),GanttView[[#This Row],[Forecast Start]],0))</f>
        <v>0</v>
      </c>
      <c r="Q124" s="134" t="n">
        <f aca="false">IF(GanttView[[#This Row],[_DoneFrom]]=0,0,IF(GanttView[[#This Row],[%]]&gt;=1,GanttView[[#This Row],[Forecast Finish]],MAX(GanttView[[#This Row],[_DoneFrom]],GanttView[[#This Row],[Forecast Start]]+ROUND((GanttView[[#This Row],[Forecast Finish]]-GanttView[[#This Row],[Forecast Start]]+1)*GanttView[[#This Row],[%]],0)-1)))</f>
        <v>0</v>
      </c>
      <c r="R124" s="134" t="n">
        <f aca="false">IF(IFERROR(INDEX(tsk_Name,GanttView[[#This Row],[_Row]])="",TRUE()),0,IF(OR(INDEX(tsk_IsLeaf,GanttView[[#This Row],[_Row]])&lt;&gt;1,GanttView[[#This Row],[_IsMilestone]],N(GanttView[[#This Row],[%]])&gt;=1),0,IF(GanttView[[#This Row],[_DoneTo]]&gt;0,GanttView[[#This Row],[_DoneTo]]+1,GanttView[[#This Row],[Forecast Start]])))</f>
        <v>0</v>
      </c>
      <c r="S124" s="134" t="n">
        <f aca="false">IF(GanttView[[#This Row],[_RemFrom]]=0,0,GanttView[[#This Row],[Forecast Finish]])</f>
        <v>0</v>
      </c>
      <c r="T124" s="133" t="b">
        <f aca="false">IF(IFERROR(INDEX(tsk_Name,GanttView[[#This Row],[_Row]])="",TRUE()),FALSE(),N(INDEX(tsk_Variance,GanttView[[#This Row],[_Row]]))&gt;0)</f>
        <v>0</v>
      </c>
      <c r="U124" s="134" t="n">
        <f aca="false">IF(IFERROR(INDEX(tsk_Name,GanttView[[#This Row],[_Row]])="",TRUE()),0,N(INDEX(tsk_Deadline,GanttView[[#This Row],[_Row]])))</f>
        <v>0</v>
      </c>
      <c r="V124" s="133" t="b">
        <f aca="false">IF(IFERROR(INDEX(tsk_Name,GanttView[[#This Row],[_Row]])="",TRUE()),FALSE(),INDEX(tsk_Critical,GanttView[[#This Row],[_Row]])="Yes")</f>
        <v>0</v>
      </c>
    </row>
    <row r="125" customFormat="false" ht="15" hidden="false" customHeight="false" outlineLevel="0" collapsed="false">
      <c r="A125" s="127" t="str">
        <f aca="false">IF(IFERROR(INDEX(tsk_Name,GanttView[[#This Row],[_Row]])="",TRUE()),"",INDEX(tsk_ID,GanttView[[#This Row],[_Row]]))</f>
        <v/>
      </c>
      <c r="B125" s="127" t="str">
        <f aca="false">IF(IFERROR(INDEX(tsk_Name,GanttView[[#This Row],[_Row]])="",TRUE()),"",INDEX(tsk_WBS,GanttView[[#This Row],[_Row]]))</f>
        <v/>
      </c>
      <c r="C125" s="128" t="str">
        <f aca="false">IF(IFERROR(INDEX(tsk_Name,GanttView[[#This Row],[_Row]])="",TRUE()),"",REPT("    ",INDEX(tsk_Level,GanttView[[#This Row],[_Row]])-1)&amp;INDEX(tsk_Name,GanttView[[#This Row],[_Row]]))</f>
        <v/>
      </c>
      <c r="D125" s="127" t="str">
        <f aca="false">IF(IFERROR(INDEX(tsk_Name,GanttView[[#This Row],[_Row]])="",TRUE()),"",IF(INDEX(tsk_IsSummary,GanttView[[#This Row],[_Row]]),NETWORKDAYS.INTL(INDEX(tsk_FcStart,GanttView[[#This Row],[_Row]]),INDEX(tsk_FcFinish,GanttView[[#This Row],[_Row]]),WorkWeek,Holidays),N(INDEX(tsk_Duration,GanttView[[#This Row],[_Row]]))))</f>
        <v/>
      </c>
      <c r="E125" s="129" t="str">
        <f aca="false">IF(IFERROR(INDEX(tsk_Name,GanttView[[#This Row],[_Row]])="",TRUE()),"",INDEX(tsk_PlanStart,GanttView[[#This Row],[_Row]]))</f>
        <v/>
      </c>
      <c r="F125" s="129" t="str">
        <f aca="false">IF(IFERROR(INDEX(tsk_Name,GanttView[[#This Row],[_Row]])="",TRUE()),"",INDEX(tsk_PlanFinish,GanttView[[#This Row],[_Row]]))</f>
        <v/>
      </c>
      <c r="G125" s="129" t="str">
        <f aca="false">IF(IFERROR(INDEX(tsk_Name,GanttView[[#This Row],[_Row]])="",TRUE()),"",INDEX(tsk_FcStart,GanttView[[#This Row],[_Row]]))</f>
        <v/>
      </c>
      <c r="H125" s="129" t="str">
        <f aca="false">IF(IFERROR(INDEX(tsk_Name,GanttView[[#This Row],[_Row]])="",TRUE()),"",INDEX(tsk_FcFinish,GanttView[[#This Row],[_Row]]))</f>
        <v/>
      </c>
      <c r="I125" s="130" t="str">
        <f aca="false">IF(IFERROR(INDEX(tsk_Name,GanttView[[#This Row],[_Row]])="",TRUE()),"",INDEX(tsk_Progress,GanttView[[#This Row],[_Row]]))</f>
        <v/>
      </c>
      <c r="J125" s="128" t="str">
        <f aca="false">IF(IFERROR(INDEX(tsk_Name,GanttView[[#This Row],[_Row]])="",TRUE()),"",INDEX(tsk_ResourceNames,GanttView[[#This Row],[_Row]])&amp;"")</f>
        <v/>
      </c>
      <c r="K125" s="131" t="str">
        <f aca="false">IF(IFERROR(INDEX(tsk_Name,GanttView[[#This Row],[_Row]])="",TRUE()),"",INDEX(tsk_Status,GanttView[[#This Row],[_Row]]))</f>
        <v/>
      </c>
      <c r="L125" s="131" t="str">
        <f aca="false">IF(IFERROR(INDEX(tsk_Name,GanttView[[#This Row],[_Row]])="",TRUE()),"",INDEX(tsk_Show,GanttView[[#This Row],[_Row]])&amp;"")</f>
        <v/>
      </c>
      <c r="M125" s="132" t="n">
        <f aca="false">ROW()-ROW(GanttView[[#Headers],[ID]])</f>
        <v>120</v>
      </c>
      <c r="N125" s="133" t="b">
        <f aca="false">IF(IFERROR(INDEX(tsk_Name,GanttView[[#This Row],[_Row]])="",TRUE()),FALSE(),INDEX(tsk_IsSummary,GanttView[[#This Row],[_Row]]))</f>
        <v>0</v>
      </c>
      <c r="O125" s="133" t="b">
        <f aca="false">IF(IFERROR(INDEX(tsk_Name,GanttView[[#This Row],[_Row]])="",TRUE()),FALSE(),AND(INDEX(tsk_IsLeaf,GanttView[[#This Row],[_Row]])=1,N(INDEX(tsk_Duration,GanttView[[#This Row],[_Row]]))=0))</f>
        <v>0</v>
      </c>
      <c r="P125" s="134" t="n">
        <f aca="false">IF(IFERROR(INDEX(tsk_Name,GanttView[[#This Row],[_Row]])="",TRUE()),0,IF(AND(INDEX(tsk_IsLeaf,GanttView[[#This Row],[_Row]])=1,NOT(GanttView[[#This Row],[_IsMilestone]]),N(GanttView[[#This Row],[%]])&gt;0),GanttView[[#This Row],[Forecast Start]],0))</f>
        <v>0</v>
      </c>
      <c r="Q125" s="134" t="n">
        <f aca="false">IF(GanttView[[#This Row],[_DoneFrom]]=0,0,IF(GanttView[[#This Row],[%]]&gt;=1,GanttView[[#This Row],[Forecast Finish]],MAX(GanttView[[#This Row],[_DoneFrom]],GanttView[[#This Row],[Forecast Start]]+ROUND((GanttView[[#This Row],[Forecast Finish]]-GanttView[[#This Row],[Forecast Start]]+1)*GanttView[[#This Row],[%]],0)-1)))</f>
        <v>0</v>
      </c>
      <c r="R125" s="134" t="n">
        <f aca="false">IF(IFERROR(INDEX(tsk_Name,GanttView[[#This Row],[_Row]])="",TRUE()),0,IF(OR(INDEX(tsk_IsLeaf,GanttView[[#This Row],[_Row]])&lt;&gt;1,GanttView[[#This Row],[_IsMilestone]],N(GanttView[[#This Row],[%]])&gt;=1),0,IF(GanttView[[#This Row],[_DoneTo]]&gt;0,GanttView[[#This Row],[_DoneTo]]+1,GanttView[[#This Row],[Forecast Start]])))</f>
        <v>0</v>
      </c>
      <c r="S125" s="134" t="n">
        <f aca="false">IF(GanttView[[#This Row],[_RemFrom]]=0,0,GanttView[[#This Row],[Forecast Finish]])</f>
        <v>0</v>
      </c>
      <c r="T125" s="133" t="b">
        <f aca="false">IF(IFERROR(INDEX(tsk_Name,GanttView[[#This Row],[_Row]])="",TRUE()),FALSE(),N(INDEX(tsk_Variance,GanttView[[#This Row],[_Row]]))&gt;0)</f>
        <v>0</v>
      </c>
      <c r="U125" s="134" t="n">
        <f aca="false">IF(IFERROR(INDEX(tsk_Name,GanttView[[#This Row],[_Row]])="",TRUE()),0,N(INDEX(tsk_Deadline,GanttView[[#This Row],[_Row]])))</f>
        <v>0</v>
      </c>
      <c r="V125" s="133" t="b">
        <f aca="false">IF(IFERROR(INDEX(tsk_Name,GanttView[[#This Row],[_Row]])="",TRUE()),FALSE(),INDEX(tsk_Critical,GanttView[[#This Row],[_Row]])="Yes")</f>
        <v>0</v>
      </c>
    </row>
    <row r="126" customFormat="false" ht="15" hidden="false" customHeight="false" outlineLevel="0" collapsed="false">
      <c r="A126" s="127" t="str">
        <f aca="false">IF(IFERROR(INDEX(tsk_Name,GanttView[[#This Row],[_Row]])="",TRUE()),"",INDEX(tsk_ID,GanttView[[#This Row],[_Row]]))</f>
        <v/>
      </c>
      <c r="B126" s="127" t="str">
        <f aca="false">IF(IFERROR(INDEX(tsk_Name,GanttView[[#This Row],[_Row]])="",TRUE()),"",INDEX(tsk_WBS,GanttView[[#This Row],[_Row]]))</f>
        <v/>
      </c>
      <c r="C126" s="128" t="str">
        <f aca="false">IF(IFERROR(INDEX(tsk_Name,GanttView[[#This Row],[_Row]])="",TRUE()),"",REPT("    ",INDEX(tsk_Level,GanttView[[#This Row],[_Row]])-1)&amp;INDEX(tsk_Name,GanttView[[#This Row],[_Row]]))</f>
        <v/>
      </c>
      <c r="D126" s="127" t="str">
        <f aca="false">IF(IFERROR(INDEX(tsk_Name,GanttView[[#This Row],[_Row]])="",TRUE()),"",IF(INDEX(tsk_IsSummary,GanttView[[#This Row],[_Row]]),NETWORKDAYS.INTL(INDEX(tsk_FcStart,GanttView[[#This Row],[_Row]]),INDEX(tsk_FcFinish,GanttView[[#This Row],[_Row]]),WorkWeek,Holidays),N(INDEX(tsk_Duration,GanttView[[#This Row],[_Row]]))))</f>
        <v/>
      </c>
      <c r="E126" s="129" t="str">
        <f aca="false">IF(IFERROR(INDEX(tsk_Name,GanttView[[#This Row],[_Row]])="",TRUE()),"",INDEX(tsk_PlanStart,GanttView[[#This Row],[_Row]]))</f>
        <v/>
      </c>
      <c r="F126" s="129" t="str">
        <f aca="false">IF(IFERROR(INDEX(tsk_Name,GanttView[[#This Row],[_Row]])="",TRUE()),"",INDEX(tsk_PlanFinish,GanttView[[#This Row],[_Row]]))</f>
        <v/>
      </c>
      <c r="G126" s="129" t="str">
        <f aca="false">IF(IFERROR(INDEX(tsk_Name,GanttView[[#This Row],[_Row]])="",TRUE()),"",INDEX(tsk_FcStart,GanttView[[#This Row],[_Row]]))</f>
        <v/>
      </c>
      <c r="H126" s="129" t="str">
        <f aca="false">IF(IFERROR(INDEX(tsk_Name,GanttView[[#This Row],[_Row]])="",TRUE()),"",INDEX(tsk_FcFinish,GanttView[[#This Row],[_Row]]))</f>
        <v/>
      </c>
      <c r="I126" s="130" t="str">
        <f aca="false">IF(IFERROR(INDEX(tsk_Name,GanttView[[#This Row],[_Row]])="",TRUE()),"",INDEX(tsk_Progress,GanttView[[#This Row],[_Row]]))</f>
        <v/>
      </c>
      <c r="J126" s="128" t="str">
        <f aca="false">IF(IFERROR(INDEX(tsk_Name,GanttView[[#This Row],[_Row]])="",TRUE()),"",INDEX(tsk_ResourceNames,GanttView[[#This Row],[_Row]])&amp;"")</f>
        <v/>
      </c>
      <c r="K126" s="131" t="str">
        <f aca="false">IF(IFERROR(INDEX(tsk_Name,GanttView[[#This Row],[_Row]])="",TRUE()),"",INDEX(tsk_Status,GanttView[[#This Row],[_Row]]))</f>
        <v/>
      </c>
      <c r="L126" s="131" t="str">
        <f aca="false">IF(IFERROR(INDEX(tsk_Name,GanttView[[#This Row],[_Row]])="",TRUE()),"",INDEX(tsk_Show,GanttView[[#This Row],[_Row]])&amp;"")</f>
        <v/>
      </c>
      <c r="M126" s="132" t="n">
        <f aca="false">ROW()-ROW(GanttView[[#Headers],[ID]])</f>
        <v>121</v>
      </c>
      <c r="N126" s="133" t="b">
        <f aca="false">IF(IFERROR(INDEX(tsk_Name,GanttView[[#This Row],[_Row]])="",TRUE()),FALSE(),INDEX(tsk_IsSummary,GanttView[[#This Row],[_Row]]))</f>
        <v>0</v>
      </c>
      <c r="O126" s="133" t="b">
        <f aca="false">IF(IFERROR(INDEX(tsk_Name,GanttView[[#This Row],[_Row]])="",TRUE()),FALSE(),AND(INDEX(tsk_IsLeaf,GanttView[[#This Row],[_Row]])=1,N(INDEX(tsk_Duration,GanttView[[#This Row],[_Row]]))=0))</f>
        <v>0</v>
      </c>
      <c r="P126" s="134" t="n">
        <f aca="false">IF(IFERROR(INDEX(tsk_Name,GanttView[[#This Row],[_Row]])="",TRUE()),0,IF(AND(INDEX(tsk_IsLeaf,GanttView[[#This Row],[_Row]])=1,NOT(GanttView[[#This Row],[_IsMilestone]]),N(GanttView[[#This Row],[%]])&gt;0),GanttView[[#This Row],[Forecast Start]],0))</f>
        <v>0</v>
      </c>
      <c r="Q126" s="134" t="n">
        <f aca="false">IF(GanttView[[#This Row],[_DoneFrom]]=0,0,IF(GanttView[[#This Row],[%]]&gt;=1,GanttView[[#This Row],[Forecast Finish]],MAX(GanttView[[#This Row],[_DoneFrom]],GanttView[[#This Row],[Forecast Start]]+ROUND((GanttView[[#This Row],[Forecast Finish]]-GanttView[[#This Row],[Forecast Start]]+1)*GanttView[[#This Row],[%]],0)-1)))</f>
        <v>0</v>
      </c>
      <c r="R126" s="134" t="n">
        <f aca="false">IF(IFERROR(INDEX(tsk_Name,GanttView[[#This Row],[_Row]])="",TRUE()),0,IF(OR(INDEX(tsk_IsLeaf,GanttView[[#This Row],[_Row]])&lt;&gt;1,GanttView[[#This Row],[_IsMilestone]],N(GanttView[[#This Row],[%]])&gt;=1),0,IF(GanttView[[#This Row],[_DoneTo]]&gt;0,GanttView[[#This Row],[_DoneTo]]+1,GanttView[[#This Row],[Forecast Start]])))</f>
        <v>0</v>
      </c>
      <c r="S126" s="134" t="n">
        <f aca="false">IF(GanttView[[#This Row],[_RemFrom]]=0,0,GanttView[[#This Row],[Forecast Finish]])</f>
        <v>0</v>
      </c>
      <c r="T126" s="133" t="b">
        <f aca="false">IF(IFERROR(INDEX(tsk_Name,GanttView[[#This Row],[_Row]])="",TRUE()),FALSE(),N(INDEX(tsk_Variance,GanttView[[#This Row],[_Row]]))&gt;0)</f>
        <v>0</v>
      </c>
      <c r="U126" s="134" t="n">
        <f aca="false">IF(IFERROR(INDEX(tsk_Name,GanttView[[#This Row],[_Row]])="",TRUE()),0,N(INDEX(tsk_Deadline,GanttView[[#This Row],[_Row]])))</f>
        <v>0</v>
      </c>
      <c r="V126" s="133" t="b">
        <f aca="false">IF(IFERROR(INDEX(tsk_Name,GanttView[[#This Row],[_Row]])="",TRUE()),FALSE(),INDEX(tsk_Critical,GanttView[[#This Row],[_Row]])="Yes")</f>
        <v>0</v>
      </c>
    </row>
    <row r="127" customFormat="false" ht="15" hidden="false" customHeight="false" outlineLevel="0" collapsed="false">
      <c r="A127" s="127" t="str">
        <f aca="false">IF(IFERROR(INDEX(tsk_Name,GanttView[[#This Row],[_Row]])="",TRUE()),"",INDEX(tsk_ID,GanttView[[#This Row],[_Row]]))</f>
        <v/>
      </c>
      <c r="B127" s="127" t="str">
        <f aca="false">IF(IFERROR(INDEX(tsk_Name,GanttView[[#This Row],[_Row]])="",TRUE()),"",INDEX(tsk_WBS,GanttView[[#This Row],[_Row]]))</f>
        <v/>
      </c>
      <c r="C127" s="128" t="str">
        <f aca="false">IF(IFERROR(INDEX(tsk_Name,GanttView[[#This Row],[_Row]])="",TRUE()),"",REPT("    ",INDEX(tsk_Level,GanttView[[#This Row],[_Row]])-1)&amp;INDEX(tsk_Name,GanttView[[#This Row],[_Row]]))</f>
        <v/>
      </c>
      <c r="D127" s="127" t="str">
        <f aca="false">IF(IFERROR(INDEX(tsk_Name,GanttView[[#This Row],[_Row]])="",TRUE()),"",IF(INDEX(tsk_IsSummary,GanttView[[#This Row],[_Row]]),NETWORKDAYS.INTL(INDEX(tsk_FcStart,GanttView[[#This Row],[_Row]]),INDEX(tsk_FcFinish,GanttView[[#This Row],[_Row]]),WorkWeek,Holidays),N(INDEX(tsk_Duration,GanttView[[#This Row],[_Row]]))))</f>
        <v/>
      </c>
      <c r="E127" s="129" t="str">
        <f aca="false">IF(IFERROR(INDEX(tsk_Name,GanttView[[#This Row],[_Row]])="",TRUE()),"",INDEX(tsk_PlanStart,GanttView[[#This Row],[_Row]]))</f>
        <v/>
      </c>
      <c r="F127" s="129" t="str">
        <f aca="false">IF(IFERROR(INDEX(tsk_Name,GanttView[[#This Row],[_Row]])="",TRUE()),"",INDEX(tsk_PlanFinish,GanttView[[#This Row],[_Row]]))</f>
        <v/>
      </c>
      <c r="G127" s="129" t="str">
        <f aca="false">IF(IFERROR(INDEX(tsk_Name,GanttView[[#This Row],[_Row]])="",TRUE()),"",INDEX(tsk_FcStart,GanttView[[#This Row],[_Row]]))</f>
        <v/>
      </c>
      <c r="H127" s="129" t="str">
        <f aca="false">IF(IFERROR(INDEX(tsk_Name,GanttView[[#This Row],[_Row]])="",TRUE()),"",INDEX(tsk_FcFinish,GanttView[[#This Row],[_Row]]))</f>
        <v/>
      </c>
      <c r="I127" s="130" t="str">
        <f aca="false">IF(IFERROR(INDEX(tsk_Name,GanttView[[#This Row],[_Row]])="",TRUE()),"",INDEX(tsk_Progress,GanttView[[#This Row],[_Row]]))</f>
        <v/>
      </c>
      <c r="J127" s="128" t="str">
        <f aca="false">IF(IFERROR(INDEX(tsk_Name,GanttView[[#This Row],[_Row]])="",TRUE()),"",INDEX(tsk_ResourceNames,GanttView[[#This Row],[_Row]])&amp;"")</f>
        <v/>
      </c>
      <c r="K127" s="131" t="str">
        <f aca="false">IF(IFERROR(INDEX(tsk_Name,GanttView[[#This Row],[_Row]])="",TRUE()),"",INDEX(tsk_Status,GanttView[[#This Row],[_Row]]))</f>
        <v/>
      </c>
      <c r="L127" s="131" t="str">
        <f aca="false">IF(IFERROR(INDEX(tsk_Name,GanttView[[#This Row],[_Row]])="",TRUE()),"",INDEX(tsk_Show,GanttView[[#This Row],[_Row]])&amp;"")</f>
        <v/>
      </c>
      <c r="M127" s="132" t="n">
        <f aca="false">ROW()-ROW(GanttView[[#Headers],[ID]])</f>
        <v>122</v>
      </c>
      <c r="N127" s="133" t="b">
        <f aca="false">IF(IFERROR(INDEX(tsk_Name,GanttView[[#This Row],[_Row]])="",TRUE()),FALSE(),INDEX(tsk_IsSummary,GanttView[[#This Row],[_Row]]))</f>
        <v>0</v>
      </c>
      <c r="O127" s="133" t="b">
        <f aca="false">IF(IFERROR(INDEX(tsk_Name,GanttView[[#This Row],[_Row]])="",TRUE()),FALSE(),AND(INDEX(tsk_IsLeaf,GanttView[[#This Row],[_Row]])=1,N(INDEX(tsk_Duration,GanttView[[#This Row],[_Row]]))=0))</f>
        <v>0</v>
      </c>
      <c r="P127" s="134" t="n">
        <f aca="false">IF(IFERROR(INDEX(tsk_Name,GanttView[[#This Row],[_Row]])="",TRUE()),0,IF(AND(INDEX(tsk_IsLeaf,GanttView[[#This Row],[_Row]])=1,NOT(GanttView[[#This Row],[_IsMilestone]]),N(GanttView[[#This Row],[%]])&gt;0),GanttView[[#This Row],[Forecast Start]],0))</f>
        <v>0</v>
      </c>
      <c r="Q127" s="134" t="n">
        <f aca="false">IF(GanttView[[#This Row],[_DoneFrom]]=0,0,IF(GanttView[[#This Row],[%]]&gt;=1,GanttView[[#This Row],[Forecast Finish]],MAX(GanttView[[#This Row],[_DoneFrom]],GanttView[[#This Row],[Forecast Start]]+ROUND((GanttView[[#This Row],[Forecast Finish]]-GanttView[[#This Row],[Forecast Start]]+1)*GanttView[[#This Row],[%]],0)-1)))</f>
        <v>0</v>
      </c>
      <c r="R127" s="134" t="n">
        <f aca="false">IF(IFERROR(INDEX(tsk_Name,GanttView[[#This Row],[_Row]])="",TRUE()),0,IF(OR(INDEX(tsk_IsLeaf,GanttView[[#This Row],[_Row]])&lt;&gt;1,GanttView[[#This Row],[_IsMilestone]],N(GanttView[[#This Row],[%]])&gt;=1),0,IF(GanttView[[#This Row],[_DoneTo]]&gt;0,GanttView[[#This Row],[_DoneTo]]+1,GanttView[[#This Row],[Forecast Start]])))</f>
        <v>0</v>
      </c>
      <c r="S127" s="134" t="n">
        <f aca="false">IF(GanttView[[#This Row],[_RemFrom]]=0,0,GanttView[[#This Row],[Forecast Finish]])</f>
        <v>0</v>
      </c>
      <c r="T127" s="133" t="b">
        <f aca="false">IF(IFERROR(INDEX(tsk_Name,GanttView[[#This Row],[_Row]])="",TRUE()),FALSE(),N(INDEX(tsk_Variance,GanttView[[#This Row],[_Row]]))&gt;0)</f>
        <v>0</v>
      </c>
      <c r="U127" s="134" t="n">
        <f aca="false">IF(IFERROR(INDEX(tsk_Name,GanttView[[#This Row],[_Row]])="",TRUE()),0,N(INDEX(tsk_Deadline,GanttView[[#This Row],[_Row]])))</f>
        <v>0</v>
      </c>
      <c r="V127" s="133" t="b">
        <f aca="false">IF(IFERROR(INDEX(tsk_Name,GanttView[[#This Row],[_Row]])="",TRUE()),FALSE(),INDEX(tsk_Critical,GanttView[[#This Row],[_Row]])="Yes")</f>
        <v>0</v>
      </c>
    </row>
    <row r="128" customFormat="false" ht="15" hidden="false" customHeight="false" outlineLevel="0" collapsed="false">
      <c r="A128" s="127" t="str">
        <f aca="false">IF(IFERROR(INDEX(tsk_Name,GanttView[[#This Row],[_Row]])="",TRUE()),"",INDEX(tsk_ID,GanttView[[#This Row],[_Row]]))</f>
        <v/>
      </c>
      <c r="B128" s="127" t="str">
        <f aca="false">IF(IFERROR(INDEX(tsk_Name,GanttView[[#This Row],[_Row]])="",TRUE()),"",INDEX(tsk_WBS,GanttView[[#This Row],[_Row]]))</f>
        <v/>
      </c>
      <c r="C128" s="128" t="str">
        <f aca="false">IF(IFERROR(INDEX(tsk_Name,GanttView[[#This Row],[_Row]])="",TRUE()),"",REPT("    ",INDEX(tsk_Level,GanttView[[#This Row],[_Row]])-1)&amp;INDEX(tsk_Name,GanttView[[#This Row],[_Row]]))</f>
        <v/>
      </c>
      <c r="D128" s="127" t="str">
        <f aca="false">IF(IFERROR(INDEX(tsk_Name,GanttView[[#This Row],[_Row]])="",TRUE()),"",IF(INDEX(tsk_IsSummary,GanttView[[#This Row],[_Row]]),NETWORKDAYS.INTL(INDEX(tsk_FcStart,GanttView[[#This Row],[_Row]]),INDEX(tsk_FcFinish,GanttView[[#This Row],[_Row]]),WorkWeek,Holidays),N(INDEX(tsk_Duration,GanttView[[#This Row],[_Row]]))))</f>
        <v/>
      </c>
      <c r="E128" s="129" t="str">
        <f aca="false">IF(IFERROR(INDEX(tsk_Name,GanttView[[#This Row],[_Row]])="",TRUE()),"",INDEX(tsk_PlanStart,GanttView[[#This Row],[_Row]]))</f>
        <v/>
      </c>
      <c r="F128" s="129" t="str">
        <f aca="false">IF(IFERROR(INDEX(tsk_Name,GanttView[[#This Row],[_Row]])="",TRUE()),"",INDEX(tsk_PlanFinish,GanttView[[#This Row],[_Row]]))</f>
        <v/>
      </c>
      <c r="G128" s="129" t="str">
        <f aca="false">IF(IFERROR(INDEX(tsk_Name,GanttView[[#This Row],[_Row]])="",TRUE()),"",INDEX(tsk_FcStart,GanttView[[#This Row],[_Row]]))</f>
        <v/>
      </c>
      <c r="H128" s="129" t="str">
        <f aca="false">IF(IFERROR(INDEX(tsk_Name,GanttView[[#This Row],[_Row]])="",TRUE()),"",INDEX(tsk_FcFinish,GanttView[[#This Row],[_Row]]))</f>
        <v/>
      </c>
      <c r="I128" s="130" t="str">
        <f aca="false">IF(IFERROR(INDEX(tsk_Name,GanttView[[#This Row],[_Row]])="",TRUE()),"",INDEX(tsk_Progress,GanttView[[#This Row],[_Row]]))</f>
        <v/>
      </c>
      <c r="J128" s="128" t="str">
        <f aca="false">IF(IFERROR(INDEX(tsk_Name,GanttView[[#This Row],[_Row]])="",TRUE()),"",INDEX(tsk_ResourceNames,GanttView[[#This Row],[_Row]])&amp;"")</f>
        <v/>
      </c>
      <c r="K128" s="131" t="str">
        <f aca="false">IF(IFERROR(INDEX(tsk_Name,GanttView[[#This Row],[_Row]])="",TRUE()),"",INDEX(tsk_Status,GanttView[[#This Row],[_Row]]))</f>
        <v/>
      </c>
      <c r="L128" s="131" t="str">
        <f aca="false">IF(IFERROR(INDEX(tsk_Name,GanttView[[#This Row],[_Row]])="",TRUE()),"",INDEX(tsk_Show,GanttView[[#This Row],[_Row]])&amp;"")</f>
        <v/>
      </c>
      <c r="M128" s="132" t="n">
        <f aca="false">ROW()-ROW(GanttView[[#Headers],[ID]])</f>
        <v>123</v>
      </c>
      <c r="N128" s="133" t="b">
        <f aca="false">IF(IFERROR(INDEX(tsk_Name,GanttView[[#This Row],[_Row]])="",TRUE()),FALSE(),INDEX(tsk_IsSummary,GanttView[[#This Row],[_Row]]))</f>
        <v>0</v>
      </c>
      <c r="O128" s="133" t="b">
        <f aca="false">IF(IFERROR(INDEX(tsk_Name,GanttView[[#This Row],[_Row]])="",TRUE()),FALSE(),AND(INDEX(tsk_IsLeaf,GanttView[[#This Row],[_Row]])=1,N(INDEX(tsk_Duration,GanttView[[#This Row],[_Row]]))=0))</f>
        <v>0</v>
      </c>
      <c r="P128" s="134" t="n">
        <f aca="false">IF(IFERROR(INDEX(tsk_Name,GanttView[[#This Row],[_Row]])="",TRUE()),0,IF(AND(INDEX(tsk_IsLeaf,GanttView[[#This Row],[_Row]])=1,NOT(GanttView[[#This Row],[_IsMilestone]]),N(GanttView[[#This Row],[%]])&gt;0),GanttView[[#This Row],[Forecast Start]],0))</f>
        <v>0</v>
      </c>
      <c r="Q128" s="134" t="n">
        <f aca="false">IF(GanttView[[#This Row],[_DoneFrom]]=0,0,IF(GanttView[[#This Row],[%]]&gt;=1,GanttView[[#This Row],[Forecast Finish]],MAX(GanttView[[#This Row],[_DoneFrom]],GanttView[[#This Row],[Forecast Start]]+ROUND((GanttView[[#This Row],[Forecast Finish]]-GanttView[[#This Row],[Forecast Start]]+1)*GanttView[[#This Row],[%]],0)-1)))</f>
        <v>0</v>
      </c>
      <c r="R128" s="134" t="n">
        <f aca="false">IF(IFERROR(INDEX(tsk_Name,GanttView[[#This Row],[_Row]])="",TRUE()),0,IF(OR(INDEX(tsk_IsLeaf,GanttView[[#This Row],[_Row]])&lt;&gt;1,GanttView[[#This Row],[_IsMilestone]],N(GanttView[[#This Row],[%]])&gt;=1),0,IF(GanttView[[#This Row],[_DoneTo]]&gt;0,GanttView[[#This Row],[_DoneTo]]+1,GanttView[[#This Row],[Forecast Start]])))</f>
        <v>0</v>
      </c>
      <c r="S128" s="134" t="n">
        <f aca="false">IF(GanttView[[#This Row],[_RemFrom]]=0,0,GanttView[[#This Row],[Forecast Finish]])</f>
        <v>0</v>
      </c>
      <c r="T128" s="133" t="b">
        <f aca="false">IF(IFERROR(INDEX(tsk_Name,GanttView[[#This Row],[_Row]])="",TRUE()),FALSE(),N(INDEX(tsk_Variance,GanttView[[#This Row],[_Row]]))&gt;0)</f>
        <v>0</v>
      </c>
      <c r="U128" s="134" t="n">
        <f aca="false">IF(IFERROR(INDEX(tsk_Name,GanttView[[#This Row],[_Row]])="",TRUE()),0,N(INDEX(tsk_Deadline,GanttView[[#This Row],[_Row]])))</f>
        <v>0</v>
      </c>
      <c r="V128" s="133" t="b">
        <f aca="false">IF(IFERROR(INDEX(tsk_Name,GanttView[[#This Row],[_Row]])="",TRUE()),FALSE(),INDEX(tsk_Critical,GanttView[[#This Row],[_Row]])="Yes")</f>
        <v>0</v>
      </c>
    </row>
    <row r="129" customFormat="false" ht="15" hidden="false" customHeight="false" outlineLevel="0" collapsed="false">
      <c r="A129" s="127" t="str">
        <f aca="false">IF(IFERROR(INDEX(tsk_Name,GanttView[[#This Row],[_Row]])="",TRUE()),"",INDEX(tsk_ID,GanttView[[#This Row],[_Row]]))</f>
        <v/>
      </c>
      <c r="B129" s="127" t="str">
        <f aca="false">IF(IFERROR(INDEX(tsk_Name,GanttView[[#This Row],[_Row]])="",TRUE()),"",INDEX(tsk_WBS,GanttView[[#This Row],[_Row]]))</f>
        <v/>
      </c>
      <c r="C129" s="128" t="str">
        <f aca="false">IF(IFERROR(INDEX(tsk_Name,GanttView[[#This Row],[_Row]])="",TRUE()),"",REPT("    ",INDEX(tsk_Level,GanttView[[#This Row],[_Row]])-1)&amp;INDEX(tsk_Name,GanttView[[#This Row],[_Row]]))</f>
        <v/>
      </c>
      <c r="D129" s="127" t="str">
        <f aca="false">IF(IFERROR(INDEX(tsk_Name,GanttView[[#This Row],[_Row]])="",TRUE()),"",IF(INDEX(tsk_IsSummary,GanttView[[#This Row],[_Row]]),NETWORKDAYS.INTL(INDEX(tsk_FcStart,GanttView[[#This Row],[_Row]]),INDEX(tsk_FcFinish,GanttView[[#This Row],[_Row]]),WorkWeek,Holidays),N(INDEX(tsk_Duration,GanttView[[#This Row],[_Row]]))))</f>
        <v/>
      </c>
      <c r="E129" s="129" t="str">
        <f aca="false">IF(IFERROR(INDEX(tsk_Name,GanttView[[#This Row],[_Row]])="",TRUE()),"",INDEX(tsk_PlanStart,GanttView[[#This Row],[_Row]]))</f>
        <v/>
      </c>
      <c r="F129" s="129" t="str">
        <f aca="false">IF(IFERROR(INDEX(tsk_Name,GanttView[[#This Row],[_Row]])="",TRUE()),"",INDEX(tsk_PlanFinish,GanttView[[#This Row],[_Row]]))</f>
        <v/>
      </c>
      <c r="G129" s="129" t="str">
        <f aca="false">IF(IFERROR(INDEX(tsk_Name,GanttView[[#This Row],[_Row]])="",TRUE()),"",INDEX(tsk_FcStart,GanttView[[#This Row],[_Row]]))</f>
        <v/>
      </c>
      <c r="H129" s="129" t="str">
        <f aca="false">IF(IFERROR(INDEX(tsk_Name,GanttView[[#This Row],[_Row]])="",TRUE()),"",INDEX(tsk_FcFinish,GanttView[[#This Row],[_Row]]))</f>
        <v/>
      </c>
      <c r="I129" s="130" t="str">
        <f aca="false">IF(IFERROR(INDEX(tsk_Name,GanttView[[#This Row],[_Row]])="",TRUE()),"",INDEX(tsk_Progress,GanttView[[#This Row],[_Row]]))</f>
        <v/>
      </c>
      <c r="J129" s="128" t="str">
        <f aca="false">IF(IFERROR(INDEX(tsk_Name,GanttView[[#This Row],[_Row]])="",TRUE()),"",INDEX(tsk_ResourceNames,GanttView[[#This Row],[_Row]])&amp;"")</f>
        <v/>
      </c>
      <c r="K129" s="131" t="str">
        <f aca="false">IF(IFERROR(INDEX(tsk_Name,GanttView[[#This Row],[_Row]])="",TRUE()),"",INDEX(tsk_Status,GanttView[[#This Row],[_Row]]))</f>
        <v/>
      </c>
      <c r="L129" s="131" t="str">
        <f aca="false">IF(IFERROR(INDEX(tsk_Name,GanttView[[#This Row],[_Row]])="",TRUE()),"",INDEX(tsk_Show,GanttView[[#This Row],[_Row]])&amp;"")</f>
        <v/>
      </c>
      <c r="M129" s="132" t="n">
        <f aca="false">ROW()-ROW(GanttView[[#Headers],[ID]])</f>
        <v>124</v>
      </c>
      <c r="N129" s="133" t="b">
        <f aca="false">IF(IFERROR(INDEX(tsk_Name,GanttView[[#This Row],[_Row]])="",TRUE()),FALSE(),INDEX(tsk_IsSummary,GanttView[[#This Row],[_Row]]))</f>
        <v>0</v>
      </c>
      <c r="O129" s="133" t="b">
        <f aca="false">IF(IFERROR(INDEX(tsk_Name,GanttView[[#This Row],[_Row]])="",TRUE()),FALSE(),AND(INDEX(tsk_IsLeaf,GanttView[[#This Row],[_Row]])=1,N(INDEX(tsk_Duration,GanttView[[#This Row],[_Row]]))=0))</f>
        <v>0</v>
      </c>
      <c r="P129" s="134" t="n">
        <f aca="false">IF(IFERROR(INDEX(tsk_Name,GanttView[[#This Row],[_Row]])="",TRUE()),0,IF(AND(INDEX(tsk_IsLeaf,GanttView[[#This Row],[_Row]])=1,NOT(GanttView[[#This Row],[_IsMilestone]]),N(GanttView[[#This Row],[%]])&gt;0),GanttView[[#This Row],[Forecast Start]],0))</f>
        <v>0</v>
      </c>
      <c r="Q129" s="134" t="n">
        <f aca="false">IF(GanttView[[#This Row],[_DoneFrom]]=0,0,IF(GanttView[[#This Row],[%]]&gt;=1,GanttView[[#This Row],[Forecast Finish]],MAX(GanttView[[#This Row],[_DoneFrom]],GanttView[[#This Row],[Forecast Start]]+ROUND((GanttView[[#This Row],[Forecast Finish]]-GanttView[[#This Row],[Forecast Start]]+1)*GanttView[[#This Row],[%]],0)-1)))</f>
        <v>0</v>
      </c>
      <c r="R129" s="134" t="n">
        <f aca="false">IF(IFERROR(INDEX(tsk_Name,GanttView[[#This Row],[_Row]])="",TRUE()),0,IF(OR(INDEX(tsk_IsLeaf,GanttView[[#This Row],[_Row]])&lt;&gt;1,GanttView[[#This Row],[_IsMilestone]],N(GanttView[[#This Row],[%]])&gt;=1),0,IF(GanttView[[#This Row],[_DoneTo]]&gt;0,GanttView[[#This Row],[_DoneTo]]+1,GanttView[[#This Row],[Forecast Start]])))</f>
        <v>0</v>
      </c>
      <c r="S129" s="134" t="n">
        <f aca="false">IF(GanttView[[#This Row],[_RemFrom]]=0,0,GanttView[[#This Row],[Forecast Finish]])</f>
        <v>0</v>
      </c>
      <c r="T129" s="133" t="b">
        <f aca="false">IF(IFERROR(INDEX(tsk_Name,GanttView[[#This Row],[_Row]])="",TRUE()),FALSE(),N(INDEX(tsk_Variance,GanttView[[#This Row],[_Row]]))&gt;0)</f>
        <v>0</v>
      </c>
      <c r="U129" s="134" t="n">
        <f aca="false">IF(IFERROR(INDEX(tsk_Name,GanttView[[#This Row],[_Row]])="",TRUE()),0,N(INDEX(tsk_Deadline,GanttView[[#This Row],[_Row]])))</f>
        <v>0</v>
      </c>
      <c r="V129" s="133" t="b">
        <f aca="false">IF(IFERROR(INDEX(tsk_Name,GanttView[[#This Row],[_Row]])="",TRUE()),FALSE(),INDEX(tsk_Critical,GanttView[[#This Row],[_Row]])="Yes")</f>
        <v>0</v>
      </c>
    </row>
    <row r="130" customFormat="false" ht="15" hidden="false" customHeight="false" outlineLevel="0" collapsed="false">
      <c r="A130" s="127" t="str">
        <f aca="false">IF(IFERROR(INDEX(tsk_Name,GanttView[[#This Row],[_Row]])="",TRUE()),"",INDEX(tsk_ID,GanttView[[#This Row],[_Row]]))</f>
        <v/>
      </c>
      <c r="B130" s="127" t="str">
        <f aca="false">IF(IFERROR(INDEX(tsk_Name,GanttView[[#This Row],[_Row]])="",TRUE()),"",INDEX(tsk_WBS,GanttView[[#This Row],[_Row]]))</f>
        <v/>
      </c>
      <c r="C130" s="128" t="str">
        <f aca="false">IF(IFERROR(INDEX(tsk_Name,GanttView[[#This Row],[_Row]])="",TRUE()),"",REPT("    ",INDEX(tsk_Level,GanttView[[#This Row],[_Row]])-1)&amp;INDEX(tsk_Name,GanttView[[#This Row],[_Row]]))</f>
        <v/>
      </c>
      <c r="D130" s="127" t="str">
        <f aca="false">IF(IFERROR(INDEX(tsk_Name,GanttView[[#This Row],[_Row]])="",TRUE()),"",IF(INDEX(tsk_IsSummary,GanttView[[#This Row],[_Row]]),NETWORKDAYS.INTL(INDEX(tsk_FcStart,GanttView[[#This Row],[_Row]]),INDEX(tsk_FcFinish,GanttView[[#This Row],[_Row]]),WorkWeek,Holidays),N(INDEX(tsk_Duration,GanttView[[#This Row],[_Row]]))))</f>
        <v/>
      </c>
      <c r="E130" s="129" t="str">
        <f aca="false">IF(IFERROR(INDEX(tsk_Name,GanttView[[#This Row],[_Row]])="",TRUE()),"",INDEX(tsk_PlanStart,GanttView[[#This Row],[_Row]]))</f>
        <v/>
      </c>
      <c r="F130" s="129" t="str">
        <f aca="false">IF(IFERROR(INDEX(tsk_Name,GanttView[[#This Row],[_Row]])="",TRUE()),"",INDEX(tsk_PlanFinish,GanttView[[#This Row],[_Row]]))</f>
        <v/>
      </c>
      <c r="G130" s="129" t="str">
        <f aca="false">IF(IFERROR(INDEX(tsk_Name,GanttView[[#This Row],[_Row]])="",TRUE()),"",INDEX(tsk_FcStart,GanttView[[#This Row],[_Row]]))</f>
        <v/>
      </c>
      <c r="H130" s="129" t="str">
        <f aca="false">IF(IFERROR(INDEX(tsk_Name,GanttView[[#This Row],[_Row]])="",TRUE()),"",INDEX(tsk_FcFinish,GanttView[[#This Row],[_Row]]))</f>
        <v/>
      </c>
      <c r="I130" s="130" t="str">
        <f aca="false">IF(IFERROR(INDEX(tsk_Name,GanttView[[#This Row],[_Row]])="",TRUE()),"",INDEX(tsk_Progress,GanttView[[#This Row],[_Row]]))</f>
        <v/>
      </c>
      <c r="J130" s="128" t="str">
        <f aca="false">IF(IFERROR(INDEX(tsk_Name,GanttView[[#This Row],[_Row]])="",TRUE()),"",INDEX(tsk_ResourceNames,GanttView[[#This Row],[_Row]])&amp;"")</f>
        <v/>
      </c>
      <c r="K130" s="131" t="str">
        <f aca="false">IF(IFERROR(INDEX(tsk_Name,GanttView[[#This Row],[_Row]])="",TRUE()),"",INDEX(tsk_Status,GanttView[[#This Row],[_Row]]))</f>
        <v/>
      </c>
      <c r="L130" s="131" t="str">
        <f aca="false">IF(IFERROR(INDEX(tsk_Name,GanttView[[#This Row],[_Row]])="",TRUE()),"",INDEX(tsk_Show,GanttView[[#This Row],[_Row]])&amp;"")</f>
        <v/>
      </c>
      <c r="M130" s="132" t="n">
        <f aca="false">ROW()-ROW(GanttView[[#Headers],[ID]])</f>
        <v>125</v>
      </c>
      <c r="N130" s="133" t="b">
        <f aca="false">IF(IFERROR(INDEX(tsk_Name,GanttView[[#This Row],[_Row]])="",TRUE()),FALSE(),INDEX(tsk_IsSummary,GanttView[[#This Row],[_Row]]))</f>
        <v>0</v>
      </c>
      <c r="O130" s="133" t="b">
        <f aca="false">IF(IFERROR(INDEX(tsk_Name,GanttView[[#This Row],[_Row]])="",TRUE()),FALSE(),AND(INDEX(tsk_IsLeaf,GanttView[[#This Row],[_Row]])=1,N(INDEX(tsk_Duration,GanttView[[#This Row],[_Row]]))=0))</f>
        <v>0</v>
      </c>
      <c r="P130" s="134" t="n">
        <f aca="false">IF(IFERROR(INDEX(tsk_Name,GanttView[[#This Row],[_Row]])="",TRUE()),0,IF(AND(INDEX(tsk_IsLeaf,GanttView[[#This Row],[_Row]])=1,NOT(GanttView[[#This Row],[_IsMilestone]]),N(GanttView[[#This Row],[%]])&gt;0),GanttView[[#This Row],[Forecast Start]],0))</f>
        <v>0</v>
      </c>
      <c r="Q130" s="134" t="n">
        <f aca="false">IF(GanttView[[#This Row],[_DoneFrom]]=0,0,IF(GanttView[[#This Row],[%]]&gt;=1,GanttView[[#This Row],[Forecast Finish]],MAX(GanttView[[#This Row],[_DoneFrom]],GanttView[[#This Row],[Forecast Start]]+ROUND((GanttView[[#This Row],[Forecast Finish]]-GanttView[[#This Row],[Forecast Start]]+1)*GanttView[[#This Row],[%]],0)-1)))</f>
        <v>0</v>
      </c>
      <c r="R130" s="134" t="n">
        <f aca="false">IF(IFERROR(INDEX(tsk_Name,GanttView[[#This Row],[_Row]])="",TRUE()),0,IF(OR(INDEX(tsk_IsLeaf,GanttView[[#This Row],[_Row]])&lt;&gt;1,GanttView[[#This Row],[_IsMilestone]],N(GanttView[[#This Row],[%]])&gt;=1),0,IF(GanttView[[#This Row],[_DoneTo]]&gt;0,GanttView[[#This Row],[_DoneTo]]+1,GanttView[[#This Row],[Forecast Start]])))</f>
        <v>0</v>
      </c>
      <c r="S130" s="134" t="n">
        <f aca="false">IF(GanttView[[#This Row],[_RemFrom]]=0,0,GanttView[[#This Row],[Forecast Finish]])</f>
        <v>0</v>
      </c>
      <c r="T130" s="133" t="b">
        <f aca="false">IF(IFERROR(INDEX(tsk_Name,GanttView[[#This Row],[_Row]])="",TRUE()),FALSE(),N(INDEX(tsk_Variance,GanttView[[#This Row],[_Row]]))&gt;0)</f>
        <v>0</v>
      </c>
      <c r="U130" s="134" t="n">
        <f aca="false">IF(IFERROR(INDEX(tsk_Name,GanttView[[#This Row],[_Row]])="",TRUE()),0,N(INDEX(tsk_Deadline,GanttView[[#This Row],[_Row]])))</f>
        <v>0</v>
      </c>
      <c r="V130" s="133" t="b">
        <f aca="false">IF(IFERROR(INDEX(tsk_Name,GanttView[[#This Row],[_Row]])="",TRUE()),FALSE(),INDEX(tsk_Critical,GanttView[[#This Row],[_Row]])="Yes")</f>
        <v>0</v>
      </c>
    </row>
    <row r="131" customFormat="false" ht="15" hidden="false" customHeight="false" outlineLevel="0" collapsed="false">
      <c r="A131" s="127" t="str">
        <f aca="false">IF(IFERROR(INDEX(tsk_Name,GanttView[[#This Row],[_Row]])="",TRUE()),"",INDEX(tsk_ID,GanttView[[#This Row],[_Row]]))</f>
        <v/>
      </c>
      <c r="B131" s="127" t="str">
        <f aca="false">IF(IFERROR(INDEX(tsk_Name,GanttView[[#This Row],[_Row]])="",TRUE()),"",INDEX(tsk_WBS,GanttView[[#This Row],[_Row]]))</f>
        <v/>
      </c>
      <c r="C131" s="128" t="str">
        <f aca="false">IF(IFERROR(INDEX(tsk_Name,GanttView[[#This Row],[_Row]])="",TRUE()),"",REPT("    ",INDEX(tsk_Level,GanttView[[#This Row],[_Row]])-1)&amp;INDEX(tsk_Name,GanttView[[#This Row],[_Row]]))</f>
        <v/>
      </c>
      <c r="D131" s="127" t="str">
        <f aca="false">IF(IFERROR(INDEX(tsk_Name,GanttView[[#This Row],[_Row]])="",TRUE()),"",IF(INDEX(tsk_IsSummary,GanttView[[#This Row],[_Row]]),NETWORKDAYS.INTL(INDEX(tsk_FcStart,GanttView[[#This Row],[_Row]]),INDEX(tsk_FcFinish,GanttView[[#This Row],[_Row]]),WorkWeek,Holidays),N(INDEX(tsk_Duration,GanttView[[#This Row],[_Row]]))))</f>
        <v/>
      </c>
      <c r="E131" s="129" t="str">
        <f aca="false">IF(IFERROR(INDEX(tsk_Name,GanttView[[#This Row],[_Row]])="",TRUE()),"",INDEX(tsk_PlanStart,GanttView[[#This Row],[_Row]]))</f>
        <v/>
      </c>
      <c r="F131" s="129" t="str">
        <f aca="false">IF(IFERROR(INDEX(tsk_Name,GanttView[[#This Row],[_Row]])="",TRUE()),"",INDEX(tsk_PlanFinish,GanttView[[#This Row],[_Row]]))</f>
        <v/>
      </c>
      <c r="G131" s="129" t="str">
        <f aca="false">IF(IFERROR(INDEX(tsk_Name,GanttView[[#This Row],[_Row]])="",TRUE()),"",INDEX(tsk_FcStart,GanttView[[#This Row],[_Row]]))</f>
        <v/>
      </c>
      <c r="H131" s="129" t="str">
        <f aca="false">IF(IFERROR(INDEX(tsk_Name,GanttView[[#This Row],[_Row]])="",TRUE()),"",INDEX(tsk_FcFinish,GanttView[[#This Row],[_Row]]))</f>
        <v/>
      </c>
      <c r="I131" s="130" t="str">
        <f aca="false">IF(IFERROR(INDEX(tsk_Name,GanttView[[#This Row],[_Row]])="",TRUE()),"",INDEX(tsk_Progress,GanttView[[#This Row],[_Row]]))</f>
        <v/>
      </c>
      <c r="J131" s="128" t="str">
        <f aca="false">IF(IFERROR(INDEX(tsk_Name,GanttView[[#This Row],[_Row]])="",TRUE()),"",INDEX(tsk_ResourceNames,GanttView[[#This Row],[_Row]])&amp;"")</f>
        <v/>
      </c>
      <c r="K131" s="131" t="str">
        <f aca="false">IF(IFERROR(INDEX(tsk_Name,GanttView[[#This Row],[_Row]])="",TRUE()),"",INDEX(tsk_Status,GanttView[[#This Row],[_Row]]))</f>
        <v/>
      </c>
      <c r="L131" s="131" t="str">
        <f aca="false">IF(IFERROR(INDEX(tsk_Name,GanttView[[#This Row],[_Row]])="",TRUE()),"",INDEX(tsk_Show,GanttView[[#This Row],[_Row]])&amp;"")</f>
        <v/>
      </c>
      <c r="M131" s="132" t="n">
        <f aca="false">ROW()-ROW(GanttView[[#Headers],[ID]])</f>
        <v>126</v>
      </c>
      <c r="N131" s="133" t="b">
        <f aca="false">IF(IFERROR(INDEX(tsk_Name,GanttView[[#This Row],[_Row]])="",TRUE()),FALSE(),INDEX(tsk_IsSummary,GanttView[[#This Row],[_Row]]))</f>
        <v>0</v>
      </c>
      <c r="O131" s="133" t="b">
        <f aca="false">IF(IFERROR(INDEX(tsk_Name,GanttView[[#This Row],[_Row]])="",TRUE()),FALSE(),AND(INDEX(tsk_IsLeaf,GanttView[[#This Row],[_Row]])=1,N(INDEX(tsk_Duration,GanttView[[#This Row],[_Row]]))=0))</f>
        <v>0</v>
      </c>
      <c r="P131" s="134" t="n">
        <f aca="false">IF(IFERROR(INDEX(tsk_Name,GanttView[[#This Row],[_Row]])="",TRUE()),0,IF(AND(INDEX(tsk_IsLeaf,GanttView[[#This Row],[_Row]])=1,NOT(GanttView[[#This Row],[_IsMilestone]]),N(GanttView[[#This Row],[%]])&gt;0),GanttView[[#This Row],[Forecast Start]],0))</f>
        <v>0</v>
      </c>
      <c r="Q131" s="134" t="n">
        <f aca="false">IF(GanttView[[#This Row],[_DoneFrom]]=0,0,IF(GanttView[[#This Row],[%]]&gt;=1,GanttView[[#This Row],[Forecast Finish]],MAX(GanttView[[#This Row],[_DoneFrom]],GanttView[[#This Row],[Forecast Start]]+ROUND((GanttView[[#This Row],[Forecast Finish]]-GanttView[[#This Row],[Forecast Start]]+1)*GanttView[[#This Row],[%]],0)-1)))</f>
        <v>0</v>
      </c>
      <c r="R131" s="134" t="n">
        <f aca="false">IF(IFERROR(INDEX(tsk_Name,GanttView[[#This Row],[_Row]])="",TRUE()),0,IF(OR(INDEX(tsk_IsLeaf,GanttView[[#This Row],[_Row]])&lt;&gt;1,GanttView[[#This Row],[_IsMilestone]],N(GanttView[[#This Row],[%]])&gt;=1),0,IF(GanttView[[#This Row],[_DoneTo]]&gt;0,GanttView[[#This Row],[_DoneTo]]+1,GanttView[[#This Row],[Forecast Start]])))</f>
        <v>0</v>
      </c>
      <c r="S131" s="134" t="n">
        <f aca="false">IF(GanttView[[#This Row],[_RemFrom]]=0,0,GanttView[[#This Row],[Forecast Finish]])</f>
        <v>0</v>
      </c>
      <c r="T131" s="133" t="b">
        <f aca="false">IF(IFERROR(INDEX(tsk_Name,GanttView[[#This Row],[_Row]])="",TRUE()),FALSE(),N(INDEX(tsk_Variance,GanttView[[#This Row],[_Row]]))&gt;0)</f>
        <v>0</v>
      </c>
      <c r="U131" s="134" t="n">
        <f aca="false">IF(IFERROR(INDEX(tsk_Name,GanttView[[#This Row],[_Row]])="",TRUE()),0,N(INDEX(tsk_Deadline,GanttView[[#This Row],[_Row]])))</f>
        <v>0</v>
      </c>
      <c r="V131" s="133" t="b">
        <f aca="false">IF(IFERROR(INDEX(tsk_Name,GanttView[[#This Row],[_Row]])="",TRUE()),FALSE(),INDEX(tsk_Critical,GanttView[[#This Row],[_Row]])="Yes")</f>
        <v>0</v>
      </c>
    </row>
    <row r="132" customFormat="false" ht="15" hidden="false" customHeight="false" outlineLevel="0" collapsed="false">
      <c r="A132" s="127" t="str">
        <f aca="false">IF(IFERROR(INDEX(tsk_Name,GanttView[[#This Row],[_Row]])="",TRUE()),"",INDEX(tsk_ID,GanttView[[#This Row],[_Row]]))</f>
        <v/>
      </c>
      <c r="B132" s="127" t="str">
        <f aca="false">IF(IFERROR(INDEX(tsk_Name,GanttView[[#This Row],[_Row]])="",TRUE()),"",INDEX(tsk_WBS,GanttView[[#This Row],[_Row]]))</f>
        <v/>
      </c>
      <c r="C132" s="128" t="str">
        <f aca="false">IF(IFERROR(INDEX(tsk_Name,GanttView[[#This Row],[_Row]])="",TRUE()),"",REPT("    ",INDEX(tsk_Level,GanttView[[#This Row],[_Row]])-1)&amp;INDEX(tsk_Name,GanttView[[#This Row],[_Row]]))</f>
        <v/>
      </c>
      <c r="D132" s="127" t="str">
        <f aca="false">IF(IFERROR(INDEX(tsk_Name,GanttView[[#This Row],[_Row]])="",TRUE()),"",IF(INDEX(tsk_IsSummary,GanttView[[#This Row],[_Row]]),NETWORKDAYS.INTL(INDEX(tsk_FcStart,GanttView[[#This Row],[_Row]]),INDEX(tsk_FcFinish,GanttView[[#This Row],[_Row]]),WorkWeek,Holidays),N(INDEX(tsk_Duration,GanttView[[#This Row],[_Row]]))))</f>
        <v/>
      </c>
      <c r="E132" s="129" t="str">
        <f aca="false">IF(IFERROR(INDEX(tsk_Name,GanttView[[#This Row],[_Row]])="",TRUE()),"",INDEX(tsk_PlanStart,GanttView[[#This Row],[_Row]]))</f>
        <v/>
      </c>
      <c r="F132" s="129" t="str">
        <f aca="false">IF(IFERROR(INDEX(tsk_Name,GanttView[[#This Row],[_Row]])="",TRUE()),"",INDEX(tsk_PlanFinish,GanttView[[#This Row],[_Row]]))</f>
        <v/>
      </c>
      <c r="G132" s="129" t="str">
        <f aca="false">IF(IFERROR(INDEX(tsk_Name,GanttView[[#This Row],[_Row]])="",TRUE()),"",INDEX(tsk_FcStart,GanttView[[#This Row],[_Row]]))</f>
        <v/>
      </c>
      <c r="H132" s="129" t="str">
        <f aca="false">IF(IFERROR(INDEX(tsk_Name,GanttView[[#This Row],[_Row]])="",TRUE()),"",INDEX(tsk_FcFinish,GanttView[[#This Row],[_Row]]))</f>
        <v/>
      </c>
      <c r="I132" s="130" t="str">
        <f aca="false">IF(IFERROR(INDEX(tsk_Name,GanttView[[#This Row],[_Row]])="",TRUE()),"",INDEX(tsk_Progress,GanttView[[#This Row],[_Row]]))</f>
        <v/>
      </c>
      <c r="J132" s="128" t="str">
        <f aca="false">IF(IFERROR(INDEX(tsk_Name,GanttView[[#This Row],[_Row]])="",TRUE()),"",INDEX(tsk_ResourceNames,GanttView[[#This Row],[_Row]])&amp;"")</f>
        <v/>
      </c>
      <c r="K132" s="131" t="str">
        <f aca="false">IF(IFERROR(INDEX(tsk_Name,GanttView[[#This Row],[_Row]])="",TRUE()),"",INDEX(tsk_Status,GanttView[[#This Row],[_Row]]))</f>
        <v/>
      </c>
      <c r="L132" s="131" t="str">
        <f aca="false">IF(IFERROR(INDEX(tsk_Name,GanttView[[#This Row],[_Row]])="",TRUE()),"",INDEX(tsk_Show,GanttView[[#This Row],[_Row]])&amp;"")</f>
        <v/>
      </c>
      <c r="M132" s="132" t="n">
        <f aca="false">ROW()-ROW(GanttView[[#Headers],[ID]])</f>
        <v>127</v>
      </c>
      <c r="N132" s="133" t="b">
        <f aca="false">IF(IFERROR(INDEX(tsk_Name,GanttView[[#This Row],[_Row]])="",TRUE()),FALSE(),INDEX(tsk_IsSummary,GanttView[[#This Row],[_Row]]))</f>
        <v>0</v>
      </c>
      <c r="O132" s="133" t="b">
        <f aca="false">IF(IFERROR(INDEX(tsk_Name,GanttView[[#This Row],[_Row]])="",TRUE()),FALSE(),AND(INDEX(tsk_IsLeaf,GanttView[[#This Row],[_Row]])=1,N(INDEX(tsk_Duration,GanttView[[#This Row],[_Row]]))=0))</f>
        <v>0</v>
      </c>
      <c r="P132" s="134" t="n">
        <f aca="false">IF(IFERROR(INDEX(tsk_Name,GanttView[[#This Row],[_Row]])="",TRUE()),0,IF(AND(INDEX(tsk_IsLeaf,GanttView[[#This Row],[_Row]])=1,NOT(GanttView[[#This Row],[_IsMilestone]]),N(GanttView[[#This Row],[%]])&gt;0),GanttView[[#This Row],[Forecast Start]],0))</f>
        <v>0</v>
      </c>
      <c r="Q132" s="134" t="n">
        <f aca="false">IF(GanttView[[#This Row],[_DoneFrom]]=0,0,IF(GanttView[[#This Row],[%]]&gt;=1,GanttView[[#This Row],[Forecast Finish]],MAX(GanttView[[#This Row],[_DoneFrom]],GanttView[[#This Row],[Forecast Start]]+ROUND((GanttView[[#This Row],[Forecast Finish]]-GanttView[[#This Row],[Forecast Start]]+1)*GanttView[[#This Row],[%]],0)-1)))</f>
        <v>0</v>
      </c>
      <c r="R132" s="134" t="n">
        <f aca="false">IF(IFERROR(INDEX(tsk_Name,GanttView[[#This Row],[_Row]])="",TRUE()),0,IF(OR(INDEX(tsk_IsLeaf,GanttView[[#This Row],[_Row]])&lt;&gt;1,GanttView[[#This Row],[_IsMilestone]],N(GanttView[[#This Row],[%]])&gt;=1),0,IF(GanttView[[#This Row],[_DoneTo]]&gt;0,GanttView[[#This Row],[_DoneTo]]+1,GanttView[[#This Row],[Forecast Start]])))</f>
        <v>0</v>
      </c>
      <c r="S132" s="134" t="n">
        <f aca="false">IF(GanttView[[#This Row],[_RemFrom]]=0,0,GanttView[[#This Row],[Forecast Finish]])</f>
        <v>0</v>
      </c>
      <c r="T132" s="133" t="b">
        <f aca="false">IF(IFERROR(INDEX(tsk_Name,GanttView[[#This Row],[_Row]])="",TRUE()),FALSE(),N(INDEX(tsk_Variance,GanttView[[#This Row],[_Row]]))&gt;0)</f>
        <v>0</v>
      </c>
      <c r="U132" s="134" t="n">
        <f aca="false">IF(IFERROR(INDEX(tsk_Name,GanttView[[#This Row],[_Row]])="",TRUE()),0,N(INDEX(tsk_Deadline,GanttView[[#This Row],[_Row]])))</f>
        <v>0</v>
      </c>
      <c r="V132" s="133" t="b">
        <f aca="false">IF(IFERROR(INDEX(tsk_Name,GanttView[[#This Row],[_Row]])="",TRUE()),FALSE(),INDEX(tsk_Critical,GanttView[[#This Row],[_Row]])="Yes")</f>
        <v>0</v>
      </c>
    </row>
    <row r="133" customFormat="false" ht="15" hidden="false" customHeight="false" outlineLevel="0" collapsed="false">
      <c r="A133" s="127" t="str">
        <f aca="false">IF(IFERROR(INDEX(tsk_Name,GanttView[[#This Row],[_Row]])="",TRUE()),"",INDEX(tsk_ID,GanttView[[#This Row],[_Row]]))</f>
        <v/>
      </c>
      <c r="B133" s="127" t="str">
        <f aca="false">IF(IFERROR(INDEX(tsk_Name,GanttView[[#This Row],[_Row]])="",TRUE()),"",INDEX(tsk_WBS,GanttView[[#This Row],[_Row]]))</f>
        <v/>
      </c>
      <c r="C133" s="128" t="str">
        <f aca="false">IF(IFERROR(INDEX(tsk_Name,GanttView[[#This Row],[_Row]])="",TRUE()),"",REPT("    ",INDEX(tsk_Level,GanttView[[#This Row],[_Row]])-1)&amp;INDEX(tsk_Name,GanttView[[#This Row],[_Row]]))</f>
        <v/>
      </c>
      <c r="D133" s="127" t="str">
        <f aca="false">IF(IFERROR(INDEX(tsk_Name,GanttView[[#This Row],[_Row]])="",TRUE()),"",IF(INDEX(tsk_IsSummary,GanttView[[#This Row],[_Row]]),NETWORKDAYS.INTL(INDEX(tsk_FcStart,GanttView[[#This Row],[_Row]]),INDEX(tsk_FcFinish,GanttView[[#This Row],[_Row]]),WorkWeek,Holidays),N(INDEX(tsk_Duration,GanttView[[#This Row],[_Row]]))))</f>
        <v/>
      </c>
      <c r="E133" s="129" t="str">
        <f aca="false">IF(IFERROR(INDEX(tsk_Name,GanttView[[#This Row],[_Row]])="",TRUE()),"",INDEX(tsk_PlanStart,GanttView[[#This Row],[_Row]]))</f>
        <v/>
      </c>
      <c r="F133" s="129" t="str">
        <f aca="false">IF(IFERROR(INDEX(tsk_Name,GanttView[[#This Row],[_Row]])="",TRUE()),"",INDEX(tsk_PlanFinish,GanttView[[#This Row],[_Row]]))</f>
        <v/>
      </c>
      <c r="G133" s="129" t="str">
        <f aca="false">IF(IFERROR(INDEX(tsk_Name,GanttView[[#This Row],[_Row]])="",TRUE()),"",INDEX(tsk_FcStart,GanttView[[#This Row],[_Row]]))</f>
        <v/>
      </c>
      <c r="H133" s="129" t="str">
        <f aca="false">IF(IFERROR(INDEX(tsk_Name,GanttView[[#This Row],[_Row]])="",TRUE()),"",INDEX(tsk_FcFinish,GanttView[[#This Row],[_Row]]))</f>
        <v/>
      </c>
      <c r="I133" s="130" t="str">
        <f aca="false">IF(IFERROR(INDEX(tsk_Name,GanttView[[#This Row],[_Row]])="",TRUE()),"",INDEX(tsk_Progress,GanttView[[#This Row],[_Row]]))</f>
        <v/>
      </c>
      <c r="J133" s="128" t="str">
        <f aca="false">IF(IFERROR(INDEX(tsk_Name,GanttView[[#This Row],[_Row]])="",TRUE()),"",INDEX(tsk_ResourceNames,GanttView[[#This Row],[_Row]])&amp;"")</f>
        <v/>
      </c>
      <c r="K133" s="131" t="str">
        <f aca="false">IF(IFERROR(INDEX(tsk_Name,GanttView[[#This Row],[_Row]])="",TRUE()),"",INDEX(tsk_Status,GanttView[[#This Row],[_Row]]))</f>
        <v/>
      </c>
      <c r="L133" s="131" t="str">
        <f aca="false">IF(IFERROR(INDEX(tsk_Name,GanttView[[#This Row],[_Row]])="",TRUE()),"",INDEX(tsk_Show,GanttView[[#This Row],[_Row]])&amp;"")</f>
        <v/>
      </c>
      <c r="M133" s="132" t="n">
        <f aca="false">ROW()-ROW(GanttView[[#Headers],[ID]])</f>
        <v>128</v>
      </c>
      <c r="N133" s="133" t="b">
        <f aca="false">IF(IFERROR(INDEX(tsk_Name,GanttView[[#This Row],[_Row]])="",TRUE()),FALSE(),INDEX(tsk_IsSummary,GanttView[[#This Row],[_Row]]))</f>
        <v>0</v>
      </c>
      <c r="O133" s="133" t="b">
        <f aca="false">IF(IFERROR(INDEX(tsk_Name,GanttView[[#This Row],[_Row]])="",TRUE()),FALSE(),AND(INDEX(tsk_IsLeaf,GanttView[[#This Row],[_Row]])=1,N(INDEX(tsk_Duration,GanttView[[#This Row],[_Row]]))=0))</f>
        <v>0</v>
      </c>
      <c r="P133" s="134" t="n">
        <f aca="false">IF(IFERROR(INDEX(tsk_Name,GanttView[[#This Row],[_Row]])="",TRUE()),0,IF(AND(INDEX(tsk_IsLeaf,GanttView[[#This Row],[_Row]])=1,NOT(GanttView[[#This Row],[_IsMilestone]]),N(GanttView[[#This Row],[%]])&gt;0),GanttView[[#This Row],[Forecast Start]],0))</f>
        <v>0</v>
      </c>
      <c r="Q133" s="134" t="n">
        <f aca="false">IF(GanttView[[#This Row],[_DoneFrom]]=0,0,IF(GanttView[[#This Row],[%]]&gt;=1,GanttView[[#This Row],[Forecast Finish]],MAX(GanttView[[#This Row],[_DoneFrom]],GanttView[[#This Row],[Forecast Start]]+ROUND((GanttView[[#This Row],[Forecast Finish]]-GanttView[[#This Row],[Forecast Start]]+1)*GanttView[[#This Row],[%]],0)-1)))</f>
        <v>0</v>
      </c>
      <c r="R133" s="134" t="n">
        <f aca="false">IF(IFERROR(INDEX(tsk_Name,GanttView[[#This Row],[_Row]])="",TRUE()),0,IF(OR(INDEX(tsk_IsLeaf,GanttView[[#This Row],[_Row]])&lt;&gt;1,GanttView[[#This Row],[_IsMilestone]],N(GanttView[[#This Row],[%]])&gt;=1),0,IF(GanttView[[#This Row],[_DoneTo]]&gt;0,GanttView[[#This Row],[_DoneTo]]+1,GanttView[[#This Row],[Forecast Start]])))</f>
        <v>0</v>
      </c>
      <c r="S133" s="134" t="n">
        <f aca="false">IF(GanttView[[#This Row],[_RemFrom]]=0,0,GanttView[[#This Row],[Forecast Finish]])</f>
        <v>0</v>
      </c>
      <c r="T133" s="133" t="b">
        <f aca="false">IF(IFERROR(INDEX(tsk_Name,GanttView[[#This Row],[_Row]])="",TRUE()),FALSE(),N(INDEX(tsk_Variance,GanttView[[#This Row],[_Row]]))&gt;0)</f>
        <v>0</v>
      </c>
      <c r="U133" s="134" t="n">
        <f aca="false">IF(IFERROR(INDEX(tsk_Name,GanttView[[#This Row],[_Row]])="",TRUE()),0,N(INDEX(tsk_Deadline,GanttView[[#This Row],[_Row]])))</f>
        <v>0</v>
      </c>
      <c r="V133" s="133" t="b">
        <f aca="false">IF(IFERROR(INDEX(tsk_Name,GanttView[[#This Row],[_Row]])="",TRUE()),FALSE(),INDEX(tsk_Critical,GanttView[[#This Row],[_Row]])="Yes")</f>
        <v>0</v>
      </c>
    </row>
    <row r="134" customFormat="false" ht="15" hidden="false" customHeight="false" outlineLevel="0" collapsed="false">
      <c r="A134" s="127" t="str">
        <f aca="false">IF(IFERROR(INDEX(tsk_Name,GanttView[[#This Row],[_Row]])="",TRUE()),"",INDEX(tsk_ID,GanttView[[#This Row],[_Row]]))</f>
        <v/>
      </c>
      <c r="B134" s="127" t="str">
        <f aca="false">IF(IFERROR(INDEX(tsk_Name,GanttView[[#This Row],[_Row]])="",TRUE()),"",INDEX(tsk_WBS,GanttView[[#This Row],[_Row]]))</f>
        <v/>
      </c>
      <c r="C134" s="128" t="str">
        <f aca="false">IF(IFERROR(INDEX(tsk_Name,GanttView[[#This Row],[_Row]])="",TRUE()),"",REPT("    ",INDEX(tsk_Level,GanttView[[#This Row],[_Row]])-1)&amp;INDEX(tsk_Name,GanttView[[#This Row],[_Row]]))</f>
        <v/>
      </c>
      <c r="D134" s="127" t="str">
        <f aca="false">IF(IFERROR(INDEX(tsk_Name,GanttView[[#This Row],[_Row]])="",TRUE()),"",IF(INDEX(tsk_IsSummary,GanttView[[#This Row],[_Row]]),NETWORKDAYS.INTL(INDEX(tsk_FcStart,GanttView[[#This Row],[_Row]]),INDEX(tsk_FcFinish,GanttView[[#This Row],[_Row]]),WorkWeek,Holidays),N(INDEX(tsk_Duration,GanttView[[#This Row],[_Row]]))))</f>
        <v/>
      </c>
      <c r="E134" s="129" t="str">
        <f aca="false">IF(IFERROR(INDEX(tsk_Name,GanttView[[#This Row],[_Row]])="",TRUE()),"",INDEX(tsk_PlanStart,GanttView[[#This Row],[_Row]]))</f>
        <v/>
      </c>
      <c r="F134" s="129" t="str">
        <f aca="false">IF(IFERROR(INDEX(tsk_Name,GanttView[[#This Row],[_Row]])="",TRUE()),"",INDEX(tsk_PlanFinish,GanttView[[#This Row],[_Row]]))</f>
        <v/>
      </c>
      <c r="G134" s="129" t="str">
        <f aca="false">IF(IFERROR(INDEX(tsk_Name,GanttView[[#This Row],[_Row]])="",TRUE()),"",INDEX(tsk_FcStart,GanttView[[#This Row],[_Row]]))</f>
        <v/>
      </c>
      <c r="H134" s="129" t="str">
        <f aca="false">IF(IFERROR(INDEX(tsk_Name,GanttView[[#This Row],[_Row]])="",TRUE()),"",INDEX(tsk_FcFinish,GanttView[[#This Row],[_Row]]))</f>
        <v/>
      </c>
      <c r="I134" s="130" t="str">
        <f aca="false">IF(IFERROR(INDEX(tsk_Name,GanttView[[#This Row],[_Row]])="",TRUE()),"",INDEX(tsk_Progress,GanttView[[#This Row],[_Row]]))</f>
        <v/>
      </c>
      <c r="J134" s="128" t="str">
        <f aca="false">IF(IFERROR(INDEX(tsk_Name,GanttView[[#This Row],[_Row]])="",TRUE()),"",INDEX(tsk_ResourceNames,GanttView[[#This Row],[_Row]])&amp;"")</f>
        <v/>
      </c>
      <c r="K134" s="131" t="str">
        <f aca="false">IF(IFERROR(INDEX(tsk_Name,GanttView[[#This Row],[_Row]])="",TRUE()),"",INDEX(tsk_Status,GanttView[[#This Row],[_Row]]))</f>
        <v/>
      </c>
      <c r="L134" s="131" t="str">
        <f aca="false">IF(IFERROR(INDEX(tsk_Name,GanttView[[#This Row],[_Row]])="",TRUE()),"",INDEX(tsk_Show,GanttView[[#This Row],[_Row]])&amp;"")</f>
        <v/>
      </c>
      <c r="M134" s="132" t="n">
        <f aca="false">ROW()-ROW(GanttView[[#Headers],[ID]])</f>
        <v>129</v>
      </c>
      <c r="N134" s="133" t="b">
        <f aca="false">IF(IFERROR(INDEX(tsk_Name,GanttView[[#This Row],[_Row]])="",TRUE()),FALSE(),INDEX(tsk_IsSummary,GanttView[[#This Row],[_Row]]))</f>
        <v>0</v>
      </c>
      <c r="O134" s="133" t="b">
        <f aca="false">IF(IFERROR(INDEX(tsk_Name,GanttView[[#This Row],[_Row]])="",TRUE()),FALSE(),AND(INDEX(tsk_IsLeaf,GanttView[[#This Row],[_Row]])=1,N(INDEX(tsk_Duration,GanttView[[#This Row],[_Row]]))=0))</f>
        <v>0</v>
      </c>
      <c r="P134" s="134" t="n">
        <f aca="false">IF(IFERROR(INDEX(tsk_Name,GanttView[[#This Row],[_Row]])="",TRUE()),0,IF(AND(INDEX(tsk_IsLeaf,GanttView[[#This Row],[_Row]])=1,NOT(GanttView[[#This Row],[_IsMilestone]]),N(GanttView[[#This Row],[%]])&gt;0),GanttView[[#This Row],[Forecast Start]],0))</f>
        <v>0</v>
      </c>
      <c r="Q134" s="134" t="n">
        <f aca="false">IF(GanttView[[#This Row],[_DoneFrom]]=0,0,IF(GanttView[[#This Row],[%]]&gt;=1,GanttView[[#This Row],[Forecast Finish]],MAX(GanttView[[#This Row],[_DoneFrom]],GanttView[[#This Row],[Forecast Start]]+ROUND((GanttView[[#This Row],[Forecast Finish]]-GanttView[[#This Row],[Forecast Start]]+1)*GanttView[[#This Row],[%]],0)-1)))</f>
        <v>0</v>
      </c>
      <c r="R134" s="134" t="n">
        <f aca="false">IF(IFERROR(INDEX(tsk_Name,GanttView[[#This Row],[_Row]])="",TRUE()),0,IF(OR(INDEX(tsk_IsLeaf,GanttView[[#This Row],[_Row]])&lt;&gt;1,GanttView[[#This Row],[_IsMilestone]],N(GanttView[[#This Row],[%]])&gt;=1),0,IF(GanttView[[#This Row],[_DoneTo]]&gt;0,GanttView[[#This Row],[_DoneTo]]+1,GanttView[[#This Row],[Forecast Start]])))</f>
        <v>0</v>
      </c>
      <c r="S134" s="134" t="n">
        <f aca="false">IF(GanttView[[#This Row],[_RemFrom]]=0,0,GanttView[[#This Row],[Forecast Finish]])</f>
        <v>0</v>
      </c>
      <c r="T134" s="133" t="b">
        <f aca="false">IF(IFERROR(INDEX(tsk_Name,GanttView[[#This Row],[_Row]])="",TRUE()),FALSE(),N(INDEX(tsk_Variance,GanttView[[#This Row],[_Row]]))&gt;0)</f>
        <v>0</v>
      </c>
      <c r="U134" s="134" t="n">
        <f aca="false">IF(IFERROR(INDEX(tsk_Name,GanttView[[#This Row],[_Row]])="",TRUE()),0,N(INDEX(tsk_Deadline,GanttView[[#This Row],[_Row]])))</f>
        <v>0</v>
      </c>
      <c r="V134" s="133" t="b">
        <f aca="false">IF(IFERROR(INDEX(tsk_Name,GanttView[[#This Row],[_Row]])="",TRUE()),FALSE(),INDEX(tsk_Critical,GanttView[[#This Row],[_Row]])="Yes")</f>
        <v>0</v>
      </c>
    </row>
    <row r="135" customFormat="false" ht="15" hidden="false" customHeight="false" outlineLevel="0" collapsed="false">
      <c r="A135" s="127" t="str">
        <f aca="false">IF(IFERROR(INDEX(tsk_Name,GanttView[[#This Row],[_Row]])="",TRUE()),"",INDEX(tsk_ID,GanttView[[#This Row],[_Row]]))</f>
        <v/>
      </c>
      <c r="B135" s="127" t="str">
        <f aca="false">IF(IFERROR(INDEX(tsk_Name,GanttView[[#This Row],[_Row]])="",TRUE()),"",INDEX(tsk_WBS,GanttView[[#This Row],[_Row]]))</f>
        <v/>
      </c>
      <c r="C135" s="128" t="str">
        <f aca="false">IF(IFERROR(INDEX(tsk_Name,GanttView[[#This Row],[_Row]])="",TRUE()),"",REPT("    ",INDEX(tsk_Level,GanttView[[#This Row],[_Row]])-1)&amp;INDEX(tsk_Name,GanttView[[#This Row],[_Row]]))</f>
        <v/>
      </c>
      <c r="D135" s="127" t="str">
        <f aca="false">IF(IFERROR(INDEX(tsk_Name,GanttView[[#This Row],[_Row]])="",TRUE()),"",IF(INDEX(tsk_IsSummary,GanttView[[#This Row],[_Row]]),NETWORKDAYS.INTL(INDEX(tsk_FcStart,GanttView[[#This Row],[_Row]]),INDEX(tsk_FcFinish,GanttView[[#This Row],[_Row]]),WorkWeek,Holidays),N(INDEX(tsk_Duration,GanttView[[#This Row],[_Row]]))))</f>
        <v/>
      </c>
      <c r="E135" s="129" t="str">
        <f aca="false">IF(IFERROR(INDEX(tsk_Name,GanttView[[#This Row],[_Row]])="",TRUE()),"",INDEX(tsk_PlanStart,GanttView[[#This Row],[_Row]]))</f>
        <v/>
      </c>
      <c r="F135" s="129" t="str">
        <f aca="false">IF(IFERROR(INDEX(tsk_Name,GanttView[[#This Row],[_Row]])="",TRUE()),"",INDEX(tsk_PlanFinish,GanttView[[#This Row],[_Row]]))</f>
        <v/>
      </c>
      <c r="G135" s="129" t="str">
        <f aca="false">IF(IFERROR(INDEX(tsk_Name,GanttView[[#This Row],[_Row]])="",TRUE()),"",INDEX(tsk_FcStart,GanttView[[#This Row],[_Row]]))</f>
        <v/>
      </c>
      <c r="H135" s="129" t="str">
        <f aca="false">IF(IFERROR(INDEX(tsk_Name,GanttView[[#This Row],[_Row]])="",TRUE()),"",INDEX(tsk_FcFinish,GanttView[[#This Row],[_Row]]))</f>
        <v/>
      </c>
      <c r="I135" s="130" t="str">
        <f aca="false">IF(IFERROR(INDEX(tsk_Name,GanttView[[#This Row],[_Row]])="",TRUE()),"",INDEX(tsk_Progress,GanttView[[#This Row],[_Row]]))</f>
        <v/>
      </c>
      <c r="J135" s="128" t="str">
        <f aca="false">IF(IFERROR(INDEX(tsk_Name,GanttView[[#This Row],[_Row]])="",TRUE()),"",INDEX(tsk_ResourceNames,GanttView[[#This Row],[_Row]])&amp;"")</f>
        <v/>
      </c>
      <c r="K135" s="131" t="str">
        <f aca="false">IF(IFERROR(INDEX(tsk_Name,GanttView[[#This Row],[_Row]])="",TRUE()),"",INDEX(tsk_Status,GanttView[[#This Row],[_Row]]))</f>
        <v/>
      </c>
      <c r="L135" s="131" t="str">
        <f aca="false">IF(IFERROR(INDEX(tsk_Name,GanttView[[#This Row],[_Row]])="",TRUE()),"",INDEX(tsk_Show,GanttView[[#This Row],[_Row]])&amp;"")</f>
        <v/>
      </c>
      <c r="M135" s="132" t="n">
        <f aca="false">ROW()-ROW(GanttView[[#Headers],[ID]])</f>
        <v>130</v>
      </c>
      <c r="N135" s="133" t="b">
        <f aca="false">IF(IFERROR(INDEX(tsk_Name,GanttView[[#This Row],[_Row]])="",TRUE()),FALSE(),INDEX(tsk_IsSummary,GanttView[[#This Row],[_Row]]))</f>
        <v>0</v>
      </c>
      <c r="O135" s="133" t="b">
        <f aca="false">IF(IFERROR(INDEX(tsk_Name,GanttView[[#This Row],[_Row]])="",TRUE()),FALSE(),AND(INDEX(tsk_IsLeaf,GanttView[[#This Row],[_Row]])=1,N(INDEX(tsk_Duration,GanttView[[#This Row],[_Row]]))=0))</f>
        <v>0</v>
      </c>
      <c r="P135" s="134" t="n">
        <f aca="false">IF(IFERROR(INDEX(tsk_Name,GanttView[[#This Row],[_Row]])="",TRUE()),0,IF(AND(INDEX(tsk_IsLeaf,GanttView[[#This Row],[_Row]])=1,NOT(GanttView[[#This Row],[_IsMilestone]]),N(GanttView[[#This Row],[%]])&gt;0),GanttView[[#This Row],[Forecast Start]],0))</f>
        <v>0</v>
      </c>
      <c r="Q135" s="134" t="n">
        <f aca="false">IF(GanttView[[#This Row],[_DoneFrom]]=0,0,IF(GanttView[[#This Row],[%]]&gt;=1,GanttView[[#This Row],[Forecast Finish]],MAX(GanttView[[#This Row],[_DoneFrom]],GanttView[[#This Row],[Forecast Start]]+ROUND((GanttView[[#This Row],[Forecast Finish]]-GanttView[[#This Row],[Forecast Start]]+1)*GanttView[[#This Row],[%]],0)-1)))</f>
        <v>0</v>
      </c>
      <c r="R135" s="134" t="n">
        <f aca="false">IF(IFERROR(INDEX(tsk_Name,GanttView[[#This Row],[_Row]])="",TRUE()),0,IF(OR(INDEX(tsk_IsLeaf,GanttView[[#This Row],[_Row]])&lt;&gt;1,GanttView[[#This Row],[_IsMilestone]],N(GanttView[[#This Row],[%]])&gt;=1),0,IF(GanttView[[#This Row],[_DoneTo]]&gt;0,GanttView[[#This Row],[_DoneTo]]+1,GanttView[[#This Row],[Forecast Start]])))</f>
        <v>0</v>
      </c>
      <c r="S135" s="134" t="n">
        <f aca="false">IF(GanttView[[#This Row],[_RemFrom]]=0,0,GanttView[[#This Row],[Forecast Finish]])</f>
        <v>0</v>
      </c>
      <c r="T135" s="133" t="b">
        <f aca="false">IF(IFERROR(INDEX(tsk_Name,GanttView[[#This Row],[_Row]])="",TRUE()),FALSE(),N(INDEX(tsk_Variance,GanttView[[#This Row],[_Row]]))&gt;0)</f>
        <v>0</v>
      </c>
      <c r="U135" s="134" t="n">
        <f aca="false">IF(IFERROR(INDEX(tsk_Name,GanttView[[#This Row],[_Row]])="",TRUE()),0,N(INDEX(tsk_Deadline,GanttView[[#This Row],[_Row]])))</f>
        <v>0</v>
      </c>
      <c r="V135" s="133" t="b">
        <f aca="false">IF(IFERROR(INDEX(tsk_Name,GanttView[[#This Row],[_Row]])="",TRUE()),FALSE(),INDEX(tsk_Critical,GanttView[[#This Row],[_Row]])="Yes")</f>
        <v>0</v>
      </c>
    </row>
    <row r="136" customFormat="false" ht="15" hidden="false" customHeight="false" outlineLevel="0" collapsed="false">
      <c r="A136" s="127" t="str">
        <f aca="false">IF(IFERROR(INDEX(tsk_Name,GanttView[[#This Row],[_Row]])="",TRUE()),"",INDEX(tsk_ID,GanttView[[#This Row],[_Row]]))</f>
        <v/>
      </c>
      <c r="B136" s="127" t="str">
        <f aca="false">IF(IFERROR(INDEX(tsk_Name,GanttView[[#This Row],[_Row]])="",TRUE()),"",INDEX(tsk_WBS,GanttView[[#This Row],[_Row]]))</f>
        <v/>
      </c>
      <c r="C136" s="128" t="str">
        <f aca="false">IF(IFERROR(INDEX(tsk_Name,GanttView[[#This Row],[_Row]])="",TRUE()),"",REPT("    ",INDEX(tsk_Level,GanttView[[#This Row],[_Row]])-1)&amp;INDEX(tsk_Name,GanttView[[#This Row],[_Row]]))</f>
        <v/>
      </c>
      <c r="D136" s="127" t="str">
        <f aca="false">IF(IFERROR(INDEX(tsk_Name,GanttView[[#This Row],[_Row]])="",TRUE()),"",IF(INDEX(tsk_IsSummary,GanttView[[#This Row],[_Row]]),NETWORKDAYS.INTL(INDEX(tsk_FcStart,GanttView[[#This Row],[_Row]]),INDEX(tsk_FcFinish,GanttView[[#This Row],[_Row]]),WorkWeek,Holidays),N(INDEX(tsk_Duration,GanttView[[#This Row],[_Row]]))))</f>
        <v/>
      </c>
      <c r="E136" s="129" t="str">
        <f aca="false">IF(IFERROR(INDEX(tsk_Name,GanttView[[#This Row],[_Row]])="",TRUE()),"",INDEX(tsk_PlanStart,GanttView[[#This Row],[_Row]]))</f>
        <v/>
      </c>
      <c r="F136" s="129" t="str">
        <f aca="false">IF(IFERROR(INDEX(tsk_Name,GanttView[[#This Row],[_Row]])="",TRUE()),"",INDEX(tsk_PlanFinish,GanttView[[#This Row],[_Row]]))</f>
        <v/>
      </c>
      <c r="G136" s="129" t="str">
        <f aca="false">IF(IFERROR(INDEX(tsk_Name,GanttView[[#This Row],[_Row]])="",TRUE()),"",INDEX(tsk_FcStart,GanttView[[#This Row],[_Row]]))</f>
        <v/>
      </c>
      <c r="H136" s="129" t="str">
        <f aca="false">IF(IFERROR(INDEX(tsk_Name,GanttView[[#This Row],[_Row]])="",TRUE()),"",INDEX(tsk_FcFinish,GanttView[[#This Row],[_Row]]))</f>
        <v/>
      </c>
      <c r="I136" s="130" t="str">
        <f aca="false">IF(IFERROR(INDEX(tsk_Name,GanttView[[#This Row],[_Row]])="",TRUE()),"",INDEX(tsk_Progress,GanttView[[#This Row],[_Row]]))</f>
        <v/>
      </c>
      <c r="J136" s="128" t="str">
        <f aca="false">IF(IFERROR(INDEX(tsk_Name,GanttView[[#This Row],[_Row]])="",TRUE()),"",INDEX(tsk_ResourceNames,GanttView[[#This Row],[_Row]])&amp;"")</f>
        <v/>
      </c>
      <c r="K136" s="131" t="str">
        <f aca="false">IF(IFERROR(INDEX(tsk_Name,GanttView[[#This Row],[_Row]])="",TRUE()),"",INDEX(tsk_Status,GanttView[[#This Row],[_Row]]))</f>
        <v/>
      </c>
      <c r="L136" s="131" t="str">
        <f aca="false">IF(IFERROR(INDEX(tsk_Name,GanttView[[#This Row],[_Row]])="",TRUE()),"",INDEX(tsk_Show,GanttView[[#This Row],[_Row]])&amp;"")</f>
        <v/>
      </c>
      <c r="M136" s="132" t="n">
        <f aca="false">ROW()-ROW(GanttView[[#Headers],[ID]])</f>
        <v>131</v>
      </c>
      <c r="N136" s="133" t="b">
        <f aca="false">IF(IFERROR(INDEX(tsk_Name,GanttView[[#This Row],[_Row]])="",TRUE()),FALSE(),INDEX(tsk_IsSummary,GanttView[[#This Row],[_Row]]))</f>
        <v>0</v>
      </c>
      <c r="O136" s="133" t="b">
        <f aca="false">IF(IFERROR(INDEX(tsk_Name,GanttView[[#This Row],[_Row]])="",TRUE()),FALSE(),AND(INDEX(tsk_IsLeaf,GanttView[[#This Row],[_Row]])=1,N(INDEX(tsk_Duration,GanttView[[#This Row],[_Row]]))=0))</f>
        <v>0</v>
      </c>
      <c r="P136" s="134" t="n">
        <f aca="false">IF(IFERROR(INDEX(tsk_Name,GanttView[[#This Row],[_Row]])="",TRUE()),0,IF(AND(INDEX(tsk_IsLeaf,GanttView[[#This Row],[_Row]])=1,NOT(GanttView[[#This Row],[_IsMilestone]]),N(GanttView[[#This Row],[%]])&gt;0),GanttView[[#This Row],[Forecast Start]],0))</f>
        <v>0</v>
      </c>
      <c r="Q136" s="134" t="n">
        <f aca="false">IF(GanttView[[#This Row],[_DoneFrom]]=0,0,IF(GanttView[[#This Row],[%]]&gt;=1,GanttView[[#This Row],[Forecast Finish]],MAX(GanttView[[#This Row],[_DoneFrom]],GanttView[[#This Row],[Forecast Start]]+ROUND((GanttView[[#This Row],[Forecast Finish]]-GanttView[[#This Row],[Forecast Start]]+1)*GanttView[[#This Row],[%]],0)-1)))</f>
        <v>0</v>
      </c>
      <c r="R136" s="134" t="n">
        <f aca="false">IF(IFERROR(INDEX(tsk_Name,GanttView[[#This Row],[_Row]])="",TRUE()),0,IF(OR(INDEX(tsk_IsLeaf,GanttView[[#This Row],[_Row]])&lt;&gt;1,GanttView[[#This Row],[_IsMilestone]],N(GanttView[[#This Row],[%]])&gt;=1),0,IF(GanttView[[#This Row],[_DoneTo]]&gt;0,GanttView[[#This Row],[_DoneTo]]+1,GanttView[[#This Row],[Forecast Start]])))</f>
        <v>0</v>
      </c>
      <c r="S136" s="134" t="n">
        <f aca="false">IF(GanttView[[#This Row],[_RemFrom]]=0,0,GanttView[[#This Row],[Forecast Finish]])</f>
        <v>0</v>
      </c>
      <c r="T136" s="133" t="b">
        <f aca="false">IF(IFERROR(INDEX(tsk_Name,GanttView[[#This Row],[_Row]])="",TRUE()),FALSE(),N(INDEX(tsk_Variance,GanttView[[#This Row],[_Row]]))&gt;0)</f>
        <v>0</v>
      </c>
      <c r="U136" s="134" t="n">
        <f aca="false">IF(IFERROR(INDEX(tsk_Name,GanttView[[#This Row],[_Row]])="",TRUE()),0,N(INDEX(tsk_Deadline,GanttView[[#This Row],[_Row]])))</f>
        <v>0</v>
      </c>
      <c r="V136" s="133" t="b">
        <f aca="false">IF(IFERROR(INDEX(tsk_Name,GanttView[[#This Row],[_Row]])="",TRUE()),FALSE(),INDEX(tsk_Critical,GanttView[[#This Row],[_Row]])="Yes")</f>
        <v>0</v>
      </c>
    </row>
    <row r="137" customFormat="false" ht="15" hidden="false" customHeight="false" outlineLevel="0" collapsed="false">
      <c r="A137" s="127" t="str">
        <f aca="false">IF(IFERROR(INDEX(tsk_Name,GanttView[[#This Row],[_Row]])="",TRUE()),"",INDEX(tsk_ID,GanttView[[#This Row],[_Row]]))</f>
        <v/>
      </c>
      <c r="B137" s="127" t="str">
        <f aca="false">IF(IFERROR(INDEX(tsk_Name,GanttView[[#This Row],[_Row]])="",TRUE()),"",INDEX(tsk_WBS,GanttView[[#This Row],[_Row]]))</f>
        <v/>
      </c>
      <c r="C137" s="128" t="str">
        <f aca="false">IF(IFERROR(INDEX(tsk_Name,GanttView[[#This Row],[_Row]])="",TRUE()),"",REPT("    ",INDEX(tsk_Level,GanttView[[#This Row],[_Row]])-1)&amp;INDEX(tsk_Name,GanttView[[#This Row],[_Row]]))</f>
        <v/>
      </c>
      <c r="D137" s="127" t="str">
        <f aca="false">IF(IFERROR(INDEX(tsk_Name,GanttView[[#This Row],[_Row]])="",TRUE()),"",IF(INDEX(tsk_IsSummary,GanttView[[#This Row],[_Row]]),NETWORKDAYS.INTL(INDEX(tsk_FcStart,GanttView[[#This Row],[_Row]]),INDEX(tsk_FcFinish,GanttView[[#This Row],[_Row]]),WorkWeek,Holidays),N(INDEX(tsk_Duration,GanttView[[#This Row],[_Row]]))))</f>
        <v/>
      </c>
      <c r="E137" s="129" t="str">
        <f aca="false">IF(IFERROR(INDEX(tsk_Name,GanttView[[#This Row],[_Row]])="",TRUE()),"",INDEX(tsk_PlanStart,GanttView[[#This Row],[_Row]]))</f>
        <v/>
      </c>
      <c r="F137" s="129" t="str">
        <f aca="false">IF(IFERROR(INDEX(tsk_Name,GanttView[[#This Row],[_Row]])="",TRUE()),"",INDEX(tsk_PlanFinish,GanttView[[#This Row],[_Row]]))</f>
        <v/>
      </c>
      <c r="G137" s="129" t="str">
        <f aca="false">IF(IFERROR(INDEX(tsk_Name,GanttView[[#This Row],[_Row]])="",TRUE()),"",INDEX(tsk_FcStart,GanttView[[#This Row],[_Row]]))</f>
        <v/>
      </c>
      <c r="H137" s="129" t="str">
        <f aca="false">IF(IFERROR(INDEX(tsk_Name,GanttView[[#This Row],[_Row]])="",TRUE()),"",INDEX(tsk_FcFinish,GanttView[[#This Row],[_Row]]))</f>
        <v/>
      </c>
      <c r="I137" s="130" t="str">
        <f aca="false">IF(IFERROR(INDEX(tsk_Name,GanttView[[#This Row],[_Row]])="",TRUE()),"",INDEX(tsk_Progress,GanttView[[#This Row],[_Row]]))</f>
        <v/>
      </c>
      <c r="J137" s="128" t="str">
        <f aca="false">IF(IFERROR(INDEX(tsk_Name,GanttView[[#This Row],[_Row]])="",TRUE()),"",INDEX(tsk_ResourceNames,GanttView[[#This Row],[_Row]])&amp;"")</f>
        <v/>
      </c>
      <c r="K137" s="131" t="str">
        <f aca="false">IF(IFERROR(INDEX(tsk_Name,GanttView[[#This Row],[_Row]])="",TRUE()),"",INDEX(tsk_Status,GanttView[[#This Row],[_Row]]))</f>
        <v/>
      </c>
      <c r="L137" s="131" t="str">
        <f aca="false">IF(IFERROR(INDEX(tsk_Name,GanttView[[#This Row],[_Row]])="",TRUE()),"",INDEX(tsk_Show,GanttView[[#This Row],[_Row]])&amp;"")</f>
        <v/>
      </c>
      <c r="M137" s="132" t="n">
        <f aca="false">ROW()-ROW(GanttView[[#Headers],[ID]])</f>
        <v>132</v>
      </c>
      <c r="N137" s="133" t="b">
        <f aca="false">IF(IFERROR(INDEX(tsk_Name,GanttView[[#This Row],[_Row]])="",TRUE()),FALSE(),INDEX(tsk_IsSummary,GanttView[[#This Row],[_Row]]))</f>
        <v>0</v>
      </c>
      <c r="O137" s="133" t="b">
        <f aca="false">IF(IFERROR(INDEX(tsk_Name,GanttView[[#This Row],[_Row]])="",TRUE()),FALSE(),AND(INDEX(tsk_IsLeaf,GanttView[[#This Row],[_Row]])=1,N(INDEX(tsk_Duration,GanttView[[#This Row],[_Row]]))=0))</f>
        <v>0</v>
      </c>
      <c r="P137" s="134" t="n">
        <f aca="false">IF(IFERROR(INDEX(tsk_Name,GanttView[[#This Row],[_Row]])="",TRUE()),0,IF(AND(INDEX(tsk_IsLeaf,GanttView[[#This Row],[_Row]])=1,NOT(GanttView[[#This Row],[_IsMilestone]]),N(GanttView[[#This Row],[%]])&gt;0),GanttView[[#This Row],[Forecast Start]],0))</f>
        <v>0</v>
      </c>
      <c r="Q137" s="134" t="n">
        <f aca="false">IF(GanttView[[#This Row],[_DoneFrom]]=0,0,IF(GanttView[[#This Row],[%]]&gt;=1,GanttView[[#This Row],[Forecast Finish]],MAX(GanttView[[#This Row],[_DoneFrom]],GanttView[[#This Row],[Forecast Start]]+ROUND((GanttView[[#This Row],[Forecast Finish]]-GanttView[[#This Row],[Forecast Start]]+1)*GanttView[[#This Row],[%]],0)-1)))</f>
        <v>0</v>
      </c>
      <c r="R137" s="134" t="n">
        <f aca="false">IF(IFERROR(INDEX(tsk_Name,GanttView[[#This Row],[_Row]])="",TRUE()),0,IF(OR(INDEX(tsk_IsLeaf,GanttView[[#This Row],[_Row]])&lt;&gt;1,GanttView[[#This Row],[_IsMilestone]],N(GanttView[[#This Row],[%]])&gt;=1),0,IF(GanttView[[#This Row],[_DoneTo]]&gt;0,GanttView[[#This Row],[_DoneTo]]+1,GanttView[[#This Row],[Forecast Start]])))</f>
        <v>0</v>
      </c>
      <c r="S137" s="134" t="n">
        <f aca="false">IF(GanttView[[#This Row],[_RemFrom]]=0,0,GanttView[[#This Row],[Forecast Finish]])</f>
        <v>0</v>
      </c>
      <c r="T137" s="133" t="b">
        <f aca="false">IF(IFERROR(INDEX(tsk_Name,GanttView[[#This Row],[_Row]])="",TRUE()),FALSE(),N(INDEX(tsk_Variance,GanttView[[#This Row],[_Row]]))&gt;0)</f>
        <v>0</v>
      </c>
      <c r="U137" s="134" t="n">
        <f aca="false">IF(IFERROR(INDEX(tsk_Name,GanttView[[#This Row],[_Row]])="",TRUE()),0,N(INDEX(tsk_Deadline,GanttView[[#This Row],[_Row]])))</f>
        <v>0</v>
      </c>
      <c r="V137" s="133" t="b">
        <f aca="false">IF(IFERROR(INDEX(tsk_Name,GanttView[[#This Row],[_Row]])="",TRUE()),FALSE(),INDEX(tsk_Critical,GanttView[[#This Row],[_Row]])="Yes")</f>
        <v>0</v>
      </c>
    </row>
    <row r="138" customFormat="false" ht="15" hidden="false" customHeight="false" outlineLevel="0" collapsed="false">
      <c r="A138" s="127" t="str">
        <f aca="false">IF(IFERROR(INDEX(tsk_Name,GanttView[[#This Row],[_Row]])="",TRUE()),"",INDEX(tsk_ID,GanttView[[#This Row],[_Row]]))</f>
        <v/>
      </c>
      <c r="B138" s="127" t="str">
        <f aca="false">IF(IFERROR(INDEX(tsk_Name,GanttView[[#This Row],[_Row]])="",TRUE()),"",INDEX(tsk_WBS,GanttView[[#This Row],[_Row]]))</f>
        <v/>
      </c>
      <c r="C138" s="128" t="str">
        <f aca="false">IF(IFERROR(INDEX(tsk_Name,GanttView[[#This Row],[_Row]])="",TRUE()),"",REPT("    ",INDEX(tsk_Level,GanttView[[#This Row],[_Row]])-1)&amp;INDEX(tsk_Name,GanttView[[#This Row],[_Row]]))</f>
        <v/>
      </c>
      <c r="D138" s="127" t="str">
        <f aca="false">IF(IFERROR(INDEX(tsk_Name,GanttView[[#This Row],[_Row]])="",TRUE()),"",IF(INDEX(tsk_IsSummary,GanttView[[#This Row],[_Row]]),NETWORKDAYS.INTL(INDEX(tsk_FcStart,GanttView[[#This Row],[_Row]]),INDEX(tsk_FcFinish,GanttView[[#This Row],[_Row]]),WorkWeek,Holidays),N(INDEX(tsk_Duration,GanttView[[#This Row],[_Row]]))))</f>
        <v/>
      </c>
      <c r="E138" s="129" t="str">
        <f aca="false">IF(IFERROR(INDEX(tsk_Name,GanttView[[#This Row],[_Row]])="",TRUE()),"",INDEX(tsk_PlanStart,GanttView[[#This Row],[_Row]]))</f>
        <v/>
      </c>
      <c r="F138" s="129" t="str">
        <f aca="false">IF(IFERROR(INDEX(tsk_Name,GanttView[[#This Row],[_Row]])="",TRUE()),"",INDEX(tsk_PlanFinish,GanttView[[#This Row],[_Row]]))</f>
        <v/>
      </c>
      <c r="G138" s="129" t="str">
        <f aca="false">IF(IFERROR(INDEX(tsk_Name,GanttView[[#This Row],[_Row]])="",TRUE()),"",INDEX(tsk_FcStart,GanttView[[#This Row],[_Row]]))</f>
        <v/>
      </c>
      <c r="H138" s="129" t="str">
        <f aca="false">IF(IFERROR(INDEX(tsk_Name,GanttView[[#This Row],[_Row]])="",TRUE()),"",INDEX(tsk_FcFinish,GanttView[[#This Row],[_Row]]))</f>
        <v/>
      </c>
      <c r="I138" s="130" t="str">
        <f aca="false">IF(IFERROR(INDEX(tsk_Name,GanttView[[#This Row],[_Row]])="",TRUE()),"",INDEX(tsk_Progress,GanttView[[#This Row],[_Row]]))</f>
        <v/>
      </c>
      <c r="J138" s="128" t="str">
        <f aca="false">IF(IFERROR(INDEX(tsk_Name,GanttView[[#This Row],[_Row]])="",TRUE()),"",INDEX(tsk_ResourceNames,GanttView[[#This Row],[_Row]])&amp;"")</f>
        <v/>
      </c>
      <c r="K138" s="131" t="str">
        <f aca="false">IF(IFERROR(INDEX(tsk_Name,GanttView[[#This Row],[_Row]])="",TRUE()),"",INDEX(tsk_Status,GanttView[[#This Row],[_Row]]))</f>
        <v/>
      </c>
      <c r="L138" s="131" t="str">
        <f aca="false">IF(IFERROR(INDEX(tsk_Name,GanttView[[#This Row],[_Row]])="",TRUE()),"",INDEX(tsk_Show,GanttView[[#This Row],[_Row]])&amp;"")</f>
        <v/>
      </c>
      <c r="M138" s="132" t="n">
        <f aca="false">ROW()-ROW(GanttView[[#Headers],[ID]])</f>
        <v>133</v>
      </c>
      <c r="N138" s="133" t="b">
        <f aca="false">IF(IFERROR(INDEX(tsk_Name,GanttView[[#This Row],[_Row]])="",TRUE()),FALSE(),INDEX(tsk_IsSummary,GanttView[[#This Row],[_Row]]))</f>
        <v>0</v>
      </c>
      <c r="O138" s="133" t="b">
        <f aca="false">IF(IFERROR(INDEX(tsk_Name,GanttView[[#This Row],[_Row]])="",TRUE()),FALSE(),AND(INDEX(tsk_IsLeaf,GanttView[[#This Row],[_Row]])=1,N(INDEX(tsk_Duration,GanttView[[#This Row],[_Row]]))=0))</f>
        <v>0</v>
      </c>
      <c r="P138" s="134" t="n">
        <f aca="false">IF(IFERROR(INDEX(tsk_Name,GanttView[[#This Row],[_Row]])="",TRUE()),0,IF(AND(INDEX(tsk_IsLeaf,GanttView[[#This Row],[_Row]])=1,NOT(GanttView[[#This Row],[_IsMilestone]]),N(GanttView[[#This Row],[%]])&gt;0),GanttView[[#This Row],[Forecast Start]],0))</f>
        <v>0</v>
      </c>
      <c r="Q138" s="134" t="n">
        <f aca="false">IF(GanttView[[#This Row],[_DoneFrom]]=0,0,IF(GanttView[[#This Row],[%]]&gt;=1,GanttView[[#This Row],[Forecast Finish]],MAX(GanttView[[#This Row],[_DoneFrom]],GanttView[[#This Row],[Forecast Start]]+ROUND((GanttView[[#This Row],[Forecast Finish]]-GanttView[[#This Row],[Forecast Start]]+1)*GanttView[[#This Row],[%]],0)-1)))</f>
        <v>0</v>
      </c>
      <c r="R138" s="134" t="n">
        <f aca="false">IF(IFERROR(INDEX(tsk_Name,GanttView[[#This Row],[_Row]])="",TRUE()),0,IF(OR(INDEX(tsk_IsLeaf,GanttView[[#This Row],[_Row]])&lt;&gt;1,GanttView[[#This Row],[_IsMilestone]],N(GanttView[[#This Row],[%]])&gt;=1),0,IF(GanttView[[#This Row],[_DoneTo]]&gt;0,GanttView[[#This Row],[_DoneTo]]+1,GanttView[[#This Row],[Forecast Start]])))</f>
        <v>0</v>
      </c>
      <c r="S138" s="134" t="n">
        <f aca="false">IF(GanttView[[#This Row],[_RemFrom]]=0,0,GanttView[[#This Row],[Forecast Finish]])</f>
        <v>0</v>
      </c>
      <c r="T138" s="133" t="b">
        <f aca="false">IF(IFERROR(INDEX(tsk_Name,GanttView[[#This Row],[_Row]])="",TRUE()),FALSE(),N(INDEX(tsk_Variance,GanttView[[#This Row],[_Row]]))&gt;0)</f>
        <v>0</v>
      </c>
      <c r="U138" s="134" t="n">
        <f aca="false">IF(IFERROR(INDEX(tsk_Name,GanttView[[#This Row],[_Row]])="",TRUE()),0,N(INDEX(tsk_Deadline,GanttView[[#This Row],[_Row]])))</f>
        <v>0</v>
      </c>
      <c r="V138" s="133" t="b">
        <f aca="false">IF(IFERROR(INDEX(tsk_Name,GanttView[[#This Row],[_Row]])="",TRUE()),FALSE(),INDEX(tsk_Critical,GanttView[[#This Row],[_Row]])="Yes")</f>
        <v>0</v>
      </c>
    </row>
    <row r="139" customFormat="false" ht="15" hidden="false" customHeight="false" outlineLevel="0" collapsed="false">
      <c r="A139" s="127" t="str">
        <f aca="false">IF(IFERROR(INDEX(tsk_Name,GanttView[[#This Row],[_Row]])="",TRUE()),"",INDEX(tsk_ID,GanttView[[#This Row],[_Row]]))</f>
        <v/>
      </c>
      <c r="B139" s="127" t="str">
        <f aca="false">IF(IFERROR(INDEX(tsk_Name,GanttView[[#This Row],[_Row]])="",TRUE()),"",INDEX(tsk_WBS,GanttView[[#This Row],[_Row]]))</f>
        <v/>
      </c>
      <c r="C139" s="128" t="str">
        <f aca="false">IF(IFERROR(INDEX(tsk_Name,GanttView[[#This Row],[_Row]])="",TRUE()),"",REPT("    ",INDEX(tsk_Level,GanttView[[#This Row],[_Row]])-1)&amp;INDEX(tsk_Name,GanttView[[#This Row],[_Row]]))</f>
        <v/>
      </c>
      <c r="D139" s="127" t="str">
        <f aca="false">IF(IFERROR(INDEX(tsk_Name,GanttView[[#This Row],[_Row]])="",TRUE()),"",IF(INDEX(tsk_IsSummary,GanttView[[#This Row],[_Row]]),NETWORKDAYS.INTL(INDEX(tsk_FcStart,GanttView[[#This Row],[_Row]]),INDEX(tsk_FcFinish,GanttView[[#This Row],[_Row]]),WorkWeek,Holidays),N(INDEX(tsk_Duration,GanttView[[#This Row],[_Row]]))))</f>
        <v/>
      </c>
      <c r="E139" s="129" t="str">
        <f aca="false">IF(IFERROR(INDEX(tsk_Name,GanttView[[#This Row],[_Row]])="",TRUE()),"",INDEX(tsk_PlanStart,GanttView[[#This Row],[_Row]]))</f>
        <v/>
      </c>
      <c r="F139" s="129" t="str">
        <f aca="false">IF(IFERROR(INDEX(tsk_Name,GanttView[[#This Row],[_Row]])="",TRUE()),"",INDEX(tsk_PlanFinish,GanttView[[#This Row],[_Row]]))</f>
        <v/>
      </c>
      <c r="G139" s="129" t="str">
        <f aca="false">IF(IFERROR(INDEX(tsk_Name,GanttView[[#This Row],[_Row]])="",TRUE()),"",INDEX(tsk_FcStart,GanttView[[#This Row],[_Row]]))</f>
        <v/>
      </c>
      <c r="H139" s="129" t="str">
        <f aca="false">IF(IFERROR(INDEX(tsk_Name,GanttView[[#This Row],[_Row]])="",TRUE()),"",INDEX(tsk_FcFinish,GanttView[[#This Row],[_Row]]))</f>
        <v/>
      </c>
      <c r="I139" s="130" t="str">
        <f aca="false">IF(IFERROR(INDEX(tsk_Name,GanttView[[#This Row],[_Row]])="",TRUE()),"",INDEX(tsk_Progress,GanttView[[#This Row],[_Row]]))</f>
        <v/>
      </c>
      <c r="J139" s="128" t="str">
        <f aca="false">IF(IFERROR(INDEX(tsk_Name,GanttView[[#This Row],[_Row]])="",TRUE()),"",INDEX(tsk_ResourceNames,GanttView[[#This Row],[_Row]])&amp;"")</f>
        <v/>
      </c>
      <c r="K139" s="131" t="str">
        <f aca="false">IF(IFERROR(INDEX(tsk_Name,GanttView[[#This Row],[_Row]])="",TRUE()),"",INDEX(tsk_Status,GanttView[[#This Row],[_Row]]))</f>
        <v/>
      </c>
      <c r="L139" s="131" t="str">
        <f aca="false">IF(IFERROR(INDEX(tsk_Name,GanttView[[#This Row],[_Row]])="",TRUE()),"",INDEX(tsk_Show,GanttView[[#This Row],[_Row]])&amp;"")</f>
        <v/>
      </c>
      <c r="M139" s="132" t="n">
        <f aca="false">ROW()-ROW(GanttView[[#Headers],[ID]])</f>
        <v>134</v>
      </c>
      <c r="N139" s="133" t="b">
        <f aca="false">IF(IFERROR(INDEX(tsk_Name,GanttView[[#This Row],[_Row]])="",TRUE()),FALSE(),INDEX(tsk_IsSummary,GanttView[[#This Row],[_Row]]))</f>
        <v>0</v>
      </c>
      <c r="O139" s="133" t="b">
        <f aca="false">IF(IFERROR(INDEX(tsk_Name,GanttView[[#This Row],[_Row]])="",TRUE()),FALSE(),AND(INDEX(tsk_IsLeaf,GanttView[[#This Row],[_Row]])=1,N(INDEX(tsk_Duration,GanttView[[#This Row],[_Row]]))=0))</f>
        <v>0</v>
      </c>
      <c r="P139" s="134" t="n">
        <f aca="false">IF(IFERROR(INDEX(tsk_Name,GanttView[[#This Row],[_Row]])="",TRUE()),0,IF(AND(INDEX(tsk_IsLeaf,GanttView[[#This Row],[_Row]])=1,NOT(GanttView[[#This Row],[_IsMilestone]]),N(GanttView[[#This Row],[%]])&gt;0),GanttView[[#This Row],[Forecast Start]],0))</f>
        <v>0</v>
      </c>
      <c r="Q139" s="134" t="n">
        <f aca="false">IF(GanttView[[#This Row],[_DoneFrom]]=0,0,IF(GanttView[[#This Row],[%]]&gt;=1,GanttView[[#This Row],[Forecast Finish]],MAX(GanttView[[#This Row],[_DoneFrom]],GanttView[[#This Row],[Forecast Start]]+ROUND((GanttView[[#This Row],[Forecast Finish]]-GanttView[[#This Row],[Forecast Start]]+1)*GanttView[[#This Row],[%]],0)-1)))</f>
        <v>0</v>
      </c>
      <c r="R139" s="134" t="n">
        <f aca="false">IF(IFERROR(INDEX(tsk_Name,GanttView[[#This Row],[_Row]])="",TRUE()),0,IF(OR(INDEX(tsk_IsLeaf,GanttView[[#This Row],[_Row]])&lt;&gt;1,GanttView[[#This Row],[_IsMilestone]],N(GanttView[[#This Row],[%]])&gt;=1),0,IF(GanttView[[#This Row],[_DoneTo]]&gt;0,GanttView[[#This Row],[_DoneTo]]+1,GanttView[[#This Row],[Forecast Start]])))</f>
        <v>0</v>
      </c>
      <c r="S139" s="134" t="n">
        <f aca="false">IF(GanttView[[#This Row],[_RemFrom]]=0,0,GanttView[[#This Row],[Forecast Finish]])</f>
        <v>0</v>
      </c>
      <c r="T139" s="133" t="b">
        <f aca="false">IF(IFERROR(INDEX(tsk_Name,GanttView[[#This Row],[_Row]])="",TRUE()),FALSE(),N(INDEX(tsk_Variance,GanttView[[#This Row],[_Row]]))&gt;0)</f>
        <v>0</v>
      </c>
      <c r="U139" s="134" t="n">
        <f aca="false">IF(IFERROR(INDEX(tsk_Name,GanttView[[#This Row],[_Row]])="",TRUE()),0,N(INDEX(tsk_Deadline,GanttView[[#This Row],[_Row]])))</f>
        <v>0</v>
      </c>
      <c r="V139" s="133" t="b">
        <f aca="false">IF(IFERROR(INDEX(tsk_Name,GanttView[[#This Row],[_Row]])="",TRUE()),FALSE(),INDEX(tsk_Critical,GanttView[[#This Row],[_Row]])="Yes")</f>
        <v>0</v>
      </c>
    </row>
    <row r="140" customFormat="false" ht="15" hidden="false" customHeight="false" outlineLevel="0" collapsed="false">
      <c r="A140" s="127" t="str">
        <f aca="false">IF(IFERROR(INDEX(tsk_Name,GanttView[[#This Row],[_Row]])="",TRUE()),"",INDEX(tsk_ID,GanttView[[#This Row],[_Row]]))</f>
        <v/>
      </c>
      <c r="B140" s="127" t="str">
        <f aca="false">IF(IFERROR(INDEX(tsk_Name,GanttView[[#This Row],[_Row]])="",TRUE()),"",INDEX(tsk_WBS,GanttView[[#This Row],[_Row]]))</f>
        <v/>
      </c>
      <c r="C140" s="128" t="str">
        <f aca="false">IF(IFERROR(INDEX(tsk_Name,GanttView[[#This Row],[_Row]])="",TRUE()),"",REPT("    ",INDEX(tsk_Level,GanttView[[#This Row],[_Row]])-1)&amp;INDEX(tsk_Name,GanttView[[#This Row],[_Row]]))</f>
        <v/>
      </c>
      <c r="D140" s="127" t="str">
        <f aca="false">IF(IFERROR(INDEX(tsk_Name,GanttView[[#This Row],[_Row]])="",TRUE()),"",IF(INDEX(tsk_IsSummary,GanttView[[#This Row],[_Row]]),NETWORKDAYS.INTL(INDEX(tsk_FcStart,GanttView[[#This Row],[_Row]]),INDEX(tsk_FcFinish,GanttView[[#This Row],[_Row]]),WorkWeek,Holidays),N(INDEX(tsk_Duration,GanttView[[#This Row],[_Row]]))))</f>
        <v/>
      </c>
      <c r="E140" s="129" t="str">
        <f aca="false">IF(IFERROR(INDEX(tsk_Name,GanttView[[#This Row],[_Row]])="",TRUE()),"",INDEX(tsk_PlanStart,GanttView[[#This Row],[_Row]]))</f>
        <v/>
      </c>
      <c r="F140" s="129" t="str">
        <f aca="false">IF(IFERROR(INDEX(tsk_Name,GanttView[[#This Row],[_Row]])="",TRUE()),"",INDEX(tsk_PlanFinish,GanttView[[#This Row],[_Row]]))</f>
        <v/>
      </c>
      <c r="G140" s="129" t="str">
        <f aca="false">IF(IFERROR(INDEX(tsk_Name,GanttView[[#This Row],[_Row]])="",TRUE()),"",INDEX(tsk_FcStart,GanttView[[#This Row],[_Row]]))</f>
        <v/>
      </c>
      <c r="H140" s="129" t="str">
        <f aca="false">IF(IFERROR(INDEX(tsk_Name,GanttView[[#This Row],[_Row]])="",TRUE()),"",INDEX(tsk_FcFinish,GanttView[[#This Row],[_Row]]))</f>
        <v/>
      </c>
      <c r="I140" s="130" t="str">
        <f aca="false">IF(IFERROR(INDEX(tsk_Name,GanttView[[#This Row],[_Row]])="",TRUE()),"",INDEX(tsk_Progress,GanttView[[#This Row],[_Row]]))</f>
        <v/>
      </c>
      <c r="J140" s="128" t="str">
        <f aca="false">IF(IFERROR(INDEX(tsk_Name,GanttView[[#This Row],[_Row]])="",TRUE()),"",INDEX(tsk_ResourceNames,GanttView[[#This Row],[_Row]])&amp;"")</f>
        <v/>
      </c>
      <c r="K140" s="131" t="str">
        <f aca="false">IF(IFERROR(INDEX(tsk_Name,GanttView[[#This Row],[_Row]])="",TRUE()),"",INDEX(tsk_Status,GanttView[[#This Row],[_Row]]))</f>
        <v/>
      </c>
      <c r="L140" s="131" t="str">
        <f aca="false">IF(IFERROR(INDEX(tsk_Name,GanttView[[#This Row],[_Row]])="",TRUE()),"",INDEX(tsk_Show,GanttView[[#This Row],[_Row]])&amp;"")</f>
        <v/>
      </c>
      <c r="M140" s="132" t="n">
        <f aca="false">ROW()-ROW(GanttView[[#Headers],[ID]])</f>
        <v>135</v>
      </c>
      <c r="N140" s="133" t="b">
        <f aca="false">IF(IFERROR(INDEX(tsk_Name,GanttView[[#This Row],[_Row]])="",TRUE()),FALSE(),INDEX(tsk_IsSummary,GanttView[[#This Row],[_Row]]))</f>
        <v>0</v>
      </c>
      <c r="O140" s="133" t="b">
        <f aca="false">IF(IFERROR(INDEX(tsk_Name,GanttView[[#This Row],[_Row]])="",TRUE()),FALSE(),AND(INDEX(tsk_IsLeaf,GanttView[[#This Row],[_Row]])=1,N(INDEX(tsk_Duration,GanttView[[#This Row],[_Row]]))=0))</f>
        <v>0</v>
      </c>
      <c r="P140" s="134" t="n">
        <f aca="false">IF(IFERROR(INDEX(tsk_Name,GanttView[[#This Row],[_Row]])="",TRUE()),0,IF(AND(INDEX(tsk_IsLeaf,GanttView[[#This Row],[_Row]])=1,NOT(GanttView[[#This Row],[_IsMilestone]]),N(GanttView[[#This Row],[%]])&gt;0),GanttView[[#This Row],[Forecast Start]],0))</f>
        <v>0</v>
      </c>
      <c r="Q140" s="134" t="n">
        <f aca="false">IF(GanttView[[#This Row],[_DoneFrom]]=0,0,IF(GanttView[[#This Row],[%]]&gt;=1,GanttView[[#This Row],[Forecast Finish]],MAX(GanttView[[#This Row],[_DoneFrom]],GanttView[[#This Row],[Forecast Start]]+ROUND((GanttView[[#This Row],[Forecast Finish]]-GanttView[[#This Row],[Forecast Start]]+1)*GanttView[[#This Row],[%]],0)-1)))</f>
        <v>0</v>
      </c>
      <c r="R140" s="134" t="n">
        <f aca="false">IF(IFERROR(INDEX(tsk_Name,GanttView[[#This Row],[_Row]])="",TRUE()),0,IF(OR(INDEX(tsk_IsLeaf,GanttView[[#This Row],[_Row]])&lt;&gt;1,GanttView[[#This Row],[_IsMilestone]],N(GanttView[[#This Row],[%]])&gt;=1),0,IF(GanttView[[#This Row],[_DoneTo]]&gt;0,GanttView[[#This Row],[_DoneTo]]+1,GanttView[[#This Row],[Forecast Start]])))</f>
        <v>0</v>
      </c>
      <c r="S140" s="134" t="n">
        <f aca="false">IF(GanttView[[#This Row],[_RemFrom]]=0,0,GanttView[[#This Row],[Forecast Finish]])</f>
        <v>0</v>
      </c>
      <c r="T140" s="133" t="b">
        <f aca="false">IF(IFERROR(INDEX(tsk_Name,GanttView[[#This Row],[_Row]])="",TRUE()),FALSE(),N(INDEX(tsk_Variance,GanttView[[#This Row],[_Row]]))&gt;0)</f>
        <v>0</v>
      </c>
      <c r="U140" s="134" t="n">
        <f aca="false">IF(IFERROR(INDEX(tsk_Name,GanttView[[#This Row],[_Row]])="",TRUE()),0,N(INDEX(tsk_Deadline,GanttView[[#This Row],[_Row]])))</f>
        <v>0</v>
      </c>
      <c r="V140" s="133" t="b">
        <f aca="false">IF(IFERROR(INDEX(tsk_Name,GanttView[[#This Row],[_Row]])="",TRUE()),FALSE(),INDEX(tsk_Critical,GanttView[[#This Row],[_Row]])="Yes")</f>
        <v>0</v>
      </c>
    </row>
    <row r="141" customFormat="false" ht="15" hidden="false" customHeight="false" outlineLevel="0" collapsed="false">
      <c r="A141" s="127" t="str">
        <f aca="false">IF(IFERROR(INDEX(tsk_Name,GanttView[[#This Row],[_Row]])="",TRUE()),"",INDEX(tsk_ID,GanttView[[#This Row],[_Row]]))</f>
        <v/>
      </c>
      <c r="B141" s="127" t="str">
        <f aca="false">IF(IFERROR(INDEX(tsk_Name,GanttView[[#This Row],[_Row]])="",TRUE()),"",INDEX(tsk_WBS,GanttView[[#This Row],[_Row]]))</f>
        <v/>
      </c>
      <c r="C141" s="128" t="str">
        <f aca="false">IF(IFERROR(INDEX(tsk_Name,GanttView[[#This Row],[_Row]])="",TRUE()),"",REPT("    ",INDEX(tsk_Level,GanttView[[#This Row],[_Row]])-1)&amp;INDEX(tsk_Name,GanttView[[#This Row],[_Row]]))</f>
        <v/>
      </c>
      <c r="D141" s="127" t="str">
        <f aca="false">IF(IFERROR(INDEX(tsk_Name,GanttView[[#This Row],[_Row]])="",TRUE()),"",IF(INDEX(tsk_IsSummary,GanttView[[#This Row],[_Row]]),NETWORKDAYS.INTL(INDEX(tsk_FcStart,GanttView[[#This Row],[_Row]]),INDEX(tsk_FcFinish,GanttView[[#This Row],[_Row]]),WorkWeek,Holidays),N(INDEX(tsk_Duration,GanttView[[#This Row],[_Row]]))))</f>
        <v/>
      </c>
      <c r="E141" s="129" t="str">
        <f aca="false">IF(IFERROR(INDEX(tsk_Name,GanttView[[#This Row],[_Row]])="",TRUE()),"",INDEX(tsk_PlanStart,GanttView[[#This Row],[_Row]]))</f>
        <v/>
      </c>
      <c r="F141" s="129" t="str">
        <f aca="false">IF(IFERROR(INDEX(tsk_Name,GanttView[[#This Row],[_Row]])="",TRUE()),"",INDEX(tsk_PlanFinish,GanttView[[#This Row],[_Row]]))</f>
        <v/>
      </c>
      <c r="G141" s="129" t="str">
        <f aca="false">IF(IFERROR(INDEX(tsk_Name,GanttView[[#This Row],[_Row]])="",TRUE()),"",INDEX(tsk_FcStart,GanttView[[#This Row],[_Row]]))</f>
        <v/>
      </c>
      <c r="H141" s="129" t="str">
        <f aca="false">IF(IFERROR(INDEX(tsk_Name,GanttView[[#This Row],[_Row]])="",TRUE()),"",INDEX(tsk_FcFinish,GanttView[[#This Row],[_Row]]))</f>
        <v/>
      </c>
      <c r="I141" s="130" t="str">
        <f aca="false">IF(IFERROR(INDEX(tsk_Name,GanttView[[#This Row],[_Row]])="",TRUE()),"",INDEX(tsk_Progress,GanttView[[#This Row],[_Row]]))</f>
        <v/>
      </c>
      <c r="J141" s="128" t="str">
        <f aca="false">IF(IFERROR(INDEX(tsk_Name,GanttView[[#This Row],[_Row]])="",TRUE()),"",INDEX(tsk_ResourceNames,GanttView[[#This Row],[_Row]])&amp;"")</f>
        <v/>
      </c>
      <c r="K141" s="131" t="str">
        <f aca="false">IF(IFERROR(INDEX(tsk_Name,GanttView[[#This Row],[_Row]])="",TRUE()),"",INDEX(tsk_Status,GanttView[[#This Row],[_Row]]))</f>
        <v/>
      </c>
      <c r="L141" s="131" t="str">
        <f aca="false">IF(IFERROR(INDEX(tsk_Name,GanttView[[#This Row],[_Row]])="",TRUE()),"",INDEX(tsk_Show,GanttView[[#This Row],[_Row]])&amp;"")</f>
        <v/>
      </c>
      <c r="M141" s="132" t="n">
        <f aca="false">ROW()-ROW(GanttView[[#Headers],[ID]])</f>
        <v>136</v>
      </c>
      <c r="N141" s="133" t="b">
        <f aca="false">IF(IFERROR(INDEX(tsk_Name,GanttView[[#This Row],[_Row]])="",TRUE()),FALSE(),INDEX(tsk_IsSummary,GanttView[[#This Row],[_Row]]))</f>
        <v>0</v>
      </c>
      <c r="O141" s="133" t="b">
        <f aca="false">IF(IFERROR(INDEX(tsk_Name,GanttView[[#This Row],[_Row]])="",TRUE()),FALSE(),AND(INDEX(tsk_IsLeaf,GanttView[[#This Row],[_Row]])=1,N(INDEX(tsk_Duration,GanttView[[#This Row],[_Row]]))=0))</f>
        <v>0</v>
      </c>
      <c r="P141" s="134" t="n">
        <f aca="false">IF(IFERROR(INDEX(tsk_Name,GanttView[[#This Row],[_Row]])="",TRUE()),0,IF(AND(INDEX(tsk_IsLeaf,GanttView[[#This Row],[_Row]])=1,NOT(GanttView[[#This Row],[_IsMilestone]]),N(GanttView[[#This Row],[%]])&gt;0),GanttView[[#This Row],[Forecast Start]],0))</f>
        <v>0</v>
      </c>
      <c r="Q141" s="134" t="n">
        <f aca="false">IF(GanttView[[#This Row],[_DoneFrom]]=0,0,IF(GanttView[[#This Row],[%]]&gt;=1,GanttView[[#This Row],[Forecast Finish]],MAX(GanttView[[#This Row],[_DoneFrom]],GanttView[[#This Row],[Forecast Start]]+ROUND((GanttView[[#This Row],[Forecast Finish]]-GanttView[[#This Row],[Forecast Start]]+1)*GanttView[[#This Row],[%]],0)-1)))</f>
        <v>0</v>
      </c>
      <c r="R141" s="134" t="n">
        <f aca="false">IF(IFERROR(INDEX(tsk_Name,GanttView[[#This Row],[_Row]])="",TRUE()),0,IF(OR(INDEX(tsk_IsLeaf,GanttView[[#This Row],[_Row]])&lt;&gt;1,GanttView[[#This Row],[_IsMilestone]],N(GanttView[[#This Row],[%]])&gt;=1),0,IF(GanttView[[#This Row],[_DoneTo]]&gt;0,GanttView[[#This Row],[_DoneTo]]+1,GanttView[[#This Row],[Forecast Start]])))</f>
        <v>0</v>
      </c>
      <c r="S141" s="134" t="n">
        <f aca="false">IF(GanttView[[#This Row],[_RemFrom]]=0,0,GanttView[[#This Row],[Forecast Finish]])</f>
        <v>0</v>
      </c>
      <c r="T141" s="133" t="b">
        <f aca="false">IF(IFERROR(INDEX(tsk_Name,GanttView[[#This Row],[_Row]])="",TRUE()),FALSE(),N(INDEX(tsk_Variance,GanttView[[#This Row],[_Row]]))&gt;0)</f>
        <v>0</v>
      </c>
      <c r="U141" s="134" t="n">
        <f aca="false">IF(IFERROR(INDEX(tsk_Name,GanttView[[#This Row],[_Row]])="",TRUE()),0,N(INDEX(tsk_Deadline,GanttView[[#This Row],[_Row]])))</f>
        <v>0</v>
      </c>
      <c r="V141" s="133" t="b">
        <f aca="false">IF(IFERROR(INDEX(tsk_Name,GanttView[[#This Row],[_Row]])="",TRUE()),FALSE(),INDEX(tsk_Critical,GanttView[[#This Row],[_Row]])="Yes")</f>
        <v>0</v>
      </c>
    </row>
    <row r="142" customFormat="false" ht="15" hidden="false" customHeight="false" outlineLevel="0" collapsed="false">
      <c r="A142" s="127" t="str">
        <f aca="false">IF(IFERROR(INDEX(tsk_Name,GanttView[[#This Row],[_Row]])="",TRUE()),"",INDEX(tsk_ID,GanttView[[#This Row],[_Row]]))</f>
        <v/>
      </c>
      <c r="B142" s="127" t="str">
        <f aca="false">IF(IFERROR(INDEX(tsk_Name,GanttView[[#This Row],[_Row]])="",TRUE()),"",INDEX(tsk_WBS,GanttView[[#This Row],[_Row]]))</f>
        <v/>
      </c>
      <c r="C142" s="128" t="str">
        <f aca="false">IF(IFERROR(INDEX(tsk_Name,GanttView[[#This Row],[_Row]])="",TRUE()),"",REPT("    ",INDEX(tsk_Level,GanttView[[#This Row],[_Row]])-1)&amp;INDEX(tsk_Name,GanttView[[#This Row],[_Row]]))</f>
        <v/>
      </c>
      <c r="D142" s="127" t="str">
        <f aca="false">IF(IFERROR(INDEX(tsk_Name,GanttView[[#This Row],[_Row]])="",TRUE()),"",IF(INDEX(tsk_IsSummary,GanttView[[#This Row],[_Row]]),NETWORKDAYS.INTL(INDEX(tsk_FcStart,GanttView[[#This Row],[_Row]]),INDEX(tsk_FcFinish,GanttView[[#This Row],[_Row]]),WorkWeek,Holidays),N(INDEX(tsk_Duration,GanttView[[#This Row],[_Row]]))))</f>
        <v/>
      </c>
      <c r="E142" s="129" t="str">
        <f aca="false">IF(IFERROR(INDEX(tsk_Name,GanttView[[#This Row],[_Row]])="",TRUE()),"",INDEX(tsk_PlanStart,GanttView[[#This Row],[_Row]]))</f>
        <v/>
      </c>
      <c r="F142" s="129" t="str">
        <f aca="false">IF(IFERROR(INDEX(tsk_Name,GanttView[[#This Row],[_Row]])="",TRUE()),"",INDEX(tsk_PlanFinish,GanttView[[#This Row],[_Row]]))</f>
        <v/>
      </c>
      <c r="G142" s="129" t="str">
        <f aca="false">IF(IFERROR(INDEX(tsk_Name,GanttView[[#This Row],[_Row]])="",TRUE()),"",INDEX(tsk_FcStart,GanttView[[#This Row],[_Row]]))</f>
        <v/>
      </c>
      <c r="H142" s="129" t="str">
        <f aca="false">IF(IFERROR(INDEX(tsk_Name,GanttView[[#This Row],[_Row]])="",TRUE()),"",INDEX(tsk_FcFinish,GanttView[[#This Row],[_Row]]))</f>
        <v/>
      </c>
      <c r="I142" s="130" t="str">
        <f aca="false">IF(IFERROR(INDEX(tsk_Name,GanttView[[#This Row],[_Row]])="",TRUE()),"",INDEX(tsk_Progress,GanttView[[#This Row],[_Row]]))</f>
        <v/>
      </c>
      <c r="J142" s="128" t="str">
        <f aca="false">IF(IFERROR(INDEX(tsk_Name,GanttView[[#This Row],[_Row]])="",TRUE()),"",INDEX(tsk_ResourceNames,GanttView[[#This Row],[_Row]])&amp;"")</f>
        <v/>
      </c>
      <c r="K142" s="131" t="str">
        <f aca="false">IF(IFERROR(INDEX(tsk_Name,GanttView[[#This Row],[_Row]])="",TRUE()),"",INDEX(tsk_Status,GanttView[[#This Row],[_Row]]))</f>
        <v/>
      </c>
      <c r="L142" s="131" t="str">
        <f aca="false">IF(IFERROR(INDEX(tsk_Name,GanttView[[#This Row],[_Row]])="",TRUE()),"",INDEX(tsk_Show,GanttView[[#This Row],[_Row]])&amp;"")</f>
        <v/>
      </c>
      <c r="M142" s="132" t="n">
        <f aca="false">ROW()-ROW(GanttView[[#Headers],[ID]])</f>
        <v>137</v>
      </c>
      <c r="N142" s="133" t="b">
        <f aca="false">IF(IFERROR(INDEX(tsk_Name,GanttView[[#This Row],[_Row]])="",TRUE()),FALSE(),INDEX(tsk_IsSummary,GanttView[[#This Row],[_Row]]))</f>
        <v>0</v>
      </c>
      <c r="O142" s="133" t="b">
        <f aca="false">IF(IFERROR(INDEX(tsk_Name,GanttView[[#This Row],[_Row]])="",TRUE()),FALSE(),AND(INDEX(tsk_IsLeaf,GanttView[[#This Row],[_Row]])=1,N(INDEX(tsk_Duration,GanttView[[#This Row],[_Row]]))=0))</f>
        <v>0</v>
      </c>
      <c r="P142" s="134" t="n">
        <f aca="false">IF(IFERROR(INDEX(tsk_Name,GanttView[[#This Row],[_Row]])="",TRUE()),0,IF(AND(INDEX(tsk_IsLeaf,GanttView[[#This Row],[_Row]])=1,NOT(GanttView[[#This Row],[_IsMilestone]]),N(GanttView[[#This Row],[%]])&gt;0),GanttView[[#This Row],[Forecast Start]],0))</f>
        <v>0</v>
      </c>
      <c r="Q142" s="134" t="n">
        <f aca="false">IF(GanttView[[#This Row],[_DoneFrom]]=0,0,IF(GanttView[[#This Row],[%]]&gt;=1,GanttView[[#This Row],[Forecast Finish]],MAX(GanttView[[#This Row],[_DoneFrom]],GanttView[[#This Row],[Forecast Start]]+ROUND((GanttView[[#This Row],[Forecast Finish]]-GanttView[[#This Row],[Forecast Start]]+1)*GanttView[[#This Row],[%]],0)-1)))</f>
        <v>0</v>
      </c>
      <c r="R142" s="134" t="n">
        <f aca="false">IF(IFERROR(INDEX(tsk_Name,GanttView[[#This Row],[_Row]])="",TRUE()),0,IF(OR(INDEX(tsk_IsLeaf,GanttView[[#This Row],[_Row]])&lt;&gt;1,GanttView[[#This Row],[_IsMilestone]],N(GanttView[[#This Row],[%]])&gt;=1),0,IF(GanttView[[#This Row],[_DoneTo]]&gt;0,GanttView[[#This Row],[_DoneTo]]+1,GanttView[[#This Row],[Forecast Start]])))</f>
        <v>0</v>
      </c>
      <c r="S142" s="134" t="n">
        <f aca="false">IF(GanttView[[#This Row],[_RemFrom]]=0,0,GanttView[[#This Row],[Forecast Finish]])</f>
        <v>0</v>
      </c>
      <c r="T142" s="133" t="b">
        <f aca="false">IF(IFERROR(INDEX(tsk_Name,GanttView[[#This Row],[_Row]])="",TRUE()),FALSE(),N(INDEX(tsk_Variance,GanttView[[#This Row],[_Row]]))&gt;0)</f>
        <v>0</v>
      </c>
      <c r="U142" s="134" t="n">
        <f aca="false">IF(IFERROR(INDEX(tsk_Name,GanttView[[#This Row],[_Row]])="",TRUE()),0,N(INDEX(tsk_Deadline,GanttView[[#This Row],[_Row]])))</f>
        <v>0</v>
      </c>
      <c r="V142" s="133" t="b">
        <f aca="false">IF(IFERROR(INDEX(tsk_Name,GanttView[[#This Row],[_Row]])="",TRUE()),FALSE(),INDEX(tsk_Critical,GanttView[[#This Row],[_Row]])="Yes")</f>
        <v>0</v>
      </c>
    </row>
    <row r="143" customFormat="false" ht="15" hidden="false" customHeight="false" outlineLevel="0" collapsed="false">
      <c r="A143" s="127" t="str">
        <f aca="false">IF(IFERROR(INDEX(tsk_Name,GanttView[[#This Row],[_Row]])="",TRUE()),"",INDEX(tsk_ID,GanttView[[#This Row],[_Row]]))</f>
        <v/>
      </c>
      <c r="B143" s="127" t="str">
        <f aca="false">IF(IFERROR(INDEX(tsk_Name,GanttView[[#This Row],[_Row]])="",TRUE()),"",INDEX(tsk_WBS,GanttView[[#This Row],[_Row]]))</f>
        <v/>
      </c>
      <c r="C143" s="128" t="str">
        <f aca="false">IF(IFERROR(INDEX(tsk_Name,GanttView[[#This Row],[_Row]])="",TRUE()),"",REPT("    ",INDEX(tsk_Level,GanttView[[#This Row],[_Row]])-1)&amp;INDEX(tsk_Name,GanttView[[#This Row],[_Row]]))</f>
        <v/>
      </c>
      <c r="D143" s="127" t="str">
        <f aca="false">IF(IFERROR(INDEX(tsk_Name,GanttView[[#This Row],[_Row]])="",TRUE()),"",IF(INDEX(tsk_IsSummary,GanttView[[#This Row],[_Row]]),NETWORKDAYS.INTL(INDEX(tsk_FcStart,GanttView[[#This Row],[_Row]]),INDEX(tsk_FcFinish,GanttView[[#This Row],[_Row]]),WorkWeek,Holidays),N(INDEX(tsk_Duration,GanttView[[#This Row],[_Row]]))))</f>
        <v/>
      </c>
      <c r="E143" s="129" t="str">
        <f aca="false">IF(IFERROR(INDEX(tsk_Name,GanttView[[#This Row],[_Row]])="",TRUE()),"",INDEX(tsk_PlanStart,GanttView[[#This Row],[_Row]]))</f>
        <v/>
      </c>
      <c r="F143" s="129" t="str">
        <f aca="false">IF(IFERROR(INDEX(tsk_Name,GanttView[[#This Row],[_Row]])="",TRUE()),"",INDEX(tsk_PlanFinish,GanttView[[#This Row],[_Row]]))</f>
        <v/>
      </c>
      <c r="G143" s="129" t="str">
        <f aca="false">IF(IFERROR(INDEX(tsk_Name,GanttView[[#This Row],[_Row]])="",TRUE()),"",INDEX(tsk_FcStart,GanttView[[#This Row],[_Row]]))</f>
        <v/>
      </c>
      <c r="H143" s="129" t="str">
        <f aca="false">IF(IFERROR(INDEX(tsk_Name,GanttView[[#This Row],[_Row]])="",TRUE()),"",INDEX(tsk_FcFinish,GanttView[[#This Row],[_Row]]))</f>
        <v/>
      </c>
      <c r="I143" s="130" t="str">
        <f aca="false">IF(IFERROR(INDEX(tsk_Name,GanttView[[#This Row],[_Row]])="",TRUE()),"",INDEX(tsk_Progress,GanttView[[#This Row],[_Row]]))</f>
        <v/>
      </c>
      <c r="J143" s="128" t="str">
        <f aca="false">IF(IFERROR(INDEX(tsk_Name,GanttView[[#This Row],[_Row]])="",TRUE()),"",INDEX(tsk_ResourceNames,GanttView[[#This Row],[_Row]])&amp;"")</f>
        <v/>
      </c>
      <c r="K143" s="131" t="str">
        <f aca="false">IF(IFERROR(INDEX(tsk_Name,GanttView[[#This Row],[_Row]])="",TRUE()),"",INDEX(tsk_Status,GanttView[[#This Row],[_Row]]))</f>
        <v/>
      </c>
      <c r="L143" s="131" t="str">
        <f aca="false">IF(IFERROR(INDEX(tsk_Name,GanttView[[#This Row],[_Row]])="",TRUE()),"",INDEX(tsk_Show,GanttView[[#This Row],[_Row]])&amp;"")</f>
        <v/>
      </c>
      <c r="M143" s="132" t="n">
        <f aca="false">ROW()-ROW(GanttView[[#Headers],[ID]])</f>
        <v>138</v>
      </c>
      <c r="N143" s="133" t="b">
        <f aca="false">IF(IFERROR(INDEX(tsk_Name,GanttView[[#This Row],[_Row]])="",TRUE()),FALSE(),INDEX(tsk_IsSummary,GanttView[[#This Row],[_Row]]))</f>
        <v>0</v>
      </c>
      <c r="O143" s="133" t="b">
        <f aca="false">IF(IFERROR(INDEX(tsk_Name,GanttView[[#This Row],[_Row]])="",TRUE()),FALSE(),AND(INDEX(tsk_IsLeaf,GanttView[[#This Row],[_Row]])=1,N(INDEX(tsk_Duration,GanttView[[#This Row],[_Row]]))=0))</f>
        <v>0</v>
      </c>
      <c r="P143" s="134" t="n">
        <f aca="false">IF(IFERROR(INDEX(tsk_Name,GanttView[[#This Row],[_Row]])="",TRUE()),0,IF(AND(INDEX(tsk_IsLeaf,GanttView[[#This Row],[_Row]])=1,NOT(GanttView[[#This Row],[_IsMilestone]]),N(GanttView[[#This Row],[%]])&gt;0),GanttView[[#This Row],[Forecast Start]],0))</f>
        <v>0</v>
      </c>
      <c r="Q143" s="134" t="n">
        <f aca="false">IF(GanttView[[#This Row],[_DoneFrom]]=0,0,IF(GanttView[[#This Row],[%]]&gt;=1,GanttView[[#This Row],[Forecast Finish]],MAX(GanttView[[#This Row],[_DoneFrom]],GanttView[[#This Row],[Forecast Start]]+ROUND((GanttView[[#This Row],[Forecast Finish]]-GanttView[[#This Row],[Forecast Start]]+1)*GanttView[[#This Row],[%]],0)-1)))</f>
        <v>0</v>
      </c>
      <c r="R143" s="134" t="n">
        <f aca="false">IF(IFERROR(INDEX(tsk_Name,GanttView[[#This Row],[_Row]])="",TRUE()),0,IF(OR(INDEX(tsk_IsLeaf,GanttView[[#This Row],[_Row]])&lt;&gt;1,GanttView[[#This Row],[_IsMilestone]],N(GanttView[[#This Row],[%]])&gt;=1),0,IF(GanttView[[#This Row],[_DoneTo]]&gt;0,GanttView[[#This Row],[_DoneTo]]+1,GanttView[[#This Row],[Forecast Start]])))</f>
        <v>0</v>
      </c>
      <c r="S143" s="134" t="n">
        <f aca="false">IF(GanttView[[#This Row],[_RemFrom]]=0,0,GanttView[[#This Row],[Forecast Finish]])</f>
        <v>0</v>
      </c>
      <c r="T143" s="133" t="b">
        <f aca="false">IF(IFERROR(INDEX(tsk_Name,GanttView[[#This Row],[_Row]])="",TRUE()),FALSE(),N(INDEX(tsk_Variance,GanttView[[#This Row],[_Row]]))&gt;0)</f>
        <v>0</v>
      </c>
      <c r="U143" s="134" t="n">
        <f aca="false">IF(IFERROR(INDEX(tsk_Name,GanttView[[#This Row],[_Row]])="",TRUE()),0,N(INDEX(tsk_Deadline,GanttView[[#This Row],[_Row]])))</f>
        <v>0</v>
      </c>
      <c r="V143" s="133" t="b">
        <f aca="false">IF(IFERROR(INDEX(tsk_Name,GanttView[[#This Row],[_Row]])="",TRUE()),FALSE(),INDEX(tsk_Critical,GanttView[[#This Row],[_Row]])="Yes")</f>
        <v>0</v>
      </c>
    </row>
    <row r="144" customFormat="false" ht="15" hidden="false" customHeight="false" outlineLevel="0" collapsed="false">
      <c r="A144" s="127" t="str">
        <f aca="false">IF(IFERROR(INDEX(tsk_Name,GanttView[[#This Row],[_Row]])="",TRUE()),"",INDEX(tsk_ID,GanttView[[#This Row],[_Row]]))</f>
        <v/>
      </c>
      <c r="B144" s="127" t="str">
        <f aca="false">IF(IFERROR(INDEX(tsk_Name,GanttView[[#This Row],[_Row]])="",TRUE()),"",INDEX(tsk_WBS,GanttView[[#This Row],[_Row]]))</f>
        <v/>
      </c>
      <c r="C144" s="128" t="str">
        <f aca="false">IF(IFERROR(INDEX(tsk_Name,GanttView[[#This Row],[_Row]])="",TRUE()),"",REPT("    ",INDEX(tsk_Level,GanttView[[#This Row],[_Row]])-1)&amp;INDEX(tsk_Name,GanttView[[#This Row],[_Row]]))</f>
        <v/>
      </c>
      <c r="D144" s="127" t="str">
        <f aca="false">IF(IFERROR(INDEX(tsk_Name,GanttView[[#This Row],[_Row]])="",TRUE()),"",IF(INDEX(tsk_IsSummary,GanttView[[#This Row],[_Row]]),NETWORKDAYS.INTL(INDEX(tsk_FcStart,GanttView[[#This Row],[_Row]]),INDEX(tsk_FcFinish,GanttView[[#This Row],[_Row]]),WorkWeek,Holidays),N(INDEX(tsk_Duration,GanttView[[#This Row],[_Row]]))))</f>
        <v/>
      </c>
      <c r="E144" s="129" t="str">
        <f aca="false">IF(IFERROR(INDEX(tsk_Name,GanttView[[#This Row],[_Row]])="",TRUE()),"",INDEX(tsk_PlanStart,GanttView[[#This Row],[_Row]]))</f>
        <v/>
      </c>
      <c r="F144" s="129" t="str">
        <f aca="false">IF(IFERROR(INDEX(tsk_Name,GanttView[[#This Row],[_Row]])="",TRUE()),"",INDEX(tsk_PlanFinish,GanttView[[#This Row],[_Row]]))</f>
        <v/>
      </c>
      <c r="G144" s="129" t="str">
        <f aca="false">IF(IFERROR(INDEX(tsk_Name,GanttView[[#This Row],[_Row]])="",TRUE()),"",INDEX(tsk_FcStart,GanttView[[#This Row],[_Row]]))</f>
        <v/>
      </c>
      <c r="H144" s="129" t="str">
        <f aca="false">IF(IFERROR(INDEX(tsk_Name,GanttView[[#This Row],[_Row]])="",TRUE()),"",INDEX(tsk_FcFinish,GanttView[[#This Row],[_Row]]))</f>
        <v/>
      </c>
      <c r="I144" s="130" t="str">
        <f aca="false">IF(IFERROR(INDEX(tsk_Name,GanttView[[#This Row],[_Row]])="",TRUE()),"",INDEX(tsk_Progress,GanttView[[#This Row],[_Row]]))</f>
        <v/>
      </c>
      <c r="J144" s="128" t="str">
        <f aca="false">IF(IFERROR(INDEX(tsk_Name,GanttView[[#This Row],[_Row]])="",TRUE()),"",INDEX(tsk_ResourceNames,GanttView[[#This Row],[_Row]])&amp;"")</f>
        <v/>
      </c>
      <c r="K144" s="131" t="str">
        <f aca="false">IF(IFERROR(INDEX(tsk_Name,GanttView[[#This Row],[_Row]])="",TRUE()),"",INDEX(tsk_Status,GanttView[[#This Row],[_Row]]))</f>
        <v/>
      </c>
      <c r="L144" s="131" t="str">
        <f aca="false">IF(IFERROR(INDEX(tsk_Name,GanttView[[#This Row],[_Row]])="",TRUE()),"",INDEX(tsk_Show,GanttView[[#This Row],[_Row]])&amp;"")</f>
        <v/>
      </c>
      <c r="M144" s="132" t="n">
        <f aca="false">ROW()-ROW(GanttView[[#Headers],[ID]])</f>
        <v>139</v>
      </c>
      <c r="N144" s="133" t="b">
        <f aca="false">IF(IFERROR(INDEX(tsk_Name,GanttView[[#This Row],[_Row]])="",TRUE()),FALSE(),INDEX(tsk_IsSummary,GanttView[[#This Row],[_Row]]))</f>
        <v>0</v>
      </c>
      <c r="O144" s="133" t="b">
        <f aca="false">IF(IFERROR(INDEX(tsk_Name,GanttView[[#This Row],[_Row]])="",TRUE()),FALSE(),AND(INDEX(tsk_IsLeaf,GanttView[[#This Row],[_Row]])=1,N(INDEX(tsk_Duration,GanttView[[#This Row],[_Row]]))=0))</f>
        <v>0</v>
      </c>
      <c r="P144" s="134" t="n">
        <f aca="false">IF(IFERROR(INDEX(tsk_Name,GanttView[[#This Row],[_Row]])="",TRUE()),0,IF(AND(INDEX(tsk_IsLeaf,GanttView[[#This Row],[_Row]])=1,NOT(GanttView[[#This Row],[_IsMilestone]]),N(GanttView[[#This Row],[%]])&gt;0),GanttView[[#This Row],[Forecast Start]],0))</f>
        <v>0</v>
      </c>
      <c r="Q144" s="134" t="n">
        <f aca="false">IF(GanttView[[#This Row],[_DoneFrom]]=0,0,IF(GanttView[[#This Row],[%]]&gt;=1,GanttView[[#This Row],[Forecast Finish]],MAX(GanttView[[#This Row],[_DoneFrom]],GanttView[[#This Row],[Forecast Start]]+ROUND((GanttView[[#This Row],[Forecast Finish]]-GanttView[[#This Row],[Forecast Start]]+1)*GanttView[[#This Row],[%]],0)-1)))</f>
        <v>0</v>
      </c>
      <c r="R144" s="134" t="n">
        <f aca="false">IF(IFERROR(INDEX(tsk_Name,GanttView[[#This Row],[_Row]])="",TRUE()),0,IF(OR(INDEX(tsk_IsLeaf,GanttView[[#This Row],[_Row]])&lt;&gt;1,GanttView[[#This Row],[_IsMilestone]],N(GanttView[[#This Row],[%]])&gt;=1),0,IF(GanttView[[#This Row],[_DoneTo]]&gt;0,GanttView[[#This Row],[_DoneTo]]+1,GanttView[[#This Row],[Forecast Start]])))</f>
        <v>0</v>
      </c>
      <c r="S144" s="134" t="n">
        <f aca="false">IF(GanttView[[#This Row],[_RemFrom]]=0,0,GanttView[[#This Row],[Forecast Finish]])</f>
        <v>0</v>
      </c>
      <c r="T144" s="133" t="b">
        <f aca="false">IF(IFERROR(INDEX(tsk_Name,GanttView[[#This Row],[_Row]])="",TRUE()),FALSE(),N(INDEX(tsk_Variance,GanttView[[#This Row],[_Row]]))&gt;0)</f>
        <v>0</v>
      </c>
      <c r="U144" s="134" t="n">
        <f aca="false">IF(IFERROR(INDEX(tsk_Name,GanttView[[#This Row],[_Row]])="",TRUE()),0,N(INDEX(tsk_Deadline,GanttView[[#This Row],[_Row]])))</f>
        <v>0</v>
      </c>
      <c r="V144" s="133" t="b">
        <f aca="false">IF(IFERROR(INDEX(tsk_Name,GanttView[[#This Row],[_Row]])="",TRUE()),FALSE(),INDEX(tsk_Critical,GanttView[[#This Row],[_Row]])="Yes")</f>
        <v>0</v>
      </c>
    </row>
    <row r="145" customFormat="false" ht="15" hidden="false" customHeight="false" outlineLevel="0" collapsed="false">
      <c r="A145" s="127" t="str">
        <f aca="false">IF(IFERROR(INDEX(tsk_Name,GanttView[[#This Row],[_Row]])="",TRUE()),"",INDEX(tsk_ID,GanttView[[#This Row],[_Row]]))</f>
        <v/>
      </c>
      <c r="B145" s="127" t="str">
        <f aca="false">IF(IFERROR(INDEX(tsk_Name,GanttView[[#This Row],[_Row]])="",TRUE()),"",INDEX(tsk_WBS,GanttView[[#This Row],[_Row]]))</f>
        <v/>
      </c>
      <c r="C145" s="128" t="str">
        <f aca="false">IF(IFERROR(INDEX(tsk_Name,GanttView[[#This Row],[_Row]])="",TRUE()),"",REPT("    ",INDEX(tsk_Level,GanttView[[#This Row],[_Row]])-1)&amp;INDEX(tsk_Name,GanttView[[#This Row],[_Row]]))</f>
        <v/>
      </c>
      <c r="D145" s="127" t="str">
        <f aca="false">IF(IFERROR(INDEX(tsk_Name,GanttView[[#This Row],[_Row]])="",TRUE()),"",IF(INDEX(tsk_IsSummary,GanttView[[#This Row],[_Row]]),NETWORKDAYS.INTL(INDEX(tsk_FcStart,GanttView[[#This Row],[_Row]]),INDEX(tsk_FcFinish,GanttView[[#This Row],[_Row]]),WorkWeek,Holidays),N(INDEX(tsk_Duration,GanttView[[#This Row],[_Row]]))))</f>
        <v/>
      </c>
      <c r="E145" s="129" t="str">
        <f aca="false">IF(IFERROR(INDEX(tsk_Name,GanttView[[#This Row],[_Row]])="",TRUE()),"",INDEX(tsk_PlanStart,GanttView[[#This Row],[_Row]]))</f>
        <v/>
      </c>
      <c r="F145" s="129" t="str">
        <f aca="false">IF(IFERROR(INDEX(tsk_Name,GanttView[[#This Row],[_Row]])="",TRUE()),"",INDEX(tsk_PlanFinish,GanttView[[#This Row],[_Row]]))</f>
        <v/>
      </c>
      <c r="G145" s="129" t="str">
        <f aca="false">IF(IFERROR(INDEX(tsk_Name,GanttView[[#This Row],[_Row]])="",TRUE()),"",INDEX(tsk_FcStart,GanttView[[#This Row],[_Row]]))</f>
        <v/>
      </c>
      <c r="H145" s="129" t="str">
        <f aca="false">IF(IFERROR(INDEX(tsk_Name,GanttView[[#This Row],[_Row]])="",TRUE()),"",INDEX(tsk_FcFinish,GanttView[[#This Row],[_Row]]))</f>
        <v/>
      </c>
      <c r="I145" s="130" t="str">
        <f aca="false">IF(IFERROR(INDEX(tsk_Name,GanttView[[#This Row],[_Row]])="",TRUE()),"",INDEX(tsk_Progress,GanttView[[#This Row],[_Row]]))</f>
        <v/>
      </c>
      <c r="J145" s="128" t="str">
        <f aca="false">IF(IFERROR(INDEX(tsk_Name,GanttView[[#This Row],[_Row]])="",TRUE()),"",INDEX(tsk_ResourceNames,GanttView[[#This Row],[_Row]])&amp;"")</f>
        <v/>
      </c>
      <c r="K145" s="131" t="str">
        <f aca="false">IF(IFERROR(INDEX(tsk_Name,GanttView[[#This Row],[_Row]])="",TRUE()),"",INDEX(tsk_Status,GanttView[[#This Row],[_Row]]))</f>
        <v/>
      </c>
      <c r="L145" s="131" t="str">
        <f aca="false">IF(IFERROR(INDEX(tsk_Name,GanttView[[#This Row],[_Row]])="",TRUE()),"",INDEX(tsk_Show,GanttView[[#This Row],[_Row]])&amp;"")</f>
        <v/>
      </c>
      <c r="M145" s="132" t="n">
        <f aca="false">ROW()-ROW(GanttView[[#Headers],[ID]])</f>
        <v>140</v>
      </c>
      <c r="N145" s="133" t="b">
        <f aca="false">IF(IFERROR(INDEX(tsk_Name,GanttView[[#This Row],[_Row]])="",TRUE()),FALSE(),INDEX(tsk_IsSummary,GanttView[[#This Row],[_Row]]))</f>
        <v>0</v>
      </c>
      <c r="O145" s="133" t="b">
        <f aca="false">IF(IFERROR(INDEX(tsk_Name,GanttView[[#This Row],[_Row]])="",TRUE()),FALSE(),AND(INDEX(tsk_IsLeaf,GanttView[[#This Row],[_Row]])=1,N(INDEX(tsk_Duration,GanttView[[#This Row],[_Row]]))=0))</f>
        <v>0</v>
      </c>
      <c r="P145" s="134" t="n">
        <f aca="false">IF(IFERROR(INDEX(tsk_Name,GanttView[[#This Row],[_Row]])="",TRUE()),0,IF(AND(INDEX(tsk_IsLeaf,GanttView[[#This Row],[_Row]])=1,NOT(GanttView[[#This Row],[_IsMilestone]]),N(GanttView[[#This Row],[%]])&gt;0),GanttView[[#This Row],[Forecast Start]],0))</f>
        <v>0</v>
      </c>
      <c r="Q145" s="134" t="n">
        <f aca="false">IF(GanttView[[#This Row],[_DoneFrom]]=0,0,IF(GanttView[[#This Row],[%]]&gt;=1,GanttView[[#This Row],[Forecast Finish]],MAX(GanttView[[#This Row],[_DoneFrom]],GanttView[[#This Row],[Forecast Start]]+ROUND((GanttView[[#This Row],[Forecast Finish]]-GanttView[[#This Row],[Forecast Start]]+1)*GanttView[[#This Row],[%]],0)-1)))</f>
        <v>0</v>
      </c>
      <c r="R145" s="134" t="n">
        <f aca="false">IF(IFERROR(INDEX(tsk_Name,GanttView[[#This Row],[_Row]])="",TRUE()),0,IF(OR(INDEX(tsk_IsLeaf,GanttView[[#This Row],[_Row]])&lt;&gt;1,GanttView[[#This Row],[_IsMilestone]],N(GanttView[[#This Row],[%]])&gt;=1),0,IF(GanttView[[#This Row],[_DoneTo]]&gt;0,GanttView[[#This Row],[_DoneTo]]+1,GanttView[[#This Row],[Forecast Start]])))</f>
        <v>0</v>
      </c>
      <c r="S145" s="134" t="n">
        <f aca="false">IF(GanttView[[#This Row],[_RemFrom]]=0,0,GanttView[[#This Row],[Forecast Finish]])</f>
        <v>0</v>
      </c>
      <c r="T145" s="133" t="b">
        <f aca="false">IF(IFERROR(INDEX(tsk_Name,GanttView[[#This Row],[_Row]])="",TRUE()),FALSE(),N(INDEX(tsk_Variance,GanttView[[#This Row],[_Row]]))&gt;0)</f>
        <v>0</v>
      </c>
      <c r="U145" s="134" t="n">
        <f aca="false">IF(IFERROR(INDEX(tsk_Name,GanttView[[#This Row],[_Row]])="",TRUE()),0,N(INDEX(tsk_Deadline,GanttView[[#This Row],[_Row]])))</f>
        <v>0</v>
      </c>
      <c r="V145" s="133" t="b">
        <f aca="false">IF(IFERROR(INDEX(tsk_Name,GanttView[[#This Row],[_Row]])="",TRUE()),FALSE(),INDEX(tsk_Critical,GanttView[[#This Row],[_Row]])="Yes")</f>
        <v>0</v>
      </c>
    </row>
    <row r="146" customFormat="false" ht="15" hidden="false" customHeight="false" outlineLevel="0" collapsed="false">
      <c r="A146" s="127" t="str">
        <f aca="false">IF(IFERROR(INDEX(tsk_Name,GanttView[[#This Row],[_Row]])="",TRUE()),"",INDEX(tsk_ID,GanttView[[#This Row],[_Row]]))</f>
        <v/>
      </c>
      <c r="B146" s="127" t="str">
        <f aca="false">IF(IFERROR(INDEX(tsk_Name,GanttView[[#This Row],[_Row]])="",TRUE()),"",INDEX(tsk_WBS,GanttView[[#This Row],[_Row]]))</f>
        <v/>
      </c>
      <c r="C146" s="128" t="str">
        <f aca="false">IF(IFERROR(INDEX(tsk_Name,GanttView[[#This Row],[_Row]])="",TRUE()),"",REPT("    ",INDEX(tsk_Level,GanttView[[#This Row],[_Row]])-1)&amp;INDEX(tsk_Name,GanttView[[#This Row],[_Row]]))</f>
        <v/>
      </c>
      <c r="D146" s="127" t="str">
        <f aca="false">IF(IFERROR(INDEX(tsk_Name,GanttView[[#This Row],[_Row]])="",TRUE()),"",IF(INDEX(tsk_IsSummary,GanttView[[#This Row],[_Row]]),NETWORKDAYS.INTL(INDEX(tsk_FcStart,GanttView[[#This Row],[_Row]]),INDEX(tsk_FcFinish,GanttView[[#This Row],[_Row]]),WorkWeek,Holidays),N(INDEX(tsk_Duration,GanttView[[#This Row],[_Row]]))))</f>
        <v/>
      </c>
      <c r="E146" s="129" t="str">
        <f aca="false">IF(IFERROR(INDEX(tsk_Name,GanttView[[#This Row],[_Row]])="",TRUE()),"",INDEX(tsk_PlanStart,GanttView[[#This Row],[_Row]]))</f>
        <v/>
      </c>
      <c r="F146" s="129" t="str">
        <f aca="false">IF(IFERROR(INDEX(tsk_Name,GanttView[[#This Row],[_Row]])="",TRUE()),"",INDEX(tsk_PlanFinish,GanttView[[#This Row],[_Row]]))</f>
        <v/>
      </c>
      <c r="G146" s="129" t="str">
        <f aca="false">IF(IFERROR(INDEX(tsk_Name,GanttView[[#This Row],[_Row]])="",TRUE()),"",INDEX(tsk_FcStart,GanttView[[#This Row],[_Row]]))</f>
        <v/>
      </c>
      <c r="H146" s="129" t="str">
        <f aca="false">IF(IFERROR(INDEX(tsk_Name,GanttView[[#This Row],[_Row]])="",TRUE()),"",INDEX(tsk_FcFinish,GanttView[[#This Row],[_Row]]))</f>
        <v/>
      </c>
      <c r="I146" s="130" t="str">
        <f aca="false">IF(IFERROR(INDEX(tsk_Name,GanttView[[#This Row],[_Row]])="",TRUE()),"",INDEX(tsk_Progress,GanttView[[#This Row],[_Row]]))</f>
        <v/>
      </c>
      <c r="J146" s="128" t="str">
        <f aca="false">IF(IFERROR(INDEX(tsk_Name,GanttView[[#This Row],[_Row]])="",TRUE()),"",INDEX(tsk_ResourceNames,GanttView[[#This Row],[_Row]])&amp;"")</f>
        <v/>
      </c>
      <c r="K146" s="131" t="str">
        <f aca="false">IF(IFERROR(INDEX(tsk_Name,GanttView[[#This Row],[_Row]])="",TRUE()),"",INDEX(tsk_Status,GanttView[[#This Row],[_Row]]))</f>
        <v/>
      </c>
      <c r="L146" s="131" t="str">
        <f aca="false">IF(IFERROR(INDEX(tsk_Name,GanttView[[#This Row],[_Row]])="",TRUE()),"",INDEX(tsk_Show,GanttView[[#This Row],[_Row]])&amp;"")</f>
        <v/>
      </c>
      <c r="M146" s="132" t="n">
        <f aca="false">ROW()-ROW(GanttView[[#Headers],[ID]])</f>
        <v>141</v>
      </c>
      <c r="N146" s="133" t="b">
        <f aca="false">IF(IFERROR(INDEX(tsk_Name,GanttView[[#This Row],[_Row]])="",TRUE()),FALSE(),INDEX(tsk_IsSummary,GanttView[[#This Row],[_Row]]))</f>
        <v>0</v>
      </c>
      <c r="O146" s="133" t="b">
        <f aca="false">IF(IFERROR(INDEX(tsk_Name,GanttView[[#This Row],[_Row]])="",TRUE()),FALSE(),AND(INDEX(tsk_IsLeaf,GanttView[[#This Row],[_Row]])=1,N(INDEX(tsk_Duration,GanttView[[#This Row],[_Row]]))=0))</f>
        <v>0</v>
      </c>
      <c r="P146" s="134" t="n">
        <f aca="false">IF(IFERROR(INDEX(tsk_Name,GanttView[[#This Row],[_Row]])="",TRUE()),0,IF(AND(INDEX(tsk_IsLeaf,GanttView[[#This Row],[_Row]])=1,NOT(GanttView[[#This Row],[_IsMilestone]]),N(GanttView[[#This Row],[%]])&gt;0),GanttView[[#This Row],[Forecast Start]],0))</f>
        <v>0</v>
      </c>
      <c r="Q146" s="134" t="n">
        <f aca="false">IF(GanttView[[#This Row],[_DoneFrom]]=0,0,IF(GanttView[[#This Row],[%]]&gt;=1,GanttView[[#This Row],[Forecast Finish]],MAX(GanttView[[#This Row],[_DoneFrom]],GanttView[[#This Row],[Forecast Start]]+ROUND((GanttView[[#This Row],[Forecast Finish]]-GanttView[[#This Row],[Forecast Start]]+1)*GanttView[[#This Row],[%]],0)-1)))</f>
        <v>0</v>
      </c>
      <c r="R146" s="134" t="n">
        <f aca="false">IF(IFERROR(INDEX(tsk_Name,GanttView[[#This Row],[_Row]])="",TRUE()),0,IF(OR(INDEX(tsk_IsLeaf,GanttView[[#This Row],[_Row]])&lt;&gt;1,GanttView[[#This Row],[_IsMilestone]],N(GanttView[[#This Row],[%]])&gt;=1),0,IF(GanttView[[#This Row],[_DoneTo]]&gt;0,GanttView[[#This Row],[_DoneTo]]+1,GanttView[[#This Row],[Forecast Start]])))</f>
        <v>0</v>
      </c>
      <c r="S146" s="134" t="n">
        <f aca="false">IF(GanttView[[#This Row],[_RemFrom]]=0,0,GanttView[[#This Row],[Forecast Finish]])</f>
        <v>0</v>
      </c>
      <c r="T146" s="133" t="b">
        <f aca="false">IF(IFERROR(INDEX(tsk_Name,GanttView[[#This Row],[_Row]])="",TRUE()),FALSE(),N(INDEX(tsk_Variance,GanttView[[#This Row],[_Row]]))&gt;0)</f>
        <v>0</v>
      </c>
      <c r="U146" s="134" t="n">
        <f aca="false">IF(IFERROR(INDEX(tsk_Name,GanttView[[#This Row],[_Row]])="",TRUE()),0,N(INDEX(tsk_Deadline,GanttView[[#This Row],[_Row]])))</f>
        <v>0</v>
      </c>
      <c r="V146" s="133" t="b">
        <f aca="false">IF(IFERROR(INDEX(tsk_Name,GanttView[[#This Row],[_Row]])="",TRUE()),FALSE(),INDEX(tsk_Critical,GanttView[[#This Row],[_Row]])="Yes")</f>
        <v>0</v>
      </c>
    </row>
    <row r="147" customFormat="false" ht="15" hidden="false" customHeight="false" outlineLevel="0" collapsed="false">
      <c r="A147" s="127" t="str">
        <f aca="false">IF(IFERROR(INDEX(tsk_Name,GanttView[[#This Row],[_Row]])="",TRUE()),"",INDEX(tsk_ID,GanttView[[#This Row],[_Row]]))</f>
        <v/>
      </c>
      <c r="B147" s="127" t="str">
        <f aca="false">IF(IFERROR(INDEX(tsk_Name,GanttView[[#This Row],[_Row]])="",TRUE()),"",INDEX(tsk_WBS,GanttView[[#This Row],[_Row]]))</f>
        <v/>
      </c>
      <c r="C147" s="128" t="str">
        <f aca="false">IF(IFERROR(INDEX(tsk_Name,GanttView[[#This Row],[_Row]])="",TRUE()),"",REPT("    ",INDEX(tsk_Level,GanttView[[#This Row],[_Row]])-1)&amp;INDEX(tsk_Name,GanttView[[#This Row],[_Row]]))</f>
        <v/>
      </c>
      <c r="D147" s="127" t="str">
        <f aca="false">IF(IFERROR(INDEX(tsk_Name,GanttView[[#This Row],[_Row]])="",TRUE()),"",IF(INDEX(tsk_IsSummary,GanttView[[#This Row],[_Row]]),NETWORKDAYS.INTL(INDEX(tsk_FcStart,GanttView[[#This Row],[_Row]]),INDEX(tsk_FcFinish,GanttView[[#This Row],[_Row]]),WorkWeek,Holidays),N(INDEX(tsk_Duration,GanttView[[#This Row],[_Row]]))))</f>
        <v/>
      </c>
      <c r="E147" s="129" t="str">
        <f aca="false">IF(IFERROR(INDEX(tsk_Name,GanttView[[#This Row],[_Row]])="",TRUE()),"",INDEX(tsk_PlanStart,GanttView[[#This Row],[_Row]]))</f>
        <v/>
      </c>
      <c r="F147" s="129" t="str">
        <f aca="false">IF(IFERROR(INDEX(tsk_Name,GanttView[[#This Row],[_Row]])="",TRUE()),"",INDEX(tsk_PlanFinish,GanttView[[#This Row],[_Row]]))</f>
        <v/>
      </c>
      <c r="G147" s="129" t="str">
        <f aca="false">IF(IFERROR(INDEX(tsk_Name,GanttView[[#This Row],[_Row]])="",TRUE()),"",INDEX(tsk_FcStart,GanttView[[#This Row],[_Row]]))</f>
        <v/>
      </c>
      <c r="H147" s="129" t="str">
        <f aca="false">IF(IFERROR(INDEX(tsk_Name,GanttView[[#This Row],[_Row]])="",TRUE()),"",INDEX(tsk_FcFinish,GanttView[[#This Row],[_Row]]))</f>
        <v/>
      </c>
      <c r="I147" s="130" t="str">
        <f aca="false">IF(IFERROR(INDEX(tsk_Name,GanttView[[#This Row],[_Row]])="",TRUE()),"",INDEX(tsk_Progress,GanttView[[#This Row],[_Row]]))</f>
        <v/>
      </c>
      <c r="J147" s="128" t="str">
        <f aca="false">IF(IFERROR(INDEX(tsk_Name,GanttView[[#This Row],[_Row]])="",TRUE()),"",INDEX(tsk_ResourceNames,GanttView[[#This Row],[_Row]])&amp;"")</f>
        <v/>
      </c>
      <c r="K147" s="131" t="str">
        <f aca="false">IF(IFERROR(INDEX(tsk_Name,GanttView[[#This Row],[_Row]])="",TRUE()),"",INDEX(tsk_Status,GanttView[[#This Row],[_Row]]))</f>
        <v/>
      </c>
      <c r="L147" s="131" t="str">
        <f aca="false">IF(IFERROR(INDEX(tsk_Name,GanttView[[#This Row],[_Row]])="",TRUE()),"",INDEX(tsk_Show,GanttView[[#This Row],[_Row]])&amp;"")</f>
        <v/>
      </c>
      <c r="M147" s="132" t="n">
        <f aca="false">ROW()-ROW(GanttView[[#Headers],[ID]])</f>
        <v>142</v>
      </c>
      <c r="N147" s="133" t="b">
        <f aca="false">IF(IFERROR(INDEX(tsk_Name,GanttView[[#This Row],[_Row]])="",TRUE()),FALSE(),INDEX(tsk_IsSummary,GanttView[[#This Row],[_Row]]))</f>
        <v>0</v>
      </c>
      <c r="O147" s="133" t="b">
        <f aca="false">IF(IFERROR(INDEX(tsk_Name,GanttView[[#This Row],[_Row]])="",TRUE()),FALSE(),AND(INDEX(tsk_IsLeaf,GanttView[[#This Row],[_Row]])=1,N(INDEX(tsk_Duration,GanttView[[#This Row],[_Row]]))=0))</f>
        <v>0</v>
      </c>
      <c r="P147" s="134" t="n">
        <f aca="false">IF(IFERROR(INDEX(tsk_Name,GanttView[[#This Row],[_Row]])="",TRUE()),0,IF(AND(INDEX(tsk_IsLeaf,GanttView[[#This Row],[_Row]])=1,NOT(GanttView[[#This Row],[_IsMilestone]]),N(GanttView[[#This Row],[%]])&gt;0),GanttView[[#This Row],[Forecast Start]],0))</f>
        <v>0</v>
      </c>
      <c r="Q147" s="134" t="n">
        <f aca="false">IF(GanttView[[#This Row],[_DoneFrom]]=0,0,IF(GanttView[[#This Row],[%]]&gt;=1,GanttView[[#This Row],[Forecast Finish]],MAX(GanttView[[#This Row],[_DoneFrom]],GanttView[[#This Row],[Forecast Start]]+ROUND((GanttView[[#This Row],[Forecast Finish]]-GanttView[[#This Row],[Forecast Start]]+1)*GanttView[[#This Row],[%]],0)-1)))</f>
        <v>0</v>
      </c>
      <c r="R147" s="134" t="n">
        <f aca="false">IF(IFERROR(INDEX(tsk_Name,GanttView[[#This Row],[_Row]])="",TRUE()),0,IF(OR(INDEX(tsk_IsLeaf,GanttView[[#This Row],[_Row]])&lt;&gt;1,GanttView[[#This Row],[_IsMilestone]],N(GanttView[[#This Row],[%]])&gt;=1),0,IF(GanttView[[#This Row],[_DoneTo]]&gt;0,GanttView[[#This Row],[_DoneTo]]+1,GanttView[[#This Row],[Forecast Start]])))</f>
        <v>0</v>
      </c>
      <c r="S147" s="134" t="n">
        <f aca="false">IF(GanttView[[#This Row],[_RemFrom]]=0,0,GanttView[[#This Row],[Forecast Finish]])</f>
        <v>0</v>
      </c>
      <c r="T147" s="133" t="b">
        <f aca="false">IF(IFERROR(INDEX(tsk_Name,GanttView[[#This Row],[_Row]])="",TRUE()),FALSE(),N(INDEX(tsk_Variance,GanttView[[#This Row],[_Row]]))&gt;0)</f>
        <v>0</v>
      </c>
      <c r="U147" s="134" t="n">
        <f aca="false">IF(IFERROR(INDEX(tsk_Name,GanttView[[#This Row],[_Row]])="",TRUE()),0,N(INDEX(tsk_Deadline,GanttView[[#This Row],[_Row]])))</f>
        <v>0</v>
      </c>
      <c r="V147" s="133" t="b">
        <f aca="false">IF(IFERROR(INDEX(tsk_Name,GanttView[[#This Row],[_Row]])="",TRUE()),FALSE(),INDEX(tsk_Critical,GanttView[[#This Row],[_Row]])="Yes")</f>
        <v>0</v>
      </c>
    </row>
    <row r="148" customFormat="false" ht="15" hidden="false" customHeight="false" outlineLevel="0" collapsed="false">
      <c r="A148" s="127" t="str">
        <f aca="false">IF(IFERROR(INDEX(tsk_Name,GanttView[[#This Row],[_Row]])="",TRUE()),"",INDEX(tsk_ID,GanttView[[#This Row],[_Row]]))</f>
        <v/>
      </c>
      <c r="B148" s="127" t="str">
        <f aca="false">IF(IFERROR(INDEX(tsk_Name,GanttView[[#This Row],[_Row]])="",TRUE()),"",INDEX(tsk_WBS,GanttView[[#This Row],[_Row]]))</f>
        <v/>
      </c>
      <c r="C148" s="128" t="str">
        <f aca="false">IF(IFERROR(INDEX(tsk_Name,GanttView[[#This Row],[_Row]])="",TRUE()),"",REPT("    ",INDEX(tsk_Level,GanttView[[#This Row],[_Row]])-1)&amp;INDEX(tsk_Name,GanttView[[#This Row],[_Row]]))</f>
        <v/>
      </c>
      <c r="D148" s="127" t="str">
        <f aca="false">IF(IFERROR(INDEX(tsk_Name,GanttView[[#This Row],[_Row]])="",TRUE()),"",IF(INDEX(tsk_IsSummary,GanttView[[#This Row],[_Row]]),NETWORKDAYS.INTL(INDEX(tsk_FcStart,GanttView[[#This Row],[_Row]]),INDEX(tsk_FcFinish,GanttView[[#This Row],[_Row]]),WorkWeek,Holidays),N(INDEX(tsk_Duration,GanttView[[#This Row],[_Row]]))))</f>
        <v/>
      </c>
      <c r="E148" s="129" t="str">
        <f aca="false">IF(IFERROR(INDEX(tsk_Name,GanttView[[#This Row],[_Row]])="",TRUE()),"",INDEX(tsk_PlanStart,GanttView[[#This Row],[_Row]]))</f>
        <v/>
      </c>
      <c r="F148" s="129" t="str">
        <f aca="false">IF(IFERROR(INDEX(tsk_Name,GanttView[[#This Row],[_Row]])="",TRUE()),"",INDEX(tsk_PlanFinish,GanttView[[#This Row],[_Row]]))</f>
        <v/>
      </c>
      <c r="G148" s="129" t="str">
        <f aca="false">IF(IFERROR(INDEX(tsk_Name,GanttView[[#This Row],[_Row]])="",TRUE()),"",INDEX(tsk_FcStart,GanttView[[#This Row],[_Row]]))</f>
        <v/>
      </c>
      <c r="H148" s="129" t="str">
        <f aca="false">IF(IFERROR(INDEX(tsk_Name,GanttView[[#This Row],[_Row]])="",TRUE()),"",INDEX(tsk_FcFinish,GanttView[[#This Row],[_Row]]))</f>
        <v/>
      </c>
      <c r="I148" s="130" t="str">
        <f aca="false">IF(IFERROR(INDEX(tsk_Name,GanttView[[#This Row],[_Row]])="",TRUE()),"",INDEX(tsk_Progress,GanttView[[#This Row],[_Row]]))</f>
        <v/>
      </c>
      <c r="J148" s="128" t="str">
        <f aca="false">IF(IFERROR(INDEX(tsk_Name,GanttView[[#This Row],[_Row]])="",TRUE()),"",INDEX(tsk_ResourceNames,GanttView[[#This Row],[_Row]])&amp;"")</f>
        <v/>
      </c>
      <c r="K148" s="131" t="str">
        <f aca="false">IF(IFERROR(INDEX(tsk_Name,GanttView[[#This Row],[_Row]])="",TRUE()),"",INDEX(tsk_Status,GanttView[[#This Row],[_Row]]))</f>
        <v/>
      </c>
      <c r="L148" s="131" t="str">
        <f aca="false">IF(IFERROR(INDEX(tsk_Name,GanttView[[#This Row],[_Row]])="",TRUE()),"",INDEX(tsk_Show,GanttView[[#This Row],[_Row]])&amp;"")</f>
        <v/>
      </c>
      <c r="M148" s="132" t="n">
        <f aca="false">ROW()-ROW(GanttView[[#Headers],[ID]])</f>
        <v>143</v>
      </c>
      <c r="N148" s="133" t="b">
        <f aca="false">IF(IFERROR(INDEX(tsk_Name,GanttView[[#This Row],[_Row]])="",TRUE()),FALSE(),INDEX(tsk_IsSummary,GanttView[[#This Row],[_Row]]))</f>
        <v>0</v>
      </c>
      <c r="O148" s="133" t="b">
        <f aca="false">IF(IFERROR(INDEX(tsk_Name,GanttView[[#This Row],[_Row]])="",TRUE()),FALSE(),AND(INDEX(tsk_IsLeaf,GanttView[[#This Row],[_Row]])=1,N(INDEX(tsk_Duration,GanttView[[#This Row],[_Row]]))=0))</f>
        <v>0</v>
      </c>
      <c r="P148" s="134" t="n">
        <f aca="false">IF(IFERROR(INDEX(tsk_Name,GanttView[[#This Row],[_Row]])="",TRUE()),0,IF(AND(INDEX(tsk_IsLeaf,GanttView[[#This Row],[_Row]])=1,NOT(GanttView[[#This Row],[_IsMilestone]]),N(GanttView[[#This Row],[%]])&gt;0),GanttView[[#This Row],[Forecast Start]],0))</f>
        <v>0</v>
      </c>
      <c r="Q148" s="134" t="n">
        <f aca="false">IF(GanttView[[#This Row],[_DoneFrom]]=0,0,IF(GanttView[[#This Row],[%]]&gt;=1,GanttView[[#This Row],[Forecast Finish]],MAX(GanttView[[#This Row],[_DoneFrom]],GanttView[[#This Row],[Forecast Start]]+ROUND((GanttView[[#This Row],[Forecast Finish]]-GanttView[[#This Row],[Forecast Start]]+1)*GanttView[[#This Row],[%]],0)-1)))</f>
        <v>0</v>
      </c>
      <c r="R148" s="134" t="n">
        <f aca="false">IF(IFERROR(INDEX(tsk_Name,GanttView[[#This Row],[_Row]])="",TRUE()),0,IF(OR(INDEX(tsk_IsLeaf,GanttView[[#This Row],[_Row]])&lt;&gt;1,GanttView[[#This Row],[_IsMilestone]],N(GanttView[[#This Row],[%]])&gt;=1),0,IF(GanttView[[#This Row],[_DoneTo]]&gt;0,GanttView[[#This Row],[_DoneTo]]+1,GanttView[[#This Row],[Forecast Start]])))</f>
        <v>0</v>
      </c>
      <c r="S148" s="134" t="n">
        <f aca="false">IF(GanttView[[#This Row],[_RemFrom]]=0,0,GanttView[[#This Row],[Forecast Finish]])</f>
        <v>0</v>
      </c>
      <c r="T148" s="133" t="b">
        <f aca="false">IF(IFERROR(INDEX(tsk_Name,GanttView[[#This Row],[_Row]])="",TRUE()),FALSE(),N(INDEX(tsk_Variance,GanttView[[#This Row],[_Row]]))&gt;0)</f>
        <v>0</v>
      </c>
      <c r="U148" s="134" t="n">
        <f aca="false">IF(IFERROR(INDEX(tsk_Name,GanttView[[#This Row],[_Row]])="",TRUE()),0,N(INDEX(tsk_Deadline,GanttView[[#This Row],[_Row]])))</f>
        <v>0</v>
      </c>
      <c r="V148" s="133" t="b">
        <f aca="false">IF(IFERROR(INDEX(tsk_Name,GanttView[[#This Row],[_Row]])="",TRUE()),FALSE(),INDEX(tsk_Critical,GanttView[[#This Row],[_Row]])="Yes")</f>
        <v>0</v>
      </c>
    </row>
    <row r="149" customFormat="false" ht="15" hidden="false" customHeight="false" outlineLevel="0" collapsed="false">
      <c r="A149" s="127" t="str">
        <f aca="false">IF(IFERROR(INDEX(tsk_Name,GanttView[[#This Row],[_Row]])="",TRUE()),"",INDEX(tsk_ID,GanttView[[#This Row],[_Row]]))</f>
        <v/>
      </c>
      <c r="B149" s="127" t="str">
        <f aca="false">IF(IFERROR(INDEX(tsk_Name,GanttView[[#This Row],[_Row]])="",TRUE()),"",INDEX(tsk_WBS,GanttView[[#This Row],[_Row]]))</f>
        <v/>
      </c>
      <c r="C149" s="128" t="str">
        <f aca="false">IF(IFERROR(INDEX(tsk_Name,GanttView[[#This Row],[_Row]])="",TRUE()),"",REPT("    ",INDEX(tsk_Level,GanttView[[#This Row],[_Row]])-1)&amp;INDEX(tsk_Name,GanttView[[#This Row],[_Row]]))</f>
        <v/>
      </c>
      <c r="D149" s="127" t="str">
        <f aca="false">IF(IFERROR(INDEX(tsk_Name,GanttView[[#This Row],[_Row]])="",TRUE()),"",IF(INDEX(tsk_IsSummary,GanttView[[#This Row],[_Row]]),NETWORKDAYS.INTL(INDEX(tsk_FcStart,GanttView[[#This Row],[_Row]]),INDEX(tsk_FcFinish,GanttView[[#This Row],[_Row]]),WorkWeek,Holidays),N(INDEX(tsk_Duration,GanttView[[#This Row],[_Row]]))))</f>
        <v/>
      </c>
      <c r="E149" s="129" t="str">
        <f aca="false">IF(IFERROR(INDEX(tsk_Name,GanttView[[#This Row],[_Row]])="",TRUE()),"",INDEX(tsk_PlanStart,GanttView[[#This Row],[_Row]]))</f>
        <v/>
      </c>
      <c r="F149" s="129" t="str">
        <f aca="false">IF(IFERROR(INDEX(tsk_Name,GanttView[[#This Row],[_Row]])="",TRUE()),"",INDEX(tsk_PlanFinish,GanttView[[#This Row],[_Row]]))</f>
        <v/>
      </c>
      <c r="G149" s="129" t="str">
        <f aca="false">IF(IFERROR(INDEX(tsk_Name,GanttView[[#This Row],[_Row]])="",TRUE()),"",INDEX(tsk_FcStart,GanttView[[#This Row],[_Row]]))</f>
        <v/>
      </c>
      <c r="H149" s="129" t="str">
        <f aca="false">IF(IFERROR(INDEX(tsk_Name,GanttView[[#This Row],[_Row]])="",TRUE()),"",INDEX(tsk_FcFinish,GanttView[[#This Row],[_Row]]))</f>
        <v/>
      </c>
      <c r="I149" s="130" t="str">
        <f aca="false">IF(IFERROR(INDEX(tsk_Name,GanttView[[#This Row],[_Row]])="",TRUE()),"",INDEX(tsk_Progress,GanttView[[#This Row],[_Row]]))</f>
        <v/>
      </c>
      <c r="J149" s="128" t="str">
        <f aca="false">IF(IFERROR(INDEX(tsk_Name,GanttView[[#This Row],[_Row]])="",TRUE()),"",INDEX(tsk_ResourceNames,GanttView[[#This Row],[_Row]])&amp;"")</f>
        <v/>
      </c>
      <c r="K149" s="131" t="str">
        <f aca="false">IF(IFERROR(INDEX(tsk_Name,GanttView[[#This Row],[_Row]])="",TRUE()),"",INDEX(tsk_Status,GanttView[[#This Row],[_Row]]))</f>
        <v/>
      </c>
      <c r="L149" s="131" t="str">
        <f aca="false">IF(IFERROR(INDEX(tsk_Name,GanttView[[#This Row],[_Row]])="",TRUE()),"",INDEX(tsk_Show,GanttView[[#This Row],[_Row]])&amp;"")</f>
        <v/>
      </c>
      <c r="M149" s="132" t="n">
        <f aca="false">ROW()-ROW(GanttView[[#Headers],[ID]])</f>
        <v>144</v>
      </c>
      <c r="N149" s="133" t="b">
        <f aca="false">IF(IFERROR(INDEX(tsk_Name,GanttView[[#This Row],[_Row]])="",TRUE()),FALSE(),INDEX(tsk_IsSummary,GanttView[[#This Row],[_Row]]))</f>
        <v>0</v>
      </c>
      <c r="O149" s="133" t="b">
        <f aca="false">IF(IFERROR(INDEX(tsk_Name,GanttView[[#This Row],[_Row]])="",TRUE()),FALSE(),AND(INDEX(tsk_IsLeaf,GanttView[[#This Row],[_Row]])=1,N(INDEX(tsk_Duration,GanttView[[#This Row],[_Row]]))=0))</f>
        <v>0</v>
      </c>
      <c r="P149" s="134" t="n">
        <f aca="false">IF(IFERROR(INDEX(tsk_Name,GanttView[[#This Row],[_Row]])="",TRUE()),0,IF(AND(INDEX(tsk_IsLeaf,GanttView[[#This Row],[_Row]])=1,NOT(GanttView[[#This Row],[_IsMilestone]]),N(GanttView[[#This Row],[%]])&gt;0),GanttView[[#This Row],[Forecast Start]],0))</f>
        <v>0</v>
      </c>
      <c r="Q149" s="134" t="n">
        <f aca="false">IF(GanttView[[#This Row],[_DoneFrom]]=0,0,IF(GanttView[[#This Row],[%]]&gt;=1,GanttView[[#This Row],[Forecast Finish]],MAX(GanttView[[#This Row],[_DoneFrom]],GanttView[[#This Row],[Forecast Start]]+ROUND((GanttView[[#This Row],[Forecast Finish]]-GanttView[[#This Row],[Forecast Start]]+1)*GanttView[[#This Row],[%]],0)-1)))</f>
        <v>0</v>
      </c>
      <c r="R149" s="134" t="n">
        <f aca="false">IF(IFERROR(INDEX(tsk_Name,GanttView[[#This Row],[_Row]])="",TRUE()),0,IF(OR(INDEX(tsk_IsLeaf,GanttView[[#This Row],[_Row]])&lt;&gt;1,GanttView[[#This Row],[_IsMilestone]],N(GanttView[[#This Row],[%]])&gt;=1),0,IF(GanttView[[#This Row],[_DoneTo]]&gt;0,GanttView[[#This Row],[_DoneTo]]+1,GanttView[[#This Row],[Forecast Start]])))</f>
        <v>0</v>
      </c>
      <c r="S149" s="134" t="n">
        <f aca="false">IF(GanttView[[#This Row],[_RemFrom]]=0,0,GanttView[[#This Row],[Forecast Finish]])</f>
        <v>0</v>
      </c>
      <c r="T149" s="133" t="b">
        <f aca="false">IF(IFERROR(INDEX(tsk_Name,GanttView[[#This Row],[_Row]])="",TRUE()),FALSE(),N(INDEX(tsk_Variance,GanttView[[#This Row],[_Row]]))&gt;0)</f>
        <v>0</v>
      </c>
      <c r="U149" s="134" t="n">
        <f aca="false">IF(IFERROR(INDEX(tsk_Name,GanttView[[#This Row],[_Row]])="",TRUE()),0,N(INDEX(tsk_Deadline,GanttView[[#This Row],[_Row]])))</f>
        <v>0</v>
      </c>
      <c r="V149" s="133" t="b">
        <f aca="false">IF(IFERROR(INDEX(tsk_Name,GanttView[[#This Row],[_Row]])="",TRUE()),FALSE(),INDEX(tsk_Critical,GanttView[[#This Row],[_Row]])="Yes")</f>
        <v>0</v>
      </c>
    </row>
    <row r="150" customFormat="false" ht="15" hidden="false" customHeight="false" outlineLevel="0" collapsed="false">
      <c r="A150" s="127" t="str">
        <f aca="false">IF(IFERROR(INDEX(tsk_Name,GanttView[[#This Row],[_Row]])="",TRUE()),"",INDEX(tsk_ID,GanttView[[#This Row],[_Row]]))</f>
        <v/>
      </c>
      <c r="B150" s="127" t="str">
        <f aca="false">IF(IFERROR(INDEX(tsk_Name,GanttView[[#This Row],[_Row]])="",TRUE()),"",INDEX(tsk_WBS,GanttView[[#This Row],[_Row]]))</f>
        <v/>
      </c>
      <c r="C150" s="128" t="str">
        <f aca="false">IF(IFERROR(INDEX(tsk_Name,GanttView[[#This Row],[_Row]])="",TRUE()),"",REPT("    ",INDEX(tsk_Level,GanttView[[#This Row],[_Row]])-1)&amp;INDEX(tsk_Name,GanttView[[#This Row],[_Row]]))</f>
        <v/>
      </c>
      <c r="D150" s="127" t="str">
        <f aca="false">IF(IFERROR(INDEX(tsk_Name,GanttView[[#This Row],[_Row]])="",TRUE()),"",IF(INDEX(tsk_IsSummary,GanttView[[#This Row],[_Row]]),NETWORKDAYS.INTL(INDEX(tsk_FcStart,GanttView[[#This Row],[_Row]]),INDEX(tsk_FcFinish,GanttView[[#This Row],[_Row]]),WorkWeek,Holidays),N(INDEX(tsk_Duration,GanttView[[#This Row],[_Row]]))))</f>
        <v/>
      </c>
      <c r="E150" s="129" t="str">
        <f aca="false">IF(IFERROR(INDEX(tsk_Name,GanttView[[#This Row],[_Row]])="",TRUE()),"",INDEX(tsk_PlanStart,GanttView[[#This Row],[_Row]]))</f>
        <v/>
      </c>
      <c r="F150" s="129" t="str">
        <f aca="false">IF(IFERROR(INDEX(tsk_Name,GanttView[[#This Row],[_Row]])="",TRUE()),"",INDEX(tsk_PlanFinish,GanttView[[#This Row],[_Row]]))</f>
        <v/>
      </c>
      <c r="G150" s="129" t="str">
        <f aca="false">IF(IFERROR(INDEX(tsk_Name,GanttView[[#This Row],[_Row]])="",TRUE()),"",INDEX(tsk_FcStart,GanttView[[#This Row],[_Row]]))</f>
        <v/>
      </c>
      <c r="H150" s="129" t="str">
        <f aca="false">IF(IFERROR(INDEX(tsk_Name,GanttView[[#This Row],[_Row]])="",TRUE()),"",INDEX(tsk_FcFinish,GanttView[[#This Row],[_Row]]))</f>
        <v/>
      </c>
      <c r="I150" s="130" t="str">
        <f aca="false">IF(IFERROR(INDEX(tsk_Name,GanttView[[#This Row],[_Row]])="",TRUE()),"",INDEX(tsk_Progress,GanttView[[#This Row],[_Row]]))</f>
        <v/>
      </c>
      <c r="J150" s="128" t="str">
        <f aca="false">IF(IFERROR(INDEX(tsk_Name,GanttView[[#This Row],[_Row]])="",TRUE()),"",INDEX(tsk_ResourceNames,GanttView[[#This Row],[_Row]])&amp;"")</f>
        <v/>
      </c>
      <c r="K150" s="131" t="str">
        <f aca="false">IF(IFERROR(INDEX(tsk_Name,GanttView[[#This Row],[_Row]])="",TRUE()),"",INDEX(tsk_Status,GanttView[[#This Row],[_Row]]))</f>
        <v/>
      </c>
      <c r="L150" s="131" t="str">
        <f aca="false">IF(IFERROR(INDEX(tsk_Name,GanttView[[#This Row],[_Row]])="",TRUE()),"",INDEX(tsk_Show,GanttView[[#This Row],[_Row]])&amp;"")</f>
        <v/>
      </c>
      <c r="M150" s="132" t="n">
        <f aca="false">ROW()-ROW(GanttView[[#Headers],[ID]])</f>
        <v>145</v>
      </c>
      <c r="N150" s="133" t="b">
        <f aca="false">IF(IFERROR(INDEX(tsk_Name,GanttView[[#This Row],[_Row]])="",TRUE()),FALSE(),INDEX(tsk_IsSummary,GanttView[[#This Row],[_Row]]))</f>
        <v>0</v>
      </c>
      <c r="O150" s="133" t="b">
        <f aca="false">IF(IFERROR(INDEX(tsk_Name,GanttView[[#This Row],[_Row]])="",TRUE()),FALSE(),AND(INDEX(tsk_IsLeaf,GanttView[[#This Row],[_Row]])=1,N(INDEX(tsk_Duration,GanttView[[#This Row],[_Row]]))=0))</f>
        <v>0</v>
      </c>
      <c r="P150" s="134" t="n">
        <f aca="false">IF(IFERROR(INDEX(tsk_Name,GanttView[[#This Row],[_Row]])="",TRUE()),0,IF(AND(INDEX(tsk_IsLeaf,GanttView[[#This Row],[_Row]])=1,NOT(GanttView[[#This Row],[_IsMilestone]]),N(GanttView[[#This Row],[%]])&gt;0),GanttView[[#This Row],[Forecast Start]],0))</f>
        <v>0</v>
      </c>
      <c r="Q150" s="134" t="n">
        <f aca="false">IF(GanttView[[#This Row],[_DoneFrom]]=0,0,IF(GanttView[[#This Row],[%]]&gt;=1,GanttView[[#This Row],[Forecast Finish]],MAX(GanttView[[#This Row],[_DoneFrom]],GanttView[[#This Row],[Forecast Start]]+ROUND((GanttView[[#This Row],[Forecast Finish]]-GanttView[[#This Row],[Forecast Start]]+1)*GanttView[[#This Row],[%]],0)-1)))</f>
        <v>0</v>
      </c>
      <c r="R150" s="134" t="n">
        <f aca="false">IF(IFERROR(INDEX(tsk_Name,GanttView[[#This Row],[_Row]])="",TRUE()),0,IF(OR(INDEX(tsk_IsLeaf,GanttView[[#This Row],[_Row]])&lt;&gt;1,GanttView[[#This Row],[_IsMilestone]],N(GanttView[[#This Row],[%]])&gt;=1),0,IF(GanttView[[#This Row],[_DoneTo]]&gt;0,GanttView[[#This Row],[_DoneTo]]+1,GanttView[[#This Row],[Forecast Start]])))</f>
        <v>0</v>
      </c>
      <c r="S150" s="134" t="n">
        <f aca="false">IF(GanttView[[#This Row],[_RemFrom]]=0,0,GanttView[[#This Row],[Forecast Finish]])</f>
        <v>0</v>
      </c>
      <c r="T150" s="133" t="b">
        <f aca="false">IF(IFERROR(INDEX(tsk_Name,GanttView[[#This Row],[_Row]])="",TRUE()),FALSE(),N(INDEX(tsk_Variance,GanttView[[#This Row],[_Row]]))&gt;0)</f>
        <v>0</v>
      </c>
      <c r="U150" s="134" t="n">
        <f aca="false">IF(IFERROR(INDEX(tsk_Name,GanttView[[#This Row],[_Row]])="",TRUE()),0,N(INDEX(tsk_Deadline,GanttView[[#This Row],[_Row]])))</f>
        <v>0</v>
      </c>
      <c r="V150" s="133" t="b">
        <f aca="false">IF(IFERROR(INDEX(tsk_Name,GanttView[[#This Row],[_Row]])="",TRUE()),FALSE(),INDEX(tsk_Critical,GanttView[[#This Row],[_Row]])="Yes")</f>
        <v>0</v>
      </c>
    </row>
    <row r="151" customFormat="false" ht="15" hidden="false" customHeight="false" outlineLevel="0" collapsed="false">
      <c r="A151" s="127" t="str">
        <f aca="false">IF(IFERROR(INDEX(tsk_Name,GanttView[[#This Row],[_Row]])="",TRUE()),"",INDEX(tsk_ID,GanttView[[#This Row],[_Row]]))</f>
        <v/>
      </c>
      <c r="B151" s="127" t="str">
        <f aca="false">IF(IFERROR(INDEX(tsk_Name,GanttView[[#This Row],[_Row]])="",TRUE()),"",INDEX(tsk_WBS,GanttView[[#This Row],[_Row]]))</f>
        <v/>
      </c>
      <c r="C151" s="128" t="str">
        <f aca="false">IF(IFERROR(INDEX(tsk_Name,GanttView[[#This Row],[_Row]])="",TRUE()),"",REPT("    ",INDEX(tsk_Level,GanttView[[#This Row],[_Row]])-1)&amp;INDEX(tsk_Name,GanttView[[#This Row],[_Row]]))</f>
        <v/>
      </c>
      <c r="D151" s="127" t="str">
        <f aca="false">IF(IFERROR(INDEX(tsk_Name,GanttView[[#This Row],[_Row]])="",TRUE()),"",IF(INDEX(tsk_IsSummary,GanttView[[#This Row],[_Row]]),NETWORKDAYS.INTL(INDEX(tsk_FcStart,GanttView[[#This Row],[_Row]]),INDEX(tsk_FcFinish,GanttView[[#This Row],[_Row]]),WorkWeek,Holidays),N(INDEX(tsk_Duration,GanttView[[#This Row],[_Row]]))))</f>
        <v/>
      </c>
      <c r="E151" s="129" t="str">
        <f aca="false">IF(IFERROR(INDEX(tsk_Name,GanttView[[#This Row],[_Row]])="",TRUE()),"",INDEX(tsk_PlanStart,GanttView[[#This Row],[_Row]]))</f>
        <v/>
      </c>
      <c r="F151" s="129" t="str">
        <f aca="false">IF(IFERROR(INDEX(tsk_Name,GanttView[[#This Row],[_Row]])="",TRUE()),"",INDEX(tsk_PlanFinish,GanttView[[#This Row],[_Row]]))</f>
        <v/>
      </c>
      <c r="G151" s="129" t="str">
        <f aca="false">IF(IFERROR(INDEX(tsk_Name,GanttView[[#This Row],[_Row]])="",TRUE()),"",INDEX(tsk_FcStart,GanttView[[#This Row],[_Row]]))</f>
        <v/>
      </c>
      <c r="H151" s="129" t="str">
        <f aca="false">IF(IFERROR(INDEX(tsk_Name,GanttView[[#This Row],[_Row]])="",TRUE()),"",INDEX(tsk_FcFinish,GanttView[[#This Row],[_Row]]))</f>
        <v/>
      </c>
      <c r="I151" s="130" t="str">
        <f aca="false">IF(IFERROR(INDEX(tsk_Name,GanttView[[#This Row],[_Row]])="",TRUE()),"",INDEX(tsk_Progress,GanttView[[#This Row],[_Row]]))</f>
        <v/>
      </c>
      <c r="J151" s="128" t="str">
        <f aca="false">IF(IFERROR(INDEX(tsk_Name,GanttView[[#This Row],[_Row]])="",TRUE()),"",INDEX(tsk_ResourceNames,GanttView[[#This Row],[_Row]])&amp;"")</f>
        <v/>
      </c>
      <c r="K151" s="131" t="str">
        <f aca="false">IF(IFERROR(INDEX(tsk_Name,GanttView[[#This Row],[_Row]])="",TRUE()),"",INDEX(tsk_Status,GanttView[[#This Row],[_Row]]))</f>
        <v/>
      </c>
      <c r="L151" s="131" t="str">
        <f aca="false">IF(IFERROR(INDEX(tsk_Name,GanttView[[#This Row],[_Row]])="",TRUE()),"",INDEX(tsk_Show,GanttView[[#This Row],[_Row]])&amp;"")</f>
        <v/>
      </c>
      <c r="M151" s="132" t="n">
        <f aca="false">ROW()-ROW(GanttView[[#Headers],[ID]])</f>
        <v>146</v>
      </c>
      <c r="N151" s="133" t="b">
        <f aca="false">IF(IFERROR(INDEX(tsk_Name,GanttView[[#This Row],[_Row]])="",TRUE()),FALSE(),INDEX(tsk_IsSummary,GanttView[[#This Row],[_Row]]))</f>
        <v>0</v>
      </c>
      <c r="O151" s="133" t="b">
        <f aca="false">IF(IFERROR(INDEX(tsk_Name,GanttView[[#This Row],[_Row]])="",TRUE()),FALSE(),AND(INDEX(tsk_IsLeaf,GanttView[[#This Row],[_Row]])=1,N(INDEX(tsk_Duration,GanttView[[#This Row],[_Row]]))=0))</f>
        <v>0</v>
      </c>
      <c r="P151" s="134" t="n">
        <f aca="false">IF(IFERROR(INDEX(tsk_Name,GanttView[[#This Row],[_Row]])="",TRUE()),0,IF(AND(INDEX(tsk_IsLeaf,GanttView[[#This Row],[_Row]])=1,NOT(GanttView[[#This Row],[_IsMilestone]]),N(GanttView[[#This Row],[%]])&gt;0),GanttView[[#This Row],[Forecast Start]],0))</f>
        <v>0</v>
      </c>
      <c r="Q151" s="134" t="n">
        <f aca="false">IF(GanttView[[#This Row],[_DoneFrom]]=0,0,IF(GanttView[[#This Row],[%]]&gt;=1,GanttView[[#This Row],[Forecast Finish]],MAX(GanttView[[#This Row],[_DoneFrom]],GanttView[[#This Row],[Forecast Start]]+ROUND((GanttView[[#This Row],[Forecast Finish]]-GanttView[[#This Row],[Forecast Start]]+1)*GanttView[[#This Row],[%]],0)-1)))</f>
        <v>0</v>
      </c>
      <c r="R151" s="134" t="n">
        <f aca="false">IF(IFERROR(INDEX(tsk_Name,GanttView[[#This Row],[_Row]])="",TRUE()),0,IF(OR(INDEX(tsk_IsLeaf,GanttView[[#This Row],[_Row]])&lt;&gt;1,GanttView[[#This Row],[_IsMilestone]],N(GanttView[[#This Row],[%]])&gt;=1),0,IF(GanttView[[#This Row],[_DoneTo]]&gt;0,GanttView[[#This Row],[_DoneTo]]+1,GanttView[[#This Row],[Forecast Start]])))</f>
        <v>0</v>
      </c>
      <c r="S151" s="134" t="n">
        <f aca="false">IF(GanttView[[#This Row],[_RemFrom]]=0,0,GanttView[[#This Row],[Forecast Finish]])</f>
        <v>0</v>
      </c>
      <c r="T151" s="133" t="b">
        <f aca="false">IF(IFERROR(INDEX(tsk_Name,GanttView[[#This Row],[_Row]])="",TRUE()),FALSE(),N(INDEX(tsk_Variance,GanttView[[#This Row],[_Row]]))&gt;0)</f>
        <v>0</v>
      </c>
      <c r="U151" s="134" t="n">
        <f aca="false">IF(IFERROR(INDEX(tsk_Name,GanttView[[#This Row],[_Row]])="",TRUE()),0,N(INDEX(tsk_Deadline,GanttView[[#This Row],[_Row]])))</f>
        <v>0</v>
      </c>
      <c r="V151" s="133" t="b">
        <f aca="false">IF(IFERROR(INDEX(tsk_Name,GanttView[[#This Row],[_Row]])="",TRUE()),FALSE(),INDEX(tsk_Critical,GanttView[[#This Row],[_Row]])="Yes")</f>
        <v>0</v>
      </c>
    </row>
    <row r="152" customFormat="false" ht="15" hidden="false" customHeight="false" outlineLevel="0" collapsed="false">
      <c r="A152" s="127" t="str">
        <f aca="false">IF(IFERROR(INDEX(tsk_Name,GanttView[[#This Row],[_Row]])="",TRUE()),"",INDEX(tsk_ID,GanttView[[#This Row],[_Row]]))</f>
        <v/>
      </c>
      <c r="B152" s="127" t="str">
        <f aca="false">IF(IFERROR(INDEX(tsk_Name,GanttView[[#This Row],[_Row]])="",TRUE()),"",INDEX(tsk_WBS,GanttView[[#This Row],[_Row]]))</f>
        <v/>
      </c>
      <c r="C152" s="128" t="str">
        <f aca="false">IF(IFERROR(INDEX(tsk_Name,GanttView[[#This Row],[_Row]])="",TRUE()),"",REPT("    ",INDEX(tsk_Level,GanttView[[#This Row],[_Row]])-1)&amp;INDEX(tsk_Name,GanttView[[#This Row],[_Row]]))</f>
        <v/>
      </c>
      <c r="D152" s="127" t="str">
        <f aca="false">IF(IFERROR(INDEX(tsk_Name,GanttView[[#This Row],[_Row]])="",TRUE()),"",IF(INDEX(tsk_IsSummary,GanttView[[#This Row],[_Row]]),NETWORKDAYS.INTL(INDEX(tsk_FcStart,GanttView[[#This Row],[_Row]]),INDEX(tsk_FcFinish,GanttView[[#This Row],[_Row]]),WorkWeek,Holidays),N(INDEX(tsk_Duration,GanttView[[#This Row],[_Row]]))))</f>
        <v/>
      </c>
      <c r="E152" s="129" t="str">
        <f aca="false">IF(IFERROR(INDEX(tsk_Name,GanttView[[#This Row],[_Row]])="",TRUE()),"",INDEX(tsk_PlanStart,GanttView[[#This Row],[_Row]]))</f>
        <v/>
      </c>
      <c r="F152" s="129" t="str">
        <f aca="false">IF(IFERROR(INDEX(tsk_Name,GanttView[[#This Row],[_Row]])="",TRUE()),"",INDEX(tsk_PlanFinish,GanttView[[#This Row],[_Row]]))</f>
        <v/>
      </c>
      <c r="G152" s="129" t="str">
        <f aca="false">IF(IFERROR(INDEX(tsk_Name,GanttView[[#This Row],[_Row]])="",TRUE()),"",INDEX(tsk_FcStart,GanttView[[#This Row],[_Row]]))</f>
        <v/>
      </c>
      <c r="H152" s="129" t="str">
        <f aca="false">IF(IFERROR(INDEX(tsk_Name,GanttView[[#This Row],[_Row]])="",TRUE()),"",INDEX(tsk_FcFinish,GanttView[[#This Row],[_Row]]))</f>
        <v/>
      </c>
      <c r="I152" s="130" t="str">
        <f aca="false">IF(IFERROR(INDEX(tsk_Name,GanttView[[#This Row],[_Row]])="",TRUE()),"",INDEX(tsk_Progress,GanttView[[#This Row],[_Row]]))</f>
        <v/>
      </c>
      <c r="J152" s="128" t="str">
        <f aca="false">IF(IFERROR(INDEX(tsk_Name,GanttView[[#This Row],[_Row]])="",TRUE()),"",INDEX(tsk_ResourceNames,GanttView[[#This Row],[_Row]])&amp;"")</f>
        <v/>
      </c>
      <c r="K152" s="131" t="str">
        <f aca="false">IF(IFERROR(INDEX(tsk_Name,GanttView[[#This Row],[_Row]])="",TRUE()),"",INDEX(tsk_Status,GanttView[[#This Row],[_Row]]))</f>
        <v/>
      </c>
      <c r="L152" s="131" t="str">
        <f aca="false">IF(IFERROR(INDEX(tsk_Name,GanttView[[#This Row],[_Row]])="",TRUE()),"",INDEX(tsk_Show,GanttView[[#This Row],[_Row]])&amp;"")</f>
        <v/>
      </c>
      <c r="M152" s="132" t="n">
        <f aca="false">ROW()-ROW(GanttView[[#Headers],[ID]])</f>
        <v>147</v>
      </c>
      <c r="N152" s="133" t="b">
        <f aca="false">IF(IFERROR(INDEX(tsk_Name,GanttView[[#This Row],[_Row]])="",TRUE()),FALSE(),INDEX(tsk_IsSummary,GanttView[[#This Row],[_Row]]))</f>
        <v>0</v>
      </c>
      <c r="O152" s="133" t="b">
        <f aca="false">IF(IFERROR(INDEX(tsk_Name,GanttView[[#This Row],[_Row]])="",TRUE()),FALSE(),AND(INDEX(tsk_IsLeaf,GanttView[[#This Row],[_Row]])=1,N(INDEX(tsk_Duration,GanttView[[#This Row],[_Row]]))=0))</f>
        <v>0</v>
      </c>
      <c r="P152" s="134" t="n">
        <f aca="false">IF(IFERROR(INDEX(tsk_Name,GanttView[[#This Row],[_Row]])="",TRUE()),0,IF(AND(INDEX(tsk_IsLeaf,GanttView[[#This Row],[_Row]])=1,NOT(GanttView[[#This Row],[_IsMilestone]]),N(GanttView[[#This Row],[%]])&gt;0),GanttView[[#This Row],[Forecast Start]],0))</f>
        <v>0</v>
      </c>
      <c r="Q152" s="134" t="n">
        <f aca="false">IF(GanttView[[#This Row],[_DoneFrom]]=0,0,IF(GanttView[[#This Row],[%]]&gt;=1,GanttView[[#This Row],[Forecast Finish]],MAX(GanttView[[#This Row],[_DoneFrom]],GanttView[[#This Row],[Forecast Start]]+ROUND((GanttView[[#This Row],[Forecast Finish]]-GanttView[[#This Row],[Forecast Start]]+1)*GanttView[[#This Row],[%]],0)-1)))</f>
        <v>0</v>
      </c>
      <c r="R152" s="134" t="n">
        <f aca="false">IF(IFERROR(INDEX(tsk_Name,GanttView[[#This Row],[_Row]])="",TRUE()),0,IF(OR(INDEX(tsk_IsLeaf,GanttView[[#This Row],[_Row]])&lt;&gt;1,GanttView[[#This Row],[_IsMilestone]],N(GanttView[[#This Row],[%]])&gt;=1),0,IF(GanttView[[#This Row],[_DoneTo]]&gt;0,GanttView[[#This Row],[_DoneTo]]+1,GanttView[[#This Row],[Forecast Start]])))</f>
        <v>0</v>
      </c>
      <c r="S152" s="134" t="n">
        <f aca="false">IF(GanttView[[#This Row],[_RemFrom]]=0,0,GanttView[[#This Row],[Forecast Finish]])</f>
        <v>0</v>
      </c>
      <c r="T152" s="133" t="b">
        <f aca="false">IF(IFERROR(INDEX(tsk_Name,GanttView[[#This Row],[_Row]])="",TRUE()),FALSE(),N(INDEX(tsk_Variance,GanttView[[#This Row],[_Row]]))&gt;0)</f>
        <v>0</v>
      </c>
      <c r="U152" s="134" t="n">
        <f aca="false">IF(IFERROR(INDEX(tsk_Name,GanttView[[#This Row],[_Row]])="",TRUE()),0,N(INDEX(tsk_Deadline,GanttView[[#This Row],[_Row]])))</f>
        <v>0</v>
      </c>
      <c r="V152" s="133" t="b">
        <f aca="false">IF(IFERROR(INDEX(tsk_Name,GanttView[[#This Row],[_Row]])="",TRUE()),FALSE(),INDEX(tsk_Critical,GanttView[[#This Row],[_Row]])="Yes")</f>
        <v>0</v>
      </c>
    </row>
    <row r="153" customFormat="false" ht="15" hidden="false" customHeight="false" outlineLevel="0" collapsed="false">
      <c r="A153" s="127" t="str">
        <f aca="false">IF(IFERROR(INDEX(tsk_Name,GanttView[[#This Row],[_Row]])="",TRUE()),"",INDEX(tsk_ID,GanttView[[#This Row],[_Row]]))</f>
        <v/>
      </c>
      <c r="B153" s="127" t="str">
        <f aca="false">IF(IFERROR(INDEX(tsk_Name,GanttView[[#This Row],[_Row]])="",TRUE()),"",INDEX(tsk_WBS,GanttView[[#This Row],[_Row]]))</f>
        <v/>
      </c>
      <c r="C153" s="128" t="str">
        <f aca="false">IF(IFERROR(INDEX(tsk_Name,GanttView[[#This Row],[_Row]])="",TRUE()),"",REPT("    ",INDEX(tsk_Level,GanttView[[#This Row],[_Row]])-1)&amp;INDEX(tsk_Name,GanttView[[#This Row],[_Row]]))</f>
        <v/>
      </c>
      <c r="D153" s="127" t="str">
        <f aca="false">IF(IFERROR(INDEX(tsk_Name,GanttView[[#This Row],[_Row]])="",TRUE()),"",IF(INDEX(tsk_IsSummary,GanttView[[#This Row],[_Row]]),NETWORKDAYS.INTL(INDEX(tsk_FcStart,GanttView[[#This Row],[_Row]]),INDEX(tsk_FcFinish,GanttView[[#This Row],[_Row]]),WorkWeek,Holidays),N(INDEX(tsk_Duration,GanttView[[#This Row],[_Row]]))))</f>
        <v/>
      </c>
      <c r="E153" s="129" t="str">
        <f aca="false">IF(IFERROR(INDEX(tsk_Name,GanttView[[#This Row],[_Row]])="",TRUE()),"",INDEX(tsk_PlanStart,GanttView[[#This Row],[_Row]]))</f>
        <v/>
      </c>
      <c r="F153" s="129" t="str">
        <f aca="false">IF(IFERROR(INDEX(tsk_Name,GanttView[[#This Row],[_Row]])="",TRUE()),"",INDEX(tsk_PlanFinish,GanttView[[#This Row],[_Row]]))</f>
        <v/>
      </c>
      <c r="G153" s="129" t="str">
        <f aca="false">IF(IFERROR(INDEX(tsk_Name,GanttView[[#This Row],[_Row]])="",TRUE()),"",INDEX(tsk_FcStart,GanttView[[#This Row],[_Row]]))</f>
        <v/>
      </c>
      <c r="H153" s="129" t="str">
        <f aca="false">IF(IFERROR(INDEX(tsk_Name,GanttView[[#This Row],[_Row]])="",TRUE()),"",INDEX(tsk_FcFinish,GanttView[[#This Row],[_Row]]))</f>
        <v/>
      </c>
      <c r="I153" s="130" t="str">
        <f aca="false">IF(IFERROR(INDEX(tsk_Name,GanttView[[#This Row],[_Row]])="",TRUE()),"",INDEX(tsk_Progress,GanttView[[#This Row],[_Row]]))</f>
        <v/>
      </c>
      <c r="J153" s="128" t="str">
        <f aca="false">IF(IFERROR(INDEX(tsk_Name,GanttView[[#This Row],[_Row]])="",TRUE()),"",INDEX(tsk_ResourceNames,GanttView[[#This Row],[_Row]])&amp;"")</f>
        <v/>
      </c>
      <c r="K153" s="131" t="str">
        <f aca="false">IF(IFERROR(INDEX(tsk_Name,GanttView[[#This Row],[_Row]])="",TRUE()),"",INDEX(tsk_Status,GanttView[[#This Row],[_Row]]))</f>
        <v/>
      </c>
      <c r="L153" s="131" t="str">
        <f aca="false">IF(IFERROR(INDEX(tsk_Name,GanttView[[#This Row],[_Row]])="",TRUE()),"",INDEX(tsk_Show,GanttView[[#This Row],[_Row]])&amp;"")</f>
        <v/>
      </c>
      <c r="M153" s="132" t="n">
        <f aca="false">ROW()-ROW(GanttView[[#Headers],[ID]])</f>
        <v>148</v>
      </c>
      <c r="N153" s="133" t="b">
        <f aca="false">IF(IFERROR(INDEX(tsk_Name,GanttView[[#This Row],[_Row]])="",TRUE()),FALSE(),INDEX(tsk_IsSummary,GanttView[[#This Row],[_Row]]))</f>
        <v>0</v>
      </c>
      <c r="O153" s="133" t="b">
        <f aca="false">IF(IFERROR(INDEX(tsk_Name,GanttView[[#This Row],[_Row]])="",TRUE()),FALSE(),AND(INDEX(tsk_IsLeaf,GanttView[[#This Row],[_Row]])=1,N(INDEX(tsk_Duration,GanttView[[#This Row],[_Row]]))=0))</f>
        <v>0</v>
      </c>
      <c r="P153" s="134" t="n">
        <f aca="false">IF(IFERROR(INDEX(tsk_Name,GanttView[[#This Row],[_Row]])="",TRUE()),0,IF(AND(INDEX(tsk_IsLeaf,GanttView[[#This Row],[_Row]])=1,NOT(GanttView[[#This Row],[_IsMilestone]]),N(GanttView[[#This Row],[%]])&gt;0),GanttView[[#This Row],[Forecast Start]],0))</f>
        <v>0</v>
      </c>
      <c r="Q153" s="134" t="n">
        <f aca="false">IF(GanttView[[#This Row],[_DoneFrom]]=0,0,IF(GanttView[[#This Row],[%]]&gt;=1,GanttView[[#This Row],[Forecast Finish]],MAX(GanttView[[#This Row],[_DoneFrom]],GanttView[[#This Row],[Forecast Start]]+ROUND((GanttView[[#This Row],[Forecast Finish]]-GanttView[[#This Row],[Forecast Start]]+1)*GanttView[[#This Row],[%]],0)-1)))</f>
        <v>0</v>
      </c>
      <c r="R153" s="134" t="n">
        <f aca="false">IF(IFERROR(INDEX(tsk_Name,GanttView[[#This Row],[_Row]])="",TRUE()),0,IF(OR(INDEX(tsk_IsLeaf,GanttView[[#This Row],[_Row]])&lt;&gt;1,GanttView[[#This Row],[_IsMilestone]],N(GanttView[[#This Row],[%]])&gt;=1),0,IF(GanttView[[#This Row],[_DoneTo]]&gt;0,GanttView[[#This Row],[_DoneTo]]+1,GanttView[[#This Row],[Forecast Start]])))</f>
        <v>0</v>
      </c>
      <c r="S153" s="134" t="n">
        <f aca="false">IF(GanttView[[#This Row],[_RemFrom]]=0,0,GanttView[[#This Row],[Forecast Finish]])</f>
        <v>0</v>
      </c>
      <c r="T153" s="133" t="b">
        <f aca="false">IF(IFERROR(INDEX(tsk_Name,GanttView[[#This Row],[_Row]])="",TRUE()),FALSE(),N(INDEX(tsk_Variance,GanttView[[#This Row],[_Row]]))&gt;0)</f>
        <v>0</v>
      </c>
      <c r="U153" s="134" t="n">
        <f aca="false">IF(IFERROR(INDEX(tsk_Name,GanttView[[#This Row],[_Row]])="",TRUE()),0,N(INDEX(tsk_Deadline,GanttView[[#This Row],[_Row]])))</f>
        <v>0</v>
      </c>
      <c r="V153" s="133" t="b">
        <f aca="false">IF(IFERROR(INDEX(tsk_Name,GanttView[[#This Row],[_Row]])="",TRUE()),FALSE(),INDEX(tsk_Critical,GanttView[[#This Row],[_Row]])="Yes")</f>
        <v>0</v>
      </c>
    </row>
    <row r="154" customFormat="false" ht="15" hidden="false" customHeight="false" outlineLevel="0" collapsed="false">
      <c r="A154" s="127" t="str">
        <f aca="false">IF(IFERROR(INDEX(tsk_Name,GanttView[[#This Row],[_Row]])="",TRUE()),"",INDEX(tsk_ID,GanttView[[#This Row],[_Row]]))</f>
        <v/>
      </c>
      <c r="B154" s="127" t="str">
        <f aca="false">IF(IFERROR(INDEX(tsk_Name,GanttView[[#This Row],[_Row]])="",TRUE()),"",INDEX(tsk_WBS,GanttView[[#This Row],[_Row]]))</f>
        <v/>
      </c>
      <c r="C154" s="128" t="str">
        <f aca="false">IF(IFERROR(INDEX(tsk_Name,GanttView[[#This Row],[_Row]])="",TRUE()),"",REPT("    ",INDEX(tsk_Level,GanttView[[#This Row],[_Row]])-1)&amp;INDEX(tsk_Name,GanttView[[#This Row],[_Row]]))</f>
        <v/>
      </c>
      <c r="D154" s="127" t="str">
        <f aca="false">IF(IFERROR(INDEX(tsk_Name,GanttView[[#This Row],[_Row]])="",TRUE()),"",IF(INDEX(tsk_IsSummary,GanttView[[#This Row],[_Row]]),NETWORKDAYS.INTL(INDEX(tsk_FcStart,GanttView[[#This Row],[_Row]]),INDEX(tsk_FcFinish,GanttView[[#This Row],[_Row]]),WorkWeek,Holidays),N(INDEX(tsk_Duration,GanttView[[#This Row],[_Row]]))))</f>
        <v/>
      </c>
      <c r="E154" s="129" t="str">
        <f aca="false">IF(IFERROR(INDEX(tsk_Name,GanttView[[#This Row],[_Row]])="",TRUE()),"",INDEX(tsk_PlanStart,GanttView[[#This Row],[_Row]]))</f>
        <v/>
      </c>
      <c r="F154" s="129" t="str">
        <f aca="false">IF(IFERROR(INDEX(tsk_Name,GanttView[[#This Row],[_Row]])="",TRUE()),"",INDEX(tsk_PlanFinish,GanttView[[#This Row],[_Row]]))</f>
        <v/>
      </c>
      <c r="G154" s="129" t="str">
        <f aca="false">IF(IFERROR(INDEX(tsk_Name,GanttView[[#This Row],[_Row]])="",TRUE()),"",INDEX(tsk_FcStart,GanttView[[#This Row],[_Row]]))</f>
        <v/>
      </c>
      <c r="H154" s="129" t="str">
        <f aca="false">IF(IFERROR(INDEX(tsk_Name,GanttView[[#This Row],[_Row]])="",TRUE()),"",INDEX(tsk_FcFinish,GanttView[[#This Row],[_Row]]))</f>
        <v/>
      </c>
      <c r="I154" s="130" t="str">
        <f aca="false">IF(IFERROR(INDEX(tsk_Name,GanttView[[#This Row],[_Row]])="",TRUE()),"",INDEX(tsk_Progress,GanttView[[#This Row],[_Row]]))</f>
        <v/>
      </c>
      <c r="J154" s="128" t="str">
        <f aca="false">IF(IFERROR(INDEX(tsk_Name,GanttView[[#This Row],[_Row]])="",TRUE()),"",INDEX(tsk_ResourceNames,GanttView[[#This Row],[_Row]])&amp;"")</f>
        <v/>
      </c>
      <c r="K154" s="131" t="str">
        <f aca="false">IF(IFERROR(INDEX(tsk_Name,GanttView[[#This Row],[_Row]])="",TRUE()),"",INDEX(tsk_Status,GanttView[[#This Row],[_Row]]))</f>
        <v/>
      </c>
      <c r="L154" s="131" t="str">
        <f aca="false">IF(IFERROR(INDEX(tsk_Name,GanttView[[#This Row],[_Row]])="",TRUE()),"",INDEX(tsk_Show,GanttView[[#This Row],[_Row]])&amp;"")</f>
        <v/>
      </c>
      <c r="M154" s="132" t="n">
        <f aca="false">ROW()-ROW(GanttView[[#Headers],[ID]])</f>
        <v>149</v>
      </c>
      <c r="N154" s="133" t="b">
        <f aca="false">IF(IFERROR(INDEX(tsk_Name,GanttView[[#This Row],[_Row]])="",TRUE()),FALSE(),INDEX(tsk_IsSummary,GanttView[[#This Row],[_Row]]))</f>
        <v>0</v>
      </c>
      <c r="O154" s="133" t="b">
        <f aca="false">IF(IFERROR(INDEX(tsk_Name,GanttView[[#This Row],[_Row]])="",TRUE()),FALSE(),AND(INDEX(tsk_IsLeaf,GanttView[[#This Row],[_Row]])=1,N(INDEX(tsk_Duration,GanttView[[#This Row],[_Row]]))=0))</f>
        <v>0</v>
      </c>
      <c r="P154" s="134" t="n">
        <f aca="false">IF(IFERROR(INDEX(tsk_Name,GanttView[[#This Row],[_Row]])="",TRUE()),0,IF(AND(INDEX(tsk_IsLeaf,GanttView[[#This Row],[_Row]])=1,NOT(GanttView[[#This Row],[_IsMilestone]]),N(GanttView[[#This Row],[%]])&gt;0),GanttView[[#This Row],[Forecast Start]],0))</f>
        <v>0</v>
      </c>
      <c r="Q154" s="134" t="n">
        <f aca="false">IF(GanttView[[#This Row],[_DoneFrom]]=0,0,IF(GanttView[[#This Row],[%]]&gt;=1,GanttView[[#This Row],[Forecast Finish]],MAX(GanttView[[#This Row],[_DoneFrom]],GanttView[[#This Row],[Forecast Start]]+ROUND((GanttView[[#This Row],[Forecast Finish]]-GanttView[[#This Row],[Forecast Start]]+1)*GanttView[[#This Row],[%]],0)-1)))</f>
        <v>0</v>
      </c>
      <c r="R154" s="134" t="n">
        <f aca="false">IF(IFERROR(INDEX(tsk_Name,GanttView[[#This Row],[_Row]])="",TRUE()),0,IF(OR(INDEX(tsk_IsLeaf,GanttView[[#This Row],[_Row]])&lt;&gt;1,GanttView[[#This Row],[_IsMilestone]],N(GanttView[[#This Row],[%]])&gt;=1),0,IF(GanttView[[#This Row],[_DoneTo]]&gt;0,GanttView[[#This Row],[_DoneTo]]+1,GanttView[[#This Row],[Forecast Start]])))</f>
        <v>0</v>
      </c>
      <c r="S154" s="134" t="n">
        <f aca="false">IF(GanttView[[#This Row],[_RemFrom]]=0,0,GanttView[[#This Row],[Forecast Finish]])</f>
        <v>0</v>
      </c>
      <c r="T154" s="133" t="b">
        <f aca="false">IF(IFERROR(INDEX(tsk_Name,GanttView[[#This Row],[_Row]])="",TRUE()),FALSE(),N(INDEX(tsk_Variance,GanttView[[#This Row],[_Row]]))&gt;0)</f>
        <v>0</v>
      </c>
      <c r="U154" s="134" t="n">
        <f aca="false">IF(IFERROR(INDEX(tsk_Name,GanttView[[#This Row],[_Row]])="",TRUE()),0,N(INDEX(tsk_Deadline,GanttView[[#This Row],[_Row]])))</f>
        <v>0</v>
      </c>
      <c r="V154" s="133" t="b">
        <f aca="false">IF(IFERROR(INDEX(tsk_Name,GanttView[[#This Row],[_Row]])="",TRUE()),FALSE(),INDEX(tsk_Critical,GanttView[[#This Row],[_Row]])="Yes")</f>
        <v>0</v>
      </c>
    </row>
    <row r="155" customFormat="false" ht="15" hidden="false" customHeight="false" outlineLevel="0" collapsed="false">
      <c r="A155" s="127" t="str">
        <f aca="false">IF(IFERROR(INDEX(tsk_Name,GanttView[[#This Row],[_Row]])="",TRUE()),"",INDEX(tsk_ID,GanttView[[#This Row],[_Row]]))</f>
        <v/>
      </c>
      <c r="B155" s="127" t="str">
        <f aca="false">IF(IFERROR(INDEX(tsk_Name,GanttView[[#This Row],[_Row]])="",TRUE()),"",INDEX(tsk_WBS,GanttView[[#This Row],[_Row]]))</f>
        <v/>
      </c>
      <c r="C155" s="128" t="str">
        <f aca="false">IF(IFERROR(INDEX(tsk_Name,GanttView[[#This Row],[_Row]])="",TRUE()),"",REPT("    ",INDEX(tsk_Level,GanttView[[#This Row],[_Row]])-1)&amp;INDEX(tsk_Name,GanttView[[#This Row],[_Row]]))</f>
        <v/>
      </c>
      <c r="D155" s="127" t="str">
        <f aca="false">IF(IFERROR(INDEX(tsk_Name,GanttView[[#This Row],[_Row]])="",TRUE()),"",IF(INDEX(tsk_IsSummary,GanttView[[#This Row],[_Row]]),NETWORKDAYS.INTL(INDEX(tsk_FcStart,GanttView[[#This Row],[_Row]]),INDEX(tsk_FcFinish,GanttView[[#This Row],[_Row]]),WorkWeek,Holidays),N(INDEX(tsk_Duration,GanttView[[#This Row],[_Row]]))))</f>
        <v/>
      </c>
      <c r="E155" s="129" t="str">
        <f aca="false">IF(IFERROR(INDEX(tsk_Name,GanttView[[#This Row],[_Row]])="",TRUE()),"",INDEX(tsk_PlanStart,GanttView[[#This Row],[_Row]]))</f>
        <v/>
      </c>
      <c r="F155" s="129" t="str">
        <f aca="false">IF(IFERROR(INDEX(tsk_Name,GanttView[[#This Row],[_Row]])="",TRUE()),"",INDEX(tsk_PlanFinish,GanttView[[#This Row],[_Row]]))</f>
        <v/>
      </c>
      <c r="G155" s="129" t="str">
        <f aca="false">IF(IFERROR(INDEX(tsk_Name,GanttView[[#This Row],[_Row]])="",TRUE()),"",INDEX(tsk_FcStart,GanttView[[#This Row],[_Row]]))</f>
        <v/>
      </c>
      <c r="H155" s="129" t="str">
        <f aca="false">IF(IFERROR(INDEX(tsk_Name,GanttView[[#This Row],[_Row]])="",TRUE()),"",INDEX(tsk_FcFinish,GanttView[[#This Row],[_Row]]))</f>
        <v/>
      </c>
      <c r="I155" s="130" t="str">
        <f aca="false">IF(IFERROR(INDEX(tsk_Name,GanttView[[#This Row],[_Row]])="",TRUE()),"",INDEX(tsk_Progress,GanttView[[#This Row],[_Row]]))</f>
        <v/>
      </c>
      <c r="J155" s="128" t="str">
        <f aca="false">IF(IFERROR(INDEX(tsk_Name,GanttView[[#This Row],[_Row]])="",TRUE()),"",INDEX(tsk_ResourceNames,GanttView[[#This Row],[_Row]])&amp;"")</f>
        <v/>
      </c>
      <c r="K155" s="131" t="str">
        <f aca="false">IF(IFERROR(INDEX(tsk_Name,GanttView[[#This Row],[_Row]])="",TRUE()),"",INDEX(tsk_Status,GanttView[[#This Row],[_Row]]))</f>
        <v/>
      </c>
      <c r="L155" s="131" t="str">
        <f aca="false">IF(IFERROR(INDEX(tsk_Name,GanttView[[#This Row],[_Row]])="",TRUE()),"",INDEX(tsk_Show,GanttView[[#This Row],[_Row]])&amp;"")</f>
        <v/>
      </c>
      <c r="M155" s="132" t="n">
        <f aca="false">ROW()-ROW(GanttView[[#Headers],[ID]])</f>
        <v>150</v>
      </c>
      <c r="N155" s="133" t="b">
        <f aca="false">IF(IFERROR(INDEX(tsk_Name,GanttView[[#This Row],[_Row]])="",TRUE()),FALSE(),INDEX(tsk_IsSummary,GanttView[[#This Row],[_Row]]))</f>
        <v>0</v>
      </c>
      <c r="O155" s="133" t="b">
        <f aca="false">IF(IFERROR(INDEX(tsk_Name,GanttView[[#This Row],[_Row]])="",TRUE()),FALSE(),AND(INDEX(tsk_IsLeaf,GanttView[[#This Row],[_Row]])=1,N(INDEX(tsk_Duration,GanttView[[#This Row],[_Row]]))=0))</f>
        <v>0</v>
      </c>
      <c r="P155" s="134" t="n">
        <f aca="false">IF(IFERROR(INDEX(tsk_Name,GanttView[[#This Row],[_Row]])="",TRUE()),0,IF(AND(INDEX(tsk_IsLeaf,GanttView[[#This Row],[_Row]])=1,NOT(GanttView[[#This Row],[_IsMilestone]]),N(GanttView[[#This Row],[%]])&gt;0),GanttView[[#This Row],[Forecast Start]],0))</f>
        <v>0</v>
      </c>
      <c r="Q155" s="134" t="n">
        <f aca="false">IF(GanttView[[#This Row],[_DoneFrom]]=0,0,IF(GanttView[[#This Row],[%]]&gt;=1,GanttView[[#This Row],[Forecast Finish]],MAX(GanttView[[#This Row],[_DoneFrom]],GanttView[[#This Row],[Forecast Start]]+ROUND((GanttView[[#This Row],[Forecast Finish]]-GanttView[[#This Row],[Forecast Start]]+1)*GanttView[[#This Row],[%]],0)-1)))</f>
        <v>0</v>
      </c>
      <c r="R155" s="134" t="n">
        <f aca="false">IF(IFERROR(INDEX(tsk_Name,GanttView[[#This Row],[_Row]])="",TRUE()),0,IF(OR(INDEX(tsk_IsLeaf,GanttView[[#This Row],[_Row]])&lt;&gt;1,GanttView[[#This Row],[_IsMilestone]],N(GanttView[[#This Row],[%]])&gt;=1),0,IF(GanttView[[#This Row],[_DoneTo]]&gt;0,GanttView[[#This Row],[_DoneTo]]+1,GanttView[[#This Row],[Forecast Start]])))</f>
        <v>0</v>
      </c>
      <c r="S155" s="134" t="n">
        <f aca="false">IF(GanttView[[#This Row],[_RemFrom]]=0,0,GanttView[[#This Row],[Forecast Finish]])</f>
        <v>0</v>
      </c>
      <c r="T155" s="133" t="b">
        <f aca="false">IF(IFERROR(INDEX(tsk_Name,GanttView[[#This Row],[_Row]])="",TRUE()),FALSE(),N(INDEX(tsk_Variance,GanttView[[#This Row],[_Row]]))&gt;0)</f>
        <v>0</v>
      </c>
      <c r="U155" s="134" t="n">
        <f aca="false">IF(IFERROR(INDEX(tsk_Name,GanttView[[#This Row],[_Row]])="",TRUE()),0,N(INDEX(tsk_Deadline,GanttView[[#This Row],[_Row]])))</f>
        <v>0</v>
      </c>
      <c r="V155" s="133" t="b">
        <f aca="false">IF(IFERROR(INDEX(tsk_Name,GanttView[[#This Row],[_Row]])="",TRUE()),FALSE(),INDEX(tsk_Critical,GanttView[[#This Row],[_Row]])="Yes")</f>
        <v>0</v>
      </c>
    </row>
    <row r="156" customFormat="false" ht="15" hidden="false" customHeight="false" outlineLevel="0" collapsed="false">
      <c r="A156" s="127" t="str">
        <f aca="false">IF(IFERROR(INDEX(tsk_Name,GanttView[[#This Row],[_Row]])="",TRUE()),"",INDEX(tsk_ID,GanttView[[#This Row],[_Row]]))</f>
        <v/>
      </c>
      <c r="B156" s="127" t="str">
        <f aca="false">IF(IFERROR(INDEX(tsk_Name,GanttView[[#This Row],[_Row]])="",TRUE()),"",INDEX(tsk_WBS,GanttView[[#This Row],[_Row]]))</f>
        <v/>
      </c>
      <c r="C156" s="128" t="str">
        <f aca="false">IF(IFERROR(INDEX(tsk_Name,GanttView[[#This Row],[_Row]])="",TRUE()),"",REPT("    ",INDEX(tsk_Level,GanttView[[#This Row],[_Row]])-1)&amp;INDEX(tsk_Name,GanttView[[#This Row],[_Row]]))</f>
        <v/>
      </c>
      <c r="D156" s="127" t="str">
        <f aca="false">IF(IFERROR(INDEX(tsk_Name,GanttView[[#This Row],[_Row]])="",TRUE()),"",IF(INDEX(tsk_IsSummary,GanttView[[#This Row],[_Row]]),NETWORKDAYS.INTL(INDEX(tsk_FcStart,GanttView[[#This Row],[_Row]]),INDEX(tsk_FcFinish,GanttView[[#This Row],[_Row]]),WorkWeek,Holidays),N(INDEX(tsk_Duration,GanttView[[#This Row],[_Row]]))))</f>
        <v/>
      </c>
      <c r="E156" s="129" t="str">
        <f aca="false">IF(IFERROR(INDEX(tsk_Name,GanttView[[#This Row],[_Row]])="",TRUE()),"",INDEX(tsk_PlanStart,GanttView[[#This Row],[_Row]]))</f>
        <v/>
      </c>
      <c r="F156" s="129" t="str">
        <f aca="false">IF(IFERROR(INDEX(tsk_Name,GanttView[[#This Row],[_Row]])="",TRUE()),"",INDEX(tsk_PlanFinish,GanttView[[#This Row],[_Row]]))</f>
        <v/>
      </c>
      <c r="G156" s="129" t="str">
        <f aca="false">IF(IFERROR(INDEX(tsk_Name,GanttView[[#This Row],[_Row]])="",TRUE()),"",INDEX(tsk_FcStart,GanttView[[#This Row],[_Row]]))</f>
        <v/>
      </c>
      <c r="H156" s="129" t="str">
        <f aca="false">IF(IFERROR(INDEX(tsk_Name,GanttView[[#This Row],[_Row]])="",TRUE()),"",INDEX(tsk_FcFinish,GanttView[[#This Row],[_Row]]))</f>
        <v/>
      </c>
      <c r="I156" s="130" t="str">
        <f aca="false">IF(IFERROR(INDEX(tsk_Name,GanttView[[#This Row],[_Row]])="",TRUE()),"",INDEX(tsk_Progress,GanttView[[#This Row],[_Row]]))</f>
        <v/>
      </c>
      <c r="J156" s="128" t="str">
        <f aca="false">IF(IFERROR(INDEX(tsk_Name,GanttView[[#This Row],[_Row]])="",TRUE()),"",INDEX(tsk_ResourceNames,GanttView[[#This Row],[_Row]])&amp;"")</f>
        <v/>
      </c>
      <c r="K156" s="131" t="str">
        <f aca="false">IF(IFERROR(INDEX(tsk_Name,GanttView[[#This Row],[_Row]])="",TRUE()),"",INDEX(tsk_Status,GanttView[[#This Row],[_Row]]))</f>
        <v/>
      </c>
      <c r="L156" s="131" t="str">
        <f aca="false">IF(IFERROR(INDEX(tsk_Name,GanttView[[#This Row],[_Row]])="",TRUE()),"",INDEX(tsk_Show,GanttView[[#This Row],[_Row]])&amp;"")</f>
        <v/>
      </c>
      <c r="M156" s="132" t="n">
        <f aca="false">ROW()-ROW(GanttView[[#Headers],[ID]])</f>
        <v>151</v>
      </c>
      <c r="N156" s="133" t="b">
        <f aca="false">IF(IFERROR(INDEX(tsk_Name,GanttView[[#This Row],[_Row]])="",TRUE()),FALSE(),INDEX(tsk_IsSummary,GanttView[[#This Row],[_Row]]))</f>
        <v>0</v>
      </c>
      <c r="O156" s="133" t="b">
        <f aca="false">IF(IFERROR(INDEX(tsk_Name,GanttView[[#This Row],[_Row]])="",TRUE()),FALSE(),AND(INDEX(tsk_IsLeaf,GanttView[[#This Row],[_Row]])=1,N(INDEX(tsk_Duration,GanttView[[#This Row],[_Row]]))=0))</f>
        <v>0</v>
      </c>
      <c r="P156" s="134" t="n">
        <f aca="false">IF(IFERROR(INDEX(tsk_Name,GanttView[[#This Row],[_Row]])="",TRUE()),0,IF(AND(INDEX(tsk_IsLeaf,GanttView[[#This Row],[_Row]])=1,NOT(GanttView[[#This Row],[_IsMilestone]]),N(GanttView[[#This Row],[%]])&gt;0),GanttView[[#This Row],[Forecast Start]],0))</f>
        <v>0</v>
      </c>
      <c r="Q156" s="134" t="n">
        <f aca="false">IF(GanttView[[#This Row],[_DoneFrom]]=0,0,IF(GanttView[[#This Row],[%]]&gt;=1,GanttView[[#This Row],[Forecast Finish]],MAX(GanttView[[#This Row],[_DoneFrom]],GanttView[[#This Row],[Forecast Start]]+ROUND((GanttView[[#This Row],[Forecast Finish]]-GanttView[[#This Row],[Forecast Start]]+1)*GanttView[[#This Row],[%]],0)-1)))</f>
        <v>0</v>
      </c>
      <c r="R156" s="134" t="n">
        <f aca="false">IF(IFERROR(INDEX(tsk_Name,GanttView[[#This Row],[_Row]])="",TRUE()),0,IF(OR(INDEX(tsk_IsLeaf,GanttView[[#This Row],[_Row]])&lt;&gt;1,GanttView[[#This Row],[_IsMilestone]],N(GanttView[[#This Row],[%]])&gt;=1),0,IF(GanttView[[#This Row],[_DoneTo]]&gt;0,GanttView[[#This Row],[_DoneTo]]+1,GanttView[[#This Row],[Forecast Start]])))</f>
        <v>0</v>
      </c>
      <c r="S156" s="134" t="n">
        <f aca="false">IF(GanttView[[#This Row],[_RemFrom]]=0,0,GanttView[[#This Row],[Forecast Finish]])</f>
        <v>0</v>
      </c>
      <c r="T156" s="133" t="b">
        <f aca="false">IF(IFERROR(INDEX(tsk_Name,GanttView[[#This Row],[_Row]])="",TRUE()),FALSE(),N(INDEX(tsk_Variance,GanttView[[#This Row],[_Row]]))&gt;0)</f>
        <v>0</v>
      </c>
      <c r="U156" s="134" t="n">
        <f aca="false">IF(IFERROR(INDEX(tsk_Name,GanttView[[#This Row],[_Row]])="",TRUE()),0,N(INDEX(tsk_Deadline,GanttView[[#This Row],[_Row]])))</f>
        <v>0</v>
      </c>
      <c r="V156" s="133" t="b">
        <f aca="false">IF(IFERROR(INDEX(tsk_Name,GanttView[[#This Row],[_Row]])="",TRUE()),FALSE(),INDEX(tsk_Critical,GanttView[[#This Row],[_Row]])="Yes")</f>
        <v>0</v>
      </c>
    </row>
    <row r="157" customFormat="false" ht="15" hidden="false" customHeight="false" outlineLevel="0" collapsed="false">
      <c r="A157" s="127" t="str">
        <f aca="false">IF(IFERROR(INDEX(tsk_Name,GanttView[[#This Row],[_Row]])="",TRUE()),"",INDEX(tsk_ID,GanttView[[#This Row],[_Row]]))</f>
        <v/>
      </c>
      <c r="B157" s="127" t="str">
        <f aca="false">IF(IFERROR(INDEX(tsk_Name,GanttView[[#This Row],[_Row]])="",TRUE()),"",INDEX(tsk_WBS,GanttView[[#This Row],[_Row]]))</f>
        <v/>
      </c>
      <c r="C157" s="128" t="str">
        <f aca="false">IF(IFERROR(INDEX(tsk_Name,GanttView[[#This Row],[_Row]])="",TRUE()),"",REPT("    ",INDEX(tsk_Level,GanttView[[#This Row],[_Row]])-1)&amp;INDEX(tsk_Name,GanttView[[#This Row],[_Row]]))</f>
        <v/>
      </c>
      <c r="D157" s="127" t="str">
        <f aca="false">IF(IFERROR(INDEX(tsk_Name,GanttView[[#This Row],[_Row]])="",TRUE()),"",IF(INDEX(tsk_IsSummary,GanttView[[#This Row],[_Row]]),NETWORKDAYS.INTL(INDEX(tsk_FcStart,GanttView[[#This Row],[_Row]]),INDEX(tsk_FcFinish,GanttView[[#This Row],[_Row]]),WorkWeek,Holidays),N(INDEX(tsk_Duration,GanttView[[#This Row],[_Row]]))))</f>
        <v/>
      </c>
      <c r="E157" s="129" t="str">
        <f aca="false">IF(IFERROR(INDEX(tsk_Name,GanttView[[#This Row],[_Row]])="",TRUE()),"",INDEX(tsk_PlanStart,GanttView[[#This Row],[_Row]]))</f>
        <v/>
      </c>
      <c r="F157" s="129" t="str">
        <f aca="false">IF(IFERROR(INDEX(tsk_Name,GanttView[[#This Row],[_Row]])="",TRUE()),"",INDEX(tsk_PlanFinish,GanttView[[#This Row],[_Row]]))</f>
        <v/>
      </c>
      <c r="G157" s="129" t="str">
        <f aca="false">IF(IFERROR(INDEX(tsk_Name,GanttView[[#This Row],[_Row]])="",TRUE()),"",INDEX(tsk_FcStart,GanttView[[#This Row],[_Row]]))</f>
        <v/>
      </c>
      <c r="H157" s="129" t="str">
        <f aca="false">IF(IFERROR(INDEX(tsk_Name,GanttView[[#This Row],[_Row]])="",TRUE()),"",INDEX(tsk_FcFinish,GanttView[[#This Row],[_Row]]))</f>
        <v/>
      </c>
      <c r="I157" s="130" t="str">
        <f aca="false">IF(IFERROR(INDEX(tsk_Name,GanttView[[#This Row],[_Row]])="",TRUE()),"",INDEX(tsk_Progress,GanttView[[#This Row],[_Row]]))</f>
        <v/>
      </c>
      <c r="J157" s="128" t="str">
        <f aca="false">IF(IFERROR(INDEX(tsk_Name,GanttView[[#This Row],[_Row]])="",TRUE()),"",INDEX(tsk_ResourceNames,GanttView[[#This Row],[_Row]])&amp;"")</f>
        <v/>
      </c>
      <c r="K157" s="131" t="str">
        <f aca="false">IF(IFERROR(INDEX(tsk_Name,GanttView[[#This Row],[_Row]])="",TRUE()),"",INDEX(tsk_Status,GanttView[[#This Row],[_Row]]))</f>
        <v/>
      </c>
      <c r="L157" s="131" t="str">
        <f aca="false">IF(IFERROR(INDEX(tsk_Name,GanttView[[#This Row],[_Row]])="",TRUE()),"",INDEX(tsk_Show,GanttView[[#This Row],[_Row]])&amp;"")</f>
        <v/>
      </c>
      <c r="M157" s="132" t="n">
        <f aca="false">ROW()-ROW(GanttView[[#Headers],[ID]])</f>
        <v>152</v>
      </c>
      <c r="N157" s="133" t="b">
        <f aca="false">IF(IFERROR(INDEX(tsk_Name,GanttView[[#This Row],[_Row]])="",TRUE()),FALSE(),INDEX(tsk_IsSummary,GanttView[[#This Row],[_Row]]))</f>
        <v>0</v>
      </c>
      <c r="O157" s="133" t="b">
        <f aca="false">IF(IFERROR(INDEX(tsk_Name,GanttView[[#This Row],[_Row]])="",TRUE()),FALSE(),AND(INDEX(tsk_IsLeaf,GanttView[[#This Row],[_Row]])=1,N(INDEX(tsk_Duration,GanttView[[#This Row],[_Row]]))=0))</f>
        <v>0</v>
      </c>
      <c r="P157" s="134" t="n">
        <f aca="false">IF(IFERROR(INDEX(tsk_Name,GanttView[[#This Row],[_Row]])="",TRUE()),0,IF(AND(INDEX(tsk_IsLeaf,GanttView[[#This Row],[_Row]])=1,NOT(GanttView[[#This Row],[_IsMilestone]]),N(GanttView[[#This Row],[%]])&gt;0),GanttView[[#This Row],[Forecast Start]],0))</f>
        <v>0</v>
      </c>
      <c r="Q157" s="134" t="n">
        <f aca="false">IF(GanttView[[#This Row],[_DoneFrom]]=0,0,IF(GanttView[[#This Row],[%]]&gt;=1,GanttView[[#This Row],[Forecast Finish]],MAX(GanttView[[#This Row],[_DoneFrom]],GanttView[[#This Row],[Forecast Start]]+ROUND((GanttView[[#This Row],[Forecast Finish]]-GanttView[[#This Row],[Forecast Start]]+1)*GanttView[[#This Row],[%]],0)-1)))</f>
        <v>0</v>
      </c>
      <c r="R157" s="134" t="n">
        <f aca="false">IF(IFERROR(INDEX(tsk_Name,GanttView[[#This Row],[_Row]])="",TRUE()),0,IF(OR(INDEX(tsk_IsLeaf,GanttView[[#This Row],[_Row]])&lt;&gt;1,GanttView[[#This Row],[_IsMilestone]],N(GanttView[[#This Row],[%]])&gt;=1),0,IF(GanttView[[#This Row],[_DoneTo]]&gt;0,GanttView[[#This Row],[_DoneTo]]+1,GanttView[[#This Row],[Forecast Start]])))</f>
        <v>0</v>
      </c>
      <c r="S157" s="134" t="n">
        <f aca="false">IF(GanttView[[#This Row],[_RemFrom]]=0,0,GanttView[[#This Row],[Forecast Finish]])</f>
        <v>0</v>
      </c>
      <c r="T157" s="133" t="b">
        <f aca="false">IF(IFERROR(INDEX(tsk_Name,GanttView[[#This Row],[_Row]])="",TRUE()),FALSE(),N(INDEX(tsk_Variance,GanttView[[#This Row],[_Row]]))&gt;0)</f>
        <v>0</v>
      </c>
      <c r="U157" s="134" t="n">
        <f aca="false">IF(IFERROR(INDEX(tsk_Name,GanttView[[#This Row],[_Row]])="",TRUE()),0,N(INDEX(tsk_Deadline,GanttView[[#This Row],[_Row]])))</f>
        <v>0</v>
      </c>
      <c r="V157" s="133" t="b">
        <f aca="false">IF(IFERROR(INDEX(tsk_Name,GanttView[[#This Row],[_Row]])="",TRUE()),FALSE(),INDEX(tsk_Critical,GanttView[[#This Row],[_Row]])="Yes")</f>
        <v>0</v>
      </c>
    </row>
    <row r="158" customFormat="false" ht="15" hidden="false" customHeight="false" outlineLevel="0" collapsed="false">
      <c r="A158" s="127" t="str">
        <f aca="false">IF(IFERROR(INDEX(tsk_Name,GanttView[[#This Row],[_Row]])="",TRUE()),"",INDEX(tsk_ID,GanttView[[#This Row],[_Row]]))</f>
        <v/>
      </c>
      <c r="B158" s="127" t="str">
        <f aca="false">IF(IFERROR(INDEX(tsk_Name,GanttView[[#This Row],[_Row]])="",TRUE()),"",INDEX(tsk_WBS,GanttView[[#This Row],[_Row]]))</f>
        <v/>
      </c>
      <c r="C158" s="128" t="str">
        <f aca="false">IF(IFERROR(INDEX(tsk_Name,GanttView[[#This Row],[_Row]])="",TRUE()),"",REPT("    ",INDEX(tsk_Level,GanttView[[#This Row],[_Row]])-1)&amp;INDEX(tsk_Name,GanttView[[#This Row],[_Row]]))</f>
        <v/>
      </c>
      <c r="D158" s="127" t="str">
        <f aca="false">IF(IFERROR(INDEX(tsk_Name,GanttView[[#This Row],[_Row]])="",TRUE()),"",IF(INDEX(tsk_IsSummary,GanttView[[#This Row],[_Row]]),NETWORKDAYS.INTL(INDEX(tsk_FcStart,GanttView[[#This Row],[_Row]]),INDEX(tsk_FcFinish,GanttView[[#This Row],[_Row]]),WorkWeek,Holidays),N(INDEX(tsk_Duration,GanttView[[#This Row],[_Row]]))))</f>
        <v/>
      </c>
      <c r="E158" s="129" t="str">
        <f aca="false">IF(IFERROR(INDEX(tsk_Name,GanttView[[#This Row],[_Row]])="",TRUE()),"",INDEX(tsk_PlanStart,GanttView[[#This Row],[_Row]]))</f>
        <v/>
      </c>
      <c r="F158" s="129" t="str">
        <f aca="false">IF(IFERROR(INDEX(tsk_Name,GanttView[[#This Row],[_Row]])="",TRUE()),"",INDEX(tsk_PlanFinish,GanttView[[#This Row],[_Row]]))</f>
        <v/>
      </c>
      <c r="G158" s="129" t="str">
        <f aca="false">IF(IFERROR(INDEX(tsk_Name,GanttView[[#This Row],[_Row]])="",TRUE()),"",INDEX(tsk_FcStart,GanttView[[#This Row],[_Row]]))</f>
        <v/>
      </c>
      <c r="H158" s="129" t="str">
        <f aca="false">IF(IFERROR(INDEX(tsk_Name,GanttView[[#This Row],[_Row]])="",TRUE()),"",INDEX(tsk_FcFinish,GanttView[[#This Row],[_Row]]))</f>
        <v/>
      </c>
      <c r="I158" s="130" t="str">
        <f aca="false">IF(IFERROR(INDEX(tsk_Name,GanttView[[#This Row],[_Row]])="",TRUE()),"",INDEX(tsk_Progress,GanttView[[#This Row],[_Row]]))</f>
        <v/>
      </c>
      <c r="J158" s="128" t="str">
        <f aca="false">IF(IFERROR(INDEX(tsk_Name,GanttView[[#This Row],[_Row]])="",TRUE()),"",INDEX(tsk_ResourceNames,GanttView[[#This Row],[_Row]])&amp;"")</f>
        <v/>
      </c>
      <c r="K158" s="131" t="str">
        <f aca="false">IF(IFERROR(INDEX(tsk_Name,GanttView[[#This Row],[_Row]])="",TRUE()),"",INDEX(tsk_Status,GanttView[[#This Row],[_Row]]))</f>
        <v/>
      </c>
      <c r="L158" s="131" t="str">
        <f aca="false">IF(IFERROR(INDEX(tsk_Name,GanttView[[#This Row],[_Row]])="",TRUE()),"",INDEX(tsk_Show,GanttView[[#This Row],[_Row]])&amp;"")</f>
        <v/>
      </c>
      <c r="M158" s="132" t="n">
        <f aca="false">ROW()-ROW(GanttView[[#Headers],[ID]])</f>
        <v>153</v>
      </c>
      <c r="N158" s="133" t="b">
        <f aca="false">IF(IFERROR(INDEX(tsk_Name,GanttView[[#This Row],[_Row]])="",TRUE()),FALSE(),INDEX(tsk_IsSummary,GanttView[[#This Row],[_Row]]))</f>
        <v>0</v>
      </c>
      <c r="O158" s="133" t="b">
        <f aca="false">IF(IFERROR(INDEX(tsk_Name,GanttView[[#This Row],[_Row]])="",TRUE()),FALSE(),AND(INDEX(tsk_IsLeaf,GanttView[[#This Row],[_Row]])=1,N(INDEX(tsk_Duration,GanttView[[#This Row],[_Row]]))=0))</f>
        <v>0</v>
      </c>
      <c r="P158" s="134" t="n">
        <f aca="false">IF(IFERROR(INDEX(tsk_Name,GanttView[[#This Row],[_Row]])="",TRUE()),0,IF(AND(INDEX(tsk_IsLeaf,GanttView[[#This Row],[_Row]])=1,NOT(GanttView[[#This Row],[_IsMilestone]]),N(GanttView[[#This Row],[%]])&gt;0),GanttView[[#This Row],[Forecast Start]],0))</f>
        <v>0</v>
      </c>
      <c r="Q158" s="134" t="n">
        <f aca="false">IF(GanttView[[#This Row],[_DoneFrom]]=0,0,IF(GanttView[[#This Row],[%]]&gt;=1,GanttView[[#This Row],[Forecast Finish]],MAX(GanttView[[#This Row],[_DoneFrom]],GanttView[[#This Row],[Forecast Start]]+ROUND((GanttView[[#This Row],[Forecast Finish]]-GanttView[[#This Row],[Forecast Start]]+1)*GanttView[[#This Row],[%]],0)-1)))</f>
        <v>0</v>
      </c>
      <c r="R158" s="134" t="n">
        <f aca="false">IF(IFERROR(INDEX(tsk_Name,GanttView[[#This Row],[_Row]])="",TRUE()),0,IF(OR(INDEX(tsk_IsLeaf,GanttView[[#This Row],[_Row]])&lt;&gt;1,GanttView[[#This Row],[_IsMilestone]],N(GanttView[[#This Row],[%]])&gt;=1),0,IF(GanttView[[#This Row],[_DoneTo]]&gt;0,GanttView[[#This Row],[_DoneTo]]+1,GanttView[[#This Row],[Forecast Start]])))</f>
        <v>0</v>
      </c>
      <c r="S158" s="134" t="n">
        <f aca="false">IF(GanttView[[#This Row],[_RemFrom]]=0,0,GanttView[[#This Row],[Forecast Finish]])</f>
        <v>0</v>
      </c>
      <c r="T158" s="133" t="b">
        <f aca="false">IF(IFERROR(INDEX(tsk_Name,GanttView[[#This Row],[_Row]])="",TRUE()),FALSE(),N(INDEX(tsk_Variance,GanttView[[#This Row],[_Row]]))&gt;0)</f>
        <v>0</v>
      </c>
      <c r="U158" s="134" t="n">
        <f aca="false">IF(IFERROR(INDEX(tsk_Name,GanttView[[#This Row],[_Row]])="",TRUE()),0,N(INDEX(tsk_Deadline,GanttView[[#This Row],[_Row]])))</f>
        <v>0</v>
      </c>
      <c r="V158" s="133" t="b">
        <f aca="false">IF(IFERROR(INDEX(tsk_Name,GanttView[[#This Row],[_Row]])="",TRUE()),FALSE(),INDEX(tsk_Critical,GanttView[[#This Row],[_Row]])="Yes")</f>
        <v>0</v>
      </c>
    </row>
    <row r="159" customFormat="false" ht="15" hidden="false" customHeight="false" outlineLevel="0" collapsed="false">
      <c r="A159" s="127" t="str">
        <f aca="false">IF(IFERROR(INDEX(tsk_Name,GanttView[[#This Row],[_Row]])="",TRUE()),"",INDEX(tsk_ID,GanttView[[#This Row],[_Row]]))</f>
        <v/>
      </c>
      <c r="B159" s="127" t="str">
        <f aca="false">IF(IFERROR(INDEX(tsk_Name,GanttView[[#This Row],[_Row]])="",TRUE()),"",INDEX(tsk_WBS,GanttView[[#This Row],[_Row]]))</f>
        <v/>
      </c>
      <c r="C159" s="128" t="str">
        <f aca="false">IF(IFERROR(INDEX(tsk_Name,GanttView[[#This Row],[_Row]])="",TRUE()),"",REPT("    ",INDEX(tsk_Level,GanttView[[#This Row],[_Row]])-1)&amp;INDEX(tsk_Name,GanttView[[#This Row],[_Row]]))</f>
        <v/>
      </c>
      <c r="D159" s="127" t="str">
        <f aca="false">IF(IFERROR(INDEX(tsk_Name,GanttView[[#This Row],[_Row]])="",TRUE()),"",IF(INDEX(tsk_IsSummary,GanttView[[#This Row],[_Row]]),NETWORKDAYS.INTL(INDEX(tsk_FcStart,GanttView[[#This Row],[_Row]]),INDEX(tsk_FcFinish,GanttView[[#This Row],[_Row]]),WorkWeek,Holidays),N(INDEX(tsk_Duration,GanttView[[#This Row],[_Row]]))))</f>
        <v/>
      </c>
      <c r="E159" s="129" t="str">
        <f aca="false">IF(IFERROR(INDEX(tsk_Name,GanttView[[#This Row],[_Row]])="",TRUE()),"",INDEX(tsk_PlanStart,GanttView[[#This Row],[_Row]]))</f>
        <v/>
      </c>
      <c r="F159" s="129" t="str">
        <f aca="false">IF(IFERROR(INDEX(tsk_Name,GanttView[[#This Row],[_Row]])="",TRUE()),"",INDEX(tsk_PlanFinish,GanttView[[#This Row],[_Row]]))</f>
        <v/>
      </c>
      <c r="G159" s="129" t="str">
        <f aca="false">IF(IFERROR(INDEX(tsk_Name,GanttView[[#This Row],[_Row]])="",TRUE()),"",INDEX(tsk_FcStart,GanttView[[#This Row],[_Row]]))</f>
        <v/>
      </c>
      <c r="H159" s="129" t="str">
        <f aca="false">IF(IFERROR(INDEX(tsk_Name,GanttView[[#This Row],[_Row]])="",TRUE()),"",INDEX(tsk_FcFinish,GanttView[[#This Row],[_Row]]))</f>
        <v/>
      </c>
      <c r="I159" s="130" t="str">
        <f aca="false">IF(IFERROR(INDEX(tsk_Name,GanttView[[#This Row],[_Row]])="",TRUE()),"",INDEX(tsk_Progress,GanttView[[#This Row],[_Row]]))</f>
        <v/>
      </c>
      <c r="J159" s="128" t="str">
        <f aca="false">IF(IFERROR(INDEX(tsk_Name,GanttView[[#This Row],[_Row]])="",TRUE()),"",INDEX(tsk_ResourceNames,GanttView[[#This Row],[_Row]])&amp;"")</f>
        <v/>
      </c>
      <c r="K159" s="131" t="str">
        <f aca="false">IF(IFERROR(INDEX(tsk_Name,GanttView[[#This Row],[_Row]])="",TRUE()),"",INDEX(tsk_Status,GanttView[[#This Row],[_Row]]))</f>
        <v/>
      </c>
      <c r="L159" s="131" t="str">
        <f aca="false">IF(IFERROR(INDEX(tsk_Name,GanttView[[#This Row],[_Row]])="",TRUE()),"",INDEX(tsk_Show,GanttView[[#This Row],[_Row]])&amp;"")</f>
        <v/>
      </c>
      <c r="M159" s="132" t="n">
        <f aca="false">ROW()-ROW(GanttView[[#Headers],[ID]])</f>
        <v>154</v>
      </c>
      <c r="N159" s="133" t="b">
        <f aca="false">IF(IFERROR(INDEX(tsk_Name,GanttView[[#This Row],[_Row]])="",TRUE()),FALSE(),INDEX(tsk_IsSummary,GanttView[[#This Row],[_Row]]))</f>
        <v>0</v>
      </c>
      <c r="O159" s="133" t="b">
        <f aca="false">IF(IFERROR(INDEX(tsk_Name,GanttView[[#This Row],[_Row]])="",TRUE()),FALSE(),AND(INDEX(tsk_IsLeaf,GanttView[[#This Row],[_Row]])=1,N(INDEX(tsk_Duration,GanttView[[#This Row],[_Row]]))=0))</f>
        <v>0</v>
      </c>
      <c r="P159" s="134" t="n">
        <f aca="false">IF(IFERROR(INDEX(tsk_Name,GanttView[[#This Row],[_Row]])="",TRUE()),0,IF(AND(INDEX(tsk_IsLeaf,GanttView[[#This Row],[_Row]])=1,NOT(GanttView[[#This Row],[_IsMilestone]]),N(GanttView[[#This Row],[%]])&gt;0),GanttView[[#This Row],[Forecast Start]],0))</f>
        <v>0</v>
      </c>
      <c r="Q159" s="134" t="n">
        <f aca="false">IF(GanttView[[#This Row],[_DoneFrom]]=0,0,IF(GanttView[[#This Row],[%]]&gt;=1,GanttView[[#This Row],[Forecast Finish]],MAX(GanttView[[#This Row],[_DoneFrom]],GanttView[[#This Row],[Forecast Start]]+ROUND((GanttView[[#This Row],[Forecast Finish]]-GanttView[[#This Row],[Forecast Start]]+1)*GanttView[[#This Row],[%]],0)-1)))</f>
        <v>0</v>
      </c>
      <c r="R159" s="134" t="n">
        <f aca="false">IF(IFERROR(INDEX(tsk_Name,GanttView[[#This Row],[_Row]])="",TRUE()),0,IF(OR(INDEX(tsk_IsLeaf,GanttView[[#This Row],[_Row]])&lt;&gt;1,GanttView[[#This Row],[_IsMilestone]],N(GanttView[[#This Row],[%]])&gt;=1),0,IF(GanttView[[#This Row],[_DoneTo]]&gt;0,GanttView[[#This Row],[_DoneTo]]+1,GanttView[[#This Row],[Forecast Start]])))</f>
        <v>0</v>
      </c>
      <c r="S159" s="134" t="n">
        <f aca="false">IF(GanttView[[#This Row],[_RemFrom]]=0,0,GanttView[[#This Row],[Forecast Finish]])</f>
        <v>0</v>
      </c>
      <c r="T159" s="133" t="b">
        <f aca="false">IF(IFERROR(INDEX(tsk_Name,GanttView[[#This Row],[_Row]])="",TRUE()),FALSE(),N(INDEX(tsk_Variance,GanttView[[#This Row],[_Row]]))&gt;0)</f>
        <v>0</v>
      </c>
      <c r="U159" s="134" t="n">
        <f aca="false">IF(IFERROR(INDEX(tsk_Name,GanttView[[#This Row],[_Row]])="",TRUE()),0,N(INDEX(tsk_Deadline,GanttView[[#This Row],[_Row]])))</f>
        <v>0</v>
      </c>
      <c r="V159" s="133" t="b">
        <f aca="false">IF(IFERROR(INDEX(tsk_Name,GanttView[[#This Row],[_Row]])="",TRUE()),FALSE(),INDEX(tsk_Critical,GanttView[[#This Row],[_Row]])="Yes")</f>
        <v>0</v>
      </c>
    </row>
    <row r="160" customFormat="false" ht="15" hidden="false" customHeight="false" outlineLevel="0" collapsed="false">
      <c r="A160" s="127" t="str">
        <f aca="false">IF(IFERROR(INDEX(tsk_Name,GanttView[[#This Row],[_Row]])="",TRUE()),"",INDEX(tsk_ID,GanttView[[#This Row],[_Row]]))</f>
        <v/>
      </c>
      <c r="B160" s="127" t="str">
        <f aca="false">IF(IFERROR(INDEX(tsk_Name,GanttView[[#This Row],[_Row]])="",TRUE()),"",INDEX(tsk_WBS,GanttView[[#This Row],[_Row]]))</f>
        <v/>
      </c>
      <c r="C160" s="128" t="str">
        <f aca="false">IF(IFERROR(INDEX(tsk_Name,GanttView[[#This Row],[_Row]])="",TRUE()),"",REPT("    ",INDEX(tsk_Level,GanttView[[#This Row],[_Row]])-1)&amp;INDEX(tsk_Name,GanttView[[#This Row],[_Row]]))</f>
        <v/>
      </c>
      <c r="D160" s="127" t="str">
        <f aca="false">IF(IFERROR(INDEX(tsk_Name,GanttView[[#This Row],[_Row]])="",TRUE()),"",IF(INDEX(tsk_IsSummary,GanttView[[#This Row],[_Row]]),NETWORKDAYS.INTL(INDEX(tsk_FcStart,GanttView[[#This Row],[_Row]]),INDEX(tsk_FcFinish,GanttView[[#This Row],[_Row]]),WorkWeek,Holidays),N(INDEX(tsk_Duration,GanttView[[#This Row],[_Row]]))))</f>
        <v/>
      </c>
      <c r="E160" s="129" t="str">
        <f aca="false">IF(IFERROR(INDEX(tsk_Name,GanttView[[#This Row],[_Row]])="",TRUE()),"",INDEX(tsk_PlanStart,GanttView[[#This Row],[_Row]]))</f>
        <v/>
      </c>
      <c r="F160" s="129" t="str">
        <f aca="false">IF(IFERROR(INDEX(tsk_Name,GanttView[[#This Row],[_Row]])="",TRUE()),"",INDEX(tsk_PlanFinish,GanttView[[#This Row],[_Row]]))</f>
        <v/>
      </c>
      <c r="G160" s="129" t="str">
        <f aca="false">IF(IFERROR(INDEX(tsk_Name,GanttView[[#This Row],[_Row]])="",TRUE()),"",INDEX(tsk_FcStart,GanttView[[#This Row],[_Row]]))</f>
        <v/>
      </c>
      <c r="H160" s="129" t="str">
        <f aca="false">IF(IFERROR(INDEX(tsk_Name,GanttView[[#This Row],[_Row]])="",TRUE()),"",INDEX(tsk_FcFinish,GanttView[[#This Row],[_Row]]))</f>
        <v/>
      </c>
      <c r="I160" s="130" t="str">
        <f aca="false">IF(IFERROR(INDEX(tsk_Name,GanttView[[#This Row],[_Row]])="",TRUE()),"",INDEX(tsk_Progress,GanttView[[#This Row],[_Row]]))</f>
        <v/>
      </c>
      <c r="J160" s="128" t="str">
        <f aca="false">IF(IFERROR(INDEX(tsk_Name,GanttView[[#This Row],[_Row]])="",TRUE()),"",INDEX(tsk_ResourceNames,GanttView[[#This Row],[_Row]])&amp;"")</f>
        <v/>
      </c>
      <c r="K160" s="131" t="str">
        <f aca="false">IF(IFERROR(INDEX(tsk_Name,GanttView[[#This Row],[_Row]])="",TRUE()),"",INDEX(tsk_Status,GanttView[[#This Row],[_Row]]))</f>
        <v/>
      </c>
      <c r="L160" s="131" t="str">
        <f aca="false">IF(IFERROR(INDEX(tsk_Name,GanttView[[#This Row],[_Row]])="",TRUE()),"",INDEX(tsk_Show,GanttView[[#This Row],[_Row]])&amp;"")</f>
        <v/>
      </c>
      <c r="M160" s="132" t="n">
        <f aca="false">ROW()-ROW(GanttView[[#Headers],[ID]])</f>
        <v>155</v>
      </c>
      <c r="N160" s="133" t="b">
        <f aca="false">IF(IFERROR(INDEX(tsk_Name,GanttView[[#This Row],[_Row]])="",TRUE()),FALSE(),INDEX(tsk_IsSummary,GanttView[[#This Row],[_Row]]))</f>
        <v>0</v>
      </c>
      <c r="O160" s="133" t="b">
        <f aca="false">IF(IFERROR(INDEX(tsk_Name,GanttView[[#This Row],[_Row]])="",TRUE()),FALSE(),AND(INDEX(tsk_IsLeaf,GanttView[[#This Row],[_Row]])=1,N(INDEX(tsk_Duration,GanttView[[#This Row],[_Row]]))=0))</f>
        <v>0</v>
      </c>
      <c r="P160" s="134" t="n">
        <f aca="false">IF(IFERROR(INDEX(tsk_Name,GanttView[[#This Row],[_Row]])="",TRUE()),0,IF(AND(INDEX(tsk_IsLeaf,GanttView[[#This Row],[_Row]])=1,NOT(GanttView[[#This Row],[_IsMilestone]]),N(GanttView[[#This Row],[%]])&gt;0),GanttView[[#This Row],[Forecast Start]],0))</f>
        <v>0</v>
      </c>
      <c r="Q160" s="134" t="n">
        <f aca="false">IF(GanttView[[#This Row],[_DoneFrom]]=0,0,IF(GanttView[[#This Row],[%]]&gt;=1,GanttView[[#This Row],[Forecast Finish]],MAX(GanttView[[#This Row],[_DoneFrom]],GanttView[[#This Row],[Forecast Start]]+ROUND((GanttView[[#This Row],[Forecast Finish]]-GanttView[[#This Row],[Forecast Start]]+1)*GanttView[[#This Row],[%]],0)-1)))</f>
        <v>0</v>
      </c>
      <c r="R160" s="134" t="n">
        <f aca="false">IF(IFERROR(INDEX(tsk_Name,GanttView[[#This Row],[_Row]])="",TRUE()),0,IF(OR(INDEX(tsk_IsLeaf,GanttView[[#This Row],[_Row]])&lt;&gt;1,GanttView[[#This Row],[_IsMilestone]],N(GanttView[[#This Row],[%]])&gt;=1),0,IF(GanttView[[#This Row],[_DoneTo]]&gt;0,GanttView[[#This Row],[_DoneTo]]+1,GanttView[[#This Row],[Forecast Start]])))</f>
        <v>0</v>
      </c>
      <c r="S160" s="134" t="n">
        <f aca="false">IF(GanttView[[#This Row],[_RemFrom]]=0,0,GanttView[[#This Row],[Forecast Finish]])</f>
        <v>0</v>
      </c>
      <c r="T160" s="133" t="b">
        <f aca="false">IF(IFERROR(INDEX(tsk_Name,GanttView[[#This Row],[_Row]])="",TRUE()),FALSE(),N(INDEX(tsk_Variance,GanttView[[#This Row],[_Row]]))&gt;0)</f>
        <v>0</v>
      </c>
      <c r="U160" s="134" t="n">
        <f aca="false">IF(IFERROR(INDEX(tsk_Name,GanttView[[#This Row],[_Row]])="",TRUE()),0,N(INDEX(tsk_Deadline,GanttView[[#This Row],[_Row]])))</f>
        <v>0</v>
      </c>
      <c r="V160" s="133" t="b">
        <f aca="false">IF(IFERROR(INDEX(tsk_Name,GanttView[[#This Row],[_Row]])="",TRUE()),FALSE(),INDEX(tsk_Critical,GanttView[[#This Row],[_Row]])="Yes")</f>
        <v>0</v>
      </c>
    </row>
    <row r="161" customFormat="false" ht="15" hidden="false" customHeight="false" outlineLevel="0" collapsed="false">
      <c r="A161" s="127" t="str">
        <f aca="false">IF(IFERROR(INDEX(tsk_Name,GanttView[[#This Row],[_Row]])="",TRUE()),"",INDEX(tsk_ID,GanttView[[#This Row],[_Row]]))</f>
        <v/>
      </c>
      <c r="B161" s="127" t="str">
        <f aca="false">IF(IFERROR(INDEX(tsk_Name,GanttView[[#This Row],[_Row]])="",TRUE()),"",INDEX(tsk_WBS,GanttView[[#This Row],[_Row]]))</f>
        <v/>
      </c>
      <c r="C161" s="128" t="str">
        <f aca="false">IF(IFERROR(INDEX(tsk_Name,GanttView[[#This Row],[_Row]])="",TRUE()),"",REPT("    ",INDEX(tsk_Level,GanttView[[#This Row],[_Row]])-1)&amp;INDEX(tsk_Name,GanttView[[#This Row],[_Row]]))</f>
        <v/>
      </c>
      <c r="D161" s="127" t="str">
        <f aca="false">IF(IFERROR(INDEX(tsk_Name,GanttView[[#This Row],[_Row]])="",TRUE()),"",IF(INDEX(tsk_IsSummary,GanttView[[#This Row],[_Row]]),NETWORKDAYS.INTL(INDEX(tsk_FcStart,GanttView[[#This Row],[_Row]]),INDEX(tsk_FcFinish,GanttView[[#This Row],[_Row]]),WorkWeek,Holidays),N(INDEX(tsk_Duration,GanttView[[#This Row],[_Row]]))))</f>
        <v/>
      </c>
      <c r="E161" s="129" t="str">
        <f aca="false">IF(IFERROR(INDEX(tsk_Name,GanttView[[#This Row],[_Row]])="",TRUE()),"",INDEX(tsk_PlanStart,GanttView[[#This Row],[_Row]]))</f>
        <v/>
      </c>
      <c r="F161" s="129" t="str">
        <f aca="false">IF(IFERROR(INDEX(tsk_Name,GanttView[[#This Row],[_Row]])="",TRUE()),"",INDEX(tsk_PlanFinish,GanttView[[#This Row],[_Row]]))</f>
        <v/>
      </c>
      <c r="G161" s="129" t="str">
        <f aca="false">IF(IFERROR(INDEX(tsk_Name,GanttView[[#This Row],[_Row]])="",TRUE()),"",INDEX(tsk_FcStart,GanttView[[#This Row],[_Row]]))</f>
        <v/>
      </c>
      <c r="H161" s="129" t="str">
        <f aca="false">IF(IFERROR(INDEX(tsk_Name,GanttView[[#This Row],[_Row]])="",TRUE()),"",INDEX(tsk_FcFinish,GanttView[[#This Row],[_Row]]))</f>
        <v/>
      </c>
      <c r="I161" s="130" t="str">
        <f aca="false">IF(IFERROR(INDEX(tsk_Name,GanttView[[#This Row],[_Row]])="",TRUE()),"",INDEX(tsk_Progress,GanttView[[#This Row],[_Row]]))</f>
        <v/>
      </c>
      <c r="J161" s="128" t="str">
        <f aca="false">IF(IFERROR(INDEX(tsk_Name,GanttView[[#This Row],[_Row]])="",TRUE()),"",INDEX(tsk_ResourceNames,GanttView[[#This Row],[_Row]])&amp;"")</f>
        <v/>
      </c>
      <c r="K161" s="131" t="str">
        <f aca="false">IF(IFERROR(INDEX(tsk_Name,GanttView[[#This Row],[_Row]])="",TRUE()),"",INDEX(tsk_Status,GanttView[[#This Row],[_Row]]))</f>
        <v/>
      </c>
      <c r="L161" s="131" t="str">
        <f aca="false">IF(IFERROR(INDEX(tsk_Name,GanttView[[#This Row],[_Row]])="",TRUE()),"",INDEX(tsk_Show,GanttView[[#This Row],[_Row]])&amp;"")</f>
        <v/>
      </c>
      <c r="M161" s="132" t="n">
        <f aca="false">ROW()-ROW(GanttView[[#Headers],[ID]])</f>
        <v>156</v>
      </c>
      <c r="N161" s="133" t="b">
        <f aca="false">IF(IFERROR(INDEX(tsk_Name,GanttView[[#This Row],[_Row]])="",TRUE()),FALSE(),INDEX(tsk_IsSummary,GanttView[[#This Row],[_Row]]))</f>
        <v>0</v>
      </c>
      <c r="O161" s="133" t="b">
        <f aca="false">IF(IFERROR(INDEX(tsk_Name,GanttView[[#This Row],[_Row]])="",TRUE()),FALSE(),AND(INDEX(tsk_IsLeaf,GanttView[[#This Row],[_Row]])=1,N(INDEX(tsk_Duration,GanttView[[#This Row],[_Row]]))=0))</f>
        <v>0</v>
      </c>
      <c r="P161" s="134" t="n">
        <f aca="false">IF(IFERROR(INDEX(tsk_Name,GanttView[[#This Row],[_Row]])="",TRUE()),0,IF(AND(INDEX(tsk_IsLeaf,GanttView[[#This Row],[_Row]])=1,NOT(GanttView[[#This Row],[_IsMilestone]]),N(GanttView[[#This Row],[%]])&gt;0),GanttView[[#This Row],[Forecast Start]],0))</f>
        <v>0</v>
      </c>
      <c r="Q161" s="134" t="n">
        <f aca="false">IF(GanttView[[#This Row],[_DoneFrom]]=0,0,IF(GanttView[[#This Row],[%]]&gt;=1,GanttView[[#This Row],[Forecast Finish]],MAX(GanttView[[#This Row],[_DoneFrom]],GanttView[[#This Row],[Forecast Start]]+ROUND((GanttView[[#This Row],[Forecast Finish]]-GanttView[[#This Row],[Forecast Start]]+1)*GanttView[[#This Row],[%]],0)-1)))</f>
        <v>0</v>
      </c>
      <c r="R161" s="134" t="n">
        <f aca="false">IF(IFERROR(INDEX(tsk_Name,GanttView[[#This Row],[_Row]])="",TRUE()),0,IF(OR(INDEX(tsk_IsLeaf,GanttView[[#This Row],[_Row]])&lt;&gt;1,GanttView[[#This Row],[_IsMilestone]],N(GanttView[[#This Row],[%]])&gt;=1),0,IF(GanttView[[#This Row],[_DoneTo]]&gt;0,GanttView[[#This Row],[_DoneTo]]+1,GanttView[[#This Row],[Forecast Start]])))</f>
        <v>0</v>
      </c>
      <c r="S161" s="134" t="n">
        <f aca="false">IF(GanttView[[#This Row],[_RemFrom]]=0,0,GanttView[[#This Row],[Forecast Finish]])</f>
        <v>0</v>
      </c>
      <c r="T161" s="133" t="b">
        <f aca="false">IF(IFERROR(INDEX(tsk_Name,GanttView[[#This Row],[_Row]])="",TRUE()),FALSE(),N(INDEX(tsk_Variance,GanttView[[#This Row],[_Row]]))&gt;0)</f>
        <v>0</v>
      </c>
      <c r="U161" s="134" t="n">
        <f aca="false">IF(IFERROR(INDEX(tsk_Name,GanttView[[#This Row],[_Row]])="",TRUE()),0,N(INDEX(tsk_Deadline,GanttView[[#This Row],[_Row]])))</f>
        <v>0</v>
      </c>
      <c r="V161" s="133" t="b">
        <f aca="false">IF(IFERROR(INDEX(tsk_Name,GanttView[[#This Row],[_Row]])="",TRUE()),FALSE(),INDEX(tsk_Critical,GanttView[[#This Row],[_Row]])="Yes")</f>
        <v>0</v>
      </c>
    </row>
    <row r="162" customFormat="false" ht="15" hidden="false" customHeight="false" outlineLevel="0" collapsed="false">
      <c r="A162" s="127" t="str">
        <f aca="false">IF(IFERROR(INDEX(tsk_Name,GanttView[[#This Row],[_Row]])="",TRUE()),"",INDEX(tsk_ID,GanttView[[#This Row],[_Row]]))</f>
        <v/>
      </c>
      <c r="B162" s="127" t="str">
        <f aca="false">IF(IFERROR(INDEX(tsk_Name,GanttView[[#This Row],[_Row]])="",TRUE()),"",INDEX(tsk_WBS,GanttView[[#This Row],[_Row]]))</f>
        <v/>
      </c>
      <c r="C162" s="128" t="str">
        <f aca="false">IF(IFERROR(INDEX(tsk_Name,GanttView[[#This Row],[_Row]])="",TRUE()),"",REPT("    ",INDEX(tsk_Level,GanttView[[#This Row],[_Row]])-1)&amp;INDEX(tsk_Name,GanttView[[#This Row],[_Row]]))</f>
        <v/>
      </c>
      <c r="D162" s="127" t="str">
        <f aca="false">IF(IFERROR(INDEX(tsk_Name,GanttView[[#This Row],[_Row]])="",TRUE()),"",IF(INDEX(tsk_IsSummary,GanttView[[#This Row],[_Row]]),NETWORKDAYS.INTL(INDEX(tsk_FcStart,GanttView[[#This Row],[_Row]]),INDEX(tsk_FcFinish,GanttView[[#This Row],[_Row]]),WorkWeek,Holidays),N(INDEX(tsk_Duration,GanttView[[#This Row],[_Row]]))))</f>
        <v/>
      </c>
      <c r="E162" s="129" t="str">
        <f aca="false">IF(IFERROR(INDEX(tsk_Name,GanttView[[#This Row],[_Row]])="",TRUE()),"",INDEX(tsk_PlanStart,GanttView[[#This Row],[_Row]]))</f>
        <v/>
      </c>
      <c r="F162" s="129" t="str">
        <f aca="false">IF(IFERROR(INDEX(tsk_Name,GanttView[[#This Row],[_Row]])="",TRUE()),"",INDEX(tsk_PlanFinish,GanttView[[#This Row],[_Row]]))</f>
        <v/>
      </c>
      <c r="G162" s="129" t="str">
        <f aca="false">IF(IFERROR(INDEX(tsk_Name,GanttView[[#This Row],[_Row]])="",TRUE()),"",INDEX(tsk_FcStart,GanttView[[#This Row],[_Row]]))</f>
        <v/>
      </c>
      <c r="H162" s="129" t="str">
        <f aca="false">IF(IFERROR(INDEX(tsk_Name,GanttView[[#This Row],[_Row]])="",TRUE()),"",INDEX(tsk_FcFinish,GanttView[[#This Row],[_Row]]))</f>
        <v/>
      </c>
      <c r="I162" s="130" t="str">
        <f aca="false">IF(IFERROR(INDEX(tsk_Name,GanttView[[#This Row],[_Row]])="",TRUE()),"",INDEX(tsk_Progress,GanttView[[#This Row],[_Row]]))</f>
        <v/>
      </c>
      <c r="J162" s="128" t="str">
        <f aca="false">IF(IFERROR(INDEX(tsk_Name,GanttView[[#This Row],[_Row]])="",TRUE()),"",INDEX(tsk_ResourceNames,GanttView[[#This Row],[_Row]])&amp;"")</f>
        <v/>
      </c>
      <c r="K162" s="131" t="str">
        <f aca="false">IF(IFERROR(INDEX(tsk_Name,GanttView[[#This Row],[_Row]])="",TRUE()),"",INDEX(tsk_Status,GanttView[[#This Row],[_Row]]))</f>
        <v/>
      </c>
      <c r="L162" s="131" t="str">
        <f aca="false">IF(IFERROR(INDEX(tsk_Name,GanttView[[#This Row],[_Row]])="",TRUE()),"",INDEX(tsk_Show,GanttView[[#This Row],[_Row]])&amp;"")</f>
        <v/>
      </c>
      <c r="M162" s="132" t="n">
        <f aca="false">ROW()-ROW(GanttView[[#Headers],[ID]])</f>
        <v>157</v>
      </c>
      <c r="N162" s="133" t="b">
        <f aca="false">IF(IFERROR(INDEX(tsk_Name,GanttView[[#This Row],[_Row]])="",TRUE()),FALSE(),INDEX(tsk_IsSummary,GanttView[[#This Row],[_Row]]))</f>
        <v>0</v>
      </c>
      <c r="O162" s="133" t="b">
        <f aca="false">IF(IFERROR(INDEX(tsk_Name,GanttView[[#This Row],[_Row]])="",TRUE()),FALSE(),AND(INDEX(tsk_IsLeaf,GanttView[[#This Row],[_Row]])=1,N(INDEX(tsk_Duration,GanttView[[#This Row],[_Row]]))=0))</f>
        <v>0</v>
      </c>
      <c r="P162" s="134" t="n">
        <f aca="false">IF(IFERROR(INDEX(tsk_Name,GanttView[[#This Row],[_Row]])="",TRUE()),0,IF(AND(INDEX(tsk_IsLeaf,GanttView[[#This Row],[_Row]])=1,NOT(GanttView[[#This Row],[_IsMilestone]]),N(GanttView[[#This Row],[%]])&gt;0),GanttView[[#This Row],[Forecast Start]],0))</f>
        <v>0</v>
      </c>
      <c r="Q162" s="134" t="n">
        <f aca="false">IF(GanttView[[#This Row],[_DoneFrom]]=0,0,IF(GanttView[[#This Row],[%]]&gt;=1,GanttView[[#This Row],[Forecast Finish]],MAX(GanttView[[#This Row],[_DoneFrom]],GanttView[[#This Row],[Forecast Start]]+ROUND((GanttView[[#This Row],[Forecast Finish]]-GanttView[[#This Row],[Forecast Start]]+1)*GanttView[[#This Row],[%]],0)-1)))</f>
        <v>0</v>
      </c>
      <c r="R162" s="134" t="n">
        <f aca="false">IF(IFERROR(INDEX(tsk_Name,GanttView[[#This Row],[_Row]])="",TRUE()),0,IF(OR(INDEX(tsk_IsLeaf,GanttView[[#This Row],[_Row]])&lt;&gt;1,GanttView[[#This Row],[_IsMilestone]],N(GanttView[[#This Row],[%]])&gt;=1),0,IF(GanttView[[#This Row],[_DoneTo]]&gt;0,GanttView[[#This Row],[_DoneTo]]+1,GanttView[[#This Row],[Forecast Start]])))</f>
        <v>0</v>
      </c>
      <c r="S162" s="134" t="n">
        <f aca="false">IF(GanttView[[#This Row],[_RemFrom]]=0,0,GanttView[[#This Row],[Forecast Finish]])</f>
        <v>0</v>
      </c>
      <c r="T162" s="133" t="b">
        <f aca="false">IF(IFERROR(INDEX(tsk_Name,GanttView[[#This Row],[_Row]])="",TRUE()),FALSE(),N(INDEX(tsk_Variance,GanttView[[#This Row],[_Row]]))&gt;0)</f>
        <v>0</v>
      </c>
      <c r="U162" s="134" t="n">
        <f aca="false">IF(IFERROR(INDEX(tsk_Name,GanttView[[#This Row],[_Row]])="",TRUE()),0,N(INDEX(tsk_Deadline,GanttView[[#This Row],[_Row]])))</f>
        <v>0</v>
      </c>
      <c r="V162" s="133" t="b">
        <f aca="false">IF(IFERROR(INDEX(tsk_Name,GanttView[[#This Row],[_Row]])="",TRUE()),FALSE(),INDEX(tsk_Critical,GanttView[[#This Row],[_Row]])="Yes")</f>
        <v>0</v>
      </c>
    </row>
    <row r="163" customFormat="false" ht="15" hidden="false" customHeight="false" outlineLevel="0" collapsed="false">
      <c r="A163" s="127" t="str">
        <f aca="false">IF(IFERROR(INDEX(tsk_Name,GanttView[[#This Row],[_Row]])="",TRUE()),"",INDEX(tsk_ID,GanttView[[#This Row],[_Row]]))</f>
        <v/>
      </c>
      <c r="B163" s="127" t="str">
        <f aca="false">IF(IFERROR(INDEX(tsk_Name,GanttView[[#This Row],[_Row]])="",TRUE()),"",INDEX(tsk_WBS,GanttView[[#This Row],[_Row]]))</f>
        <v/>
      </c>
      <c r="C163" s="128" t="str">
        <f aca="false">IF(IFERROR(INDEX(tsk_Name,GanttView[[#This Row],[_Row]])="",TRUE()),"",REPT("    ",INDEX(tsk_Level,GanttView[[#This Row],[_Row]])-1)&amp;INDEX(tsk_Name,GanttView[[#This Row],[_Row]]))</f>
        <v/>
      </c>
      <c r="D163" s="127" t="str">
        <f aca="false">IF(IFERROR(INDEX(tsk_Name,GanttView[[#This Row],[_Row]])="",TRUE()),"",IF(INDEX(tsk_IsSummary,GanttView[[#This Row],[_Row]]),NETWORKDAYS.INTL(INDEX(tsk_FcStart,GanttView[[#This Row],[_Row]]),INDEX(tsk_FcFinish,GanttView[[#This Row],[_Row]]),WorkWeek,Holidays),N(INDEX(tsk_Duration,GanttView[[#This Row],[_Row]]))))</f>
        <v/>
      </c>
      <c r="E163" s="129" t="str">
        <f aca="false">IF(IFERROR(INDEX(tsk_Name,GanttView[[#This Row],[_Row]])="",TRUE()),"",INDEX(tsk_PlanStart,GanttView[[#This Row],[_Row]]))</f>
        <v/>
      </c>
      <c r="F163" s="129" t="str">
        <f aca="false">IF(IFERROR(INDEX(tsk_Name,GanttView[[#This Row],[_Row]])="",TRUE()),"",INDEX(tsk_PlanFinish,GanttView[[#This Row],[_Row]]))</f>
        <v/>
      </c>
      <c r="G163" s="129" t="str">
        <f aca="false">IF(IFERROR(INDEX(tsk_Name,GanttView[[#This Row],[_Row]])="",TRUE()),"",INDEX(tsk_FcStart,GanttView[[#This Row],[_Row]]))</f>
        <v/>
      </c>
      <c r="H163" s="129" t="str">
        <f aca="false">IF(IFERROR(INDEX(tsk_Name,GanttView[[#This Row],[_Row]])="",TRUE()),"",INDEX(tsk_FcFinish,GanttView[[#This Row],[_Row]]))</f>
        <v/>
      </c>
      <c r="I163" s="130" t="str">
        <f aca="false">IF(IFERROR(INDEX(tsk_Name,GanttView[[#This Row],[_Row]])="",TRUE()),"",INDEX(tsk_Progress,GanttView[[#This Row],[_Row]]))</f>
        <v/>
      </c>
      <c r="J163" s="128" t="str">
        <f aca="false">IF(IFERROR(INDEX(tsk_Name,GanttView[[#This Row],[_Row]])="",TRUE()),"",INDEX(tsk_ResourceNames,GanttView[[#This Row],[_Row]])&amp;"")</f>
        <v/>
      </c>
      <c r="K163" s="131" t="str">
        <f aca="false">IF(IFERROR(INDEX(tsk_Name,GanttView[[#This Row],[_Row]])="",TRUE()),"",INDEX(tsk_Status,GanttView[[#This Row],[_Row]]))</f>
        <v/>
      </c>
      <c r="L163" s="131" t="str">
        <f aca="false">IF(IFERROR(INDEX(tsk_Name,GanttView[[#This Row],[_Row]])="",TRUE()),"",INDEX(tsk_Show,GanttView[[#This Row],[_Row]])&amp;"")</f>
        <v/>
      </c>
      <c r="M163" s="132" t="n">
        <f aca="false">ROW()-ROW(GanttView[[#Headers],[ID]])</f>
        <v>158</v>
      </c>
      <c r="N163" s="133" t="b">
        <f aca="false">IF(IFERROR(INDEX(tsk_Name,GanttView[[#This Row],[_Row]])="",TRUE()),FALSE(),INDEX(tsk_IsSummary,GanttView[[#This Row],[_Row]]))</f>
        <v>0</v>
      </c>
      <c r="O163" s="133" t="b">
        <f aca="false">IF(IFERROR(INDEX(tsk_Name,GanttView[[#This Row],[_Row]])="",TRUE()),FALSE(),AND(INDEX(tsk_IsLeaf,GanttView[[#This Row],[_Row]])=1,N(INDEX(tsk_Duration,GanttView[[#This Row],[_Row]]))=0))</f>
        <v>0</v>
      </c>
      <c r="P163" s="134" t="n">
        <f aca="false">IF(IFERROR(INDEX(tsk_Name,GanttView[[#This Row],[_Row]])="",TRUE()),0,IF(AND(INDEX(tsk_IsLeaf,GanttView[[#This Row],[_Row]])=1,NOT(GanttView[[#This Row],[_IsMilestone]]),N(GanttView[[#This Row],[%]])&gt;0),GanttView[[#This Row],[Forecast Start]],0))</f>
        <v>0</v>
      </c>
      <c r="Q163" s="134" t="n">
        <f aca="false">IF(GanttView[[#This Row],[_DoneFrom]]=0,0,IF(GanttView[[#This Row],[%]]&gt;=1,GanttView[[#This Row],[Forecast Finish]],MAX(GanttView[[#This Row],[_DoneFrom]],GanttView[[#This Row],[Forecast Start]]+ROUND((GanttView[[#This Row],[Forecast Finish]]-GanttView[[#This Row],[Forecast Start]]+1)*GanttView[[#This Row],[%]],0)-1)))</f>
        <v>0</v>
      </c>
      <c r="R163" s="134" t="n">
        <f aca="false">IF(IFERROR(INDEX(tsk_Name,GanttView[[#This Row],[_Row]])="",TRUE()),0,IF(OR(INDEX(tsk_IsLeaf,GanttView[[#This Row],[_Row]])&lt;&gt;1,GanttView[[#This Row],[_IsMilestone]],N(GanttView[[#This Row],[%]])&gt;=1),0,IF(GanttView[[#This Row],[_DoneTo]]&gt;0,GanttView[[#This Row],[_DoneTo]]+1,GanttView[[#This Row],[Forecast Start]])))</f>
        <v>0</v>
      </c>
      <c r="S163" s="134" t="n">
        <f aca="false">IF(GanttView[[#This Row],[_RemFrom]]=0,0,GanttView[[#This Row],[Forecast Finish]])</f>
        <v>0</v>
      </c>
      <c r="T163" s="133" t="b">
        <f aca="false">IF(IFERROR(INDEX(tsk_Name,GanttView[[#This Row],[_Row]])="",TRUE()),FALSE(),N(INDEX(tsk_Variance,GanttView[[#This Row],[_Row]]))&gt;0)</f>
        <v>0</v>
      </c>
      <c r="U163" s="134" t="n">
        <f aca="false">IF(IFERROR(INDEX(tsk_Name,GanttView[[#This Row],[_Row]])="",TRUE()),0,N(INDEX(tsk_Deadline,GanttView[[#This Row],[_Row]])))</f>
        <v>0</v>
      </c>
      <c r="V163" s="133" t="b">
        <f aca="false">IF(IFERROR(INDEX(tsk_Name,GanttView[[#This Row],[_Row]])="",TRUE()),FALSE(),INDEX(tsk_Critical,GanttView[[#This Row],[_Row]])="Yes")</f>
        <v>0</v>
      </c>
    </row>
    <row r="164" customFormat="false" ht="15" hidden="false" customHeight="false" outlineLevel="0" collapsed="false">
      <c r="A164" s="127" t="str">
        <f aca="false">IF(IFERROR(INDEX(tsk_Name,GanttView[[#This Row],[_Row]])="",TRUE()),"",INDEX(tsk_ID,GanttView[[#This Row],[_Row]]))</f>
        <v/>
      </c>
      <c r="B164" s="127" t="str">
        <f aca="false">IF(IFERROR(INDEX(tsk_Name,GanttView[[#This Row],[_Row]])="",TRUE()),"",INDEX(tsk_WBS,GanttView[[#This Row],[_Row]]))</f>
        <v/>
      </c>
      <c r="C164" s="128" t="str">
        <f aca="false">IF(IFERROR(INDEX(tsk_Name,GanttView[[#This Row],[_Row]])="",TRUE()),"",REPT("    ",INDEX(tsk_Level,GanttView[[#This Row],[_Row]])-1)&amp;INDEX(tsk_Name,GanttView[[#This Row],[_Row]]))</f>
        <v/>
      </c>
      <c r="D164" s="127" t="str">
        <f aca="false">IF(IFERROR(INDEX(tsk_Name,GanttView[[#This Row],[_Row]])="",TRUE()),"",IF(INDEX(tsk_IsSummary,GanttView[[#This Row],[_Row]]),NETWORKDAYS.INTL(INDEX(tsk_FcStart,GanttView[[#This Row],[_Row]]),INDEX(tsk_FcFinish,GanttView[[#This Row],[_Row]]),WorkWeek,Holidays),N(INDEX(tsk_Duration,GanttView[[#This Row],[_Row]]))))</f>
        <v/>
      </c>
      <c r="E164" s="129" t="str">
        <f aca="false">IF(IFERROR(INDEX(tsk_Name,GanttView[[#This Row],[_Row]])="",TRUE()),"",INDEX(tsk_PlanStart,GanttView[[#This Row],[_Row]]))</f>
        <v/>
      </c>
      <c r="F164" s="129" t="str">
        <f aca="false">IF(IFERROR(INDEX(tsk_Name,GanttView[[#This Row],[_Row]])="",TRUE()),"",INDEX(tsk_PlanFinish,GanttView[[#This Row],[_Row]]))</f>
        <v/>
      </c>
      <c r="G164" s="129" t="str">
        <f aca="false">IF(IFERROR(INDEX(tsk_Name,GanttView[[#This Row],[_Row]])="",TRUE()),"",INDEX(tsk_FcStart,GanttView[[#This Row],[_Row]]))</f>
        <v/>
      </c>
      <c r="H164" s="129" t="str">
        <f aca="false">IF(IFERROR(INDEX(tsk_Name,GanttView[[#This Row],[_Row]])="",TRUE()),"",INDEX(tsk_FcFinish,GanttView[[#This Row],[_Row]]))</f>
        <v/>
      </c>
      <c r="I164" s="130" t="str">
        <f aca="false">IF(IFERROR(INDEX(tsk_Name,GanttView[[#This Row],[_Row]])="",TRUE()),"",INDEX(tsk_Progress,GanttView[[#This Row],[_Row]]))</f>
        <v/>
      </c>
      <c r="J164" s="128" t="str">
        <f aca="false">IF(IFERROR(INDEX(tsk_Name,GanttView[[#This Row],[_Row]])="",TRUE()),"",INDEX(tsk_ResourceNames,GanttView[[#This Row],[_Row]])&amp;"")</f>
        <v/>
      </c>
      <c r="K164" s="131" t="str">
        <f aca="false">IF(IFERROR(INDEX(tsk_Name,GanttView[[#This Row],[_Row]])="",TRUE()),"",INDEX(tsk_Status,GanttView[[#This Row],[_Row]]))</f>
        <v/>
      </c>
      <c r="L164" s="131" t="str">
        <f aca="false">IF(IFERROR(INDEX(tsk_Name,GanttView[[#This Row],[_Row]])="",TRUE()),"",INDEX(tsk_Show,GanttView[[#This Row],[_Row]])&amp;"")</f>
        <v/>
      </c>
      <c r="M164" s="132" t="n">
        <f aca="false">ROW()-ROW(GanttView[[#Headers],[ID]])</f>
        <v>159</v>
      </c>
      <c r="N164" s="133" t="b">
        <f aca="false">IF(IFERROR(INDEX(tsk_Name,GanttView[[#This Row],[_Row]])="",TRUE()),FALSE(),INDEX(tsk_IsSummary,GanttView[[#This Row],[_Row]]))</f>
        <v>0</v>
      </c>
      <c r="O164" s="133" t="b">
        <f aca="false">IF(IFERROR(INDEX(tsk_Name,GanttView[[#This Row],[_Row]])="",TRUE()),FALSE(),AND(INDEX(tsk_IsLeaf,GanttView[[#This Row],[_Row]])=1,N(INDEX(tsk_Duration,GanttView[[#This Row],[_Row]]))=0))</f>
        <v>0</v>
      </c>
      <c r="P164" s="134" t="n">
        <f aca="false">IF(IFERROR(INDEX(tsk_Name,GanttView[[#This Row],[_Row]])="",TRUE()),0,IF(AND(INDEX(tsk_IsLeaf,GanttView[[#This Row],[_Row]])=1,NOT(GanttView[[#This Row],[_IsMilestone]]),N(GanttView[[#This Row],[%]])&gt;0),GanttView[[#This Row],[Forecast Start]],0))</f>
        <v>0</v>
      </c>
      <c r="Q164" s="134" t="n">
        <f aca="false">IF(GanttView[[#This Row],[_DoneFrom]]=0,0,IF(GanttView[[#This Row],[%]]&gt;=1,GanttView[[#This Row],[Forecast Finish]],MAX(GanttView[[#This Row],[_DoneFrom]],GanttView[[#This Row],[Forecast Start]]+ROUND((GanttView[[#This Row],[Forecast Finish]]-GanttView[[#This Row],[Forecast Start]]+1)*GanttView[[#This Row],[%]],0)-1)))</f>
        <v>0</v>
      </c>
      <c r="R164" s="134" t="n">
        <f aca="false">IF(IFERROR(INDEX(tsk_Name,GanttView[[#This Row],[_Row]])="",TRUE()),0,IF(OR(INDEX(tsk_IsLeaf,GanttView[[#This Row],[_Row]])&lt;&gt;1,GanttView[[#This Row],[_IsMilestone]],N(GanttView[[#This Row],[%]])&gt;=1),0,IF(GanttView[[#This Row],[_DoneTo]]&gt;0,GanttView[[#This Row],[_DoneTo]]+1,GanttView[[#This Row],[Forecast Start]])))</f>
        <v>0</v>
      </c>
      <c r="S164" s="134" t="n">
        <f aca="false">IF(GanttView[[#This Row],[_RemFrom]]=0,0,GanttView[[#This Row],[Forecast Finish]])</f>
        <v>0</v>
      </c>
      <c r="T164" s="133" t="b">
        <f aca="false">IF(IFERROR(INDEX(tsk_Name,GanttView[[#This Row],[_Row]])="",TRUE()),FALSE(),N(INDEX(tsk_Variance,GanttView[[#This Row],[_Row]]))&gt;0)</f>
        <v>0</v>
      </c>
      <c r="U164" s="134" t="n">
        <f aca="false">IF(IFERROR(INDEX(tsk_Name,GanttView[[#This Row],[_Row]])="",TRUE()),0,N(INDEX(tsk_Deadline,GanttView[[#This Row],[_Row]])))</f>
        <v>0</v>
      </c>
      <c r="V164" s="133" t="b">
        <f aca="false">IF(IFERROR(INDEX(tsk_Name,GanttView[[#This Row],[_Row]])="",TRUE()),FALSE(),INDEX(tsk_Critical,GanttView[[#This Row],[_Row]])="Yes")</f>
        <v>0</v>
      </c>
    </row>
    <row r="165" customFormat="false" ht="15" hidden="false" customHeight="false" outlineLevel="0" collapsed="false">
      <c r="A165" s="127" t="str">
        <f aca="false">IF(IFERROR(INDEX(tsk_Name,GanttView[[#This Row],[_Row]])="",TRUE()),"",INDEX(tsk_ID,GanttView[[#This Row],[_Row]]))</f>
        <v/>
      </c>
      <c r="B165" s="127" t="str">
        <f aca="false">IF(IFERROR(INDEX(tsk_Name,GanttView[[#This Row],[_Row]])="",TRUE()),"",INDEX(tsk_WBS,GanttView[[#This Row],[_Row]]))</f>
        <v/>
      </c>
      <c r="C165" s="128" t="str">
        <f aca="false">IF(IFERROR(INDEX(tsk_Name,GanttView[[#This Row],[_Row]])="",TRUE()),"",REPT("    ",INDEX(tsk_Level,GanttView[[#This Row],[_Row]])-1)&amp;INDEX(tsk_Name,GanttView[[#This Row],[_Row]]))</f>
        <v/>
      </c>
      <c r="D165" s="127" t="str">
        <f aca="false">IF(IFERROR(INDEX(tsk_Name,GanttView[[#This Row],[_Row]])="",TRUE()),"",IF(INDEX(tsk_IsSummary,GanttView[[#This Row],[_Row]]),NETWORKDAYS.INTL(INDEX(tsk_FcStart,GanttView[[#This Row],[_Row]]),INDEX(tsk_FcFinish,GanttView[[#This Row],[_Row]]),WorkWeek,Holidays),N(INDEX(tsk_Duration,GanttView[[#This Row],[_Row]]))))</f>
        <v/>
      </c>
      <c r="E165" s="129" t="str">
        <f aca="false">IF(IFERROR(INDEX(tsk_Name,GanttView[[#This Row],[_Row]])="",TRUE()),"",INDEX(tsk_PlanStart,GanttView[[#This Row],[_Row]]))</f>
        <v/>
      </c>
      <c r="F165" s="129" t="str">
        <f aca="false">IF(IFERROR(INDEX(tsk_Name,GanttView[[#This Row],[_Row]])="",TRUE()),"",INDEX(tsk_PlanFinish,GanttView[[#This Row],[_Row]]))</f>
        <v/>
      </c>
      <c r="G165" s="129" t="str">
        <f aca="false">IF(IFERROR(INDEX(tsk_Name,GanttView[[#This Row],[_Row]])="",TRUE()),"",INDEX(tsk_FcStart,GanttView[[#This Row],[_Row]]))</f>
        <v/>
      </c>
      <c r="H165" s="129" t="str">
        <f aca="false">IF(IFERROR(INDEX(tsk_Name,GanttView[[#This Row],[_Row]])="",TRUE()),"",INDEX(tsk_FcFinish,GanttView[[#This Row],[_Row]]))</f>
        <v/>
      </c>
      <c r="I165" s="130" t="str">
        <f aca="false">IF(IFERROR(INDEX(tsk_Name,GanttView[[#This Row],[_Row]])="",TRUE()),"",INDEX(tsk_Progress,GanttView[[#This Row],[_Row]]))</f>
        <v/>
      </c>
      <c r="J165" s="128" t="str">
        <f aca="false">IF(IFERROR(INDEX(tsk_Name,GanttView[[#This Row],[_Row]])="",TRUE()),"",INDEX(tsk_ResourceNames,GanttView[[#This Row],[_Row]])&amp;"")</f>
        <v/>
      </c>
      <c r="K165" s="131" t="str">
        <f aca="false">IF(IFERROR(INDEX(tsk_Name,GanttView[[#This Row],[_Row]])="",TRUE()),"",INDEX(tsk_Status,GanttView[[#This Row],[_Row]]))</f>
        <v/>
      </c>
      <c r="L165" s="131" t="str">
        <f aca="false">IF(IFERROR(INDEX(tsk_Name,GanttView[[#This Row],[_Row]])="",TRUE()),"",INDEX(tsk_Show,GanttView[[#This Row],[_Row]])&amp;"")</f>
        <v/>
      </c>
      <c r="M165" s="132" t="n">
        <f aca="false">ROW()-ROW(GanttView[[#Headers],[ID]])</f>
        <v>160</v>
      </c>
      <c r="N165" s="133" t="b">
        <f aca="false">IF(IFERROR(INDEX(tsk_Name,GanttView[[#This Row],[_Row]])="",TRUE()),FALSE(),INDEX(tsk_IsSummary,GanttView[[#This Row],[_Row]]))</f>
        <v>0</v>
      </c>
      <c r="O165" s="133" t="b">
        <f aca="false">IF(IFERROR(INDEX(tsk_Name,GanttView[[#This Row],[_Row]])="",TRUE()),FALSE(),AND(INDEX(tsk_IsLeaf,GanttView[[#This Row],[_Row]])=1,N(INDEX(tsk_Duration,GanttView[[#This Row],[_Row]]))=0))</f>
        <v>0</v>
      </c>
      <c r="P165" s="134" t="n">
        <f aca="false">IF(IFERROR(INDEX(tsk_Name,GanttView[[#This Row],[_Row]])="",TRUE()),0,IF(AND(INDEX(tsk_IsLeaf,GanttView[[#This Row],[_Row]])=1,NOT(GanttView[[#This Row],[_IsMilestone]]),N(GanttView[[#This Row],[%]])&gt;0),GanttView[[#This Row],[Forecast Start]],0))</f>
        <v>0</v>
      </c>
      <c r="Q165" s="134" t="n">
        <f aca="false">IF(GanttView[[#This Row],[_DoneFrom]]=0,0,IF(GanttView[[#This Row],[%]]&gt;=1,GanttView[[#This Row],[Forecast Finish]],MAX(GanttView[[#This Row],[_DoneFrom]],GanttView[[#This Row],[Forecast Start]]+ROUND((GanttView[[#This Row],[Forecast Finish]]-GanttView[[#This Row],[Forecast Start]]+1)*GanttView[[#This Row],[%]],0)-1)))</f>
        <v>0</v>
      </c>
      <c r="R165" s="134" t="n">
        <f aca="false">IF(IFERROR(INDEX(tsk_Name,GanttView[[#This Row],[_Row]])="",TRUE()),0,IF(OR(INDEX(tsk_IsLeaf,GanttView[[#This Row],[_Row]])&lt;&gt;1,GanttView[[#This Row],[_IsMilestone]],N(GanttView[[#This Row],[%]])&gt;=1),0,IF(GanttView[[#This Row],[_DoneTo]]&gt;0,GanttView[[#This Row],[_DoneTo]]+1,GanttView[[#This Row],[Forecast Start]])))</f>
        <v>0</v>
      </c>
      <c r="S165" s="134" t="n">
        <f aca="false">IF(GanttView[[#This Row],[_RemFrom]]=0,0,GanttView[[#This Row],[Forecast Finish]])</f>
        <v>0</v>
      </c>
      <c r="T165" s="133" t="b">
        <f aca="false">IF(IFERROR(INDEX(tsk_Name,GanttView[[#This Row],[_Row]])="",TRUE()),FALSE(),N(INDEX(tsk_Variance,GanttView[[#This Row],[_Row]]))&gt;0)</f>
        <v>0</v>
      </c>
      <c r="U165" s="134" t="n">
        <f aca="false">IF(IFERROR(INDEX(tsk_Name,GanttView[[#This Row],[_Row]])="",TRUE()),0,N(INDEX(tsk_Deadline,GanttView[[#This Row],[_Row]])))</f>
        <v>0</v>
      </c>
      <c r="V165" s="133" t="b">
        <f aca="false">IF(IFERROR(INDEX(tsk_Name,GanttView[[#This Row],[_Row]])="",TRUE()),FALSE(),INDEX(tsk_Critical,GanttView[[#This Row],[_Row]])="Yes")</f>
        <v>0</v>
      </c>
    </row>
    <row r="166" customFormat="false" ht="15" hidden="false" customHeight="false" outlineLevel="0" collapsed="false">
      <c r="A166" s="127" t="str">
        <f aca="false">IF(IFERROR(INDEX(tsk_Name,GanttView[[#This Row],[_Row]])="",TRUE()),"",INDEX(tsk_ID,GanttView[[#This Row],[_Row]]))</f>
        <v/>
      </c>
      <c r="B166" s="127" t="str">
        <f aca="false">IF(IFERROR(INDEX(tsk_Name,GanttView[[#This Row],[_Row]])="",TRUE()),"",INDEX(tsk_WBS,GanttView[[#This Row],[_Row]]))</f>
        <v/>
      </c>
      <c r="C166" s="128" t="str">
        <f aca="false">IF(IFERROR(INDEX(tsk_Name,GanttView[[#This Row],[_Row]])="",TRUE()),"",REPT("    ",INDEX(tsk_Level,GanttView[[#This Row],[_Row]])-1)&amp;INDEX(tsk_Name,GanttView[[#This Row],[_Row]]))</f>
        <v/>
      </c>
      <c r="D166" s="127" t="str">
        <f aca="false">IF(IFERROR(INDEX(tsk_Name,GanttView[[#This Row],[_Row]])="",TRUE()),"",IF(INDEX(tsk_IsSummary,GanttView[[#This Row],[_Row]]),NETWORKDAYS.INTL(INDEX(tsk_FcStart,GanttView[[#This Row],[_Row]]),INDEX(tsk_FcFinish,GanttView[[#This Row],[_Row]]),WorkWeek,Holidays),N(INDEX(tsk_Duration,GanttView[[#This Row],[_Row]]))))</f>
        <v/>
      </c>
      <c r="E166" s="129" t="str">
        <f aca="false">IF(IFERROR(INDEX(tsk_Name,GanttView[[#This Row],[_Row]])="",TRUE()),"",INDEX(tsk_PlanStart,GanttView[[#This Row],[_Row]]))</f>
        <v/>
      </c>
      <c r="F166" s="129" t="str">
        <f aca="false">IF(IFERROR(INDEX(tsk_Name,GanttView[[#This Row],[_Row]])="",TRUE()),"",INDEX(tsk_PlanFinish,GanttView[[#This Row],[_Row]]))</f>
        <v/>
      </c>
      <c r="G166" s="129" t="str">
        <f aca="false">IF(IFERROR(INDEX(tsk_Name,GanttView[[#This Row],[_Row]])="",TRUE()),"",INDEX(tsk_FcStart,GanttView[[#This Row],[_Row]]))</f>
        <v/>
      </c>
      <c r="H166" s="129" t="str">
        <f aca="false">IF(IFERROR(INDEX(tsk_Name,GanttView[[#This Row],[_Row]])="",TRUE()),"",INDEX(tsk_FcFinish,GanttView[[#This Row],[_Row]]))</f>
        <v/>
      </c>
      <c r="I166" s="130" t="str">
        <f aca="false">IF(IFERROR(INDEX(tsk_Name,GanttView[[#This Row],[_Row]])="",TRUE()),"",INDEX(tsk_Progress,GanttView[[#This Row],[_Row]]))</f>
        <v/>
      </c>
      <c r="J166" s="128" t="str">
        <f aca="false">IF(IFERROR(INDEX(tsk_Name,GanttView[[#This Row],[_Row]])="",TRUE()),"",INDEX(tsk_ResourceNames,GanttView[[#This Row],[_Row]])&amp;"")</f>
        <v/>
      </c>
      <c r="K166" s="131" t="str">
        <f aca="false">IF(IFERROR(INDEX(tsk_Name,GanttView[[#This Row],[_Row]])="",TRUE()),"",INDEX(tsk_Status,GanttView[[#This Row],[_Row]]))</f>
        <v/>
      </c>
      <c r="L166" s="131" t="str">
        <f aca="false">IF(IFERROR(INDEX(tsk_Name,GanttView[[#This Row],[_Row]])="",TRUE()),"",INDEX(tsk_Show,GanttView[[#This Row],[_Row]])&amp;"")</f>
        <v/>
      </c>
      <c r="M166" s="132" t="n">
        <f aca="false">ROW()-ROW(GanttView[[#Headers],[ID]])</f>
        <v>161</v>
      </c>
      <c r="N166" s="133" t="b">
        <f aca="false">IF(IFERROR(INDEX(tsk_Name,GanttView[[#This Row],[_Row]])="",TRUE()),FALSE(),INDEX(tsk_IsSummary,GanttView[[#This Row],[_Row]]))</f>
        <v>0</v>
      </c>
      <c r="O166" s="133" t="b">
        <f aca="false">IF(IFERROR(INDEX(tsk_Name,GanttView[[#This Row],[_Row]])="",TRUE()),FALSE(),AND(INDEX(tsk_IsLeaf,GanttView[[#This Row],[_Row]])=1,N(INDEX(tsk_Duration,GanttView[[#This Row],[_Row]]))=0))</f>
        <v>0</v>
      </c>
      <c r="P166" s="134" t="n">
        <f aca="false">IF(IFERROR(INDEX(tsk_Name,GanttView[[#This Row],[_Row]])="",TRUE()),0,IF(AND(INDEX(tsk_IsLeaf,GanttView[[#This Row],[_Row]])=1,NOT(GanttView[[#This Row],[_IsMilestone]]),N(GanttView[[#This Row],[%]])&gt;0),GanttView[[#This Row],[Forecast Start]],0))</f>
        <v>0</v>
      </c>
      <c r="Q166" s="134" t="n">
        <f aca="false">IF(GanttView[[#This Row],[_DoneFrom]]=0,0,IF(GanttView[[#This Row],[%]]&gt;=1,GanttView[[#This Row],[Forecast Finish]],MAX(GanttView[[#This Row],[_DoneFrom]],GanttView[[#This Row],[Forecast Start]]+ROUND((GanttView[[#This Row],[Forecast Finish]]-GanttView[[#This Row],[Forecast Start]]+1)*GanttView[[#This Row],[%]],0)-1)))</f>
        <v>0</v>
      </c>
      <c r="R166" s="134" t="n">
        <f aca="false">IF(IFERROR(INDEX(tsk_Name,GanttView[[#This Row],[_Row]])="",TRUE()),0,IF(OR(INDEX(tsk_IsLeaf,GanttView[[#This Row],[_Row]])&lt;&gt;1,GanttView[[#This Row],[_IsMilestone]],N(GanttView[[#This Row],[%]])&gt;=1),0,IF(GanttView[[#This Row],[_DoneTo]]&gt;0,GanttView[[#This Row],[_DoneTo]]+1,GanttView[[#This Row],[Forecast Start]])))</f>
        <v>0</v>
      </c>
      <c r="S166" s="134" t="n">
        <f aca="false">IF(GanttView[[#This Row],[_RemFrom]]=0,0,GanttView[[#This Row],[Forecast Finish]])</f>
        <v>0</v>
      </c>
      <c r="T166" s="133" t="b">
        <f aca="false">IF(IFERROR(INDEX(tsk_Name,GanttView[[#This Row],[_Row]])="",TRUE()),FALSE(),N(INDEX(tsk_Variance,GanttView[[#This Row],[_Row]]))&gt;0)</f>
        <v>0</v>
      </c>
      <c r="U166" s="134" t="n">
        <f aca="false">IF(IFERROR(INDEX(tsk_Name,GanttView[[#This Row],[_Row]])="",TRUE()),0,N(INDEX(tsk_Deadline,GanttView[[#This Row],[_Row]])))</f>
        <v>0</v>
      </c>
      <c r="V166" s="133" t="b">
        <f aca="false">IF(IFERROR(INDEX(tsk_Name,GanttView[[#This Row],[_Row]])="",TRUE()),FALSE(),INDEX(tsk_Critical,GanttView[[#This Row],[_Row]])="Yes")</f>
        <v>0</v>
      </c>
    </row>
    <row r="167" customFormat="false" ht="15" hidden="false" customHeight="false" outlineLevel="0" collapsed="false">
      <c r="A167" s="127" t="str">
        <f aca="false">IF(IFERROR(INDEX(tsk_Name,GanttView[[#This Row],[_Row]])="",TRUE()),"",INDEX(tsk_ID,GanttView[[#This Row],[_Row]]))</f>
        <v/>
      </c>
      <c r="B167" s="127" t="str">
        <f aca="false">IF(IFERROR(INDEX(tsk_Name,GanttView[[#This Row],[_Row]])="",TRUE()),"",INDEX(tsk_WBS,GanttView[[#This Row],[_Row]]))</f>
        <v/>
      </c>
      <c r="C167" s="128" t="str">
        <f aca="false">IF(IFERROR(INDEX(tsk_Name,GanttView[[#This Row],[_Row]])="",TRUE()),"",REPT("    ",INDEX(tsk_Level,GanttView[[#This Row],[_Row]])-1)&amp;INDEX(tsk_Name,GanttView[[#This Row],[_Row]]))</f>
        <v/>
      </c>
      <c r="D167" s="127" t="str">
        <f aca="false">IF(IFERROR(INDEX(tsk_Name,GanttView[[#This Row],[_Row]])="",TRUE()),"",IF(INDEX(tsk_IsSummary,GanttView[[#This Row],[_Row]]),NETWORKDAYS.INTL(INDEX(tsk_FcStart,GanttView[[#This Row],[_Row]]),INDEX(tsk_FcFinish,GanttView[[#This Row],[_Row]]),WorkWeek,Holidays),N(INDEX(tsk_Duration,GanttView[[#This Row],[_Row]]))))</f>
        <v/>
      </c>
      <c r="E167" s="129" t="str">
        <f aca="false">IF(IFERROR(INDEX(tsk_Name,GanttView[[#This Row],[_Row]])="",TRUE()),"",INDEX(tsk_PlanStart,GanttView[[#This Row],[_Row]]))</f>
        <v/>
      </c>
      <c r="F167" s="129" t="str">
        <f aca="false">IF(IFERROR(INDEX(tsk_Name,GanttView[[#This Row],[_Row]])="",TRUE()),"",INDEX(tsk_PlanFinish,GanttView[[#This Row],[_Row]]))</f>
        <v/>
      </c>
      <c r="G167" s="129" t="str">
        <f aca="false">IF(IFERROR(INDEX(tsk_Name,GanttView[[#This Row],[_Row]])="",TRUE()),"",INDEX(tsk_FcStart,GanttView[[#This Row],[_Row]]))</f>
        <v/>
      </c>
      <c r="H167" s="129" t="str">
        <f aca="false">IF(IFERROR(INDEX(tsk_Name,GanttView[[#This Row],[_Row]])="",TRUE()),"",INDEX(tsk_FcFinish,GanttView[[#This Row],[_Row]]))</f>
        <v/>
      </c>
      <c r="I167" s="130" t="str">
        <f aca="false">IF(IFERROR(INDEX(tsk_Name,GanttView[[#This Row],[_Row]])="",TRUE()),"",INDEX(tsk_Progress,GanttView[[#This Row],[_Row]]))</f>
        <v/>
      </c>
      <c r="J167" s="128" t="str">
        <f aca="false">IF(IFERROR(INDEX(tsk_Name,GanttView[[#This Row],[_Row]])="",TRUE()),"",INDEX(tsk_ResourceNames,GanttView[[#This Row],[_Row]])&amp;"")</f>
        <v/>
      </c>
      <c r="K167" s="131" t="str">
        <f aca="false">IF(IFERROR(INDEX(tsk_Name,GanttView[[#This Row],[_Row]])="",TRUE()),"",INDEX(tsk_Status,GanttView[[#This Row],[_Row]]))</f>
        <v/>
      </c>
      <c r="L167" s="131" t="str">
        <f aca="false">IF(IFERROR(INDEX(tsk_Name,GanttView[[#This Row],[_Row]])="",TRUE()),"",INDEX(tsk_Show,GanttView[[#This Row],[_Row]])&amp;"")</f>
        <v/>
      </c>
      <c r="M167" s="132" t="n">
        <f aca="false">ROW()-ROW(GanttView[[#Headers],[ID]])</f>
        <v>162</v>
      </c>
      <c r="N167" s="133" t="b">
        <f aca="false">IF(IFERROR(INDEX(tsk_Name,GanttView[[#This Row],[_Row]])="",TRUE()),FALSE(),INDEX(tsk_IsSummary,GanttView[[#This Row],[_Row]]))</f>
        <v>0</v>
      </c>
      <c r="O167" s="133" t="b">
        <f aca="false">IF(IFERROR(INDEX(tsk_Name,GanttView[[#This Row],[_Row]])="",TRUE()),FALSE(),AND(INDEX(tsk_IsLeaf,GanttView[[#This Row],[_Row]])=1,N(INDEX(tsk_Duration,GanttView[[#This Row],[_Row]]))=0))</f>
        <v>0</v>
      </c>
      <c r="P167" s="134" t="n">
        <f aca="false">IF(IFERROR(INDEX(tsk_Name,GanttView[[#This Row],[_Row]])="",TRUE()),0,IF(AND(INDEX(tsk_IsLeaf,GanttView[[#This Row],[_Row]])=1,NOT(GanttView[[#This Row],[_IsMilestone]]),N(GanttView[[#This Row],[%]])&gt;0),GanttView[[#This Row],[Forecast Start]],0))</f>
        <v>0</v>
      </c>
      <c r="Q167" s="134" t="n">
        <f aca="false">IF(GanttView[[#This Row],[_DoneFrom]]=0,0,IF(GanttView[[#This Row],[%]]&gt;=1,GanttView[[#This Row],[Forecast Finish]],MAX(GanttView[[#This Row],[_DoneFrom]],GanttView[[#This Row],[Forecast Start]]+ROUND((GanttView[[#This Row],[Forecast Finish]]-GanttView[[#This Row],[Forecast Start]]+1)*GanttView[[#This Row],[%]],0)-1)))</f>
        <v>0</v>
      </c>
      <c r="R167" s="134" t="n">
        <f aca="false">IF(IFERROR(INDEX(tsk_Name,GanttView[[#This Row],[_Row]])="",TRUE()),0,IF(OR(INDEX(tsk_IsLeaf,GanttView[[#This Row],[_Row]])&lt;&gt;1,GanttView[[#This Row],[_IsMilestone]],N(GanttView[[#This Row],[%]])&gt;=1),0,IF(GanttView[[#This Row],[_DoneTo]]&gt;0,GanttView[[#This Row],[_DoneTo]]+1,GanttView[[#This Row],[Forecast Start]])))</f>
        <v>0</v>
      </c>
      <c r="S167" s="134" t="n">
        <f aca="false">IF(GanttView[[#This Row],[_RemFrom]]=0,0,GanttView[[#This Row],[Forecast Finish]])</f>
        <v>0</v>
      </c>
      <c r="T167" s="133" t="b">
        <f aca="false">IF(IFERROR(INDEX(tsk_Name,GanttView[[#This Row],[_Row]])="",TRUE()),FALSE(),N(INDEX(tsk_Variance,GanttView[[#This Row],[_Row]]))&gt;0)</f>
        <v>0</v>
      </c>
      <c r="U167" s="134" t="n">
        <f aca="false">IF(IFERROR(INDEX(tsk_Name,GanttView[[#This Row],[_Row]])="",TRUE()),0,N(INDEX(tsk_Deadline,GanttView[[#This Row],[_Row]])))</f>
        <v>0</v>
      </c>
      <c r="V167" s="133" t="b">
        <f aca="false">IF(IFERROR(INDEX(tsk_Name,GanttView[[#This Row],[_Row]])="",TRUE()),FALSE(),INDEX(tsk_Critical,GanttView[[#This Row],[_Row]])="Yes")</f>
        <v>0</v>
      </c>
    </row>
    <row r="168" customFormat="false" ht="15" hidden="false" customHeight="false" outlineLevel="0" collapsed="false">
      <c r="A168" s="127" t="str">
        <f aca="false">IF(IFERROR(INDEX(tsk_Name,GanttView[[#This Row],[_Row]])="",TRUE()),"",INDEX(tsk_ID,GanttView[[#This Row],[_Row]]))</f>
        <v/>
      </c>
      <c r="B168" s="127" t="str">
        <f aca="false">IF(IFERROR(INDEX(tsk_Name,GanttView[[#This Row],[_Row]])="",TRUE()),"",INDEX(tsk_WBS,GanttView[[#This Row],[_Row]]))</f>
        <v/>
      </c>
      <c r="C168" s="128" t="str">
        <f aca="false">IF(IFERROR(INDEX(tsk_Name,GanttView[[#This Row],[_Row]])="",TRUE()),"",REPT("    ",INDEX(tsk_Level,GanttView[[#This Row],[_Row]])-1)&amp;INDEX(tsk_Name,GanttView[[#This Row],[_Row]]))</f>
        <v/>
      </c>
      <c r="D168" s="127" t="str">
        <f aca="false">IF(IFERROR(INDEX(tsk_Name,GanttView[[#This Row],[_Row]])="",TRUE()),"",IF(INDEX(tsk_IsSummary,GanttView[[#This Row],[_Row]]),NETWORKDAYS.INTL(INDEX(tsk_FcStart,GanttView[[#This Row],[_Row]]),INDEX(tsk_FcFinish,GanttView[[#This Row],[_Row]]),WorkWeek,Holidays),N(INDEX(tsk_Duration,GanttView[[#This Row],[_Row]]))))</f>
        <v/>
      </c>
      <c r="E168" s="129" t="str">
        <f aca="false">IF(IFERROR(INDEX(tsk_Name,GanttView[[#This Row],[_Row]])="",TRUE()),"",INDEX(tsk_PlanStart,GanttView[[#This Row],[_Row]]))</f>
        <v/>
      </c>
      <c r="F168" s="129" t="str">
        <f aca="false">IF(IFERROR(INDEX(tsk_Name,GanttView[[#This Row],[_Row]])="",TRUE()),"",INDEX(tsk_PlanFinish,GanttView[[#This Row],[_Row]]))</f>
        <v/>
      </c>
      <c r="G168" s="129" t="str">
        <f aca="false">IF(IFERROR(INDEX(tsk_Name,GanttView[[#This Row],[_Row]])="",TRUE()),"",INDEX(tsk_FcStart,GanttView[[#This Row],[_Row]]))</f>
        <v/>
      </c>
      <c r="H168" s="129" t="str">
        <f aca="false">IF(IFERROR(INDEX(tsk_Name,GanttView[[#This Row],[_Row]])="",TRUE()),"",INDEX(tsk_FcFinish,GanttView[[#This Row],[_Row]]))</f>
        <v/>
      </c>
      <c r="I168" s="130" t="str">
        <f aca="false">IF(IFERROR(INDEX(tsk_Name,GanttView[[#This Row],[_Row]])="",TRUE()),"",INDEX(tsk_Progress,GanttView[[#This Row],[_Row]]))</f>
        <v/>
      </c>
      <c r="J168" s="128" t="str">
        <f aca="false">IF(IFERROR(INDEX(tsk_Name,GanttView[[#This Row],[_Row]])="",TRUE()),"",INDEX(tsk_ResourceNames,GanttView[[#This Row],[_Row]])&amp;"")</f>
        <v/>
      </c>
      <c r="K168" s="131" t="str">
        <f aca="false">IF(IFERROR(INDEX(tsk_Name,GanttView[[#This Row],[_Row]])="",TRUE()),"",INDEX(tsk_Status,GanttView[[#This Row],[_Row]]))</f>
        <v/>
      </c>
      <c r="L168" s="131" t="str">
        <f aca="false">IF(IFERROR(INDEX(tsk_Name,GanttView[[#This Row],[_Row]])="",TRUE()),"",INDEX(tsk_Show,GanttView[[#This Row],[_Row]])&amp;"")</f>
        <v/>
      </c>
      <c r="M168" s="132" t="n">
        <f aca="false">ROW()-ROW(GanttView[[#Headers],[ID]])</f>
        <v>163</v>
      </c>
      <c r="N168" s="133" t="b">
        <f aca="false">IF(IFERROR(INDEX(tsk_Name,GanttView[[#This Row],[_Row]])="",TRUE()),FALSE(),INDEX(tsk_IsSummary,GanttView[[#This Row],[_Row]]))</f>
        <v>0</v>
      </c>
      <c r="O168" s="133" t="b">
        <f aca="false">IF(IFERROR(INDEX(tsk_Name,GanttView[[#This Row],[_Row]])="",TRUE()),FALSE(),AND(INDEX(tsk_IsLeaf,GanttView[[#This Row],[_Row]])=1,N(INDEX(tsk_Duration,GanttView[[#This Row],[_Row]]))=0))</f>
        <v>0</v>
      </c>
      <c r="P168" s="134" t="n">
        <f aca="false">IF(IFERROR(INDEX(tsk_Name,GanttView[[#This Row],[_Row]])="",TRUE()),0,IF(AND(INDEX(tsk_IsLeaf,GanttView[[#This Row],[_Row]])=1,NOT(GanttView[[#This Row],[_IsMilestone]]),N(GanttView[[#This Row],[%]])&gt;0),GanttView[[#This Row],[Forecast Start]],0))</f>
        <v>0</v>
      </c>
      <c r="Q168" s="134" t="n">
        <f aca="false">IF(GanttView[[#This Row],[_DoneFrom]]=0,0,IF(GanttView[[#This Row],[%]]&gt;=1,GanttView[[#This Row],[Forecast Finish]],MAX(GanttView[[#This Row],[_DoneFrom]],GanttView[[#This Row],[Forecast Start]]+ROUND((GanttView[[#This Row],[Forecast Finish]]-GanttView[[#This Row],[Forecast Start]]+1)*GanttView[[#This Row],[%]],0)-1)))</f>
        <v>0</v>
      </c>
      <c r="R168" s="134" t="n">
        <f aca="false">IF(IFERROR(INDEX(tsk_Name,GanttView[[#This Row],[_Row]])="",TRUE()),0,IF(OR(INDEX(tsk_IsLeaf,GanttView[[#This Row],[_Row]])&lt;&gt;1,GanttView[[#This Row],[_IsMilestone]],N(GanttView[[#This Row],[%]])&gt;=1),0,IF(GanttView[[#This Row],[_DoneTo]]&gt;0,GanttView[[#This Row],[_DoneTo]]+1,GanttView[[#This Row],[Forecast Start]])))</f>
        <v>0</v>
      </c>
      <c r="S168" s="134" t="n">
        <f aca="false">IF(GanttView[[#This Row],[_RemFrom]]=0,0,GanttView[[#This Row],[Forecast Finish]])</f>
        <v>0</v>
      </c>
      <c r="T168" s="133" t="b">
        <f aca="false">IF(IFERROR(INDEX(tsk_Name,GanttView[[#This Row],[_Row]])="",TRUE()),FALSE(),N(INDEX(tsk_Variance,GanttView[[#This Row],[_Row]]))&gt;0)</f>
        <v>0</v>
      </c>
      <c r="U168" s="134" t="n">
        <f aca="false">IF(IFERROR(INDEX(tsk_Name,GanttView[[#This Row],[_Row]])="",TRUE()),0,N(INDEX(tsk_Deadline,GanttView[[#This Row],[_Row]])))</f>
        <v>0</v>
      </c>
      <c r="V168" s="133" t="b">
        <f aca="false">IF(IFERROR(INDEX(tsk_Name,GanttView[[#This Row],[_Row]])="",TRUE()),FALSE(),INDEX(tsk_Critical,GanttView[[#This Row],[_Row]])="Yes")</f>
        <v>0</v>
      </c>
    </row>
    <row r="169" customFormat="false" ht="15" hidden="false" customHeight="false" outlineLevel="0" collapsed="false">
      <c r="A169" s="127" t="str">
        <f aca="false">IF(IFERROR(INDEX(tsk_Name,GanttView[[#This Row],[_Row]])="",TRUE()),"",INDEX(tsk_ID,GanttView[[#This Row],[_Row]]))</f>
        <v/>
      </c>
      <c r="B169" s="127" t="str">
        <f aca="false">IF(IFERROR(INDEX(tsk_Name,GanttView[[#This Row],[_Row]])="",TRUE()),"",INDEX(tsk_WBS,GanttView[[#This Row],[_Row]]))</f>
        <v/>
      </c>
      <c r="C169" s="128" t="str">
        <f aca="false">IF(IFERROR(INDEX(tsk_Name,GanttView[[#This Row],[_Row]])="",TRUE()),"",REPT("    ",INDEX(tsk_Level,GanttView[[#This Row],[_Row]])-1)&amp;INDEX(tsk_Name,GanttView[[#This Row],[_Row]]))</f>
        <v/>
      </c>
      <c r="D169" s="127" t="str">
        <f aca="false">IF(IFERROR(INDEX(tsk_Name,GanttView[[#This Row],[_Row]])="",TRUE()),"",IF(INDEX(tsk_IsSummary,GanttView[[#This Row],[_Row]]),NETWORKDAYS.INTL(INDEX(tsk_FcStart,GanttView[[#This Row],[_Row]]),INDEX(tsk_FcFinish,GanttView[[#This Row],[_Row]]),WorkWeek,Holidays),N(INDEX(tsk_Duration,GanttView[[#This Row],[_Row]]))))</f>
        <v/>
      </c>
      <c r="E169" s="129" t="str">
        <f aca="false">IF(IFERROR(INDEX(tsk_Name,GanttView[[#This Row],[_Row]])="",TRUE()),"",INDEX(tsk_PlanStart,GanttView[[#This Row],[_Row]]))</f>
        <v/>
      </c>
      <c r="F169" s="129" t="str">
        <f aca="false">IF(IFERROR(INDEX(tsk_Name,GanttView[[#This Row],[_Row]])="",TRUE()),"",INDEX(tsk_PlanFinish,GanttView[[#This Row],[_Row]]))</f>
        <v/>
      </c>
      <c r="G169" s="129" t="str">
        <f aca="false">IF(IFERROR(INDEX(tsk_Name,GanttView[[#This Row],[_Row]])="",TRUE()),"",INDEX(tsk_FcStart,GanttView[[#This Row],[_Row]]))</f>
        <v/>
      </c>
      <c r="H169" s="129" t="str">
        <f aca="false">IF(IFERROR(INDEX(tsk_Name,GanttView[[#This Row],[_Row]])="",TRUE()),"",INDEX(tsk_FcFinish,GanttView[[#This Row],[_Row]]))</f>
        <v/>
      </c>
      <c r="I169" s="130" t="str">
        <f aca="false">IF(IFERROR(INDEX(tsk_Name,GanttView[[#This Row],[_Row]])="",TRUE()),"",INDEX(tsk_Progress,GanttView[[#This Row],[_Row]]))</f>
        <v/>
      </c>
      <c r="J169" s="128" t="str">
        <f aca="false">IF(IFERROR(INDEX(tsk_Name,GanttView[[#This Row],[_Row]])="",TRUE()),"",INDEX(tsk_ResourceNames,GanttView[[#This Row],[_Row]])&amp;"")</f>
        <v/>
      </c>
      <c r="K169" s="131" t="str">
        <f aca="false">IF(IFERROR(INDEX(tsk_Name,GanttView[[#This Row],[_Row]])="",TRUE()),"",INDEX(tsk_Status,GanttView[[#This Row],[_Row]]))</f>
        <v/>
      </c>
      <c r="L169" s="131" t="str">
        <f aca="false">IF(IFERROR(INDEX(tsk_Name,GanttView[[#This Row],[_Row]])="",TRUE()),"",INDEX(tsk_Show,GanttView[[#This Row],[_Row]])&amp;"")</f>
        <v/>
      </c>
      <c r="M169" s="132" t="n">
        <f aca="false">ROW()-ROW(GanttView[[#Headers],[ID]])</f>
        <v>164</v>
      </c>
      <c r="N169" s="133" t="b">
        <f aca="false">IF(IFERROR(INDEX(tsk_Name,GanttView[[#This Row],[_Row]])="",TRUE()),FALSE(),INDEX(tsk_IsSummary,GanttView[[#This Row],[_Row]]))</f>
        <v>0</v>
      </c>
      <c r="O169" s="133" t="b">
        <f aca="false">IF(IFERROR(INDEX(tsk_Name,GanttView[[#This Row],[_Row]])="",TRUE()),FALSE(),AND(INDEX(tsk_IsLeaf,GanttView[[#This Row],[_Row]])=1,N(INDEX(tsk_Duration,GanttView[[#This Row],[_Row]]))=0))</f>
        <v>0</v>
      </c>
      <c r="P169" s="134" t="n">
        <f aca="false">IF(IFERROR(INDEX(tsk_Name,GanttView[[#This Row],[_Row]])="",TRUE()),0,IF(AND(INDEX(tsk_IsLeaf,GanttView[[#This Row],[_Row]])=1,NOT(GanttView[[#This Row],[_IsMilestone]]),N(GanttView[[#This Row],[%]])&gt;0),GanttView[[#This Row],[Forecast Start]],0))</f>
        <v>0</v>
      </c>
      <c r="Q169" s="134" t="n">
        <f aca="false">IF(GanttView[[#This Row],[_DoneFrom]]=0,0,IF(GanttView[[#This Row],[%]]&gt;=1,GanttView[[#This Row],[Forecast Finish]],MAX(GanttView[[#This Row],[_DoneFrom]],GanttView[[#This Row],[Forecast Start]]+ROUND((GanttView[[#This Row],[Forecast Finish]]-GanttView[[#This Row],[Forecast Start]]+1)*GanttView[[#This Row],[%]],0)-1)))</f>
        <v>0</v>
      </c>
      <c r="R169" s="134" t="n">
        <f aca="false">IF(IFERROR(INDEX(tsk_Name,GanttView[[#This Row],[_Row]])="",TRUE()),0,IF(OR(INDEX(tsk_IsLeaf,GanttView[[#This Row],[_Row]])&lt;&gt;1,GanttView[[#This Row],[_IsMilestone]],N(GanttView[[#This Row],[%]])&gt;=1),0,IF(GanttView[[#This Row],[_DoneTo]]&gt;0,GanttView[[#This Row],[_DoneTo]]+1,GanttView[[#This Row],[Forecast Start]])))</f>
        <v>0</v>
      </c>
      <c r="S169" s="134" t="n">
        <f aca="false">IF(GanttView[[#This Row],[_RemFrom]]=0,0,GanttView[[#This Row],[Forecast Finish]])</f>
        <v>0</v>
      </c>
      <c r="T169" s="133" t="b">
        <f aca="false">IF(IFERROR(INDEX(tsk_Name,GanttView[[#This Row],[_Row]])="",TRUE()),FALSE(),N(INDEX(tsk_Variance,GanttView[[#This Row],[_Row]]))&gt;0)</f>
        <v>0</v>
      </c>
      <c r="U169" s="134" t="n">
        <f aca="false">IF(IFERROR(INDEX(tsk_Name,GanttView[[#This Row],[_Row]])="",TRUE()),0,N(INDEX(tsk_Deadline,GanttView[[#This Row],[_Row]])))</f>
        <v>0</v>
      </c>
      <c r="V169" s="133" t="b">
        <f aca="false">IF(IFERROR(INDEX(tsk_Name,GanttView[[#This Row],[_Row]])="",TRUE()),FALSE(),INDEX(tsk_Critical,GanttView[[#This Row],[_Row]])="Yes")</f>
        <v>0</v>
      </c>
    </row>
    <row r="170" customFormat="false" ht="15" hidden="false" customHeight="false" outlineLevel="0" collapsed="false">
      <c r="A170" s="127" t="str">
        <f aca="false">IF(IFERROR(INDEX(tsk_Name,GanttView[[#This Row],[_Row]])="",TRUE()),"",INDEX(tsk_ID,GanttView[[#This Row],[_Row]]))</f>
        <v/>
      </c>
      <c r="B170" s="127" t="str">
        <f aca="false">IF(IFERROR(INDEX(tsk_Name,GanttView[[#This Row],[_Row]])="",TRUE()),"",INDEX(tsk_WBS,GanttView[[#This Row],[_Row]]))</f>
        <v/>
      </c>
      <c r="C170" s="128" t="str">
        <f aca="false">IF(IFERROR(INDEX(tsk_Name,GanttView[[#This Row],[_Row]])="",TRUE()),"",REPT("    ",INDEX(tsk_Level,GanttView[[#This Row],[_Row]])-1)&amp;INDEX(tsk_Name,GanttView[[#This Row],[_Row]]))</f>
        <v/>
      </c>
      <c r="D170" s="127" t="str">
        <f aca="false">IF(IFERROR(INDEX(tsk_Name,GanttView[[#This Row],[_Row]])="",TRUE()),"",IF(INDEX(tsk_IsSummary,GanttView[[#This Row],[_Row]]),NETWORKDAYS.INTL(INDEX(tsk_FcStart,GanttView[[#This Row],[_Row]]),INDEX(tsk_FcFinish,GanttView[[#This Row],[_Row]]),WorkWeek,Holidays),N(INDEX(tsk_Duration,GanttView[[#This Row],[_Row]]))))</f>
        <v/>
      </c>
      <c r="E170" s="129" t="str">
        <f aca="false">IF(IFERROR(INDEX(tsk_Name,GanttView[[#This Row],[_Row]])="",TRUE()),"",INDEX(tsk_PlanStart,GanttView[[#This Row],[_Row]]))</f>
        <v/>
      </c>
      <c r="F170" s="129" t="str">
        <f aca="false">IF(IFERROR(INDEX(tsk_Name,GanttView[[#This Row],[_Row]])="",TRUE()),"",INDEX(tsk_PlanFinish,GanttView[[#This Row],[_Row]]))</f>
        <v/>
      </c>
      <c r="G170" s="129" t="str">
        <f aca="false">IF(IFERROR(INDEX(tsk_Name,GanttView[[#This Row],[_Row]])="",TRUE()),"",INDEX(tsk_FcStart,GanttView[[#This Row],[_Row]]))</f>
        <v/>
      </c>
      <c r="H170" s="129" t="str">
        <f aca="false">IF(IFERROR(INDEX(tsk_Name,GanttView[[#This Row],[_Row]])="",TRUE()),"",INDEX(tsk_FcFinish,GanttView[[#This Row],[_Row]]))</f>
        <v/>
      </c>
      <c r="I170" s="130" t="str">
        <f aca="false">IF(IFERROR(INDEX(tsk_Name,GanttView[[#This Row],[_Row]])="",TRUE()),"",INDEX(tsk_Progress,GanttView[[#This Row],[_Row]]))</f>
        <v/>
      </c>
      <c r="J170" s="128" t="str">
        <f aca="false">IF(IFERROR(INDEX(tsk_Name,GanttView[[#This Row],[_Row]])="",TRUE()),"",INDEX(tsk_ResourceNames,GanttView[[#This Row],[_Row]])&amp;"")</f>
        <v/>
      </c>
      <c r="K170" s="131" t="str">
        <f aca="false">IF(IFERROR(INDEX(tsk_Name,GanttView[[#This Row],[_Row]])="",TRUE()),"",INDEX(tsk_Status,GanttView[[#This Row],[_Row]]))</f>
        <v/>
      </c>
      <c r="L170" s="131" t="str">
        <f aca="false">IF(IFERROR(INDEX(tsk_Name,GanttView[[#This Row],[_Row]])="",TRUE()),"",INDEX(tsk_Show,GanttView[[#This Row],[_Row]])&amp;"")</f>
        <v/>
      </c>
      <c r="M170" s="132" t="n">
        <f aca="false">ROW()-ROW(GanttView[[#Headers],[ID]])</f>
        <v>165</v>
      </c>
      <c r="N170" s="133" t="b">
        <f aca="false">IF(IFERROR(INDEX(tsk_Name,GanttView[[#This Row],[_Row]])="",TRUE()),FALSE(),INDEX(tsk_IsSummary,GanttView[[#This Row],[_Row]]))</f>
        <v>0</v>
      </c>
      <c r="O170" s="133" t="b">
        <f aca="false">IF(IFERROR(INDEX(tsk_Name,GanttView[[#This Row],[_Row]])="",TRUE()),FALSE(),AND(INDEX(tsk_IsLeaf,GanttView[[#This Row],[_Row]])=1,N(INDEX(tsk_Duration,GanttView[[#This Row],[_Row]]))=0))</f>
        <v>0</v>
      </c>
      <c r="P170" s="134" t="n">
        <f aca="false">IF(IFERROR(INDEX(tsk_Name,GanttView[[#This Row],[_Row]])="",TRUE()),0,IF(AND(INDEX(tsk_IsLeaf,GanttView[[#This Row],[_Row]])=1,NOT(GanttView[[#This Row],[_IsMilestone]]),N(GanttView[[#This Row],[%]])&gt;0),GanttView[[#This Row],[Forecast Start]],0))</f>
        <v>0</v>
      </c>
      <c r="Q170" s="134" t="n">
        <f aca="false">IF(GanttView[[#This Row],[_DoneFrom]]=0,0,IF(GanttView[[#This Row],[%]]&gt;=1,GanttView[[#This Row],[Forecast Finish]],MAX(GanttView[[#This Row],[_DoneFrom]],GanttView[[#This Row],[Forecast Start]]+ROUND((GanttView[[#This Row],[Forecast Finish]]-GanttView[[#This Row],[Forecast Start]]+1)*GanttView[[#This Row],[%]],0)-1)))</f>
        <v>0</v>
      </c>
      <c r="R170" s="134" t="n">
        <f aca="false">IF(IFERROR(INDEX(tsk_Name,GanttView[[#This Row],[_Row]])="",TRUE()),0,IF(OR(INDEX(tsk_IsLeaf,GanttView[[#This Row],[_Row]])&lt;&gt;1,GanttView[[#This Row],[_IsMilestone]],N(GanttView[[#This Row],[%]])&gt;=1),0,IF(GanttView[[#This Row],[_DoneTo]]&gt;0,GanttView[[#This Row],[_DoneTo]]+1,GanttView[[#This Row],[Forecast Start]])))</f>
        <v>0</v>
      </c>
      <c r="S170" s="134" t="n">
        <f aca="false">IF(GanttView[[#This Row],[_RemFrom]]=0,0,GanttView[[#This Row],[Forecast Finish]])</f>
        <v>0</v>
      </c>
      <c r="T170" s="133" t="b">
        <f aca="false">IF(IFERROR(INDEX(tsk_Name,GanttView[[#This Row],[_Row]])="",TRUE()),FALSE(),N(INDEX(tsk_Variance,GanttView[[#This Row],[_Row]]))&gt;0)</f>
        <v>0</v>
      </c>
      <c r="U170" s="134" t="n">
        <f aca="false">IF(IFERROR(INDEX(tsk_Name,GanttView[[#This Row],[_Row]])="",TRUE()),0,N(INDEX(tsk_Deadline,GanttView[[#This Row],[_Row]])))</f>
        <v>0</v>
      </c>
      <c r="V170" s="133" t="b">
        <f aca="false">IF(IFERROR(INDEX(tsk_Name,GanttView[[#This Row],[_Row]])="",TRUE()),FALSE(),INDEX(tsk_Critical,GanttView[[#This Row],[_Row]])="Yes")</f>
        <v>0</v>
      </c>
    </row>
    <row r="171" customFormat="false" ht="15" hidden="false" customHeight="false" outlineLevel="0" collapsed="false">
      <c r="A171" s="127" t="str">
        <f aca="false">IF(IFERROR(INDEX(tsk_Name,GanttView[[#This Row],[_Row]])="",TRUE()),"",INDEX(tsk_ID,GanttView[[#This Row],[_Row]]))</f>
        <v/>
      </c>
      <c r="B171" s="127" t="str">
        <f aca="false">IF(IFERROR(INDEX(tsk_Name,GanttView[[#This Row],[_Row]])="",TRUE()),"",INDEX(tsk_WBS,GanttView[[#This Row],[_Row]]))</f>
        <v/>
      </c>
      <c r="C171" s="128" t="str">
        <f aca="false">IF(IFERROR(INDEX(tsk_Name,GanttView[[#This Row],[_Row]])="",TRUE()),"",REPT("    ",INDEX(tsk_Level,GanttView[[#This Row],[_Row]])-1)&amp;INDEX(tsk_Name,GanttView[[#This Row],[_Row]]))</f>
        <v/>
      </c>
      <c r="D171" s="127" t="str">
        <f aca="false">IF(IFERROR(INDEX(tsk_Name,GanttView[[#This Row],[_Row]])="",TRUE()),"",IF(INDEX(tsk_IsSummary,GanttView[[#This Row],[_Row]]),NETWORKDAYS.INTL(INDEX(tsk_FcStart,GanttView[[#This Row],[_Row]]),INDEX(tsk_FcFinish,GanttView[[#This Row],[_Row]]),WorkWeek,Holidays),N(INDEX(tsk_Duration,GanttView[[#This Row],[_Row]]))))</f>
        <v/>
      </c>
      <c r="E171" s="129" t="str">
        <f aca="false">IF(IFERROR(INDEX(tsk_Name,GanttView[[#This Row],[_Row]])="",TRUE()),"",INDEX(tsk_PlanStart,GanttView[[#This Row],[_Row]]))</f>
        <v/>
      </c>
      <c r="F171" s="129" t="str">
        <f aca="false">IF(IFERROR(INDEX(tsk_Name,GanttView[[#This Row],[_Row]])="",TRUE()),"",INDEX(tsk_PlanFinish,GanttView[[#This Row],[_Row]]))</f>
        <v/>
      </c>
      <c r="G171" s="129" t="str">
        <f aca="false">IF(IFERROR(INDEX(tsk_Name,GanttView[[#This Row],[_Row]])="",TRUE()),"",INDEX(tsk_FcStart,GanttView[[#This Row],[_Row]]))</f>
        <v/>
      </c>
      <c r="H171" s="129" t="str">
        <f aca="false">IF(IFERROR(INDEX(tsk_Name,GanttView[[#This Row],[_Row]])="",TRUE()),"",INDEX(tsk_FcFinish,GanttView[[#This Row],[_Row]]))</f>
        <v/>
      </c>
      <c r="I171" s="130" t="str">
        <f aca="false">IF(IFERROR(INDEX(tsk_Name,GanttView[[#This Row],[_Row]])="",TRUE()),"",INDEX(tsk_Progress,GanttView[[#This Row],[_Row]]))</f>
        <v/>
      </c>
      <c r="J171" s="128" t="str">
        <f aca="false">IF(IFERROR(INDEX(tsk_Name,GanttView[[#This Row],[_Row]])="",TRUE()),"",INDEX(tsk_ResourceNames,GanttView[[#This Row],[_Row]])&amp;"")</f>
        <v/>
      </c>
      <c r="K171" s="131" t="str">
        <f aca="false">IF(IFERROR(INDEX(tsk_Name,GanttView[[#This Row],[_Row]])="",TRUE()),"",INDEX(tsk_Status,GanttView[[#This Row],[_Row]]))</f>
        <v/>
      </c>
      <c r="L171" s="131" t="str">
        <f aca="false">IF(IFERROR(INDEX(tsk_Name,GanttView[[#This Row],[_Row]])="",TRUE()),"",INDEX(tsk_Show,GanttView[[#This Row],[_Row]])&amp;"")</f>
        <v/>
      </c>
      <c r="M171" s="132" t="n">
        <f aca="false">ROW()-ROW(GanttView[[#Headers],[ID]])</f>
        <v>166</v>
      </c>
      <c r="N171" s="133" t="b">
        <f aca="false">IF(IFERROR(INDEX(tsk_Name,GanttView[[#This Row],[_Row]])="",TRUE()),FALSE(),INDEX(tsk_IsSummary,GanttView[[#This Row],[_Row]]))</f>
        <v>0</v>
      </c>
      <c r="O171" s="133" t="b">
        <f aca="false">IF(IFERROR(INDEX(tsk_Name,GanttView[[#This Row],[_Row]])="",TRUE()),FALSE(),AND(INDEX(tsk_IsLeaf,GanttView[[#This Row],[_Row]])=1,N(INDEX(tsk_Duration,GanttView[[#This Row],[_Row]]))=0))</f>
        <v>0</v>
      </c>
      <c r="P171" s="134" t="n">
        <f aca="false">IF(IFERROR(INDEX(tsk_Name,GanttView[[#This Row],[_Row]])="",TRUE()),0,IF(AND(INDEX(tsk_IsLeaf,GanttView[[#This Row],[_Row]])=1,NOT(GanttView[[#This Row],[_IsMilestone]]),N(GanttView[[#This Row],[%]])&gt;0),GanttView[[#This Row],[Forecast Start]],0))</f>
        <v>0</v>
      </c>
      <c r="Q171" s="134" t="n">
        <f aca="false">IF(GanttView[[#This Row],[_DoneFrom]]=0,0,IF(GanttView[[#This Row],[%]]&gt;=1,GanttView[[#This Row],[Forecast Finish]],MAX(GanttView[[#This Row],[_DoneFrom]],GanttView[[#This Row],[Forecast Start]]+ROUND((GanttView[[#This Row],[Forecast Finish]]-GanttView[[#This Row],[Forecast Start]]+1)*GanttView[[#This Row],[%]],0)-1)))</f>
        <v>0</v>
      </c>
      <c r="R171" s="134" t="n">
        <f aca="false">IF(IFERROR(INDEX(tsk_Name,GanttView[[#This Row],[_Row]])="",TRUE()),0,IF(OR(INDEX(tsk_IsLeaf,GanttView[[#This Row],[_Row]])&lt;&gt;1,GanttView[[#This Row],[_IsMilestone]],N(GanttView[[#This Row],[%]])&gt;=1),0,IF(GanttView[[#This Row],[_DoneTo]]&gt;0,GanttView[[#This Row],[_DoneTo]]+1,GanttView[[#This Row],[Forecast Start]])))</f>
        <v>0</v>
      </c>
      <c r="S171" s="134" t="n">
        <f aca="false">IF(GanttView[[#This Row],[_RemFrom]]=0,0,GanttView[[#This Row],[Forecast Finish]])</f>
        <v>0</v>
      </c>
      <c r="T171" s="133" t="b">
        <f aca="false">IF(IFERROR(INDEX(tsk_Name,GanttView[[#This Row],[_Row]])="",TRUE()),FALSE(),N(INDEX(tsk_Variance,GanttView[[#This Row],[_Row]]))&gt;0)</f>
        <v>0</v>
      </c>
      <c r="U171" s="134" t="n">
        <f aca="false">IF(IFERROR(INDEX(tsk_Name,GanttView[[#This Row],[_Row]])="",TRUE()),0,N(INDEX(tsk_Deadline,GanttView[[#This Row],[_Row]])))</f>
        <v>0</v>
      </c>
      <c r="V171" s="133" t="b">
        <f aca="false">IF(IFERROR(INDEX(tsk_Name,GanttView[[#This Row],[_Row]])="",TRUE()),FALSE(),INDEX(tsk_Critical,GanttView[[#This Row],[_Row]])="Yes")</f>
        <v>0</v>
      </c>
    </row>
    <row r="172" customFormat="false" ht="15" hidden="false" customHeight="false" outlineLevel="0" collapsed="false">
      <c r="A172" s="127" t="str">
        <f aca="false">IF(IFERROR(INDEX(tsk_Name,GanttView[[#This Row],[_Row]])="",TRUE()),"",INDEX(tsk_ID,GanttView[[#This Row],[_Row]]))</f>
        <v/>
      </c>
      <c r="B172" s="127" t="str">
        <f aca="false">IF(IFERROR(INDEX(tsk_Name,GanttView[[#This Row],[_Row]])="",TRUE()),"",INDEX(tsk_WBS,GanttView[[#This Row],[_Row]]))</f>
        <v/>
      </c>
      <c r="C172" s="128" t="str">
        <f aca="false">IF(IFERROR(INDEX(tsk_Name,GanttView[[#This Row],[_Row]])="",TRUE()),"",REPT("    ",INDEX(tsk_Level,GanttView[[#This Row],[_Row]])-1)&amp;INDEX(tsk_Name,GanttView[[#This Row],[_Row]]))</f>
        <v/>
      </c>
      <c r="D172" s="127" t="str">
        <f aca="false">IF(IFERROR(INDEX(tsk_Name,GanttView[[#This Row],[_Row]])="",TRUE()),"",IF(INDEX(tsk_IsSummary,GanttView[[#This Row],[_Row]]),NETWORKDAYS.INTL(INDEX(tsk_FcStart,GanttView[[#This Row],[_Row]]),INDEX(tsk_FcFinish,GanttView[[#This Row],[_Row]]),WorkWeek,Holidays),N(INDEX(tsk_Duration,GanttView[[#This Row],[_Row]]))))</f>
        <v/>
      </c>
      <c r="E172" s="129" t="str">
        <f aca="false">IF(IFERROR(INDEX(tsk_Name,GanttView[[#This Row],[_Row]])="",TRUE()),"",INDEX(tsk_PlanStart,GanttView[[#This Row],[_Row]]))</f>
        <v/>
      </c>
      <c r="F172" s="129" t="str">
        <f aca="false">IF(IFERROR(INDEX(tsk_Name,GanttView[[#This Row],[_Row]])="",TRUE()),"",INDEX(tsk_PlanFinish,GanttView[[#This Row],[_Row]]))</f>
        <v/>
      </c>
      <c r="G172" s="129" t="str">
        <f aca="false">IF(IFERROR(INDEX(tsk_Name,GanttView[[#This Row],[_Row]])="",TRUE()),"",INDEX(tsk_FcStart,GanttView[[#This Row],[_Row]]))</f>
        <v/>
      </c>
      <c r="H172" s="129" t="str">
        <f aca="false">IF(IFERROR(INDEX(tsk_Name,GanttView[[#This Row],[_Row]])="",TRUE()),"",INDEX(tsk_FcFinish,GanttView[[#This Row],[_Row]]))</f>
        <v/>
      </c>
      <c r="I172" s="130" t="str">
        <f aca="false">IF(IFERROR(INDEX(tsk_Name,GanttView[[#This Row],[_Row]])="",TRUE()),"",INDEX(tsk_Progress,GanttView[[#This Row],[_Row]]))</f>
        <v/>
      </c>
      <c r="J172" s="128" t="str">
        <f aca="false">IF(IFERROR(INDEX(tsk_Name,GanttView[[#This Row],[_Row]])="",TRUE()),"",INDEX(tsk_ResourceNames,GanttView[[#This Row],[_Row]])&amp;"")</f>
        <v/>
      </c>
      <c r="K172" s="131" t="str">
        <f aca="false">IF(IFERROR(INDEX(tsk_Name,GanttView[[#This Row],[_Row]])="",TRUE()),"",INDEX(tsk_Status,GanttView[[#This Row],[_Row]]))</f>
        <v/>
      </c>
      <c r="L172" s="131" t="str">
        <f aca="false">IF(IFERROR(INDEX(tsk_Name,GanttView[[#This Row],[_Row]])="",TRUE()),"",INDEX(tsk_Show,GanttView[[#This Row],[_Row]])&amp;"")</f>
        <v/>
      </c>
      <c r="M172" s="132" t="n">
        <f aca="false">ROW()-ROW(GanttView[[#Headers],[ID]])</f>
        <v>167</v>
      </c>
      <c r="N172" s="133" t="b">
        <f aca="false">IF(IFERROR(INDEX(tsk_Name,GanttView[[#This Row],[_Row]])="",TRUE()),FALSE(),INDEX(tsk_IsSummary,GanttView[[#This Row],[_Row]]))</f>
        <v>0</v>
      </c>
      <c r="O172" s="133" t="b">
        <f aca="false">IF(IFERROR(INDEX(tsk_Name,GanttView[[#This Row],[_Row]])="",TRUE()),FALSE(),AND(INDEX(tsk_IsLeaf,GanttView[[#This Row],[_Row]])=1,N(INDEX(tsk_Duration,GanttView[[#This Row],[_Row]]))=0))</f>
        <v>0</v>
      </c>
      <c r="P172" s="134" t="n">
        <f aca="false">IF(IFERROR(INDEX(tsk_Name,GanttView[[#This Row],[_Row]])="",TRUE()),0,IF(AND(INDEX(tsk_IsLeaf,GanttView[[#This Row],[_Row]])=1,NOT(GanttView[[#This Row],[_IsMilestone]]),N(GanttView[[#This Row],[%]])&gt;0),GanttView[[#This Row],[Forecast Start]],0))</f>
        <v>0</v>
      </c>
      <c r="Q172" s="134" t="n">
        <f aca="false">IF(GanttView[[#This Row],[_DoneFrom]]=0,0,IF(GanttView[[#This Row],[%]]&gt;=1,GanttView[[#This Row],[Forecast Finish]],MAX(GanttView[[#This Row],[_DoneFrom]],GanttView[[#This Row],[Forecast Start]]+ROUND((GanttView[[#This Row],[Forecast Finish]]-GanttView[[#This Row],[Forecast Start]]+1)*GanttView[[#This Row],[%]],0)-1)))</f>
        <v>0</v>
      </c>
      <c r="R172" s="134" t="n">
        <f aca="false">IF(IFERROR(INDEX(tsk_Name,GanttView[[#This Row],[_Row]])="",TRUE()),0,IF(OR(INDEX(tsk_IsLeaf,GanttView[[#This Row],[_Row]])&lt;&gt;1,GanttView[[#This Row],[_IsMilestone]],N(GanttView[[#This Row],[%]])&gt;=1),0,IF(GanttView[[#This Row],[_DoneTo]]&gt;0,GanttView[[#This Row],[_DoneTo]]+1,GanttView[[#This Row],[Forecast Start]])))</f>
        <v>0</v>
      </c>
      <c r="S172" s="134" t="n">
        <f aca="false">IF(GanttView[[#This Row],[_RemFrom]]=0,0,GanttView[[#This Row],[Forecast Finish]])</f>
        <v>0</v>
      </c>
      <c r="T172" s="133" t="b">
        <f aca="false">IF(IFERROR(INDEX(tsk_Name,GanttView[[#This Row],[_Row]])="",TRUE()),FALSE(),N(INDEX(tsk_Variance,GanttView[[#This Row],[_Row]]))&gt;0)</f>
        <v>0</v>
      </c>
      <c r="U172" s="134" t="n">
        <f aca="false">IF(IFERROR(INDEX(tsk_Name,GanttView[[#This Row],[_Row]])="",TRUE()),0,N(INDEX(tsk_Deadline,GanttView[[#This Row],[_Row]])))</f>
        <v>0</v>
      </c>
      <c r="V172" s="133" t="b">
        <f aca="false">IF(IFERROR(INDEX(tsk_Name,GanttView[[#This Row],[_Row]])="",TRUE()),FALSE(),INDEX(tsk_Critical,GanttView[[#This Row],[_Row]])="Yes")</f>
        <v>0</v>
      </c>
    </row>
    <row r="173" customFormat="false" ht="15" hidden="false" customHeight="false" outlineLevel="0" collapsed="false">
      <c r="A173" s="127" t="str">
        <f aca="false">IF(IFERROR(INDEX(tsk_Name,GanttView[[#This Row],[_Row]])="",TRUE()),"",INDEX(tsk_ID,GanttView[[#This Row],[_Row]]))</f>
        <v/>
      </c>
      <c r="B173" s="127" t="str">
        <f aca="false">IF(IFERROR(INDEX(tsk_Name,GanttView[[#This Row],[_Row]])="",TRUE()),"",INDEX(tsk_WBS,GanttView[[#This Row],[_Row]]))</f>
        <v/>
      </c>
      <c r="C173" s="128" t="str">
        <f aca="false">IF(IFERROR(INDEX(tsk_Name,GanttView[[#This Row],[_Row]])="",TRUE()),"",REPT("    ",INDEX(tsk_Level,GanttView[[#This Row],[_Row]])-1)&amp;INDEX(tsk_Name,GanttView[[#This Row],[_Row]]))</f>
        <v/>
      </c>
      <c r="D173" s="127" t="str">
        <f aca="false">IF(IFERROR(INDEX(tsk_Name,GanttView[[#This Row],[_Row]])="",TRUE()),"",IF(INDEX(tsk_IsSummary,GanttView[[#This Row],[_Row]]),NETWORKDAYS.INTL(INDEX(tsk_FcStart,GanttView[[#This Row],[_Row]]),INDEX(tsk_FcFinish,GanttView[[#This Row],[_Row]]),WorkWeek,Holidays),N(INDEX(tsk_Duration,GanttView[[#This Row],[_Row]]))))</f>
        <v/>
      </c>
      <c r="E173" s="129" t="str">
        <f aca="false">IF(IFERROR(INDEX(tsk_Name,GanttView[[#This Row],[_Row]])="",TRUE()),"",INDEX(tsk_PlanStart,GanttView[[#This Row],[_Row]]))</f>
        <v/>
      </c>
      <c r="F173" s="129" t="str">
        <f aca="false">IF(IFERROR(INDEX(tsk_Name,GanttView[[#This Row],[_Row]])="",TRUE()),"",INDEX(tsk_PlanFinish,GanttView[[#This Row],[_Row]]))</f>
        <v/>
      </c>
      <c r="G173" s="129" t="str">
        <f aca="false">IF(IFERROR(INDEX(tsk_Name,GanttView[[#This Row],[_Row]])="",TRUE()),"",INDEX(tsk_FcStart,GanttView[[#This Row],[_Row]]))</f>
        <v/>
      </c>
      <c r="H173" s="129" t="str">
        <f aca="false">IF(IFERROR(INDEX(tsk_Name,GanttView[[#This Row],[_Row]])="",TRUE()),"",INDEX(tsk_FcFinish,GanttView[[#This Row],[_Row]]))</f>
        <v/>
      </c>
      <c r="I173" s="130" t="str">
        <f aca="false">IF(IFERROR(INDEX(tsk_Name,GanttView[[#This Row],[_Row]])="",TRUE()),"",INDEX(tsk_Progress,GanttView[[#This Row],[_Row]]))</f>
        <v/>
      </c>
      <c r="J173" s="128" t="str">
        <f aca="false">IF(IFERROR(INDEX(tsk_Name,GanttView[[#This Row],[_Row]])="",TRUE()),"",INDEX(tsk_ResourceNames,GanttView[[#This Row],[_Row]])&amp;"")</f>
        <v/>
      </c>
      <c r="K173" s="131" t="str">
        <f aca="false">IF(IFERROR(INDEX(tsk_Name,GanttView[[#This Row],[_Row]])="",TRUE()),"",INDEX(tsk_Status,GanttView[[#This Row],[_Row]]))</f>
        <v/>
      </c>
      <c r="L173" s="131" t="str">
        <f aca="false">IF(IFERROR(INDEX(tsk_Name,GanttView[[#This Row],[_Row]])="",TRUE()),"",INDEX(tsk_Show,GanttView[[#This Row],[_Row]])&amp;"")</f>
        <v/>
      </c>
      <c r="M173" s="132" t="n">
        <f aca="false">ROW()-ROW(GanttView[[#Headers],[ID]])</f>
        <v>168</v>
      </c>
      <c r="N173" s="133" t="b">
        <f aca="false">IF(IFERROR(INDEX(tsk_Name,GanttView[[#This Row],[_Row]])="",TRUE()),FALSE(),INDEX(tsk_IsSummary,GanttView[[#This Row],[_Row]]))</f>
        <v>0</v>
      </c>
      <c r="O173" s="133" t="b">
        <f aca="false">IF(IFERROR(INDEX(tsk_Name,GanttView[[#This Row],[_Row]])="",TRUE()),FALSE(),AND(INDEX(tsk_IsLeaf,GanttView[[#This Row],[_Row]])=1,N(INDEX(tsk_Duration,GanttView[[#This Row],[_Row]]))=0))</f>
        <v>0</v>
      </c>
      <c r="P173" s="134" t="n">
        <f aca="false">IF(IFERROR(INDEX(tsk_Name,GanttView[[#This Row],[_Row]])="",TRUE()),0,IF(AND(INDEX(tsk_IsLeaf,GanttView[[#This Row],[_Row]])=1,NOT(GanttView[[#This Row],[_IsMilestone]]),N(GanttView[[#This Row],[%]])&gt;0),GanttView[[#This Row],[Forecast Start]],0))</f>
        <v>0</v>
      </c>
      <c r="Q173" s="134" t="n">
        <f aca="false">IF(GanttView[[#This Row],[_DoneFrom]]=0,0,IF(GanttView[[#This Row],[%]]&gt;=1,GanttView[[#This Row],[Forecast Finish]],MAX(GanttView[[#This Row],[_DoneFrom]],GanttView[[#This Row],[Forecast Start]]+ROUND((GanttView[[#This Row],[Forecast Finish]]-GanttView[[#This Row],[Forecast Start]]+1)*GanttView[[#This Row],[%]],0)-1)))</f>
        <v>0</v>
      </c>
      <c r="R173" s="134" t="n">
        <f aca="false">IF(IFERROR(INDEX(tsk_Name,GanttView[[#This Row],[_Row]])="",TRUE()),0,IF(OR(INDEX(tsk_IsLeaf,GanttView[[#This Row],[_Row]])&lt;&gt;1,GanttView[[#This Row],[_IsMilestone]],N(GanttView[[#This Row],[%]])&gt;=1),0,IF(GanttView[[#This Row],[_DoneTo]]&gt;0,GanttView[[#This Row],[_DoneTo]]+1,GanttView[[#This Row],[Forecast Start]])))</f>
        <v>0</v>
      </c>
      <c r="S173" s="134" t="n">
        <f aca="false">IF(GanttView[[#This Row],[_RemFrom]]=0,0,GanttView[[#This Row],[Forecast Finish]])</f>
        <v>0</v>
      </c>
      <c r="T173" s="133" t="b">
        <f aca="false">IF(IFERROR(INDEX(tsk_Name,GanttView[[#This Row],[_Row]])="",TRUE()),FALSE(),N(INDEX(tsk_Variance,GanttView[[#This Row],[_Row]]))&gt;0)</f>
        <v>0</v>
      </c>
      <c r="U173" s="134" t="n">
        <f aca="false">IF(IFERROR(INDEX(tsk_Name,GanttView[[#This Row],[_Row]])="",TRUE()),0,N(INDEX(tsk_Deadline,GanttView[[#This Row],[_Row]])))</f>
        <v>0</v>
      </c>
      <c r="V173" s="133" t="b">
        <f aca="false">IF(IFERROR(INDEX(tsk_Name,GanttView[[#This Row],[_Row]])="",TRUE()),FALSE(),INDEX(tsk_Critical,GanttView[[#This Row],[_Row]])="Yes")</f>
        <v>0</v>
      </c>
    </row>
    <row r="174" customFormat="false" ht="15" hidden="false" customHeight="false" outlineLevel="0" collapsed="false">
      <c r="A174" s="127" t="str">
        <f aca="false">IF(IFERROR(INDEX(tsk_Name,GanttView[[#This Row],[_Row]])="",TRUE()),"",INDEX(tsk_ID,GanttView[[#This Row],[_Row]]))</f>
        <v/>
      </c>
      <c r="B174" s="127" t="str">
        <f aca="false">IF(IFERROR(INDEX(tsk_Name,GanttView[[#This Row],[_Row]])="",TRUE()),"",INDEX(tsk_WBS,GanttView[[#This Row],[_Row]]))</f>
        <v/>
      </c>
      <c r="C174" s="128" t="str">
        <f aca="false">IF(IFERROR(INDEX(tsk_Name,GanttView[[#This Row],[_Row]])="",TRUE()),"",REPT("    ",INDEX(tsk_Level,GanttView[[#This Row],[_Row]])-1)&amp;INDEX(tsk_Name,GanttView[[#This Row],[_Row]]))</f>
        <v/>
      </c>
      <c r="D174" s="127" t="str">
        <f aca="false">IF(IFERROR(INDEX(tsk_Name,GanttView[[#This Row],[_Row]])="",TRUE()),"",IF(INDEX(tsk_IsSummary,GanttView[[#This Row],[_Row]]),NETWORKDAYS.INTL(INDEX(tsk_FcStart,GanttView[[#This Row],[_Row]]),INDEX(tsk_FcFinish,GanttView[[#This Row],[_Row]]),WorkWeek,Holidays),N(INDEX(tsk_Duration,GanttView[[#This Row],[_Row]]))))</f>
        <v/>
      </c>
      <c r="E174" s="129" t="str">
        <f aca="false">IF(IFERROR(INDEX(tsk_Name,GanttView[[#This Row],[_Row]])="",TRUE()),"",INDEX(tsk_PlanStart,GanttView[[#This Row],[_Row]]))</f>
        <v/>
      </c>
      <c r="F174" s="129" t="str">
        <f aca="false">IF(IFERROR(INDEX(tsk_Name,GanttView[[#This Row],[_Row]])="",TRUE()),"",INDEX(tsk_PlanFinish,GanttView[[#This Row],[_Row]]))</f>
        <v/>
      </c>
      <c r="G174" s="129" t="str">
        <f aca="false">IF(IFERROR(INDEX(tsk_Name,GanttView[[#This Row],[_Row]])="",TRUE()),"",INDEX(tsk_FcStart,GanttView[[#This Row],[_Row]]))</f>
        <v/>
      </c>
      <c r="H174" s="129" t="str">
        <f aca="false">IF(IFERROR(INDEX(tsk_Name,GanttView[[#This Row],[_Row]])="",TRUE()),"",INDEX(tsk_FcFinish,GanttView[[#This Row],[_Row]]))</f>
        <v/>
      </c>
      <c r="I174" s="130" t="str">
        <f aca="false">IF(IFERROR(INDEX(tsk_Name,GanttView[[#This Row],[_Row]])="",TRUE()),"",INDEX(tsk_Progress,GanttView[[#This Row],[_Row]]))</f>
        <v/>
      </c>
      <c r="J174" s="128" t="str">
        <f aca="false">IF(IFERROR(INDEX(tsk_Name,GanttView[[#This Row],[_Row]])="",TRUE()),"",INDEX(tsk_ResourceNames,GanttView[[#This Row],[_Row]])&amp;"")</f>
        <v/>
      </c>
      <c r="K174" s="131" t="str">
        <f aca="false">IF(IFERROR(INDEX(tsk_Name,GanttView[[#This Row],[_Row]])="",TRUE()),"",INDEX(tsk_Status,GanttView[[#This Row],[_Row]]))</f>
        <v/>
      </c>
      <c r="L174" s="131" t="str">
        <f aca="false">IF(IFERROR(INDEX(tsk_Name,GanttView[[#This Row],[_Row]])="",TRUE()),"",INDEX(tsk_Show,GanttView[[#This Row],[_Row]])&amp;"")</f>
        <v/>
      </c>
      <c r="M174" s="132" t="n">
        <f aca="false">ROW()-ROW(GanttView[[#Headers],[ID]])</f>
        <v>169</v>
      </c>
      <c r="N174" s="133" t="b">
        <f aca="false">IF(IFERROR(INDEX(tsk_Name,GanttView[[#This Row],[_Row]])="",TRUE()),FALSE(),INDEX(tsk_IsSummary,GanttView[[#This Row],[_Row]]))</f>
        <v>0</v>
      </c>
      <c r="O174" s="133" t="b">
        <f aca="false">IF(IFERROR(INDEX(tsk_Name,GanttView[[#This Row],[_Row]])="",TRUE()),FALSE(),AND(INDEX(tsk_IsLeaf,GanttView[[#This Row],[_Row]])=1,N(INDEX(tsk_Duration,GanttView[[#This Row],[_Row]]))=0))</f>
        <v>0</v>
      </c>
      <c r="P174" s="134" t="n">
        <f aca="false">IF(IFERROR(INDEX(tsk_Name,GanttView[[#This Row],[_Row]])="",TRUE()),0,IF(AND(INDEX(tsk_IsLeaf,GanttView[[#This Row],[_Row]])=1,NOT(GanttView[[#This Row],[_IsMilestone]]),N(GanttView[[#This Row],[%]])&gt;0),GanttView[[#This Row],[Forecast Start]],0))</f>
        <v>0</v>
      </c>
      <c r="Q174" s="134" t="n">
        <f aca="false">IF(GanttView[[#This Row],[_DoneFrom]]=0,0,IF(GanttView[[#This Row],[%]]&gt;=1,GanttView[[#This Row],[Forecast Finish]],MAX(GanttView[[#This Row],[_DoneFrom]],GanttView[[#This Row],[Forecast Start]]+ROUND((GanttView[[#This Row],[Forecast Finish]]-GanttView[[#This Row],[Forecast Start]]+1)*GanttView[[#This Row],[%]],0)-1)))</f>
        <v>0</v>
      </c>
      <c r="R174" s="134" t="n">
        <f aca="false">IF(IFERROR(INDEX(tsk_Name,GanttView[[#This Row],[_Row]])="",TRUE()),0,IF(OR(INDEX(tsk_IsLeaf,GanttView[[#This Row],[_Row]])&lt;&gt;1,GanttView[[#This Row],[_IsMilestone]],N(GanttView[[#This Row],[%]])&gt;=1),0,IF(GanttView[[#This Row],[_DoneTo]]&gt;0,GanttView[[#This Row],[_DoneTo]]+1,GanttView[[#This Row],[Forecast Start]])))</f>
        <v>0</v>
      </c>
      <c r="S174" s="134" t="n">
        <f aca="false">IF(GanttView[[#This Row],[_RemFrom]]=0,0,GanttView[[#This Row],[Forecast Finish]])</f>
        <v>0</v>
      </c>
      <c r="T174" s="133" t="b">
        <f aca="false">IF(IFERROR(INDEX(tsk_Name,GanttView[[#This Row],[_Row]])="",TRUE()),FALSE(),N(INDEX(tsk_Variance,GanttView[[#This Row],[_Row]]))&gt;0)</f>
        <v>0</v>
      </c>
      <c r="U174" s="134" t="n">
        <f aca="false">IF(IFERROR(INDEX(tsk_Name,GanttView[[#This Row],[_Row]])="",TRUE()),0,N(INDEX(tsk_Deadline,GanttView[[#This Row],[_Row]])))</f>
        <v>0</v>
      </c>
      <c r="V174" s="133" t="b">
        <f aca="false">IF(IFERROR(INDEX(tsk_Name,GanttView[[#This Row],[_Row]])="",TRUE()),FALSE(),INDEX(tsk_Critical,GanttView[[#This Row],[_Row]])="Yes")</f>
        <v>0</v>
      </c>
    </row>
    <row r="175" customFormat="false" ht="15" hidden="false" customHeight="false" outlineLevel="0" collapsed="false">
      <c r="A175" s="127" t="str">
        <f aca="false">IF(IFERROR(INDEX(tsk_Name,GanttView[[#This Row],[_Row]])="",TRUE()),"",INDEX(tsk_ID,GanttView[[#This Row],[_Row]]))</f>
        <v/>
      </c>
      <c r="B175" s="127" t="str">
        <f aca="false">IF(IFERROR(INDEX(tsk_Name,GanttView[[#This Row],[_Row]])="",TRUE()),"",INDEX(tsk_WBS,GanttView[[#This Row],[_Row]]))</f>
        <v/>
      </c>
      <c r="C175" s="128" t="str">
        <f aca="false">IF(IFERROR(INDEX(tsk_Name,GanttView[[#This Row],[_Row]])="",TRUE()),"",REPT("    ",INDEX(tsk_Level,GanttView[[#This Row],[_Row]])-1)&amp;INDEX(tsk_Name,GanttView[[#This Row],[_Row]]))</f>
        <v/>
      </c>
      <c r="D175" s="127" t="str">
        <f aca="false">IF(IFERROR(INDEX(tsk_Name,GanttView[[#This Row],[_Row]])="",TRUE()),"",IF(INDEX(tsk_IsSummary,GanttView[[#This Row],[_Row]]),NETWORKDAYS.INTL(INDEX(tsk_FcStart,GanttView[[#This Row],[_Row]]),INDEX(tsk_FcFinish,GanttView[[#This Row],[_Row]]),WorkWeek,Holidays),N(INDEX(tsk_Duration,GanttView[[#This Row],[_Row]]))))</f>
        <v/>
      </c>
      <c r="E175" s="129" t="str">
        <f aca="false">IF(IFERROR(INDEX(tsk_Name,GanttView[[#This Row],[_Row]])="",TRUE()),"",INDEX(tsk_PlanStart,GanttView[[#This Row],[_Row]]))</f>
        <v/>
      </c>
      <c r="F175" s="129" t="str">
        <f aca="false">IF(IFERROR(INDEX(tsk_Name,GanttView[[#This Row],[_Row]])="",TRUE()),"",INDEX(tsk_PlanFinish,GanttView[[#This Row],[_Row]]))</f>
        <v/>
      </c>
      <c r="G175" s="129" t="str">
        <f aca="false">IF(IFERROR(INDEX(tsk_Name,GanttView[[#This Row],[_Row]])="",TRUE()),"",INDEX(tsk_FcStart,GanttView[[#This Row],[_Row]]))</f>
        <v/>
      </c>
      <c r="H175" s="129" t="str">
        <f aca="false">IF(IFERROR(INDEX(tsk_Name,GanttView[[#This Row],[_Row]])="",TRUE()),"",INDEX(tsk_FcFinish,GanttView[[#This Row],[_Row]]))</f>
        <v/>
      </c>
      <c r="I175" s="130" t="str">
        <f aca="false">IF(IFERROR(INDEX(tsk_Name,GanttView[[#This Row],[_Row]])="",TRUE()),"",INDEX(tsk_Progress,GanttView[[#This Row],[_Row]]))</f>
        <v/>
      </c>
      <c r="J175" s="128" t="str">
        <f aca="false">IF(IFERROR(INDEX(tsk_Name,GanttView[[#This Row],[_Row]])="",TRUE()),"",INDEX(tsk_ResourceNames,GanttView[[#This Row],[_Row]])&amp;"")</f>
        <v/>
      </c>
      <c r="K175" s="131" t="str">
        <f aca="false">IF(IFERROR(INDEX(tsk_Name,GanttView[[#This Row],[_Row]])="",TRUE()),"",INDEX(tsk_Status,GanttView[[#This Row],[_Row]]))</f>
        <v/>
      </c>
      <c r="L175" s="131" t="str">
        <f aca="false">IF(IFERROR(INDEX(tsk_Name,GanttView[[#This Row],[_Row]])="",TRUE()),"",INDEX(tsk_Show,GanttView[[#This Row],[_Row]])&amp;"")</f>
        <v/>
      </c>
      <c r="M175" s="132" t="n">
        <f aca="false">ROW()-ROW(GanttView[[#Headers],[ID]])</f>
        <v>170</v>
      </c>
      <c r="N175" s="133" t="b">
        <f aca="false">IF(IFERROR(INDEX(tsk_Name,GanttView[[#This Row],[_Row]])="",TRUE()),FALSE(),INDEX(tsk_IsSummary,GanttView[[#This Row],[_Row]]))</f>
        <v>0</v>
      </c>
      <c r="O175" s="133" t="b">
        <f aca="false">IF(IFERROR(INDEX(tsk_Name,GanttView[[#This Row],[_Row]])="",TRUE()),FALSE(),AND(INDEX(tsk_IsLeaf,GanttView[[#This Row],[_Row]])=1,N(INDEX(tsk_Duration,GanttView[[#This Row],[_Row]]))=0))</f>
        <v>0</v>
      </c>
      <c r="P175" s="134" t="n">
        <f aca="false">IF(IFERROR(INDEX(tsk_Name,GanttView[[#This Row],[_Row]])="",TRUE()),0,IF(AND(INDEX(tsk_IsLeaf,GanttView[[#This Row],[_Row]])=1,NOT(GanttView[[#This Row],[_IsMilestone]]),N(GanttView[[#This Row],[%]])&gt;0),GanttView[[#This Row],[Forecast Start]],0))</f>
        <v>0</v>
      </c>
      <c r="Q175" s="134" t="n">
        <f aca="false">IF(GanttView[[#This Row],[_DoneFrom]]=0,0,IF(GanttView[[#This Row],[%]]&gt;=1,GanttView[[#This Row],[Forecast Finish]],MAX(GanttView[[#This Row],[_DoneFrom]],GanttView[[#This Row],[Forecast Start]]+ROUND((GanttView[[#This Row],[Forecast Finish]]-GanttView[[#This Row],[Forecast Start]]+1)*GanttView[[#This Row],[%]],0)-1)))</f>
        <v>0</v>
      </c>
      <c r="R175" s="134" t="n">
        <f aca="false">IF(IFERROR(INDEX(tsk_Name,GanttView[[#This Row],[_Row]])="",TRUE()),0,IF(OR(INDEX(tsk_IsLeaf,GanttView[[#This Row],[_Row]])&lt;&gt;1,GanttView[[#This Row],[_IsMilestone]],N(GanttView[[#This Row],[%]])&gt;=1),0,IF(GanttView[[#This Row],[_DoneTo]]&gt;0,GanttView[[#This Row],[_DoneTo]]+1,GanttView[[#This Row],[Forecast Start]])))</f>
        <v>0</v>
      </c>
      <c r="S175" s="134" t="n">
        <f aca="false">IF(GanttView[[#This Row],[_RemFrom]]=0,0,GanttView[[#This Row],[Forecast Finish]])</f>
        <v>0</v>
      </c>
      <c r="T175" s="133" t="b">
        <f aca="false">IF(IFERROR(INDEX(tsk_Name,GanttView[[#This Row],[_Row]])="",TRUE()),FALSE(),N(INDEX(tsk_Variance,GanttView[[#This Row],[_Row]]))&gt;0)</f>
        <v>0</v>
      </c>
      <c r="U175" s="134" t="n">
        <f aca="false">IF(IFERROR(INDEX(tsk_Name,GanttView[[#This Row],[_Row]])="",TRUE()),0,N(INDEX(tsk_Deadline,GanttView[[#This Row],[_Row]])))</f>
        <v>0</v>
      </c>
      <c r="V175" s="133" t="b">
        <f aca="false">IF(IFERROR(INDEX(tsk_Name,GanttView[[#This Row],[_Row]])="",TRUE()),FALSE(),INDEX(tsk_Critical,GanttView[[#This Row],[_Row]])="Yes")</f>
        <v>0</v>
      </c>
    </row>
    <row r="176" customFormat="false" ht="15" hidden="false" customHeight="false" outlineLevel="0" collapsed="false">
      <c r="A176" s="127" t="str">
        <f aca="false">IF(IFERROR(INDEX(tsk_Name,GanttView[[#This Row],[_Row]])="",TRUE()),"",INDEX(tsk_ID,GanttView[[#This Row],[_Row]]))</f>
        <v/>
      </c>
      <c r="B176" s="127" t="str">
        <f aca="false">IF(IFERROR(INDEX(tsk_Name,GanttView[[#This Row],[_Row]])="",TRUE()),"",INDEX(tsk_WBS,GanttView[[#This Row],[_Row]]))</f>
        <v/>
      </c>
      <c r="C176" s="128" t="str">
        <f aca="false">IF(IFERROR(INDEX(tsk_Name,GanttView[[#This Row],[_Row]])="",TRUE()),"",REPT("    ",INDEX(tsk_Level,GanttView[[#This Row],[_Row]])-1)&amp;INDEX(tsk_Name,GanttView[[#This Row],[_Row]]))</f>
        <v/>
      </c>
      <c r="D176" s="127" t="str">
        <f aca="false">IF(IFERROR(INDEX(tsk_Name,GanttView[[#This Row],[_Row]])="",TRUE()),"",IF(INDEX(tsk_IsSummary,GanttView[[#This Row],[_Row]]),NETWORKDAYS.INTL(INDEX(tsk_FcStart,GanttView[[#This Row],[_Row]]),INDEX(tsk_FcFinish,GanttView[[#This Row],[_Row]]),WorkWeek,Holidays),N(INDEX(tsk_Duration,GanttView[[#This Row],[_Row]]))))</f>
        <v/>
      </c>
      <c r="E176" s="129" t="str">
        <f aca="false">IF(IFERROR(INDEX(tsk_Name,GanttView[[#This Row],[_Row]])="",TRUE()),"",INDEX(tsk_PlanStart,GanttView[[#This Row],[_Row]]))</f>
        <v/>
      </c>
      <c r="F176" s="129" t="str">
        <f aca="false">IF(IFERROR(INDEX(tsk_Name,GanttView[[#This Row],[_Row]])="",TRUE()),"",INDEX(tsk_PlanFinish,GanttView[[#This Row],[_Row]]))</f>
        <v/>
      </c>
      <c r="G176" s="129" t="str">
        <f aca="false">IF(IFERROR(INDEX(tsk_Name,GanttView[[#This Row],[_Row]])="",TRUE()),"",INDEX(tsk_FcStart,GanttView[[#This Row],[_Row]]))</f>
        <v/>
      </c>
      <c r="H176" s="129" t="str">
        <f aca="false">IF(IFERROR(INDEX(tsk_Name,GanttView[[#This Row],[_Row]])="",TRUE()),"",INDEX(tsk_FcFinish,GanttView[[#This Row],[_Row]]))</f>
        <v/>
      </c>
      <c r="I176" s="130" t="str">
        <f aca="false">IF(IFERROR(INDEX(tsk_Name,GanttView[[#This Row],[_Row]])="",TRUE()),"",INDEX(tsk_Progress,GanttView[[#This Row],[_Row]]))</f>
        <v/>
      </c>
      <c r="J176" s="128" t="str">
        <f aca="false">IF(IFERROR(INDEX(tsk_Name,GanttView[[#This Row],[_Row]])="",TRUE()),"",INDEX(tsk_ResourceNames,GanttView[[#This Row],[_Row]])&amp;"")</f>
        <v/>
      </c>
      <c r="K176" s="131" t="str">
        <f aca="false">IF(IFERROR(INDEX(tsk_Name,GanttView[[#This Row],[_Row]])="",TRUE()),"",INDEX(tsk_Status,GanttView[[#This Row],[_Row]]))</f>
        <v/>
      </c>
      <c r="L176" s="131" t="str">
        <f aca="false">IF(IFERROR(INDEX(tsk_Name,GanttView[[#This Row],[_Row]])="",TRUE()),"",INDEX(tsk_Show,GanttView[[#This Row],[_Row]])&amp;"")</f>
        <v/>
      </c>
      <c r="M176" s="132" t="n">
        <f aca="false">ROW()-ROW(GanttView[[#Headers],[ID]])</f>
        <v>171</v>
      </c>
      <c r="N176" s="133" t="b">
        <f aca="false">IF(IFERROR(INDEX(tsk_Name,GanttView[[#This Row],[_Row]])="",TRUE()),FALSE(),INDEX(tsk_IsSummary,GanttView[[#This Row],[_Row]]))</f>
        <v>0</v>
      </c>
      <c r="O176" s="133" t="b">
        <f aca="false">IF(IFERROR(INDEX(tsk_Name,GanttView[[#This Row],[_Row]])="",TRUE()),FALSE(),AND(INDEX(tsk_IsLeaf,GanttView[[#This Row],[_Row]])=1,N(INDEX(tsk_Duration,GanttView[[#This Row],[_Row]]))=0))</f>
        <v>0</v>
      </c>
      <c r="P176" s="134" t="n">
        <f aca="false">IF(IFERROR(INDEX(tsk_Name,GanttView[[#This Row],[_Row]])="",TRUE()),0,IF(AND(INDEX(tsk_IsLeaf,GanttView[[#This Row],[_Row]])=1,NOT(GanttView[[#This Row],[_IsMilestone]]),N(GanttView[[#This Row],[%]])&gt;0),GanttView[[#This Row],[Forecast Start]],0))</f>
        <v>0</v>
      </c>
      <c r="Q176" s="134" t="n">
        <f aca="false">IF(GanttView[[#This Row],[_DoneFrom]]=0,0,IF(GanttView[[#This Row],[%]]&gt;=1,GanttView[[#This Row],[Forecast Finish]],MAX(GanttView[[#This Row],[_DoneFrom]],GanttView[[#This Row],[Forecast Start]]+ROUND((GanttView[[#This Row],[Forecast Finish]]-GanttView[[#This Row],[Forecast Start]]+1)*GanttView[[#This Row],[%]],0)-1)))</f>
        <v>0</v>
      </c>
      <c r="R176" s="134" t="n">
        <f aca="false">IF(IFERROR(INDEX(tsk_Name,GanttView[[#This Row],[_Row]])="",TRUE()),0,IF(OR(INDEX(tsk_IsLeaf,GanttView[[#This Row],[_Row]])&lt;&gt;1,GanttView[[#This Row],[_IsMilestone]],N(GanttView[[#This Row],[%]])&gt;=1),0,IF(GanttView[[#This Row],[_DoneTo]]&gt;0,GanttView[[#This Row],[_DoneTo]]+1,GanttView[[#This Row],[Forecast Start]])))</f>
        <v>0</v>
      </c>
      <c r="S176" s="134" t="n">
        <f aca="false">IF(GanttView[[#This Row],[_RemFrom]]=0,0,GanttView[[#This Row],[Forecast Finish]])</f>
        <v>0</v>
      </c>
      <c r="T176" s="133" t="b">
        <f aca="false">IF(IFERROR(INDEX(tsk_Name,GanttView[[#This Row],[_Row]])="",TRUE()),FALSE(),N(INDEX(tsk_Variance,GanttView[[#This Row],[_Row]]))&gt;0)</f>
        <v>0</v>
      </c>
      <c r="U176" s="134" t="n">
        <f aca="false">IF(IFERROR(INDEX(tsk_Name,GanttView[[#This Row],[_Row]])="",TRUE()),0,N(INDEX(tsk_Deadline,GanttView[[#This Row],[_Row]])))</f>
        <v>0</v>
      </c>
      <c r="V176" s="133" t="b">
        <f aca="false">IF(IFERROR(INDEX(tsk_Name,GanttView[[#This Row],[_Row]])="",TRUE()),FALSE(),INDEX(tsk_Critical,GanttView[[#This Row],[_Row]])="Yes")</f>
        <v>0</v>
      </c>
    </row>
    <row r="177" customFormat="false" ht="15" hidden="false" customHeight="false" outlineLevel="0" collapsed="false">
      <c r="A177" s="127" t="str">
        <f aca="false">IF(IFERROR(INDEX(tsk_Name,GanttView[[#This Row],[_Row]])="",TRUE()),"",INDEX(tsk_ID,GanttView[[#This Row],[_Row]]))</f>
        <v/>
      </c>
      <c r="B177" s="127" t="str">
        <f aca="false">IF(IFERROR(INDEX(tsk_Name,GanttView[[#This Row],[_Row]])="",TRUE()),"",INDEX(tsk_WBS,GanttView[[#This Row],[_Row]]))</f>
        <v/>
      </c>
      <c r="C177" s="128" t="str">
        <f aca="false">IF(IFERROR(INDEX(tsk_Name,GanttView[[#This Row],[_Row]])="",TRUE()),"",REPT("    ",INDEX(tsk_Level,GanttView[[#This Row],[_Row]])-1)&amp;INDEX(tsk_Name,GanttView[[#This Row],[_Row]]))</f>
        <v/>
      </c>
      <c r="D177" s="127" t="str">
        <f aca="false">IF(IFERROR(INDEX(tsk_Name,GanttView[[#This Row],[_Row]])="",TRUE()),"",IF(INDEX(tsk_IsSummary,GanttView[[#This Row],[_Row]]),NETWORKDAYS.INTL(INDEX(tsk_FcStart,GanttView[[#This Row],[_Row]]),INDEX(tsk_FcFinish,GanttView[[#This Row],[_Row]]),WorkWeek,Holidays),N(INDEX(tsk_Duration,GanttView[[#This Row],[_Row]]))))</f>
        <v/>
      </c>
      <c r="E177" s="129" t="str">
        <f aca="false">IF(IFERROR(INDEX(tsk_Name,GanttView[[#This Row],[_Row]])="",TRUE()),"",INDEX(tsk_PlanStart,GanttView[[#This Row],[_Row]]))</f>
        <v/>
      </c>
      <c r="F177" s="129" t="str">
        <f aca="false">IF(IFERROR(INDEX(tsk_Name,GanttView[[#This Row],[_Row]])="",TRUE()),"",INDEX(tsk_PlanFinish,GanttView[[#This Row],[_Row]]))</f>
        <v/>
      </c>
      <c r="G177" s="129" t="str">
        <f aca="false">IF(IFERROR(INDEX(tsk_Name,GanttView[[#This Row],[_Row]])="",TRUE()),"",INDEX(tsk_FcStart,GanttView[[#This Row],[_Row]]))</f>
        <v/>
      </c>
      <c r="H177" s="129" t="str">
        <f aca="false">IF(IFERROR(INDEX(tsk_Name,GanttView[[#This Row],[_Row]])="",TRUE()),"",INDEX(tsk_FcFinish,GanttView[[#This Row],[_Row]]))</f>
        <v/>
      </c>
      <c r="I177" s="130" t="str">
        <f aca="false">IF(IFERROR(INDEX(tsk_Name,GanttView[[#This Row],[_Row]])="",TRUE()),"",INDEX(tsk_Progress,GanttView[[#This Row],[_Row]]))</f>
        <v/>
      </c>
      <c r="J177" s="128" t="str">
        <f aca="false">IF(IFERROR(INDEX(tsk_Name,GanttView[[#This Row],[_Row]])="",TRUE()),"",INDEX(tsk_ResourceNames,GanttView[[#This Row],[_Row]])&amp;"")</f>
        <v/>
      </c>
      <c r="K177" s="131" t="str">
        <f aca="false">IF(IFERROR(INDEX(tsk_Name,GanttView[[#This Row],[_Row]])="",TRUE()),"",INDEX(tsk_Status,GanttView[[#This Row],[_Row]]))</f>
        <v/>
      </c>
      <c r="L177" s="131" t="str">
        <f aca="false">IF(IFERROR(INDEX(tsk_Name,GanttView[[#This Row],[_Row]])="",TRUE()),"",INDEX(tsk_Show,GanttView[[#This Row],[_Row]])&amp;"")</f>
        <v/>
      </c>
      <c r="M177" s="132" t="n">
        <f aca="false">ROW()-ROW(GanttView[[#Headers],[ID]])</f>
        <v>172</v>
      </c>
      <c r="N177" s="133" t="b">
        <f aca="false">IF(IFERROR(INDEX(tsk_Name,GanttView[[#This Row],[_Row]])="",TRUE()),FALSE(),INDEX(tsk_IsSummary,GanttView[[#This Row],[_Row]]))</f>
        <v>0</v>
      </c>
      <c r="O177" s="133" t="b">
        <f aca="false">IF(IFERROR(INDEX(tsk_Name,GanttView[[#This Row],[_Row]])="",TRUE()),FALSE(),AND(INDEX(tsk_IsLeaf,GanttView[[#This Row],[_Row]])=1,N(INDEX(tsk_Duration,GanttView[[#This Row],[_Row]]))=0))</f>
        <v>0</v>
      </c>
      <c r="P177" s="134" t="n">
        <f aca="false">IF(IFERROR(INDEX(tsk_Name,GanttView[[#This Row],[_Row]])="",TRUE()),0,IF(AND(INDEX(tsk_IsLeaf,GanttView[[#This Row],[_Row]])=1,NOT(GanttView[[#This Row],[_IsMilestone]]),N(GanttView[[#This Row],[%]])&gt;0),GanttView[[#This Row],[Forecast Start]],0))</f>
        <v>0</v>
      </c>
      <c r="Q177" s="134" t="n">
        <f aca="false">IF(GanttView[[#This Row],[_DoneFrom]]=0,0,IF(GanttView[[#This Row],[%]]&gt;=1,GanttView[[#This Row],[Forecast Finish]],MAX(GanttView[[#This Row],[_DoneFrom]],GanttView[[#This Row],[Forecast Start]]+ROUND((GanttView[[#This Row],[Forecast Finish]]-GanttView[[#This Row],[Forecast Start]]+1)*GanttView[[#This Row],[%]],0)-1)))</f>
        <v>0</v>
      </c>
      <c r="R177" s="134" t="n">
        <f aca="false">IF(IFERROR(INDEX(tsk_Name,GanttView[[#This Row],[_Row]])="",TRUE()),0,IF(OR(INDEX(tsk_IsLeaf,GanttView[[#This Row],[_Row]])&lt;&gt;1,GanttView[[#This Row],[_IsMilestone]],N(GanttView[[#This Row],[%]])&gt;=1),0,IF(GanttView[[#This Row],[_DoneTo]]&gt;0,GanttView[[#This Row],[_DoneTo]]+1,GanttView[[#This Row],[Forecast Start]])))</f>
        <v>0</v>
      </c>
      <c r="S177" s="134" t="n">
        <f aca="false">IF(GanttView[[#This Row],[_RemFrom]]=0,0,GanttView[[#This Row],[Forecast Finish]])</f>
        <v>0</v>
      </c>
      <c r="T177" s="133" t="b">
        <f aca="false">IF(IFERROR(INDEX(tsk_Name,GanttView[[#This Row],[_Row]])="",TRUE()),FALSE(),N(INDEX(tsk_Variance,GanttView[[#This Row],[_Row]]))&gt;0)</f>
        <v>0</v>
      </c>
      <c r="U177" s="134" t="n">
        <f aca="false">IF(IFERROR(INDEX(tsk_Name,GanttView[[#This Row],[_Row]])="",TRUE()),0,N(INDEX(tsk_Deadline,GanttView[[#This Row],[_Row]])))</f>
        <v>0</v>
      </c>
      <c r="V177" s="133" t="b">
        <f aca="false">IF(IFERROR(INDEX(tsk_Name,GanttView[[#This Row],[_Row]])="",TRUE()),FALSE(),INDEX(tsk_Critical,GanttView[[#This Row],[_Row]])="Yes")</f>
        <v>0</v>
      </c>
    </row>
    <row r="178" customFormat="false" ht="15" hidden="false" customHeight="false" outlineLevel="0" collapsed="false">
      <c r="A178" s="127" t="str">
        <f aca="false">IF(IFERROR(INDEX(tsk_Name,GanttView[[#This Row],[_Row]])="",TRUE()),"",INDEX(tsk_ID,GanttView[[#This Row],[_Row]]))</f>
        <v/>
      </c>
      <c r="B178" s="127" t="str">
        <f aca="false">IF(IFERROR(INDEX(tsk_Name,GanttView[[#This Row],[_Row]])="",TRUE()),"",INDEX(tsk_WBS,GanttView[[#This Row],[_Row]]))</f>
        <v/>
      </c>
      <c r="C178" s="128" t="str">
        <f aca="false">IF(IFERROR(INDEX(tsk_Name,GanttView[[#This Row],[_Row]])="",TRUE()),"",REPT("    ",INDEX(tsk_Level,GanttView[[#This Row],[_Row]])-1)&amp;INDEX(tsk_Name,GanttView[[#This Row],[_Row]]))</f>
        <v/>
      </c>
      <c r="D178" s="127" t="str">
        <f aca="false">IF(IFERROR(INDEX(tsk_Name,GanttView[[#This Row],[_Row]])="",TRUE()),"",IF(INDEX(tsk_IsSummary,GanttView[[#This Row],[_Row]]),NETWORKDAYS.INTL(INDEX(tsk_FcStart,GanttView[[#This Row],[_Row]]),INDEX(tsk_FcFinish,GanttView[[#This Row],[_Row]]),WorkWeek,Holidays),N(INDEX(tsk_Duration,GanttView[[#This Row],[_Row]]))))</f>
        <v/>
      </c>
      <c r="E178" s="129" t="str">
        <f aca="false">IF(IFERROR(INDEX(tsk_Name,GanttView[[#This Row],[_Row]])="",TRUE()),"",INDEX(tsk_PlanStart,GanttView[[#This Row],[_Row]]))</f>
        <v/>
      </c>
      <c r="F178" s="129" t="str">
        <f aca="false">IF(IFERROR(INDEX(tsk_Name,GanttView[[#This Row],[_Row]])="",TRUE()),"",INDEX(tsk_PlanFinish,GanttView[[#This Row],[_Row]]))</f>
        <v/>
      </c>
      <c r="G178" s="129" t="str">
        <f aca="false">IF(IFERROR(INDEX(tsk_Name,GanttView[[#This Row],[_Row]])="",TRUE()),"",INDEX(tsk_FcStart,GanttView[[#This Row],[_Row]]))</f>
        <v/>
      </c>
      <c r="H178" s="129" t="str">
        <f aca="false">IF(IFERROR(INDEX(tsk_Name,GanttView[[#This Row],[_Row]])="",TRUE()),"",INDEX(tsk_FcFinish,GanttView[[#This Row],[_Row]]))</f>
        <v/>
      </c>
      <c r="I178" s="130" t="str">
        <f aca="false">IF(IFERROR(INDEX(tsk_Name,GanttView[[#This Row],[_Row]])="",TRUE()),"",INDEX(tsk_Progress,GanttView[[#This Row],[_Row]]))</f>
        <v/>
      </c>
      <c r="J178" s="128" t="str">
        <f aca="false">IF(IFERROR(INDEX(tsk_Name,GanttView[[#This Row],[_Row]])="",TRUE()),"",INDEX(tsk_ResourceNames,GanttView[[#This Row],[_Row]])&amp;"")</f>
        <v/>
      </c>
      <c r="K178" s="131" t="str">
        <f aca="false">IF(IFERROR(INDEX(tsk_Name,GanttView[[#This Row],[_Row]])="",TRUE()),"",INDEX(tsk_Status,GanttView[[#This Row],[_Row]]))</f>
        <v/>
      </c>
      <c r="L178" s="131" t="str">
        <f aca="false">IF(IFERROR(INDEX(tsk_Name,GanttView[[#This Row],[_Row]])="",TRUE()),"",INDEX(tsk_Show,GanttView[[#This Row],[_Row]])&amp;"")</f>
        <v/>
      </c>
      <c r="M178" s="132" t="n">
        <f aca="false">ROW()-ROW(GanttView[[#Headers],[ID]])</f>
        <v>173</v>
      </c>
      <c r="N178" s="133" t="b">
        <f aca="false">IF(IFERROR(INDEX(tsk_Name,GanttView[[#This Row],[_Row]])="",TRUE()),FALSE(),INDEX(tsk_IsSummary,GanttView[[#This Row],[_Row]]))</f>
        <v>0</v>
      </c>
      <c r="O178" s="133" t="b">
        <f aca="false">IF(IFERROR(INDEX(tsk_Name,GanttView[[#This Row],[_Row]])="",TRUE()),FALSE(),AND(INDEX(tsk_IsLeaf,GanttView[[#This Row],[_Row]])=1,N(INDEX(tsk_Duration,GanttView[[#This Row],[_Row]]))=0))</f>
        <v>0</v>
      </c>
      <c r="P178" s="134" t="n">
        <f aca="false">IF(IFERROR(INDEX(tsk_Name,GanttView[[#This Row],[_Row]])="",TRUE()),0,IF(AND(INDEX(tsk_IsLeaf,GanttView[[#This Row],[_Row]])=1,NOT(GanttView[[#This Row],[_IsMilestone]]),N(GanttView[[#This Row],[%]])&gt;0),GanttView[[#This Row],[Forecast Start]],0))</f>
        <v>0</v>
      </c>
      <c r="Q178" s="134" t="n">
        <f aca="false">IF(GanttView[[#This Row],[_DoneFrom]]=0,0,IF(GanttView[[#This Row],[%]]&gt;=1,GanttView[[#This Row],[Forecast Finish]],MAX(GanttView[[#This Row],[_DoneFrom]],GanttView[[#This Row],[Forecast Start]]+ROUND((GanttView[[#This Row],[Forecast Finish]]-GanttView[[#This Row],[Forecast Start]]+1)*GanttView[[#This Row],[%]],0)-1)))</f>
        <v>0</v>
      </c>
      <c r="R178" s="134" t="n">
        <f aca="false">IF(IFERROR(INDEX(tsk_Name,GanttView[[#This Row],[_Row]])="",TRUE()),0,IF(OR(INDEX(tsk_IsLeaf,GanttView[[#This Row],[_Row]])&lt;&gt;1,GanttView[[#This Row],[_IsMilestone]],N(GanttView[[#This Row],[%]])&gt;=1),0,IF(GanttView[[#This Row],[_DoneTo]]&gt;0,GanttView[[#This Row],[_DoneTo]]+1,GanttView[[#This Row],[Forecast Start]])))</f>
        <v>0</v>
      </c>
      <c r="S178" s="134" t="n">
        <f aca="false">IF(GanttView[[#This Row],[_RemFrom]]=0,0,GanttView[[#This Row],[Forecast Finish]])</f>
        <v>0</v>
      </c>
      <c r="T178" s="133" t="b">
        <f aca="false">IF(IFERROR(INDEX(tsk_Name,GanttView[[#This Row],[_Row]])="",TRUE()),FALSE(),N(INDEX(tsk_Variance,GanttView[[#This Row],[_Row]]))&gt;0)</f>
        <v>0</v>
      </c>
      <c r="U178" s="134" t="n">
        <f aca="false">IF(IFERROR(INDEX(tsk_Name,GanttView[[#This Row],[_Row]])="",TRUE()),0,N(INDEX(tsk_Deadline,GanttView[[#This Row],[_Row]])))</f>
        <v>0</v>
      </c>
      <c r="V178" s="133" t="b">
        <f aca="false">IF(IFERROR(INDEX(tsk_Name,GanttView[[#This Row],[_Row]])="",TRUE()),FALSE(),INDEX(tsk_Critical,GanttView[[#This Row],[_Row]])="Yes")</f>
        <v>0</v>
      </c>
    </row>
    <row r="179" customFormat="false" ht="15" hidden="false" customHeight="false" outlineLevel="0" collapsed="false">
      <c r="A179" s="127" t="str">
        <f aca="false">IF(IFERROR(INDEX(tsk_Name,GanttView[[#This Row],[_Row]])="",TRUE()),"",INDEX(tsk_ID,GanttView[[#This Row],[_Row]]))</f>
        <v/>
      </c>
      <c r="B179" s="127" t="str">
        <f aca="false">IF(IFERROR(INDEX(tsk_Name,GanttView[[#This Row],[_Row]])="",TRUE()),"",INDEX(tsk_WBS,GanttView[[#This Row],[_Row]]))</f>
        <v/>
      </c>
      <c r="C179" s="128" t="str">
        <f aca="false">IF(IFERROR(INDEX(tsk_Name,GanttView[[#This Row],[_Row]])="",TRUE()),"",REPT("    ",INDEX(tsk_Level,GanttView[[#This Row],[_Row]])-1)&amp;INDEX(tsk_Name,GanttView[[#This Row],[_Row]]))</f>
        <v/>
      </c>
      <c r="D179" s="127" t="str">
        <f aca="false">IF(IFERROR(INDEX(tsk_Name,GanttView[[#This Row],[_Row]])="",TRUE()),"",IF(INDEX(tsk_IsSummary,GanttView[[#This Row],[_Row]]),NETWORKDAYS.INTL(INDEX(tsk_FcStart,GanttView[[#This Row],[_Row]]),INDEX(tsk_FcFinish,GanttView[[#This Row],[_Row]]),WorkWeek,Holidays),N(INDEX(tsk_Duration,GanttView[[#This Row],[_Row]]))))</f>
        <v/>
      </c>
      <c r="E179" s="129" t="str">
        <f aca="false">IF(IFERROR(INDEX(tsk_Name,GanttView[[#This Row],[_Row]])="",TRUE()),"",INDEX(tsk_PlanStart,GanttView[[#This Row],[_Row]]))</f>
        <v/>
      </c>
      <c r="F179" s="129" t="str">
        <f aca="false">IF(IFERROR(INDEX(tsk_Name,GanttView[[#This Row],[_Row]])="",TRUE()),"",INDEX(tsk_PlanFinish,GanttView[[#This Row],[_Row]]))</f>
        <v/>
      </c>
      <c r="G179" s="129" t="str">
        <f aca="false">IF(IFERROR(INDEX(tsk_Name,GanttView[[#This Row],[_Row]])="",TRUE()),"",INDEX(tsk_FcStart,GanttView[[#This Row],[_Row]]))</f>
        <v/>
      </c>
      <c r="H179" s="129" t="str">
        <f aca="false">IF(IFERROR(INDEX(tsk_Name,GanttView[[#This Row],[_Row]])="",TRUE()),"",INDEX(tsk_FcFinish,GanttView[[#This Row],[_Row]]))</f>
        <v/>
      </c>
      <c r="I179" s="130" t="str">
        <f aca="false">IF(IFERROR(INDEX(tsk_Name,GanttView[[#This Row],[_Row]])="",TRUE()),"",INDEX(tsk_Progress,GanttView[[#This Row],[_Row]]))</f>
        <v/>
      </c>
      <c r="J179" s="128" t="str">
        <f aca="false">IF(IFERROR(INDEX(tsk_Name,GanttView[[#This Row],[_Row]])="",TRUE()),"",INDEX(tsk_ResourceNames,GanttView[[#This Row],[_Row]])&amp;"")</f>
        <v/>
      </c>
      <c r="K179" s="131" t="str">
        <f aca="false">IF(IFERROR(INDEX(tsk_Name,GanttView[[#This Row],[_Row]])="",TRUE()),"",INDEX(tsk_Status,GanttView[[#This Row],[_Row]]))</f>
        <v/>
      </c>
      <c r="L179" s="131" t="str">
        <f aca="false">IF(IFERROR(INDEX(tsk_Name,GanttView[[#This Row],[_Row]])="",TRUE()),"",INDEX(tsk_Show,GanttView[[#This Row],[_Row]])&amp;"")</f>
        <v/>
      </c>
      <c r="M179" s="132" t="n">
        <f aca="false">ROW()-ROW(GanttView[[#Headers],[ID]])</f>
        <v>174</v>
      </c>
      <c r="N179" s="133" t="b">
        <f aca="false">IF(IFERROR(INDEX(tsk_Name,GanttView[[#This Row],[_Row]])="",TRUE()),FALSE(),INDEX(tsk_IsSummary,GanttView[[#This Row],[_Row]]))</f>
        <v>0</v>
      </c>
      <c r="O179" s="133" t="b">
        <f aca="false">IF(IFERROR(INDEX(tsk_Name,GanttView[[#This Row],[_Row]])="",TRUE()),FALSE(),AND(INDEX(tsk_IsLeaf,GanttView[[#This Row],[_Row]])=1,N(INDEX(tsk_Duration,GanttView[[#This Row],[_Row]]))=0))</f>
        <v>0</v>
      </c>
      <c r="P179" s="134" t="n">
        <f aca="false">IF(IFERROR(INDEX(tsk_Name,GanttView[[#This Row],[_Row]])="",TRUE()),0,IF(AND(INDEX(tsk_IsLeaf,GanttView[[#This Row],[_Row]])=1,NOT(GanttView[[#This Row],[_IsMilestone]]),N(GanttView[[#This Row],[%]])&gt;0),GanttView[[#This Row],[Forecast Start]],0))</f>
        <v>0</v>
      </c>
      <c r="Q179" s="134" t="n">
        <f aca="false">IF(GanttView[[#This Row],[_DoneFrom]]=0,0,IF(GanttView[[#This Row],[%]]&gt;=1,GanttView[[#This Row],[Forecast Finish]],MAX(GanttView[[#This Row],[_DoneFrom]],GanttView[[#This Row],[Forecast Start]]+ROUND((GanttView[[#This Row],[Forecast Finish]]-GanttView[[#This Row],[Forecast Start]]+1)*GanttView[[#This Row],[%]],0)-1)))</f>
        <v>0</v>
      </c>
      <c r="R179" s="134" t="n">
        <f aca="false">IF(IFERROR(INDEX(tsk_Name,GanttView[[#This Row],[_Row]])="",TRUE()),0,IF(OR(INDEX(tsk_IsLeaf,GanttView[[#This Row],[_Row]])&lt;&gt;1,GanttView[[#This Row],[_IsMilestone]],N(GanttView[[#This Row],[%]])&gt;=1),0,IF(GanttView[[#This Row],[_DoneTo]]&gt;0,GanttView[[#This Row],[_DoneTo]]+1,GanttView[[#This Row],[Forecast Start]])))</f>
        <v>0</v>
      </c>
      <c r="S179" s="134" t="n">
        <f aca="false">IF(GanttView[[#This Row],[_RemFrom]]=0,0,GanttView[[#This Row],[Forecast Finish]])</f>
        <v>0</v>
      </c>
      <c r="T179" s="133" t="b">
        <f aca="false">IF(IFERROR(INDEX(tsk_Name,GanttView[[#This Row],[_Row]])="",TRUE()),FALSE(),N(INDEX(tsk_Variance,GanttView[[#This Row],[_Row]]))&gt;0)</f>
        <v>0</v>
      </c>
      <c r="U179" s="134" t="n">
        <f aca="false">IF(IFERROR(INDEX(tsk_Name,GanttView[[#This Row],[_Row]])="",TRUE()),0,N(INDEX(tsk_Deadline,GanttView[[#This Row],[_Row]])))</f>
        <v>0</v>
      </c>
      <c r="V179" s="133" t="b">
        <f aca="false">IF(IFERROR(INDEX(tsk_Name,GanttView[[#This Row],[_Row]])="",TRUE()),FALSE(),INDEX(tsk_Critical,GanttView[[#This Row],[_Row]])="Yes")</f>
        <v>0</v>
      </c>
    </row>
    <row r="180" customFormat="false" ht="15" hidden="false" customHeight="false" outlineLevel="0" collapsed="false">
      <c r="A180" s="127" t="str">
        <f aca="false">IF(IFERROR(INDEX(tsk_Name,GanttView[[#This Row],[_Row]])="",TRUE()),"",INDEX(tsk_ID,GanttView[[#This Row],[_Row]]))</f>
        <v/>
      </c>
      <c r="B180" s="127" t="str">
        <f aca="false">IF(IFERROR(INDEX(tsk_Name,GanttView[[#This Row],[_Row]])="",TRUE()),"",INDEX(tsk_WBS,GanttView[[#This Row],[_Row]]))</f>
        <v/>
      </c>
      <c r="C180" s="128" t="str">
        <f aca="false">IF(IFERROR(INDEX(tsk_Name,GanttView[[#This Row],[_Row]])="",TRUE()),"",REPT("    ",INDEX(tsk_Level,GanttView[[#This Row],[_Row]])-1)&amp;INDEX(tsk_Name,GanttView[[#This Row],[_Row]]))</f>
        <v/>
      </c>
      <c r="D180" s="127" t="str">
        <f aca="false">IF(IFERROR(INDEX(tsk_Name,GanttView[[#This Row],[_Row]])="",TRUE()),"",IF(INDEX(tsk_IsSummary,GanttView[[#This Row],[_Row]]),NETWORKDAYS.INTL(INDEX(tsk_FcStart,GanttView[[#This Row],[_Row]]),INDEX(tsk_FcFinish,GanttView[[#This Row],[_Row]]),WorkWeek,Holidays),N(INDEX(tsk_Duration,GanttView[[#This Row],[_Row]]))))</f>
        <v/>
      </c>
      <c r="E180" s="129" t="str">
        <f aca="false">IF(IFERROR(INDEX(tsk_Name,GanttView[[#This Row],[_Row]])="",TRUE()),"",INDEX(tsk_PlanStart,GanttView[[#This Row],[_Row]]))</f>
        <v/>
      </c>
      <c r="F180" s="129" t="str">
        <f aca="false">IF(IFERROR(INDEX(tsk_Name,GanttView[[#This Row],[_Row]])="",TRUE()),"",INDEX(tsk_PlanFinish,GanttView[[#This Row],[_Row]]))</f>
        <v/>
      </c>
      <c r="G180" s="129" t="str">
        <f aca="false">IF(IFERROR(INDEX(tsk_Name,GanttView[[#This Row],[_Row]])="",TRUE()),"",INDEX(tsk_FcStart,GanttView[[#This Row],[_Row]]))</f>
        <v/>
      </c>
      <c r="H180" s="129" t="str">
        <f aca="false">IF(IFERROR(INDEX(tsk_Name,GanttView[[#This Row],[_Row]])="",TRUE()),"",INDEX(tsk_FcFinish,GanttView[[#This Row],[_Row]]))</f>
        <v/>
      </c>
      <c r="I180" s="130" t="str">
        <f aca="false">IF(IFERROR(INDEX(tsk_Name,GanttView[[#This Row],[_Row]])="",TRUE()),"",INDEX(tsk_Progress,GanttView[[#This Row],[_Row]]))</f>
        <v/>
      </c>
      <c r="J180" s="128" t="str">
        <f aca="false">IF(IFERROR(INDEX(tsk_Name,GanttView[[#This Row],[_Row]])="",TRUE()),"",INDEX(tsk_ResourceNames,GanttView[[#This Row],[_Row]])&amp;"")</f>
        <v/>
      </c>
      <c r="K180" s="131" t="str">
        <f aca="false">IF(IFERROR(INDEX(tsk_Name,GanttView[[#This Row],[_Row]])="",TRUE()),"",INDEX(tsk_Status,GanttView[[#This Row],[_Row]]))</f>
        <v/>
      </c>
      <c r="L180" s="131" t="str">
        <f aca="false">IF(IFERROR(INDEX(tsk_Name,GanttView[[#This Row],[_Row]])="",TRUE()),"",INDEX(tsk_Show,GanttView[[#This Row],[_Row]])&amp;"")</f>
        <v/>
      </c>
      <c r="M180" s="132" t="n">
        <f aca="false">ROW()-ROW(GanttView[[#Headers],[ID]])</f>
        <v>175</v>
      </c>
      <c r="N180" s="133" t="b">
        <f aca="false">IF(IFERROR(INDEX(tsk_Name,GanttView[[#This Row],[_Row]])="",TRUE()),FALSE(),INDEX(tsk_IsSummary,GanttView[[#This Row],[_Row]]))</f>
        <v>0</v>
      </c>
      <c r="O180" s="133" t="b">
        <f aca="false">IF(IFERROR(INDEX(tsk_Name,GanttView[[#This Row],[_Row]])="",TRUE()),FALSE(),AND(INDEX(tsk_IsLeaf,GanttView[[#This Row],[_Row]])=1,N(INDEX(tsk_Duration,GanttView[[#This Row],[_Row]]))=0))</f>
        <v>0</v>
      </c>
      <c r="P180" s="134" t="n">
        <f aca="false">IF(IFERROR(INDEX(tsk_Name,GanttView[[#This Row],[_Row]])="",TRUE()),0,IF(AND(INDEX(tsk_IsLeaf,GanttView[[#This Row],[_Row]])=1,NOT(GanttView[[#This Row],[_IsMilestone]]),N(GanttView[[#This Row],[%]])&gt;0),GanttView[[#This Row],[Forecast Start]],0))</f>
        <v>0</v>
      </c>
      <c r="Q180" s="134" t="n">
        <f aca="false">IF(GanttView[[#This Row],[_DoneFrom]]=0,0,IF(GanttView[[#This Row],[%]]&gt;=1,GanttView[[#This Row],[Forecast Finish]],MAX(GanttView[[#This Row],[_DoneFrom]],GanttView[[#This Row],[Forecast Start]]+ROUND((GanttView[[#This Row],[Forecast Finish]]-GanttView[[#This Row],[Forecast Start]]+1)*GanttView[[#This Row],[%]],0)-1)))</f>
        <v>0</v>
      </c>
      <c r="R180" s="134" t="n">
        <f aca="false">IF(IFERROR(INDEX(tsk_Name,GanttView[[#This Row],[_Row]])="",TRUE()),0,IF(OR(INDEX(tsk_IsLeaf,GanttView[[#This Row],[_Row]])&lt;&gt;1,GanttView[[#This Row],[_IsMilestone]],N(GanttView[[#This Row],[%]])&gt;=1),0,IF(GanttView[[#This Row],[_DoneTo]]&gt;0,GanttView[[#This Row],[_DoneTo]]+1,GanttView[[#This Row],[Forecast Start]])))</f>
        <v>0</v>
      </c>
      <c r="S180" s="134" t="n">
        <f aca="false">IF(GanttView[[#This Row],[_RemFrom]]=0,0,GanttView[[#This Row],[Forecast Finish]])</f>
        <v>0</v>
      </c>
      <c r="T180" s="133" t="b">
        <f aca="false">IF(IFERROR(INDEX(tsk_Name,GanttView[[#This Row],[_Row]])="",TRUE()),FALSE(),N(INDEX(tsk_Variance,GanttView[[#This Row],[_Row]]))&gt;0)</f>
        <v>0</v>
      </c>
      <c r="U180" s="134" t="n">
        <f aca="false">IF(IFERROR(INDEX(tsk_Name,GanttView[[#This Row],[_Row]])="",TRUE()),0,N(INDEX(tsk_Deadline,GanttView[[#This Row],[_Row]])))</f>
        <v>0</v>
      </c>
      <c r="V180" s="133" t="b">
        <f aca="false">IF(IFERROR(INDEX(tsk_Name,GanttView[[#This Row],[_Row]])="",TRUE()),FALSE(),INDEX(tsk_Critical,GanttView[[#This Row],[_Row]])="Yes")</f>
        <v>0</v>
      </c>
    </row>
    <row r="181" customFormat="false" ht="15" hidden="false" customHeight="false" outlineLevel="0" collapsed="false">
      <c r="A181" s="127" t="str">
        <f aca="false">IF(IFERROR(INDEX(tsk_Name,GanttView[[#This Row],[_Row]])="",TRUE()),"",INDEX(tsk_ID,GanttView[[#This Row],[_Row]]))</f>
        <v/>
      </c>
      <c r="B181" s="127" t="str">
        <f aca="false">IF(IFERROR(INDEX(tsk_Name,GanttView[[#This Row],[_Row]])="",TRUE()),"",INDEX(tsk_WBS,GanttView[[#This Row],[_Row]]))</f>
        <v/>
      </c>
      <c r="C181" s="128" t="str">
        <f aca="false">IF(IFERROR(INDEX(tsk_Name,GanttView[[#This Row],[_Row]])="",TRUE()),"",REPT("    ",INDEX(tsk_Level,GanttView[[#This Row],[_Row]])-1)&amp;INDEX(tsk_Name,GanttView[[#This Row],[_Row]]))</f>
        <v/>
      </c>
      <c r="D181" s="127" t="str">
        <f aca="false">IF(IFERROR(INDEX(tsk_Name,GanttView[[#This Row],[_Row]])="",TRUE()),"",IF(INDEX(tsk_IsSummary,GanttView[[#This Row],[_Row]]),NETWORKDAYS.INTL(INDEX(tsk_FcStart,GanttView[[#This Row],[_Row]]),INDEX(tsk_FcFinish,GanttView[[#This Row],[_Row]]),WorkWeek,Holidays),N(INDEX(tsk_Duration,GanttView[[#This Row],[_Row]]))))</f>
        <v/>
      </c>
      <c r="E181" s="129" t="str">
        <f aca="false">IF(IFERROR(INDEX(tsk_Name,GanttView[[#This Row],[_Row]])="",TRUE()),"",INDEX(tsk_PlanStart,GanttView[[#This Row],[_Row]]))</f>
        <v/>
      </c>
      <c r="F181" s="129" t="str">
        <f aca="false">IF(IFERROR(INDEX(tsk_Name,GanttView[[#This Row],[_Row]])="",TRUE()),"",INDEX(tsk_PlanFinish,GanttView[[#This Row],[_Row]]))</f>
        <v/>
      </c>
      <c r="G181" s="129" t="str">
        <f aca="false">IF(IFERROR(INDEX(tsk_Name,GanttView[[#This Row],[_Row]])="",TRUE()),"",INDEX(tsk_FcStart,GanttView[[#This Row],[_Row]]))</f>
        <v/>
      </c>
      <c r="H181" s="129" t="str">
        <f aca="false">IF(IFERROR(INDEX(tsk_Name,GanttView[[#This Row],[_Row]])="",TRUE()),"",INDEX(tsk_FcFinish,GanttView[[#This Row],[_Row]]))</f>
        <v/>
      </c>
      <c r="I181" s="130" t="str">
        <f aca="false">IF(IFERROR(INDEX(tsk_Name,GanttView[[#This Row],[_Row]])="",TRUE()),"",INDEX(tsk_Progress,GanttView[[#This Row],[_Row]]))</f>
        <v/>
      </c>
      <c r="J181" s="128" t="str">
        <f aca="false">IF(IFERROR(INDEX(tsk_Name,GanttView[[#This Row],[_Row]])="",TRUE()),"",INDEX(tsk_ResourceNames,GanttView[[#This Row],[_Row]])&amp;"")</f>
        <v/>
      </c>
      <c r="K181" s="131" t="str">
        <f aca="false">IF(IFERROR(INDEX(tsk_Name,GanttView[[#This Row],[_Row]])="",TRUE()),"",INDEX(tsk_Status,GanttView[[#This Row],[_Row]]))</f>
        <v/>
      </c>
      <c r="L181" s="131" t="str">
        <f aca="false">IF(IFERROR(INDEX(tsk_Name,GanttView[[#This Row],[_Row]])="",TRUE()),"",INDEX(tsk_Show,GanttView[[#This Row],[_Row]])&amp;"")</f>
        <v/>
      </c>
      <c r="M181" s="132" t="n">
        <f aca="false">ROW()-ROW(GanttView[[#Headers],[ID]])</f>
        <v>176</v>
      </c>
      <c r="N181" s="133" t="b">
        <f aca="false">IF(IFERROR(INDEX(tsk_Name,GanttView[[#This Row],[_Row]])="",TRUE()),FALSE(),INDEX(tsk_IsSummary,GanttView[[#This Row],[_Row]]))</f>
        <v>0</v>
      </c>
      <c r="O181" s="133" t="b">
        <f aca="false">IF(IFERROR(INDEX(tsk_Name,GanttView[[#This Row],[_Row]])="",TRUE()),FALSE(),AND(INDEX(tsk_IsLeaf,GanttView[[#This Row],[_Row]])=1,N(INDEX(tsk_Duration,GanttView[[#This Row],[_Row]]))=0))</f>
        <v>0</v>
      </c>
      <c r="P181" s="134" t="n">
        <f aca="false">IF(IFERROR(INDEX(tsk_Name,GanttView[[#This Row],[_Row]])="",TRUE()),0,IF(AND(INDEX(tsk_IsLeaf,GanttView[[#This Row],[_Row]])=1,NOT(GanttView[[#This Row],[_IsMilestone]]),N(GanttView[[#This Row],[%]])&gt;0),GanttView[[#This Row],[Forecast Start]],0))</f>
        <v>0</v>
      </c>
      <c r="Q181" s="134" t="n">
        <f aca="false">IF(GanttView[[#This Row],[_DoneFrom]]=0,0,IF(GanttView[[#This Row],[%]]&gt;=1,GanttView[[#This Row],[Forecast Finish]],MAX(GanttView[[#This Row],[_DoneFrom]],GanttView[[#This Row],[Forecast Start]]+ROUND((GanttView[[#This Row],[Forecast Finish]]-GanttView[[#This Row],[Forecast Start]]+1)*GanttView[[#This Row],[%]],0)-1)))</f>
        <v>0</v>
      </c>
      <c r="R181" s="134" t="n">
        <f aca="false">IF(IFERROR(INDEX(tsk_Name,GanttView[[#This Row],[_Row]])="",TRUE()),0,IF(OR(INDEX(tsk_IsLeaf,GanttView[[#This Row],[_Row]])&lt;&gt;1,GanttView[[#This Row],[_IsMilestone]],N(GanttView[[#This Row],[%]])&gt;=1),0,IF(GanttView[[#This Row],[_DoneTo]]&gt;0,GanttView[[#This Row],[_DoneTo]]+1,GanttView[[#This Row],[Forecast Start]])))</f>
        <v>0</v>
      </c>
      <c r="S181" s="134" t="n">
        <f aca="false">IF(GanttView[[#This Row],[_RemFrom]]=0,0,GanttView[[#This Row],[Forecast Finish]])</f>
        <v>0</v>
      </c>
      <c r="T181" s="133" t="b">
        <f aca="false">IF(IFERROR(INDEX(tsk_Name,GanttView[[#This Row],[_Row]])="",TRUE()),FALSE(),N(INDEX(tsk_Variance,GanttView[[#This Row],[_Row]]))&gt;0)</f>
        <v>0</v>
      </c>
      <c r="U181" s="134" t="n">
        <f aca="false">IF(IFERROR(INDEX(tsk_Name,GanttView[[#This Row],[_Row]])="",TRUE()),0,N(INDEX(tsk_Deadline,GanttView[[#This Row],[_Row]])))</f>
        <v>0</v>
      </c>
      <c r="V181" s="133" t="b">
        <f aca="false">IF(IFERROR(INDEX(tsk_Name,GanttView[[#This Row],[_Row]])="",TRUE()),FALSE(),INDEX(tsk_Critical,GanttView[[#This Row],[_Row]])="Yes")</f>
        <v>0</v>
      </c>
    </row>
    <row r="182" customFormat="false" ht="15" hidden="false" customHeight="false" outlineLevel="0" collapsed="false">
      <c r="A182" s="127" t="str">
        <f aca="false">IF(IFERROR(INDEX(tsk_Name,GanttView[[#This Row],[_Row]])="",TRUE()),"",INDEX(tsk_ID,GanttView[[#This Row],[_Row]]))</f>
        <v/>
      </c>
      <c r="B182" s="127" t="str">
        <f aca="false">IF(IFERROR(INDEX(tsk_Name,GanttView[[#This Row],[_Row]])="",TRUE()),"",INDEX(tsk_WBS,GanttView[[#This Row],[_Row]]))</f>
        <v/>
      </c>
      <c r="C182" s="128" t="str">
        <f aca="false">IF(IFERROR(INDEX(tsk_Name,GanttView[[#This Row],[_Row]])="",TRUE()),"",REPT("    ",INDEX(tsk_Level,GanttView[[#This Row],[_Row]])-1)&amp;INDEX(tsk_Name,GanttView[[#This Row],[_Row]]))</f>
        <v/>
      </c>
      <c r="D182" s="127" t="str">
        <f aca="false">IF(IFERROR(INDEX(tsk_Name,GanttView[[#This Row],[_Row]])="",TRUE()),"",IF(INDEX(tsk_IsSummary,GanttView[[#This Row],[_Row]]),NETWORKDAYS.INTL(INDEX(tsk_FcStart,GanttView[[#This Row],[_Row]]),INDEX(tsk_FcFinish,GanttView[[#This Row],[_Row]]),WorkWeek,Holidays),N(INDEX(tsk_Duration,GanttView[[#This Row],[_Row]]))))</f>
        <v/>
      </c>
      <c r="E182" s="129" t="str">
        <f aca="false">IF(IFERROR(INDEX(tsk_Name,GanttView[[#This Row],[_Row]])="",TRUE()),"",INDEX(tsk_PlanStart,GanttView[[#This Row],[_Row]]))</f>
        <v/>
      </c>
      <c r="F182" s="129" t="str">
        <f aca="false">IF(IFERROR(INDEX(tsk_Name,GanttView[[#This Row],[_Row]])="",TRUE()),"",INDEX(tsk_PlanFinish,GanttView[[#This Row],[_Row]]))</f>
        <v/>
      </c>
      <c r="G182" s="129" t="str">
        <f aca="false">IF(IFERROR(INDEX(tsk_Name,GanttView[[#This Row],[_Row]])="",TRUE()),"",INDEX(tsk_FcStart,GanttView[[#This Row],[_Row]]))</f>
        <v/>
      </c>
      <c r="H182" s="129" t="str">
        <f aca="false">IF(IFERROR(INDEX(tsk_Name,GanttView[[#This Row],[_Row]])="",TRUE()),"",INDEX(tsk_FcFinish,GanttView[[#This Row],[_Row]]))</f>
        <v/>
      </c>
      <c r="I182" s="130" t="str">
        <f aca="false">IF(IFERROR(INDEX(tsk_Name,GanttView[[#This Row],[_Row]])="",TRUE()),"",INDEX(tsk_Progress,GanttView[[#This Row],[_Row]]))</f>
        <v/>
      </c>
      <c r="J182" s="128" t="str">
        <f aca="false">IF(IFERROR(INDEX(tsk_Name,GanttView[[#This Row],[_Row]])="",TRUE()),"",INDEX(tsk_ResourceNames,GanttView[[#This Row],[_Row]])&amp;"")</f>
        <v/>
      </c>
      <c r="K182" s="131" t="str">
        <f aca="false">IF(IFERROR(INDEX(tsk_Name,GanttView[[#This Row],[_Row]])="",TRUE()),"",INDEX(tsk_Status,GanttView[[#This Row],[_Row]]))</f>
        <v/>
      </c>
      <c r="L182" s="131" t="str">
        <f aca="false">IF(IFERROR(INDEX(tsk_Name,GanttView[[#This Row],[_Row]])="",TRUE()),"",INDEX(tsk_Show,GanttView[[#This Row],[_Row]])&amp;"")</f>
        <v/>
      </c>
      <c r="M182" s="132" t="n">
        <f aca="false">ROW()-ROW(GanttView[[#Headers],[ID]])</f>
        <v>177</v>
      </c>
      <c r="N182" s="133" t="b">
        <f aca="false">IF(IFERROR(INDEX(tsk_Name,GanttView[[#This Row],[_Row]])="",TRUE()),FALSE(),INDEX(tsk_IsSummary,GanttView[[#This Row],[_Row]]))</f>
        <v>0</v>
      </c>
      <c r="O182" s="133" t="b">
        <f aca="false">IF(IFERROR(INDEX(tsk_Name,GanttView[[#This Row],[_Row]])="",TRUE()),FALSE(),AND(INDEX(tsk_IsLeaf,GanttView[[#This Row],[_Row]])=1,N(INDEX(tsk_Duration,GanttView[[#This Row],[_Row]]))=0))</f>
        <v>0</v>
      </c>
      <c r="P182" s="134" t="n">
        <f aca="false">IF(IFERROR(INDEX(tsk_Name,GanttView[[#This Row],[_Row]])="",TRUE()),0,IF(AND(INDEX(tsk_IsLeaf,GanttView[[#This Row],[_Row]])=1,NOT(GanttView[[#This Row],[_IsMilestone]]),N(GanttView[[#This Row],[%]])&gt;0),GanttView[[#This Row],[Forecast Start]],0))</f>
        <v>0</v>
      </c>
      <c r="Q182" s="134" t="n">
        <f aca="false">IF(GanttView[[#This Row],[_DoneFrom]]=0,0,IF(GanttView[[#This Row],[%]]&gt;=1,GanttView[[#This Row],[Forecast Finish]],MAX(GanttView[[#This Row],[_DoneFrom]],GanttView[[#This Row],[Forecast Start]]+ROUND((GanttView[[#This Row],[Forecast Finish]]-GanttView[[#This Row],[Forecast Start]]+1)*GanttView[[#This Row],[%]],0)-1)))</f>
        <v>0</v>
      </c>
      <c r="R182" s="134" t="n">
        <f aca="false">IF(IFERROR(INDEX(tsk_Name,GanttView[[#This Row],[_Row]])="",TRUE()),0,IF(OR(INDEX(tsk_IsLeaf,GanttView[[#This Row],[_Row]])&lt;&gt;1,GanttView[[#This Row],[_IsMilestone]],N(GanttView[[#This Row],[%]])&gt;=1),0,IF(GanttView[[#This Row],[_DoneTo]]&gt;0,GanttView[[#This Row],[_DoneTo]]+1,GanttView[[#This Row],[Forecast Start]])))</f>
        <v>0</v>
      </c>
      <c r="S182" s="134" t="n">
        <f aca="false">IF(GanttView[[#This Row],[_RemFrom]]=0,0,GanttView[[#This Row],[Forecast Finish]])</f>
        <v>0</v>
      </c>
      <c r="T182" s="133" t="b">
        <f aca="false">IF(IFERROR(INDEX(tsk_Name,GanttView[[#This Row],[_Row]])="",TRUE()),FALSE(),N(INDEX(tsk_Variance,GanttView[[#This Row],[_Row]]))&gt;0)</f>
        <v>0</v>
      </c>
      <c r="U182" s="134" t="n">
        <f aca="false">IF(IFERROR(INDEX(tsk_Name,GanttView[[#This Row],[_Row]])="",TRUE()),0,N(INDEX(tsk_Deadline,GanttView[[#This Row],[_Row]])))</f>
        <v>0</v>
      </c>
      <c r="V182" s="133" t="b">
        <f aca="false">IF(IFERROR(INDEX(tsk_Name,GanttView[[#This Row],[_Row]])="",TRUE()),FALSE(),INDEX(tsk_Critical,GanttView[[#This Row],[_Row]])="Yes")</f>
        <v>0</v>
      </c>
    </row>
    <row r="183" customFormat="false" ht="15" hidden="false" customHeight="false" outlineLevel="0" collapsed="false">
      <c r="A183" s="127" t="str">
        <f aca="false">IF(IFERROR(INDEX(tsk_Name,GanttView[[#This Row],[_Row]])="",TRUE()),"",INDEX(tsk_ID,GanttView[[#This Row],[_Row]]))</f>
        <v/>
      </c>
      <c r="B183" s="127" t="str">
        <f aca="false">IF(IFERROR(INDEX(tsk_Name,GanttView[[#This Row],[_Row]])="",TRUE()),"",INDEX(tsk_WBS,GanttView[[#This Row],[_Row]]))</f>
        <v/>
      </c>
      <c r="C183" s="128" t="str">
        <f aca="false">IF(IFERROR(INDEX(tsk_Name,GanttView[[#This Row],[_Row]])="",TRUE()),"",REPT("    ",INDEX(tsk_Level,GanttView[[#This Row],[_Row]])-1)&amp;INDEX(tsk_Name,GanttView[[#This Row],[_Row]]))</f>
        <v/>
      </c>
      <c r="D183" s="127" t="str">
        <f aca="false">IF(IFERROR(INDEX(tsk_Name,GanttView[[#This Row],[_Row]])="",TRUE()),"",IF(INDEX(tsk_IsSummary,GanttView[[#This Row],[_Row]]),NETWORKDAYS.INTL(INDEX(tsk_FcStart,GanttView[[#This Row],[_Row]]),INDEX(tsk_FcFinish,GanttView[[#This Row],[_Row]]),WorkWeek,Holidays),N(INDEX(tsk_Duration,GanttView[[#This Row],[_Row]]))))</f>
        <v/>
      </c>
      <c r="E183" s="129" t="str">
        <f aca="false">IF(IFERROR(INDEX(tsk_Name,GanttView[[#This Row],[_Row]])="",TRUE()),"",INDEX(tsk_PlanStart,GanttView[[#This Row],[_Row]]))</f>
        <v/>
      </c>
      <c r="F183" s="129" t="str">
        <f aca="false">IF(IFERROR(INDEX(tsk_Name,GanttView[[#This Row],[_Row]])="",TRUE()),"",INDEX(tsk_PlanFinish,GanttView[[#This Row],[_Row]]))</f>
        <v/>
      </c>
      <c r="G183" s="129" t="str">
        <f aca="false">IF(IFERROR(INDEX(tsk_Name,GanttView[[#This Row],[_Row]])="",TRUE()),"",INDEX(tsk_FcStart,GanttView[[#This Row],[_Row]]))</f>
        <v/>
      </c>
      <c r="H183" s="129" t="str">
        <f aca="false">IF(IFERROR(INDEX(tsk_Name,GanttView[[#This Row],[_Row]])="",TRUE()),"",INDEX(tsk_FcFinish,GanttView[[#This Row],[_Row]]))</f>
        <v/>
      </c>
      <c r="I183" s="130" t="str">
        <f aca="false">IF(IFERROR(INDEX(tsk_Name,GanttView[[#This Row],[_Row]])="",TRUE()),"",INDEX(tsk_Progress,GanttView[[#This Row],[_Row]]))</f>
        <v/>
      </c>
      <c r="J183" s="128" t="str">
        <f aca="false">IF(IFERROR(INDEX(tsk_Name,GanttView[[#This Row],[_Row]])="",TRUE()),"",INDEX(tsk_ResourceNames,GanttView[[#This Row],[_Row]])&amp;"")</f>
        <v/>
      </c>
      <c r="K183" s="131" t="str">
        <f aca="false">IF(IFERROR(INDEX(tsk_Name,GanttView[[#This Row],[_Row]])="",TRUE()),"",INDEX(tsk_Status,GanttView[[#This Row],[_Row]]))</f>
        <v/>
      </c>
      <c r="L183" s="131" t="str">
        <f aca="false">IF(IFERROR(INDEX(tsk_Name,GanttView[[#This Row],[_Row]])="",TRUE()),"",INDEX(tsk_Show,GanttView[[#This Row],[_Row]])&amp;"")</f>
        <v/>
      </c>
      <c r="M183" s="132" t="n">
        <f aca="false">ROW()-ROW(GanttView[[#Headers],[ID]])</f>
        <v>178</v>
      </c>
      <c r="N183" s="133" t="b">
        <f aca="false">IF(IFERROR(INDEX(tsk_Name,GanttView[[#This Row],[_Row]])="",TRUE()),FALSE(),INDEX(tsk_IsSummary,GanttView[[#This Row],[_Row]]))</f>
        <v>0</v>
      </c>
      <c r="O183" s="133" t="b">
        <f aca="false">IF(IFERROR(INDEX(tsk_Name,GanttView[[#This Row],[_Row]])="",TRUE()),FALSE(),AND(INDEX(tsk_IsLeaf,GanttView[[#This Row],[_Row]])=1,N(INDEX(tsk_Duration,GanttView[[#This Row],[_Row]]))=0))</f>
        <v>0</v>
      </c>
      <c r="P183" s="134" t="n">
        <f aca="false">IF(IFERROR(INDEX(tsk_Name,GanttView[[#This Row],[_Row]])="",TRUE()),0,IF(AND(INDEX(tsk_IsLeaf,GanttView[[#This Row],[_Row]])=1,NOT(GanttView[[#This Row],[_IsMilestone]]),N(GanttView[[#This Row],[%]])&gt;0),GanttView[[#This Row],[Forecast Start]],0))</f>
        <v>0</v>
      </c>
      <c r="Q183" s="134" t="n">
        <f aca="false">IF(GanttView[[#This Row],[_DoneFrom]]=0,0,IF(GanttView[[#This Row],[%]]&gt;=1,GanttView[[#This Row],[Forecast Finish]],MAX(GanttView[[#This Row],[_DoneFrom]],GanttView[[#This Row],[Forecast Start]]+ROUND((GanttView[[#This Row],[Forecast Finish]]-GanttView[[#This Row],[Forecast Start]]+1)*GanttView[[#This Row],[%]],0)-1)))</f>
        <v>0</v>
      </c>
      <c r="R183" s="134" t="n">
        <f aca="false">IF(IFERROR(INDEX(tsk_Name,GanttView[[#This Row],[_Row]])="",TRUE()),0,IF(OR(INDEX(tsk_IsLeaf,GanttView[[#This Row],[_Row]])&lt;&gt;1,GanttView[[#This Row],[_IsMilestone]],N(GanttView[[#This Row],[%]])&gt;=1),0,IF(GanttView[[#This Row],[_DoneTo]]&gt;0,GanttView[[#This Row],[_DoneTo]]+1,GanttView[[#This Row],[Forecast Start]])))</f>
        <v>0</v>
      </c>
      <c r="S183" s="134" t="n">
        <f aca="false">IF(GanttView[[#This Row],[_RemFrom]]=0,0,GanttView[[#This Row],[Forecast Finish]])</f>
        <v>0</v>
      </c>
      <c r="T183" s="133" t="b">
        <f aca="false">IF(IFERROR(INDEX(tsk_Name,GanttView[[#This Row],[_Row]])="",TRUE()),FALSE(),N(INDEX(tsk_Variance,GanttView[[#This Row],[_Row]]))&gt;0)</f>
        <v>0</v>
      </c>
      <c r="U183" s="134" t="n">
        <f aca="false">IF(IFERROR(INDEX(tsk_Name,GanttView[[#This Row],[_Row]])="",TRUE()),0,N(INDEX(tsk_Deadline,GanttView[[#This Row],[_Row]])))</f>
        <v>0</v>
      </c>
      <c r="V183" s="133" t="b">
        <f aca="false">IF(IFERROR(INDEX(tsk_Name,GanttView[[#This Row],[_Row]])="",TRUE()),FALSE(),INDEX(tsk_Critical,GanttView[[#This Row],[_Row]])="Yes")</f>
        <v>0</v>
      </c>
    </row>
    <row r="184" customFormat="false" ht="15" hidden="false" customHeight="false" outlineLevel="0" collapsed="false">
      <c r="A184" s="127" t="str">
        <f aca="false">IF(IFERROR(INDEX(tsk_Name,GanttView[[#This Row],[_Row]])="",TRUE()),"",INDEX(tsk_ID,GanttView[[#This Row],[_Row]]))</f>
        <v/>
      </c>
      <c r="B184" s="127" t="str">
        <f aca="false">IF(IFERROR(INDEX(tsk_Name,GanttView[[#This Row],[_Row]])="",TRUE()),"",INDEX(tsk_WBS,GanttView[[#This Row],[_Row]]))</f>
        <v/>
      </c>
      <c r="C184" s="128" t="str">
        <f aca="false">IF(IFERROR(INDEX(tsk_Name,GanttView[[#This Row],[_Row]])="",TRUE()),"",REPT("    ",INDEX(tsk_Level,GanttView[[#This Row],[_Row]])-1)&amp;INDEX(tsk_Name,GanttView[[#This Row],[_Row]]))</f>
        <v/>
      </c>
      <c r="D184" s="127" t="str">
        <f aca="false">IF(IFERROR(INDEX(tsk_Name,GanttView[[#This Row],[_Row]])="",TRUE()),"",IF(INDEX(tsk_IsSummary,GanttView[[#This Row],[_Row]]),NETWORKDAYS.INTL(INDEX(tsk_FcStart,GanttView[[#This Row],[_Row]]),INDEX(tsk_FcFinish,GanttView[[#This Row],[_Row]]),WorkWeek,Holidays),N(INDEX(tsk_Duration,GanttView[[#This Row],[_Row]]))))</f>
        <v/>
      </c>
      <c r="E184" s="129" t="str">
        <f aca="false">IF(IFERROR(INDEX(tsk_Name,GanttView[[#This Row],[_Row]])="",TRUE()),"",INDEX(tsk_PlanStart,GanttView[[#This Row],[_Row]]))</f>
        <v/>
      </c>
      <c r="F184" s="129" t="str">
        <f aca="false">IF(IFERROR(INDEX(tsk_Name,GanttView[[#This Row],[_Row]])="",TRUE()),"",INDEX(tsk_PlanFinish,GanttView[[#This Row],[_Row]]))</f>
        <v/>
      </c>
      <c r="G184" s="129" t="str">
        <f aca="false">IF(IFERROR(INDEX(tsk_Name,GanttView[[#This Row],[_Row]])="",TRUE()),"",INDEX(tsk_FcStart,GanttView[[#This Row],[_Row]]))</f>
        <v/>
      </c>
      <c r="H184" s="129" t="str">
        <f aca="false">IF(IFERROR(INDEX(tsk_Name,GanttView[[#This Row],[_Row]])="",TRUE()),"",INDEX(tsk_FcFinish,GanttView[[#This Row],[_Row]]))</f>
        <v/>
      </c>
      <c r="I184" s="130" t="str">
        <f aca="false">IF(IFERROR(INDEX(tsk_Name,GanttView[[#This Row],[_Row]])="",TRUE()),"",INDEX(tsk_Progress,GanttView[[#This Row],[_Row]]))</f>
        <v/>
      </c>
      <c r="J184" s="128" t="str">
        <f aca="false">IF(IFERROR(INDEX(tsk_Name,GanttView[[#This Row],[_Row]])="",TRUE()),"",INDEX(tsk_ResourceNames,GanttView[[#This Row],[_Row]])&amp;"")</f>
        <v/>
      </c>
      <c r="K184" s="131" t="str">
        <f aca="false">IF(IFERROR(INDEX(tsk_Name,GanttView[[#This Row],[_Row]])="",TRUE()),"",INDEX(tsk_Status,GanttView[[#This Row],[_Row]]))</f>
        <v/>
      </c>
      <c r="L184" s="131" t="str">
        <f aca="false">IF(IFERROR(INDEX(tsk_Name,GanttView[[#This Row],[_Row]])="",TRUE()),"",INDEX(tsk_Show,GanttView[[#This Row],[_Row]])&amp;"")</f>
        <v/>
      </c>
      <c r="M184" s="132" t="n">
        <f aca="false">ROW()-ROW(GanttView[[#Headers],[ID]])</f>
        <v>179</v>
      </c>
      <c r="N184" s="133" t="b">
        <f aca="false">IF(IFERROR(INDEX(tsk_Name,GanttView[[#This Row],[_Row]])="",TRUE()),FALSE(),INDEX(tsk_IsSummary,GanttView[[#This Row],[_Row]]))</f>
        <v>0</v>
      </c>
      <c r="O184" s="133" t="b">
        <f aca="false">IF(IFERROR(INDEX(tsk_Name,GanttView[[#This Row],[_Row]])="",TRUE()),FALSE(),AND(INDEX(tsk_IsLeaf,GanttView[[#This Row],[_Row]])=1,N(INDEX(tsk_Duration,GanttView[[#This Row],[_Row]]))=0))</f>
        <v>0</v>
      </c>
      <c r="P184" s="134" t="n">
        <f aca="false">IF(IFERROR(INDEX(tsk_Name,GanttView[[#This Row],[_Row]])="",TRUE()),0,IF(AND(INDEX(tsk_IsLeaf,GanttView[[#This Row],[_Row]])=1,NOT(GanttView[[#This Row],[_IsMilestone]]),N(GanttView[[#This Row],[%]])&gt;0),GanttView[[#This Row],[Forecast Start]],0))</f>
        <v>0</v>
      </c>
      <c r="Q184" s="134" t="n">
        <f aca="false">IF(GanttView[[#This Row],[_DoneFrom]]=0,0,IF(GanttView[[#This Row],[%]]&gt;=1,GanttView[[#This Row],[Forecast Finish]],MAX(GanttView[[#This Row],[_DoneFrom]],GanttView[[#This Row],[Forecast Start]]+ROUND((GanttView[[#This Row],[Forecast Finish]]-GanttView[[#This Row],[Forecast Start]]+1)*GanttView[[#This Row],[%]],0)-1)))</f>
        <v>0</v>
      </c>
      <c r="R184" s="134" t="n">
        <f aca="false">IF(IFERROR(INDEX(tsk_Name,GanttView[[#This Row],[_Row]])="",TRUE()),0,IF(OR(INDEX(tsk_IsLeaf,GanttView[[#This Row],[_Row]])&lt;&gt;1,GanttView[[#This Row],[_IsMilestone]],N(GanttView[[#This Row],[%]])&gt;=1),0,IF(GanttView[[#This Row],[_DoneTo]]&gt;0,GanttView[[#This Row],[_DoneTo]]+1,GanttView[[#This Row],[Forecast Start]])))</f>
        <v>0</v>
      </c>
      <c r="S184" s="134" t="n">
        <f aca="false">IF(GanttView[[#This Row],[_RemFrom]]=0,0,GanttView[[#This Row],[Forecast Finish]])</f>
        <v>0</v>
      </c>
      <c r="T184" s="133" t="b">
        <f aca="false">IF(IFERROR(INDEX(tsk_Name,GanttView[[#This Row],[_Row]])="",TRUE()),FALSE(),N(INDEX(tsk_Variance,GanttView[[#This Row],[_Row]]))&gt;0)</f>
        <v>0</v>
      </c>
      <c r="U184" s="134" t="n">
        <f aca="false">IF(IFERROR(INDEX(tsk_Name,GanttView[[#This Row],[_Row]])="",TRUE()),0,N(INDEX(tsk_Deadline,GanttView[[#This Row],[_Row]])))</f>
        <v>0</v>
      </c>
      <c r="V184" s="133" t="b">
        <f aca="false">IF(IFERROR(INDEX(tsk_Name,GanttView[[#This Row],[_Row]])="",TRUE()),FALSE(),INDEX(tsk_Critical,GanttView[[#This Row],[_Row]])="Yes")</f>
        <v>0</v>
      </c>
    </row>
    <row r="185" customFormat="false" ht="15" hidden="false" customHeight="false" outlineLevel="0" collapsed="false">
      <c r="A185" s="127" t="str">
        <f aca="false">IF(IFERROR(INDEX(tsk_Name,GanttView[[#This Row],[_Row]])="",TRUE()),"",INDEX(tsk_ID,GanttView[[#This Row],[_Row]]))</f>
        <v/>
      </c>
      <c r="B185" s="127" t="str">
        <f aca="false">IF(IFERROR(INDEX(tsk_Name,GanttView[[#This Row],[_Row]])="",TRUE()),"",INDEX(tsk_WBS,GanttView[[#This Row],[_Row]]))</f>
        <v/>
      </c>
      <c r="C185" s="128" t="str">
        <f aca="false">IF(IFERROR(INDEX(tsk_Name,GanttView[[#This Row],[_Row]])="",TRUE()),"",REPT("    ",INDEX(tsk_Level,GanttView[[#This Row],[_Row]])-1)&amp;INDEX(tsk_Name,GanttView[[#This Row],[_Row]]))</f>
        <v/>
      </c>
      <c r="D185" s="127" t="str">
        <f aca="false">IF(IFERROR(INDEX(tsk_Name,GanttView[[#This Row],[_Row]])="",TRUE()),"",IF(INDEX(tsk_IsSummary,GanttView[[#This Row],[_Row]]),NETWORKDAYS.INTL(INDEX(tsk_FcStart,GanttView[[#This Row],[_Row]]),INDEX(tsk_FcFinish,GanttView[[#This Row],[_Row]]),WorkWeek,Holidays),N(INDEX(tsk_Duration,GanttView[[#This Row],[_Row]]))))</f>
        <v/>
      </c>
      <c r="E185" s="129" t="str">
        <f aca="false">IF(IFERROR(INDEX(tsk_Name,GanttView[[#This Row],[_Row]])="",TRUE()),"",INDEX(tsk_PlanStart,GanttView[[#This Row],[_Row]]))</f>
        <v/>
      </c>
      <c r="F185" s="129" t="str">
        <f aca="false">IF(IFERROR(INDEX(tsk_Name,GanttView[[#This Row],[_Row]])="",TRUE()),"",INDEX(tsk_PlanFinish,GanttView[[#This Row],[_Row]]))</f>
        <v/>
      </c>
      <c r="G185" s="129" t="str">
        <f aca="false">IF(IFERROR(INDEX(tsk_Name,GanttView[[#This Row],[_Row]])="",TRUE()),"",INDEX(tsk_FcStart,GanttView[[#This Row],[_Row]]))</f>
        <v/>
      </c>
      <c r="H185" s="129" t="str">
        <f aca="false">IF(IFERROR(INDEX(tsk_Name,GanttView[[#This Row],[_Row]])="",TRUE()),"",INDEX(tsk_FcFinish,GanttView[[#This Row],[_Row]]))</f>
        <v/>
      </c>
      <c r="I185" s="130" t="str">
        <f aca="false">IF(IFERROR(INDEX(tsk_Name,GanttView[[#This Row],[_Row]])="",TRUE()),"",INDEX(tsk_Progress,GanttView[[#This Row],[_Row]]))</f>
        <v/>
      </c>
      <c r="J185" s="128" t="str">
        <f aca="false">IF(IFERROR(INDEX(tsk_Name,GanttView[[#This Row],[_Row]])="",TRUE()),"",INDEX(tsk_ResourceNames,GanttView[[#This Row],[_Row]])&amp;"")</f>
        <v/>
      </c>
      <c r="K185" s="131" t="str">
        <f aca="false">IF(IFERROR(INDEX(tsk_Name,GanttView[[#This Row],[_Row]])="",TRUE()),"",INDEX(tsk_Status,GanttView[[#This Row],[_Row]]))</f>
        <v/>
      </c>
      <c r="L185" s="131" t="str">
        <f aca="false">IF(IFERROR(INDEX(tsk_Name,GanttView[[#This Row],[_Row]])="",TRUE()),"",INDEX(tsk_Show,GanttView[[#This Row],[_Row]])&amp;"")</f>
        <v/>
      </c>
      <c r="M185" s="132" t="n">
        <f aca="false">ROW()-ROW(GanttView[[#Headers],[ID]])</f>
        <v>180</v>
      </c>
      <c r="N185" s="133" t="b">
        <f aca="false">IF(IFERROR(INDEX(tsk_Name,GanttView[[#This Row],[_Row]])="",TRUE()),FALSE(),INDEX(tsk_IsSummary,GanttView[[#This Row],[_Row]]))</f>
        <v>0</v>
      </c>
      <c r="O185" s="133" t="b">
        <f aca="false">IF(IFERROR(INDEX(tsk_Name,GanttView[[#This Row],[_Row]])="",TRUE()),FALSE(),AND(INDEX(tsk_IsLeaf,GanttView[[#This Row],[_Row]])=1,N(INDEX(tsk_Duration,GanttView[[#This Row],[_Row]]))=0))</f>
        <v>0</v>
      </c>
      <c r="P185" s="134" t="n">
        <f aca="false">IF(IFERROR(INDEX(tsk_Name,GanttView[[#This Row],[_Row]])="",TRUE()),0,IF(AND(INDEX(tsk_IsLeaf,GanttView[[#This Row],[_Row]])=1,NOT(GanttView[[#This Row],[_IsMilestone]]),N(GanttView[[#This Row],[%]])&gt;0),GanttView[[#This Row],[Forecast Start]],0))</f>
        <v>0</v>
      </c>
      <c r="Q185" s="134" t="n">
        <f aca="false">IF(GanttView[[#This Row],[_DoneFrom]]=0,0,IF(GanttView[[#This Row],[%]]&gt;=1,GanttView[[#This Row],[Forecast Finish]],MAX(GanttView[[#This Row],[_DoneFrom]],GanttView[[#This Row],[Forecast Start]]+ROUND((GanttView[[#This Row],[Forecast Finish]]-GanttView[[#This Row],[Forecast Start]]+1)*GanttView[[#This Row],[%]],0)-1)))</f>
        <v>0</v>
      </c>
      <c r="R185" s="134" t="n">
        <f aca="false">IF(IFERROR(INDEX(tsk_Name,GanttView[[#This Row],[_Row]])="",TRUE()),0,IF(OR(INDEX(tsk_IsLeaf,GanttView[[#This Row],[_Row]])&lt;&gt;1,GanttView[[#This Row],[_IsMilestone]],N(GanttView[[#This Row],[%]])&gt;=1),0,IF(GanttView[[#This Row],[_DoneTo]]&gt;0,GanttView[[#This Row],[_DoneTo]]+1,GanttView[[#This Row],[Forecast Start]])))</f>
        <v>0</v>
      </c>
      <c r="S185" s="134" t="n">
        <f aca="false">IF(GanttView[[#This Row],[_RemFrom]]=0,0,GanttView[[#This Row],[Forecast Finish]])</f>
        <v>0</v>
      </c>
      <c r="T185" s="133" t="b">
        <f aca="false">IF(IFERROR(INDEX(tsk_Name,GanttView[[#This Row],[_Row]])="",TRUE()),FALSE(),N(INDEX(tsk_Variance,GanttView[[#This Row],[_Row]]))&gt;0)</f>
        <v>0</v>
      </c>
      <c r="U185" s="134" t="n">
        <f aca="false">IF(IFERROR(INDEX(tsk_Name,GanttView[[#This Row],[_Row]])="",TRUE()),0,N(INDEX(tsk_Deadline,GanttView[[#This Row],[_Row]])))</f>
        <v>0</v>
      </c>
      <c r="V185" s="133" t="b">
        <f aca="false">IF(IFERROR(INDEX(tsk_Name,GanttView[[#This Row],[_Row]])="",TRUE()),FALSE(),INDEX(tsk_Critical,GanttView[[#This Row],[_Row]])="Yes")</f>
        <v>0</v>
      </c>
    </row>
    <row r="186" customFormat="false" ht="15" hidden="false" customHeight="false" outlineLevel="0" collapsed="false">
      <c r="A186" s="127" t="str">
        <f aca="false">IF(IFERROR(INDEX(tsk_Name,GanttView[[#This Row],[_Row]])="",TRUE()),"",INDEX(tsk_ID,GanttView[[#This Row],[_Row]]))</f>
        <v/>
      </c>
      <c r="B186" s="127" t="str">
        <f aca="false">IF(IFERROR(INDEX(tsk_Name,GanttView[[#This Row],[_Row]])="",TRUE()),"",INDEX(tsk_WBS,GanttView[[#This Row],[_Row]]))</f>
        <v/>
      </c>
      <c r="C186" s="128" t="str">
        <f aca="false">IF(IFERROR(INDEX(tsk_Name,GanttView[[#This Row],[_Row]])="",TRUE()),"",REPT("    ",INDEX(tsk_Level,GanttView[[#This Row],[_Row]])-1)&amp;INDEX(tsk_Name,GanttView[[#This Row],[_Row]]))</f>
        <v/>
      </c>
      <c r="D186" s="127" t="str">
        <f aca="false">IF(IFERROR(INDEX(tsk_Name,GanttView[[#This Row],[_Row]])="",TRUE()),"",IF(INDEX(tsk_IsSummary,GanttView[[#This Row],[_Row]]),NETWORKDAYS.INTL(INDEX(tsk_FcStart,GanttView[[#This Row],[_Row]]),INDEX(tsk_FcFinish,GanttView[[#This Row],[_Row]]),WorkWeek,Holidays),N(INDEX(tsk_Duration,GanttView[[#This Row],[_Row]]))))</f>
        <v/>
      </c>
      <c r="E186" s="129" t="str">
        <f aca="false">IF(IFERROR(INDEX(tsk_Name,GanttView[[#This Row],[_Row]])="",TRUE()),"",INDEX(tsk_PlanStart,GanttView[[#This Row],[_Row]]))</f>
        <v/>
      </c>
      <c r="F186" s="129" t="str">
        <f aca="false">IF(IFERROR(INDEX(tsk_Name,GanttView[[#This Row],[_Row]])="",TRUE()),"",INDEX(tsk_PlanFinish,GanttView[[#This Row],[_Row]]))</f>
        <v/>
      </c>
      <c r="G186" s="129" t="str">
        <f aca="false">IF(IFERROR(INDEX(tsk_Name,GanttView[[#This Row],[_Row]])="",TRUE()),"",INDEX(tsk_FcStart,GanttView[[#This Row],[_Row]]))</f>
        <v/>
      </c>
      <c r="H186" s="129" t="str">
        <f aca="false">IF(IFERROR(INDEX(tsk_Name,GanttView[[#This Row],[_Row]])="",TRUE()),"",INDEX(tsk_FcFinish,GanttView[[#This Row],[_Row]]))</f>
        <v/>
      </c>
      <c r="I186" s="130" t="str">
        <f aca="false">IF(IFERROR(INDEX(tsk_Name,GanttView[[#This Row],[_Row]])="",TRUE()),"",INDEX(tsk_Progress,GanttView[[#This Row],[_Row]]))</f>
        <v/>
      </c>
      <c r="J186" s="128" t="str">
        <f aca="false">IF(IFERROR(INDEX(tsk_Name,GanttView[[#This Row],[_Row]])="",TRUE()),"",INDEX(tsk_ResourceNames,GanttView[[#This Row],[_Row]])&amp;"")</f>
        <v/>
      </c>
      <c r="K186" s="131" t="str">
        <f aca="false">IF(IFERROR(INDEX(tsk_Name,GanttView[[#This Row],[_Row]])="",TRUE()),"",INDEX(tsk_Status,GanttView[[#This Row],[_Row]]))</f>
        <v/>
      </c>
      <c r="L186" s="131" t="str">
        <f aca="false">IF(IFERROR(INDEX(tsk_Name,GanttView[[#This Row],[_Row]])="",TRUE()),"",INDEX(tsk_Show,GanttView[[#This Row],[_Row]])&amp;"")</f>
        <v/>
      </c>
      <c r="M186" s="132" t="n">
        <f aca="false">ROW()-ROW(GanttView[[#Headers],[ID]])</f>
        <v>181</v>
      </c>
      <c r="N186" s="133" t="b">
        <f aca="false">IF(IFERROR(INDEX(tsk_Name,GanttView[[#This Row],[_Row]])="",TRUE()),FALSE(),INDEX(tsk_IsSummary,GanttView[[#This Row],[_Row]]))</f>
        <v>0</v>
      </c>
      <c r="O186" s="133" t="b">
        <f aca="false">IF(IFERROR(INDEX(tsk_Name,GanttView[[#This Row],[_Row]])="",TRUE()),FALSE(),AND(INDEX(tsk_IsLeaf,GanttView[[#This Row],[_Row]])=1,N(INDEX(tsk_Duration,GanttView[[#This Row],[_Row]]))=0))</f>
        <v>0</v>
      </c>
      <c r="P186" s="134" t="n">
        <f aca="false">IF(IFERROR(INDEX(tsk_Name,GanttView[[#This Row],[_Row]])="",TRUE()),0,IF(AND(INDEX(tsk_IsLeaf,GanttView[[#This Row],[_Row]])=1,NOT(GanttView[[#This Row],[_IsMilestone]]),N(GanttView[[#This Row],[%]])&gt;0),GanttView[[#This Row],[Forecast Start]],0))</f>
        <v>0</v>
      </c>
      <c r="Q186" s="134" t="n">
        <f aca="false">IF(GanttView[[#This Row],[_DoneFrom]]=0,0,IF(GanttView[[#This Row],[%]]&gt;=1,GanttView[[#This Row],[Forecast Finish]],MAX(GanttView[[#This Row],[_DoneFrom]],GanttView[[#This Row],[Forecast Start]]+ROUND((GanttView[[#This Row],[Forecast Finish]]-GanttView[[#This Row],[Forecast Start]]+1)*GanttView[[#This Row],[%]],0)-1)))</f>
        <v>0</v>
      </c>
      <c r="R186" s="134" t="n">
        <f aca="false">IF(IFERROR(INDEX(tsk_Name,GanttView[[#This Row],[_Row]])="",TRUE()),0,IF(OR(INDEX(tsk_IsLeaf,GanttView[[#This Row],[_Row]])&lt;&gt;1,GanttView[[#This Row],[_IsMilestone]],N(GanttView[[#This Row],[%]])&gt;=1),0,IF(GanttView[[#This Row],[_DoneTo]]&gt;0,GanttView[[#This Row],[_DoneTo]]+1,GanttView[[#This Row],[Forecast Start]])))</f>
        <v>0</v>
      </c>
      <c r="S186" s="134" t="n">
        <f aca="false">IF(GanttView[[#This Row],[_RemFrom]]=0,0,GanttView[[#This Row],[Forecast Finish]])</f>
        <v>0</v>
      </c>
      <c r="T186" s="133" t="b">
        <f aca="false">IF(IFERROR(INDEX(tsk_Name,GanttView[[#This Row],[_Row]])="",TRUE()),FALSE(),N(INDEX(tsk_Variance,GanttView[[#This Row],[_Row]]))&gt;0)</f>
        <v>0</v>
      </c>
      <c r="U186" s="134" t="n">
        <f aca="false">IF(IFERROR(INDEX(tsk_Name,GanttView[[#This Row],[_Row]])="",TRUE()),0,N(INDEX(tsk_Deadline,GanttView[[#This Row],[_Row]])))</f>
        <v>0</v>
      </c>
      <c r="V186" s="133" t="b">
        <f aca="false">IF(IFERROR(INDEX(tsk_Name,GanttView[[#This Row],[_Row]])="",TRUE()),FALSE(),INDEX(tsk_Critical,GanttView[[#This Row],[_Row]])="Yes")</f>
        <v>0</v>
      </c>
    </row>
    <row r="187" customFormat="false" ht="15" hidden="false" customHeight="false" outlineLevel="0" collapsed="false">
      <c r="A187" s="127" t="str">
        <f aca="false">IF(IFERROR(INDEX(tsk_Name,GanttView[[#This Row],[_Row]])="",TRUE()),"",INDEX(tsk_ID,GanttView[[#This Row],[_Row]]))</f>
        <v/>
      </c>
      <c r="B187" s="127" t="str">
        <f aca="false">IF(IFERROR(INDEX(tsk_Name,GanttView[[#This Row],[_Row]])="",TRUE()),"",INDEX(tsk_WBS,GanttView[[#This Row],[_Row]]))</f>
        <v/>
      </c>
      <c r="C187" s="128" t="str">
        <f aca="false">IF(IFERROR(INDEX(tsk_Name,GanttView[[#This Row],[_Row]])="",TRUE()),"",REPT("    ",INDEX(tsk_Level,GanttView[[#This Row],[_Row]])-1)&amp;INDEX(tsk_Name,GanttView[[#This Row],[_Row]]))</f>
        <v/>
      </c>
      <c r="D187" s="127" t="str">
        <f aca="false">IF(IFERROR(INDEX(tsk_Name,GanttView[[#This Row],[_Row]])="",TRUE()),"",IF(INDEX(tsk_IsSummary,GanttView[[#This Row],[_Row]]),NETWORKDAYS.INTL(INDEX(tsk_FcStart,GanttView[[#This Row],[_Row]]),INDEX(tsk_FcFinish,GanttView[[#This Row],[_Row]]),WorkWeek,Holidays),N(INDEX(tsk_Duration,GanttView[[#This Row],[_Row]]))))</f>
        <v/>
      </c>
      <c r="E187" s="129" t="str">
        <f aca="false">IF(IFERROR(INDEX(tsk_Name,GanttView[[#This Row],[_Row]])="",TRUE()),"",INDEX(tsk_PlanStart,GanttView[[#This Row],[_Row]]))</f>
        <v/>
      </c>
      <c r="F187" s="129" t="str">
        <f aca="false">IF(IFERROR(INDEX(tsk_Name,GanttView[[#This Row],[_Row]])="",TRUE()),"",INDEX(tsk_PlanFinish,GanttView[[#This Row],[_Row]]))</f>
        <v/>
      </c>
      <c r="G187" s="129" t="str">
        <f aca="false">IF(IFERROR(INDEX(tsk_Name,GanttView[[#This Row],[_Row]])="",TRUE()),"",INDEX(tsk_FcStart,GanttView[[#This Row],[_Row]]))</f>
        <v/>
      </c>
      <c r="H187" s="129" t="str">
        <f aca="false">IF(IFERROR(INDEX(tsk_Name,GanttView[[#This Row],[_Row]])="",TRUE()),"",INDEX(tsk_FcFinish,GanttView[[#This Row],[_Row]]))</f>
        <v/>
      </c>
      <c r="I187" s="130" t="str">
        <f aca="false">IF(IFERROR(INDEX(tsk_Name,GanttView[[#This Row],[_Row]])="",TRUE()),"",INDEX(tsk_Progress,GanttView[[#This Row],[_Row]]))</f>
        <v/>
      </c>
      <c r="J187" s="128" t="str">
        <f aca="false">IF(IFERROR(INDEX(tsk_Name,GanttView[[#This Row],[_Row]])="",TRUE()),"",INDEX(tsk_ResourceNames,GanttView[[#This Row],[_Row]])&amp;"")</f>
        <v/>
      </c>
      <c r="K187" s="131" t="str">
        <f aca="false">IF(IFERROR(INDEX(tsk_Name,GanttView[[#This Row],[_Row]])="",TRUE()),"",INDEX(tsk_Status,GanttView[[#This Row],[_Row]]))</f>
        <v/>
      </c>
      <c r="L187" s="131" t="str">
        <f aca="false">IF(IFERROR(INDEX(tsk_Name,GanttView[[#This Row],[_Row]])="",TRUE()),"",INDEX(tsk_Show,GanttView[[#This Row],[_Row]])&amp;"")</f>
        <v/>
      </c>
      <c r="M187" s="132" t="n">
        <f aca="false">ROW()-ROW(GanttView[[#Headers],[ID]])</f>
        <v>182</v>
      </c>
      <c r="N187" s="133" t="b">
        <f aca="false">IF(IFERROR(INDEX(tsk_Name,GanttView[[#This Row],[_Row]])="",TRUE()),FALSE(),INDEX(tsk_IsSummary,GanttView[[#This Row],[_Row]]))</f>
        <v>0</v>
      </c>
      <c r="O187" s="133" t="b">
        <f aca="false">IF(IFERROR(INDEX(tsk_Name,GanttView[[#This Row],[_Row]])="",TRUE()),FALSE(),AND(INDEX(tsk_IsLeaf,GanttView[[#This Row],[_Row]])=1,N(INDEX(tsk_Duration,GanttView[[#This Row],[_Row]]))=0))</f>
        <v>0</v>
      </c>
      <c r="P187" s="134" t="n">
        <f aca="false">IF(IFERROR(INDEX(tsk_Name,GanttView[[#This Row],[_Row]])="",TRUE()),0,IF(AND(INDEX(tsk_IsLeaf,GanttView[[#This Row],[_Row]])=1,NOT(GanttView[[#This Row],[_IsMilestone]]),N(GanttView[[#This Row],[%]])&gt;0),GanttView[[#This Row],[Forecast Start]],0))</f>
        <v>0</v>
      </c>
      <c r="Q187" s="134" t="n">
        <f aca="false">IF(GanttView[[#This Row],[_DoneFrom]]=0,0,IF(GanttView[[#This Row],[%]]&gt;=1,GanttView[[#This Row],[Forecast Finish]],MAX(GanttView[[#This Row],[_DoneFrom]],GanttView[[#This Row],[Forecast Start]]+ROUND((GanttView[[#This Row],[Forecast Finish]]-GanttView[[#This Row],[Forecast Start]]+1)*GanttView[[#This Row],[%]],0)-1)))</f>
        <v>0</v>
      </c>
      <c r="R187" s="134" t="n">
        <f aca="false">IF(IFERROR(INDEX(tsk_Name,GanttView[[#This Row],[_Row]])="",TRUE()),0,IF(OR(INDEX(tsk_IsLeaf,GanttView[[#This Row],[_Row]])&lt;&gt;1,GanttView[[#This Row],[_IsMilestone]],N(GanttView[[#This Row],[%]])&gt;=1),0,IF(GanttView[[#This Row],[_DoneTo]]&gt;0,GanttView[[#This Row],[_DoneTo]]+1,GanttView[[#This Row],[Forecast Start]])))</f>
        <v>0</v>
      </c>
      <c r="S187" s="134" t="n">
        <f aca="false">IF(GanttView[[#This Row],[_RemFrom]]=0,0,GanttView[[#This Row],[Forecast Finish]])</f>
        <v>0</v>
      </c>
      <c r="T187" s="133" t="b">
        <f aca="false">IF(IFERROR(INDEX(tsk_Name,GanttView[[#This Row],[_Row]])="",TRUE()),FALSE(),N(INDEX(tsk_Variance,GanttView[[#This Row],[_Row]]))&gt;0)</f>
        <v>0</v>
      </c>
      <c r="U187" s="134" t="n">
        <f aca="false">IF(IFERROR(INDEX(tsk_Name,GanttView[[#This Row],[_Row]])="",TRUE()),0,N(INDEX(tsk_Deadline,GanttView[[#This Row],[_Row]])))</f>
        <v>0</v>
      </c>
      <c r="V187" s="133" t="b">
        <f aca="false">IF(IFERROR(INDEX(tsk_Name,GanttView[[#This Row],[_Row]])="",TRUE()),FALSE(),INDEX(tsk_Critical,GanttView[[#This Row],[_Row]])="Yes")</f>
        <v>0</v>
      </c>
    </row>
    <row r="188" customFormat="false" ht="15" hidden="false" customHeight="false" outlineLevel="0" collapsed="false">
      <c r="A188" s="127" t="str">
        <f aca="false">IF(IFERROR(INDEX(tsk_Name,GanttView[[#This Row],[_Row]])="",TRUE()),"",INDEX(tsk_ID,GanttView[[#This Row],[_Row]]))</f>
        <v/>
      </c>
      <c r="B188" s="127" t="str">
        <f aca="false">IF(IFERROR(INDEX(tsk_Name,GanttView[[#This Row],[_Row]])="",TRUE()),"",INDEX(tsk_WBS,GanttView[[#This Row],[_Row]]))</f>
        <v/>
      </c>
      <c r="C188" s="128" t="str">
        <f aca="false">IF(IFERROR(INDEX(tsk_Name,GanttView[[#This Row],[_Row]])="",TRUE()),"",REPT("    ",INDEX(tsk_Level,GanttView[[#This Row],[_Row]])-1)&amp;INDEX(tsk_Name,GanttView[[#This Row],[_Row]]))</f>
        <v/>
      </c>
      <c r="D188" s="127" t="str">
        <f aca="false">IF(IFERROR(INDEX(tsk_Name,GanttView[[#This Row],[_Row]])="",TRUE()),"",IF(INDEX(tsk_IsSummary,GanttView[[#This Row],[_Row]]),NETWORKDAYS.INTL(INDEX(tsk_FcStart,GanttView[[#This Row],[_Row]]),INDEX(tsk_FcFinish,GanttView[[#This Row],[_Row]]),WorkWeek,Holidays),N(INDEX(tsk_Duration,GanttView[[#This Row],[_Row]]))))</f>
        <v/>
      </c>
      <c r="E188" s="129" t="str">
        <f aca="false">IF(IFERROR(INDEX(tsk_Name,GanttView[[#This Row],[_Row]])="",TRUE()),"",INDEX(tsk_PlanStart,GanttView[[#This Row],[_Row]]))</f>
        <v/>
      </c>
      <c r="F188" s="129" t="str">
        <f aca="false">IF(IFERROR(INDEX(tsk_Name,GanttView[[#This Row],[_Row]])="",TRUE()),"",INDEX(tsk_PlanFinish,GanttView[[#This Row],[_Row]]))</f>
        <v/>
      </c>
      <c r="G188" s="129" t="str">
        <f aca="false">IF(IFERROR(INDEX(tsk_Name,GanttView[[#This Row],[_Row]])="",TRUE()),"",INDEX(tsk_FcStart,GanttView[[#This Row],[_Row]]))</f>
        <v/>
      </c>
      <c r="H188" s="129" t="str">
        <f aca="false">IF(IFERROR(INDEX(tsk_Name,GanttView[[#This Row],[_Row]])="",TRUE()),"",INDEX(tsk_FcFinish,GanttView[[#This Row],[_Row]]))</f>
        <v/>
      </c>
      <c r="I188" s="130" t="str">
        <f aca="false">IF(IFERROR(INDEX(tsk_Name,GanttView[[#This Row],[_Row]])="",TRUE()),"",INDEX(tsk_Progress,GanttView[[#This Row],[_Row]]))</f>
        <v/>
      </c>
      <c r="J188" s="128" t="str">
        <f aca="false">IF(IFERROR(INDEX(tsk_Name,GanttView[[#This Row],[_Row]])="",TRUE()),"",INDEX(tsk_ResourceNames,GanttView[[#This Row],[_Row]])&amp;"")</f>
        <v/>
      </c>
      <c r="K188" s="131" t="str">
        <f aca="false">IF(IFERROR(INDEX(tsk_Name,GanttView[[#This Row],[_Row]])="",TRUE()),"",INDEX(tsk_Status,GanttView[[#This Row],[_Row]]))</f>
        <v/>
      </c>
      <c r="L188" s="131" t="str">
        <f aca="false">IF(IFERROR(INDEX(tsk_Name,GanttView[[#This Row],[_Row]])="",TRUE()),"",INDEX(tsk_Show,GanttView[[#This Row],[_Row]])&amp;"")</f>
        <v/>
      </c>
      <c r="M188" s="132" t="n">
        <f aca="false">ROW()-ROW(GanttView[[#Headers],[ID]])</f>
        <v>183</v>
      </c>
      <c r="N188" s="133" t="b">
        <f aca="false">IF(IFERROR(INDEX(tsk_Name,GanttView[[#This Row],[_Row]])="",TRUE()),FALSE(),INDEX(tsk_IsSummary,GanttView[[#This Row],[_Row]]))</f>
        <v>0</v>
      </c>
      <c r="O188" s="133" t="b">
        <f aca="false">IF(IFERROR(INDEX(tsk_Name,GanttView[[#This Row],[_Row]])="",TRUE()),FALSE(),AND(INDEX(tsk_IsLeaf,GanttView[[#This Row],[_Row]])=1,N(INDEX(tsk_Duration,GanttView[[#This Row],[_Row]]))=0))</f>
        <v>0</v>
      </c>
      <c r="P188" s="134" t="n">
        <f aca="false">IF(IFERROR(INDEX(tsk_Name,GanttView[[#This Row],[_Row]])="",TRUE()),0,IF(AND(INDEX(tsk_IsLeaf,GanttView[[#This Row],[_Row]])=1,NOT(GanttView[[#This Row],[_IsMilestone]]),N(GanttView[[#This Row],[%]])&gt;0),GanttView[[#This Row],[Forecast Start]],0))</f>
        <v>0</v>
      </c>
      <c r="Q188" s="134" t="n">
        <f aca="false">IF(GanttView[[#This Row],[_DoneFrom]]=0,0,IF(GanttView[[#This Row],[%]]&gt;=1,GanttView[[#This Row],[Forecast Finish]],MAX(GanttView[[#This Row],[_DoneFrom]],GanttView[[#This Row],[Forecast Start]]+ROUND((GanttView[[#This Row],[Forecast Finish]]-GanttView[[#This Row],[Forecast Start]]+1)*GanttView[[#This Row],[%]],0)-1)))</f>
        <v>0</v>
      </c>
      <c r="R188" s="134" t="n">
        <f aca="false">IF(IFERROR(INDEX(tsk_Name,GanttView[[#This Row],[_Row]])="",TRUE()),0,IF(OR(INDEX(tsk_IsLeaf,GanttView[[#This Row],[_Row]])&lt;&gt;1,GanttView[[#This Row],[_IsMilestone]],N(GanttView[[#This Row],[%]])&gt;=1),0,IF(GanttView[[#This Row],[_DoneTo]]&gt;0,GanttView[[#This Row],[_DoneTo]]+1,GanttView[[#This Row],[Forecast Start]])))</f>
        <v>0</v>
      </c>
      <c r="S188" s="134" t="n">
        <f aca="false">IF(GanttView[[#This Row],[_RemFrom]]=0,0,GanttView[[#This Row],[Forecast Finish]])</f>
        <v>0</v>
      </c>
      <c r="T188" s="133" t="b">
        <f aca="false">IF(IFERROR(INDEX(tsk_Name,GanttView[[#This Row],[_Row]])="",TRUE()),FALSE(),N(INDEX(tsk_Variance,GanttView[[#This Row],[_Row]]))&gt;0)</f>
        <v>0</v>
      </c>
      <c r="U188" s="134" t="n">
        <f aca="false">IF(IFERROR(INDEX(tsk_Name,GanttView[[#This Row],[_Row]])="",TRUE()),0,N(INDEX(tsk_Deadline,GanttView[[#This Row],[_Row]])))</f>
        <v>0</v>
      </c>
      <c r="V188" s="133" t="b">
        <f aca="false">IF(IFERROR(INDEX(tsk_Name,GanttView[[#This Row],[_Row]])="",TRUE()),FALSE(),INDEX(tsk_Critical,GanttView[[#This Row],[_Row]])="Yes")</f>
        <v>0</v>
      </c>
    </row>
    <row r="189" customFormat="false" ht="15" hidden="false" customHeight="false" outlineLevel="0" collapsed="false">
      <c r="A189" s="127" t="str">
        <f aca="false">IF(IFERROR(INDEX(tsk_Name,GanttView[[#This Row],[_Row]])="",TRUE()),"",INDEX(tsk_ID,GanttView[[#This Row],[_Row]]))</f>
        <v/>
      </c>
      <c r="B189" s="127" t="str">
        <f aca="false">IF(IFERROR(INDEX(tsk_Name,GanttView[[#This Row],[_Row]])="",TRUE()),"",INDEX(tsk_WBS,GanttView[[#This Row],[_Row]]))</f>
        <v/>
      </c>
      <c r="C189" s="128" t="str">
        <f aca="false">IF(IFERROR(INDEX(tsk_Name,GanttView[[#This Row],[_Row]])="",TRUE()),"",REPT("    ",INDEX(tsk_Level,GanttView[[#This Row],[_Row]])-1)&amp;INDEX(tsk_Name,GanttView[[#This Row],[_Row]]))</f>
        <v/>
      </c>
      <c r="D189" s="127" t="str">
        <f aca="false">IF(IFERROR(INDEX(tsk_Name,GanttView[[#This Row],[_Row]])="",TRUE()),"",IF(INDEX(tsk_IsSummary,GanttView[[#This Row],[_Row]]),NETWORKDAYS.INTL(INDEX(tsk_FcStart,GanttView[[#This Row],[_Row]]),INDEX(tsk_FcFinish,GanttView[[#This Row],[_Row]]),WorkWeek,Holidays),N(INDEX(tsk_Duration,GanttView[[#This Row],[_Row]]))))</f>
        <v/>
      </c>
      <c r="E189" s="129" t="str">
        <f aca="false">IF(IFERROR(INDEX(tsk_Name,GanttView[[#This Row],[_Row]])="",TRUE()),"",INDEX(tsk_PlanStart,GanttView[[#This Row],[_Row]]))</f>
        <v/>
      </c>
      <c r="F189" s="129" t="str">
        <f aca="false">IF(IFERROR(INDEX(tsk_Name,GanttView[[#This Row],[_Row]])="",TRUE()),"",INDEX(tsk_PlanFinish,GanttView[[#This Row],[_Row]]))</f>
        <v/>
      </c>
      <c r="G189" s="129" t="str">
        <f aca="false">IF(IFERROR(INDEX(tsk_Name,GanttView[[#This Row],[_Row]])="",TRUE()),"",INDEX(tsk_FcStart,GanttView[[#This Row],[_Row]]))</f>
        <v/>
      </c>
      <c r="H189" s="129" t="str">
        <f aca="false">IF(IFERROR(INDEX(tsk_Name,GanttView[[#This Row],[_Row]])="",TRUE()),"",INDEX(tsk_FcFinish,GanttView[[#This Row],[_Row]]))</f>
        <v/>
      </c>
      <c r="I189" s="130" t="str">
        <f aca="false">IF(IFERROR(INDEX(tsk_Name,GanttView[[#This Row],[_Row]])="",TRUE()),"",INDEX(tsk_Progress,GanttView[[#This Row],[_Row]]))</f>
        <v/>
      </c>
      <c r="J189" s="128" t="str">
        <f aca="false">IF(IFERROR(INDEX(tsk_Name,GanttView[[#This Row],[_Row]])="",TRUE()),"",INDEX(tsk_ResourceNames,GanttView[[#This Row],[_Row]])&amp;"")</f>
        <v/>
      </c>
      <c r="K189" s="131" t="str">
        <f aca="false">IF(IFERROR(INDEX(tsk_Name,GanttView[[#This Row],[_Row]])="",TRUE()),"",INDEX(tsk_Status,GanttView[[#This Row],[_Row]]))</f>
        <v/>
      </c>
      <c r="L189" s="131" t="str">
        <f aca="false">IF(IFERROR(INDEX(tsk_Name,GanttView[[#This Row],[_Row]])="",TRUE()),"",INDEX(tsk_Show,GanttView[[#This Row],[_Row]])&amp;"")</f>
        <v/>
      </c>
      <c r="M189" s="132" t="n">
        <f aca="false">ROW()-ROW(GanttView[[#Headers],[ID]])</f>
        <v>184</v>
      </c>
      <c r="N189" s="133" t="b">
        <f aca="false">IF(IFERROR(INDEX(tsk_Name,GanttView[[#This Row],[_Row]])="",TRUE()),FALSE(),INDEX(tsk_IsSummary,GanttView[[#This Row],[_Row]]))</f>
        <v>0</v>
      </c>
      <c r="O189" s="133" t="b">
        <f aca="false">IF(IFERROR(INDEX(tsk_Name,GanttView[[#This Row],[_Row]])="",TRUE()),FALSE(),AND(INDEX(tsk_IsLeaf,GanttView[[#This Row],[_Row]])=1,N(INDEX(tsk_Duration,GanttView[[#This Row],[_Row]]))=0))</f>
        <v>0</v>
      </c>
      <c r="P189" s="134" t="n">
        <f aca="false">IF(IFERROR(INDEX(tsk_Name,GanttView[[#This Row],[_Row]])="",TRUE()),0,IF(AND(INDEX(tsk_IsLeaf,GanttView[[#This Row],[_Row]])=1,NOT(GanttView[[#This Row],[_IsMilestone]]),N(GanttView[[#This Row],[%]])&gt;0),GanttView[[#This Row],[Forecast Start]],0))</f>
        <v>0</v>
      </c>
      <c r="Q189" s="134" t="n">
        <f aca="false">IF(GanttView[[#This Row],[_DoneFrom]]=0,0,IF(GanttView[[#This Row],[%]]&gt;=1,GanttView[[#This Row],[Forecast Finish]],MAX(GanttView[[#This Row],[_DoneFrom]],GanttView[[#This Row],[Forecast Start]]+ROUND((GanttView[[#This Row],[Forecast Finish]]-GanttView[[#This Row],[Forecast Start]]+1)*GanttView[[#This Row],[%]],0)-1)))</f>
        <v>0</v>
      </c>
      <c r="R189" s="134" t="n">
        <f aca="false">IF(IFERROR(INDEX(tsk_Name,GanttView[[#This Row],[_Row]])="",TRUE()),0,IF(OR(INDEX(tsk_IsLeaf,GanttView[[#This Row],[_Row]])&lt;&gt;1,GanttView[[#This Row],[_IsMilestone]],N(GanttView[[#This Row],[%]])&gt;=1),0,IF(GanttView[[#This Row],[_DoneTo]]&gt;0,GanttView[[#This Row],[_DoneTo]]+1,GanttView[[#This Row],[Forecast Start]])))</f>
        <v>0</v>
      </c>
      <c r="S189" s="134" t="n">
        <f aca="false">IF(GanttView[[#This Row],[_RemFrom]]=0,0,GanttView[[#This Row],[Forecast Finish]])</f>
        <v>0</v>
      </c>
      <c r="T189" s="133" t="b">
        <f aca="false">IF(IFERROR(INDEX(tsk_Name,GanttView[[#This Row],[_Row]])="",TRUE()),FALSE(),N(INDEX(tsk_Variance,GanttView[[#This Row],[_Row]]))&gt;0)</f>
        <v>0</v>
      </c>
      <c r="U189" s="134" t="n">
        <f aca="false">IF(IFERROR(INDEX(tsk_Name,GanttView[[#This Row],[_Row]])="",TRUE()),0,N(INDEX(tsk_Deadline,GanttView[[#This Row],[_Row]])))</f>
        <v>0</v>
      </c>
      <c r="V189" s="133" t="b">
        <f aca="false">IF(IFERROR(INDEX(tsk_Name,GanttView[[#This Row],[_Row]])="",TRUE()),FALSE(),INDEX(tsk_Critical,GanttView[[#This Row],[_Row]])="Yes")</f>
        <v>0</v>
      </c>
    </row>
    <row r="190" customFormat="false" ht="15" hidden="false" customHeight="false" outlineLevel="0" collapsed="false">
      <c r="A190" s="127" t="str">
        <f aca="false">IF(IFERROR(INDEX(tsk_Name,GanttView[[#This Row],[_Row]])="",TRUE()),"",INDEX(tsk_ID,GanttView[[#This Row],[_Row]]))</f>
        <v/>
      </c>
      <c r="B190" s="127" t="str">
        <f aca="false">IF(IFERROR(INDEX(tsk_Name,GanttView[[#This Row],[_Row]])="",TRUE()),"",INDEX(tsk_WBS,GanttView[[#This Row],[_Row]]))</f>
        <v/>
      </c>
      <c r="C190" s="128" t="str">
        <f aca="false">IF(IFERROR(INDEX(tsk_Name,GanttView[[#This Row],[_Row]])="",TRUE()),"",REPT("    ",INDEX(tsk_Level,GanttView[[#This Row],[_Row]])-1)&amp;INDEX(tsk_Name,GanttView[[#This Row],[_Row]]))</f>
        <v/>
      </c>
      <c r="D190" s="127" t="str">
        <f aca="false">IF(IFERROR(INDEX(tsk_Name,GanttView[[#This Row],[_Row]])="",TRUE()),"",IF(INDEX(tsk_IsSummary,GanttView[[#This Row],[_Row]]),NETWORKDAYS.INTL(INDEX(tsk_FcStart,GanttView[[#This Row],[_Row]]),INDEX(tsk_FcFinish,GanttView[[#This Row],[_Row]]),WorkWeek,Holidays),N(INDEX(tsk_Duration,GanttView[[#This Row],[_Row]]))))</f>
        <v/>
      </c>
      <c r="E190" s="129" t="str">
        <f aca="false">IF(IFERROR(INDEX(tsk_Name,GanttView[[#This Row],[_Row]])="",TRUE()),"",INDEX(tsk_PlanStart,GanttView[[#This Row],[_Row]]))</f>
        <v/>
      </c>
      <c r="F190" s="129" t="str">
        <f aca="false">IF(IFERROR(INDEX(tsk_Name,GanttView[[#This Row],[_Row]])="",TRUE()),"",INDEX(tsk_PlanFinish,GanttView[[#This Row],[_Row]]))</f>
        <v/>
      </c>
      <c r="G190" s="129" t="str">
        <f aca="false">IF(IFERROR(INDEX(tsk_Name,GanttView[[#This Row],[_Row]])="",TRUE()),"",INDEX(tsk_FcStart,GanttView[[#This Row],[_Row]]))</f>
        <v/>
      </c>
      <c r="H190" s="129" t="str">
        <f aca="false">IF(IFERROR(INDEX(tsk_Name,GanttView[[#This Row],[_Row]])="",TRUE()),"",INDEX(tsk_FcFinish,GanttView[[#This Row],[_Row]]))</f>
        <v/>
      </c>
      <c r="I190" s="130" t="str">
        <f aca="false">IF(IFERROR(INDEX(tsk_Name,GanttView[[#This Row],[_Row]])="",TRUE()),"",INDEX(tsk_Progress,GanttView[[#This Row],[_Row]]))</f>
        <v/>
      </c>
      <c r="J190" s="128" t="str">
        <f aca="false">IF(IFERROR(INDEX(tsk_Name,GanttView[[#This Row],[_Row]])="",TRUE()),"",INDEX(tsk_ResourceNames,GanttView[[#This Row],[_Row]])&amp;"")</f>
        <v/>
      </c>
      <c r="K190" s="131" t="str">
        <f aca="false">IF(IFERROR(INDEX(tsk_Name,GanttView[[#This Row],[_Row]])="",TRUE()),"",INDEX(tsk_Status,GanttView[[#This Row],[_Row]]))</f>
        <v/>
      </c>
      <c r="L190" s="131" t="str">
        <f aca="false">IF(IFERROR(INDEX(tsk_Name,GanttView[[#This Row],[_Row]])="",TRUE()),"",INDEX(tsk_Show,GanttView[[#This Row],[_Row]])&amp;"")</f>
        <v/>
      </c>
      <c r="M190" s="132" t="n">
        <f aca="false">ROW()-ROW(GanttView[[#Headers],[ID]])</f>
        <v>185</v>
      </c>
      <c r="N190" s="133" t="b">
        <f aca="false">IF(IFERROR(INDEX(tsk_Name,GanttView[[#This Row],[_Row]])="",TRUE()),FALSE(),INDEX(tsk_IsSummary,GanttView[[#This Row],[_Row]]))</f>
        <v>0</v>
      </c>
      <c r="O190" s="133" t="b">
        <f aca="false">IF(IFERROR(INDEX(tsk_Name,GanttView[[#This Row],[_Row]])="",TRUE()),FALSE(),AND(INDEX(tsk_IsLeaf,GanttView[[#This Row],[_Row]])=1,N(INDEX(tsk_Duration,GanttView[[#This Row],[_Row]]))=0))</f>
        <v>0</v>
      </c>
      <c r="P190" s="134" t="n">
        <f aca="false">IF(IFERROR(INDEX(tsk_Name,GanttView[[#This Row],[_Row]])="",TRUE()),0,IF(AND(INDEX(tsk_IsLeaf,GanttView[[#This Row],[_Row]])=1,NOT(GanttView[[#This Row],[_IsMilestone]]),N(GanttView[[#This Row],[%]])&gt;0),GanttView[[#This Row],[Forecast Start]],0))</f>
        <v>0</v>
      </c>
      <c r="Q190" s="134" t="n">
        <f aca="false">IF(GanttView[[#This Row],[_DoneFrom]]=0,0,IF(GanttView[[#This Row],[%]]&gt;=1,GanttView[[#This Row],[Forecast Finish]],MAX(GanttView[[#This Row],[_DoneFrom]],GanttView[[#This Row],[Forecast Start]]+ROUND((GanttView[[#This Row],[Forecast Finish]]-GanttView[[#This Row],[Forecast Start]]+1)*GanttView[[#This Row],[%]],0)-1)))</f>
        <v>0</v>
      </c>
      <c r="R190" s="134" t="n">
        <f aca="false">IF(IFERROR(INDEX(tsk_Name,GanttView[[#This Row],[_Row]])="",TRUE()),0,IF(OR(INDEX(tsk_IsLeaf,GanttView[[#This Row],[_Row]])&lt;&gt;1,GanttView[[#This Row],[_IsMilestone]],N(GanttView[[#This Row],[%]])&gt;=1),0,IF(GanttView[[#This Row],[_DoneTo]]&gt;0,GanttView[[#This Row],[_DoneTo]]+1,GanttView[[#This Row],[Forecast Start]])))</f>
        <v>0</v>
      </c>
      <c r="S190" s="134" t="n">
        <f aca="false">IF(GanttView[[#This Row],[_RemFrom]]=0,0,GanttView[[#This Row],[Forecast Finish]])</f>
        <v>0</v>
      </c>
      <c r="T190" s="133" t="b">
        <f aca="false">IF(IFERROR(INDEX(tsk_Name,GanttView[[#This Row],[_Row]])="",TRUE()),FALSE(),N(INDEX(tsk_Variance,GanttView[[#This Row],[_Row]]))&gt;0)</f>
        <v>0</v>
      </c>
      <c r="U190" s="134" t="n">
        <f aca="false">IF(IFERROR(INDEX(tsk_Name,GanttView[[#This Row],[_Row]])="",TRUE()),0,N(INDEX(tsk_Deadline,GanttView[[#This Row],[_Row]])))</f>
        <v>0</v>
      </c>
      <c r="V190" s="133" t="b">
        <f aca="false">IF(IFERROR(INDEX(tsk_Name,GanttView[[#This Row],[_Row]])="",TRUE()),FALSE(),INDEX(tsk_Critical,GanttView[[#This Row],[_Row]])="Yes")</f>
        <v>0</v>
      </c>
    </row>
    <row r="191" customFormat="false" ht="15" hidden="false" customHeight="false" outlineLevel="0" collapsed="false">
      <c r="A191" s="127" t="str">
        <f aca="false">IF(IFERROR(INDEX(tsk_Name,GanttView[[#This Row],[_Row]])="",TRUE()),"",INDEX(tsk_ID,GanttView[[#This Row],[_Row]]))</f>
        <v/>
      </c>
      <c r="B191" s="127" t="str">
        <f aca="false">IF(IFERROR(INDEX(tsk_Name,GanttView[[#This Row],[_Row]])="",TRUE()),"",INDEX(tsk_WBS,GanttView[[#This Row],[_Row]]))</f>
        <v/>
      </c>
      <c r="C191" s="128" t="str">
        <f aca="false">IF(IFERROR(INDEX(tsk_Name,GanttView[[#This Row],[_Row]])="",TRUE()),"",REPT("    ",INDEX(tsk_Level,GanttView[[#This Row],[_Row]])-1)&amp;INDEX(tsk_Name,GanttView[[#This Row],[_Row]]))</f>
        <v/>
      </c>
      <c r="D191" s="127" t="str">
        <f aca="false">IF(IFERROR(INDEX(tsk_Name,GanttView[[#This Row],[_Row]])="",TRUE()),"",IF(INDEX(tsk_IsSummary,GanttView[[#This Row],[_Row]]),NETWORKDAYS.INTL(INDEX(tsk_FcStart,GanttView[[#This Row],[_Row]]),INDEX(tsk_FcFinish,GanttView[[#This Row],[_Row]]),WorkWeek,Holidays),N(INDEX(tsk_Duration,GanttView[[#This Row],[_Row]]))))</f>
        <v/>
      </c>
      <c r="E191" s="129" t="str">
        <f aca="false">IF(IFERROR(INDEX(tsk_Name,GanttView[[#This Row],[_Row]])="",TRUE()),"",INDEX(tsk_PlanStart,GanttView[[#This Row],[_Row]]))</f>
        <v/>
      </c>
      <c r="F191" s="129" t="str">
        <f aca="false">IF(IFERROR(INDEX(tsk_Name,GanttView[[#This Row],[_Row]])="",TRUE()),"",INDEX(tsk_PlanFinish,GanttView[[#This Row],[_Row]]))</f>
        <v/>
      </c>
      <c r="G191" s="129" t="str">
        <f aca="false">IF(IFERROR(INDEX(tsk_Name,GanttView[[#This Row],[_Row]])="",TRUE()),"",INDEX(tsk_FcStart,GanttView[[#This Row],[_Row]]))</f>
        <v/>
      </c>
      <c r="H191" s="129" t="str">
        <f aca="false">IF(IFERROR(INDEX(tsk_Name,GanttView[[#This Row],[_Row]])="",TRUE()),"",INDEX(tsk_FcFinish,GanttView[[#This Row],[_Row]]))</f>
        <v/>
      </c>
      <c r="I191" s="130" t="str">
        <f aca="false">IF(IFERROR(INDEX(tsk_Name,GanttView[[#This Row],[_Row]])="",TRUE()),"",INDEX(tsk_Progress,GanttView[[#This Row],[_Row]]))</f>
        <v/>
      </c>
      <c r="J191" s="128" t="str">
        <f aca="false">IF(IFERROR(INDEX(tsk_Name,GanttView[[#This Row],[_Row]])="",TRUE()),"",INDEX(tsk_ResourceNames,GanttView[[#This Row],[_Row]])&amp;"")</f>
        <v/>
      </c>
      <c r="K191" s="131" t="str">
        <f aca="false">IF(IFERROR(INDEX(tsk_Name,GanttView[[#This Row],[_Row]])="",TRUE()),"",INDEX(tsk_Status,GanttView[[#This Row],[_Row]]))</f>
        <v/>
      </c>
      <c r="L191" s="131" t="str">
        <f aca="false">IF(IFERROR(INDEX(tsk_Name,GanttView[[#This Row],[_Row]])="",TRUE()),"",INDEX(tsk_Show,GanttView[[#This Row],[_Row]])&amp;"")</f>
        <v/>
      </c>
      <c r="M191" s="132" t="n">
        <f aca="false">ROW()-ROW(GanttView[[#Headers],[ID]])</f>
        <v>186</v>
      </c>
      <c r="N191" s="133" t="b">
        <f aca="false">IF(IFERROR(INDEX(tsk_Name,GanttView[[#This Row],[_Row]])="",TRUE()),FALSE(),INDEX(tsk_IsSummary,GanttView[[#This Row],[_Row]]))</f>
        <v>0</v>
      </c>
      <c r="O191" s="133" t="b">
        <f aca="false">IF(IFERROR(INDEX(tsk_Name,GanttView[[#This Row],[_Row]])="",TRUE()),FALSE(),AND(INDEX(tsk_IsLeaf,GanttView[[#This Row],[_Row]])=1,N(INDEX(tsk_Duration,GanttView[[#This Row],[_Row]]))=0))</f>
        <v>0</v>
      </c>
      <c r="P191" s="134" t="n">
        <f aca="false">IF(IFERROR(INDEX(tsk_Name,GanttView[[#This Row],[_Row]])="",TRUE()),0,IF(AND(INDEX(tsk_IsLeaf,GanttView[[#This Row],[_Row]])=1,NOT(GanttView[[#This Row],[_IsMilestone]]),N(GanttView[[#This Row],[%]])&gt;0),GanttView[[#This Row],[Forecast Start]],0))</f>
        <v>0</v>
      </c>
      <c r="Q191" s="134" t="n">
        <f aca="false">IF(GanttView[[#This Row],[_DoneFrom]]=0,0,IF(GanttView[[#This Row],[%]]&gt;=1,GanttView[[#This Row],[Forecast Finish]],MAX(GanttView[[#This Row],[_DoneFrom]],GanttView[[#This Row],[Forecast Start]]+ROUND((GanttView[[#This Row],[Forecast Finish]]-GanttView[[#This Row],[Forecast Start]]+1)*GanttView[[#This Row],[%]],0)-1)))</f>
        <v>0</v>
      </c>
      <c r="R191" s="134" t="n">
        <f aca="false">IF(IFERROR(INDEX(tsk_Name,GanttView[[#This Row],[_Row]])="",TRUE()),0,IF(OR(INDEX(tsk_IsLeaf,GanttView[[#This Row],[_Row]])&lt;&gt;1,GanttView[[#This Row],[_IsMilestone]],N(GanttView[[#This Row],[%]])&gt;=1),0,IF(GanttView[[#This Row],[_DoneTo]]&gt;0,GanttView[[#This Row],[_DoneTo]]+1,GanttView[[#This Row],[Forecast Start]])))</f>
        <v>0</v>
      </c>
      <c r="S191" s="134" t="n">
        <f aca="false">IF(GanttView[[#This Row],[_RemFrom]]=0,0,GanttView[[#This Row],[Forecast Finish]])</f>
        <v>0</v>
      </c>
      <c r="T191" s="133" t="b">
        <f aca="false">IF(IFERROR(INDEX(tsk_Name,GanttView[[#This Row],[_Row]])="",TRUE()),FALSE(),N(INDEX(tsk_Variance,GanttView[[#This Row],[_Row]]))&gt;0)</f>
        <v>0</v>
      </c>
      <c r="U191" s="134" t="n">
        <f aca="false">IF(IFERROR(INDEX(tsk_Name,GanttView[[#This Row],[_Row]])="",TRUE()),0,N(INDEX(tsk_Deadline,GanttView[[#This Row],[_Row]])))</f>
        <v>0</v>
      </c>
      <c r="V191" s="133" t="b">
        <f aca="false">IF(IFERROR(INDEX(tsk_Name,GanttView[[#This Row],[_Row]])="",TRUE()),FALSE(),INDEX(tsk_Critical,GanttView[[#This Row],[_Row]])="Yes")</f>
        <v>0</v>
      </c>
    </row>
    <row r="192" customFormat="false" ht="15" hidden="false" customHeight="false" outlineLevel="0" collapsed="false">
      <c r="A192" s="127" t="str">
        <f aca="false">IF(IFERROR(INDEX(tsk_Name,GanttView[[#This Row],[_Row]])="",TRUE()),"",INDEX(tsk_ID,GanttView[[#This Row],[_Row]]))</f>
        <v/>
      </c>
      <c r="B192" s="127" t="str">
        <f aca="false">IF(IFERROR(INDEX(tsk_Name,GanttView[[#This Row],[_Row]])="",TRUE()),"",INDEX(tsk_WBS,GanttView[[#This Row],[_Row]]))</f>
        <v/>
      </c>
      <c r="C192" s="128" t="str">
        <f aca="false">IF(IFERROR(INDEX(tsk_Name,GanttView[[#This Row],[_Row]])="",TRUE()),"",REPT("    ",INDEX(tsk_Level,GanttView[[#This Row],[_Row]])-1)&amp;INDEX(tsk_Name,GanttView[[#This Row],[_Row]]))</f>
        <v/>
      </c>
      <c r="D192" s="127" t="str">
        <f aca="false">IF(IFERROR(INDEX(tsk_Name,GanttView[[#This Row],[_Row]])="",TRUE()),"",IF(INDEX(tsk_IsSummary,GanttView[[#This Row],[_Row]]),NETWORKDAYS.INTL(INDEX(tsk_FcStart,GanttView[[#This Row],[_Row]]),INDEX(tsk_FcFinish,GanttView[[#This Row],[_Row]]),WorkWeek,Holidays),N(INDEX(tsk_Duration,GanttView[[#This Row],[_Row]]))))</f>
        <v/>
      </c>
      <c r="E192" s="129" t="str">
        <f aca="false">IF(IFERROR(INDEX(tsk_Name,GanttView[[#This Row],[_Row]])="",TRUE()),"",INDEX(tsk_PlanStart,GanttView[[#This Row],[_Row]]))</f>
        <v/>
      </c>
      <c r="F192" s="129" t="str">
        <f aca="false">IF(IFERROR(INDEX(tsk_Name,GanttView[[#This Row],[_Row]])="",TRUE()),"",INDEX(tsk_PlanFinish,GanttView[[#This Row],[_Row]]))</f>
        <v/>
      </c>
      <c r="G192" s="129" t="str">
        <f aca="false">IF(IFERROR(INDEX(tsk_Name,GanttView[[#This Row],[_Row]])="",TRUE()),"",INDEX(tsk_FcStart,GanttView[[#This Row],[_Row]]))</f>
        <v/>
      </c>
      <c r="H192" s="129" t="str">
        <f aca="false">IF(IFERROR(INDEX(tsk_Name,GanttView[[#This Row],[_Row]])="",TRUE()),"",INDEX(tsk_FcFinish,GanttView[[#This Row],[_Row]]))</f>
        <v/>
      </c>
      <c r="I192" s="130" t="str">
        <f aca="false">IF(IFERROR(INDEX(tsk_Name,GanttView[[#This Row],[_Row]])="",TRUE()),"",INDEX(tsk_Progress,GanttView[[#This Row],[_Row]]))</f>
        <v/>
      </c>
      <c r="J192" s="128" t="str">
        <f aca="false">IF(IFERROR(INDEX(tsk_Name,GanttView[[#This Row],[_Row]])="",TRUE()),"",INDEX(tsk_ResourceNames,GanttView[[#This Row],[_Row]])&amp;"")</f>
        <v/>
      </c>
      <c r="K192" s="131" t="str">
        <f aca="false">IF(IFERROR(INDEX(tsk_Name,GanttView[[#This Row],[_Row]])="",TRUE()),"",INDEX(tsk_Status,GanttView[[#This Row],[_Row]]))</f>
        <v/>
      </c>
      <c r="L192" s="131" t="str">
        <f aca="false">IF(IFERROR(INDEX(tsk_Name,GanttView[[#This Row],[_Row]])="",TRUE()),"",INDEX(tsk_Show,GanttView[[#This Row],[_Row]])&amp;"")</f>
        <v/>
      </c>
      <c r="M192" s="132" t="n">
        <f aca="false">ROW()-ROW(GanttView[[#Headers],[ID]])</f>
        <v>187</v>
      </c>
      <c r="N192" s="133" t="b">
        <f aca="false">IF(IFERROR(INDEX(tsk_Name,GanttView[[#This Row],[_Row]])="",TRUE()),FALSE(),INDEX(tsk_IsSummary,GanttView[[#This Row],[_Row]]))</f>
        <v>0</v>
      </c>
      <c r="O192" s="133" t="b">
        <f aca="false">IF(IFERROR(INDEX(tsk_Name,GanttView[[#This Row],[_Row]])="",TRUE()),FALSE(),AND(INDEX(tsk_IsLeaf,GanttView[[#This Row],[_Row]])=1,N(INDEX(tsk_Duration,GanttView[[#This Row],[_Row]]))=0))</f>
        <v>0</v>
      </c>
      <c r="P192" s="134" t="n">
        <f aca="false">IF(IFERROR(INDEX(tsk_Name,GanttView[[#This Row],[_Row]])="",TRUE()),0,IF(AND(INDEX(tsk_IsLeaf,GanttView[[#This Row],[_Row]])=1,NOT(GanttView[[#This Row],[_IsMilestone]]),N(GanttView[[#This Row],[%]])&gt;0),GanttView[[#This Row],[Forecast Start]],0))</f>
        <v>0</v>
      </c>
      <c r="Q192" s="134" t="n">
        <f aca="false">IF(GanttView[[#This Row],[_DoneFrom]]=0,0,IF(GanttView[[#This Row],[%]]&gt;=1,GanttView[[#This Row],[Forecast Finish]],MAX(GanttView[[#This Row],[_DoneFrom]],GanttView[[#This Row],[Forecast Start]]+ROUND((GanttView[[#This Row],[Forecast Finish]]-GanttView[[#This Row],[Forecast Start]]+1)*GanttView[[#This Row],[%]],0)-1)))</f>
        <v>0</v>
      </c>
      <c r="R192" s="134" t="n">
        <f aca="false">IF(IFERROR(INDEX(tsk_Name,GanttView[[#This Row],[_Row]])="",TRUE()),0,IF(OR(INDEX(tsk_IsLeaf,GanttView[[#This Row],[_Row]])&lt;&gt;1,GanttView[[#This Row],[_IsMilestone]],N(GanttView[[#This Row],[%]])&gt;=1),0,IF(GanttView[[#This Row],[_DoneTo]]&gt;0,GanttView[[#This Row],[_DoneTo]]+1,GanttView[[#This Row],[Forecast Start]])))</f>
        <v>0</v>
      </c>
      <c r="S192" s="134" t="n">
        <f aca="false">IF(GanttView[[#This Row],[_RemFrom]]=0,0,GanttView[[#This Row],[Forecast Finish]])</f>
        <v>0</v>
      </c>
      <c r="T192" s="133" t="b">
        <f aca="false">IF(IFERROR(INDEX(tsk_Name,GanttView[[#This Row],[_Row]])="",TRUE()),FALSE(),N(INDEX(tsk_Variance,GanttView[[#This Row],[_Row]]))&gt;0)</f>
        <v>0</v>
      </c>
      <c r="U192" s="134" t="n">
        <f aca="false">IF(IFERROR(INDEX(tsk_Name,GanttView[[#This Row],[_Row]])="",TRUE()),0,N(INDEX(tsk_Deadline,GanttView[[#This Row],[_Row]])))</f>
        <v>0</v>
      </c>
      <c r="V192" s="133" t="b">
        <f aca="false">IF(IFERROR(INDEX(tsk_Name,GanttView[[#This Row],[_Row]])="",TRUE()),FALSE(),INDEX(tsk_Critical,GanttView[[#This Row],[_Row]])="Yes")</f>
        <v>0</v>
      </c>
    </row>
    <row r="193" customFormat="false" ht="15" hidden="false" customHeight="false" outlineLevel="0" collapsed="false">
      <c r="A193" s="127" t="str">
        <f aca="false">IF(IFERROR(INDEX(tsk_Name,GanttView[[#This Row],[_Row]])="",TRUE()),"",INDEX(tsk_ID,GanttView[[#This Row],[_Row]]))</f>
        <v/>
      </c>
      <c r="B193" s="127" t="str">
        <f aca="false">IF(IFERROR(INDEX(tsk_Name,GanttView[[#This Row],[_Row]])="",TRUE()),"",INDEX(tsk_WBS,GanttView[[#This Row],[_Row]]))</f>
        <v/>
      </c>
      <c r="C193" s="128" t="str">
        <f aca="false">IF(IFERROR(INDEX(tsk_Name,GanttView[[#This Row],[_Row]])="",TRUE()),"",REPT("    ",INDEX(tsk_Level,GanttView[[#This Row],[_Row]])-1)&amp;INDEX(tsk_Name,GanttView[[#This Row],[_Row]]))</f>
        <v/>
      </c>
      <c r="D193" s="127" t="str">
        <f aca="false">IF(IFERROR(INDEX(tsk_Name,GanttView[[#This Row],[_Row]])="",TRUE()),"",IF(INDEX(tsk_IsSummary,GanttView[[#This Row],[_Row]]),NETWORKDAYS.INTL(INDEX(tsk_FcStart,GanttView[[#This Row],[_Row]]),INDEX(tsk_FcFinish,GanttView[[#This Row],[_Row]]),WorkWeek,Holidays),N(INDEX(tsk_Duration,GanttView[[#This Row],[_Row]]))))</f>
        <v/>
      </c>
      <c r="E193" s="129" t="str">
        <f aca="false">IF(IFERROR(INDEX(tsk_Name,GanttView[[#This Row],[_Row]])="",TRUE()),"",INDEX(tsk_PlanStart,GanttView[[#This Row],[_Row]]))</f>
        <v/>
      </c>
      <c r="F193" s="129" t="str">
        <f aca="false">IF(IFERROR(INDEX(tsk_Name,GanttView[[#This Row],[_Row]])="",TRUE()),"",INDEX(tsk_PlanFinish,GanttView[[#This Row],[_Row]]))</f>
        <v/>
      </c>
      <c r="G193" s="129" t="str">
        <f aca="false">IF(IFERROR(INDEX(tsk_Name,GanttView[[#This Row],[_Row]])="",TRUE()),"",INDEX(tsk_FcStart,GanttView[[#This Row],[_Row]]))</f>
        <v/>
      </c>
      <c r="H193" s="129" t="str">
        <f aca="false">IF(IFERROR(INDEX(tsk_Name,GanttView[[#This Row],[_Row]])="",TRUE()),"",INDEX(tsk_FcFinish,GanttView[[#This Row],[_Row]]))</f>
        <v/>
      </c>
      <c r="I193" s="130" t="str">
        <f aca="false">IF(IFERROR(INDEX(tsk_Name,GanttView[[#This Row],[_Row]])="",TRUE()),"",INDEX(tsk_Progress,GanttView[[#This Row],[_Row]]))</f>
        <v/>
      </c>
      <c r="J193" s="128" t="str">
        <f aca="false">IF(IFERROR(INDEX(tsk_Name,GanttView[[#This Row],[_Row]])="",TRUE()),"",INDEX(tsk_ResourceNames,GanttView[[#This Row],[_Row]])&amp;"")</f>
        <v/>
      </c>
      <c r="K193" s="131" t="str">
        <f aca="false">IF(IFERROR(INDEX(tsk_Name,GanttView[[#This Row],[_Row]])="",TRUE()),"",INDEX(tsk_Status,GanttView[[#This Row],[_Row]]))</f>
        <v/>
      </c>
      <c r="L193" s="131" t="str">
        <f aca="false">IF(IFERROR(INDEX(tsk_Name,GanttView[[#This Row],[_Row]])="",TRUE()),"",INDEX(tsk_Show,GanttView[[#This Row],[_Row]])&amp;"")</f>
        <v/>
      </c>
      <c r="M193" s="132" t="n">
        <f aca="false">ROW()-ROW(GanttView[[#Headers],[ID]])</f>
        <v>188</v>
      </c>
      <c r="N193" s="133" t="b">
        <f aca="false">IF(IFERROR(INDEX(tsk_Name,GanttView[[#This Row],[_Row]])="",TRUE()),FALSE(),INDEX(tsk_IsSummary,GanttView[[#This Row],[_Row]]))</f>
        <v>0</v>
      </c>
      <c r="O193" s="133" t="b">
        <f aca="false">IF(IFERROR(INDEX(tsk_Name,GanttView[[#This Row],[_Row]])="",TRUE()),FALSE(),AND(INDEX(tsk_IsLeaf,GanttView[[#This Row],[_Row]])=1,N(INDEX(tsk_Duration,GanttView[[#This Row],[_Row]]))=0))</f>
        <v>0</v>
      </c>
      <c r="P193" s="134" t="n">
        <f aca="false">IF(IFERROR(INDEX(tsk_Name,GanttView[[#This Row],[_Row]])="",TRUE()),0,IF(AND(INDEX(tsk_IsLeaf,GanttView[[#This Row],[_Row]])=1,NOT(GanttView[[#This Row],[_IsMilestone]]),N(GanttView[[#This Row],[%]])&gt;0),GanttView[[#This Row],[Forecast Start]],0))</f>
        <v>0</v>
      </c>
      <c r="Q193" s="134" t="n">
        <f aca="false">IF(GanttView[[#This Row],[_DoneFrom]]=0,0,IF(GanttView[[#This Row],[%]]&gt;=1,GanttView[[#This Row],[Forecast Finish]],MAX(GanttView[[#This Row],[_DoneFrom]],GanttView[[#This Row],[Forecast Start]]+ROUND((GanttView[[#This Row],[Forecast Finish]]-GanttView[[#This Row],[Forecast Start]]+1)*GanttView[[#This Row],[%]],0)-1)))</f>
        <v>0</v>
      </c>
      <c r="R193" s="134" t="n">
        <f aca="false">IF(IFERROR(INDEX(tsk_Name,GanttView[[#This Row],[_Row]])="",TRUE()),0,IF(OR(INDEX(tsk_IsLeaf,GanttView[[#This Row],[_Row]])&lt;&gt;1,GanttView[[#This Row],[_IsMilestone]],N(GanttView[[#This Row],[%]])&gt;=1),0,IF(GanttView[[#This Row],[_DoneTo]]&gt;0,GanttView[[#This Row],[_DoneTo]]+1,GanttView[[#This Row],[Forecast Start]])))</f>
        <v>0</v>
      </c>
      <c r="S193" s="134" t="n">
        <f aca="false">IF(GanttView[[#This Row],[_RemFrom]]=0,0,GanttView[[#This Row],[Forecast Finish]])</f>
        <v>0</v>
      </c>
      <c r="T193" s="133" t="b">
        <f aca="false">IF(IFERROR(INDEX(tsk_Name,GanttView[[#This Row],[_Row]])="",TRUE()),FALSE(),N(INDEX(tsk_Variance,GanttView[[#This Row],[_Row]]))&gt;0)</f>
        <v>0</v>
      </c>
      <c r="U193" s="134" t="n">
        <f aca="false">IF(IFERROR(INDEX(tsk_Name,GanttView[[#This Row],[_Row]])="",TRUE()),0,N(INDEX(tsk_Deadline,GanttView[[#This Row],[_Row]])))</f>
        <v>0</v>
      </c>
      <c r="V193" s="133" t="b">
        <f aca="false">IF(IFERROR(INDEX(tsk_Name,GanttView[[#This Row],[_Row]])="",TRUE()),FALSE(),INDEX(tsk_Critical,GanttView[[#This Row],[_Row]])="Yes")</f>
        <v>0</v>
      </c>
    </row>
    <row r="194" customFormat="false" ht="15" hidden="false" customHeight="false" outlineLevel="0" collapsed="false">
      <c r="A194" s="127" t="str">
        <f aca="false">IF(IFERROR(INDEX(tsk_Name,GanttView[[#This Row],[_Row]])="",TRUE()),"",INDEX(tsk_ID,GanttView[[#This Row],[_Row]]))</f>
        <v/>
      </c>
      <c r="B194" s="127" t="str">
        <f aca="false">IF(IFERROR(INDEX(tsk_Name,GanttView[[#This Row],[_Row]])="",TRUE()),"",INDEX(tsk_WBS,GanttView[[#This Row],[_Row]]))</f>
        <v/>
      </c>
      <c r="C194" s="128" t="str">
        <f aca="false">IF(IFERROR(INDEX(tsk_Name,GanttView[[#This Row],[_Row]])="",TRUE()),"",REPT("    ",INDEX(tsk_Level,GanttView[[#This Row],[_Row]])-1)&amp;INDEX(tsk_Name,GanttView[[#This Row],[_Row]]))</f>
        <v/>
      </c>
      <c r="D194" s="127" t="str">
        <f aca="false">IF(IFERROR(INDEX(tsk_Name,GanttView[[#This Row],[_Row]])="",TRUE()),"",IF(INDEX(tsk_IsSummary,GanttView[[#This Row],[_Row]]),NETWORKDAYS.INTL(INDEX(tsk_FcStart,GanttView[[#This Row],[_Row]]),INDEX(tsk_FcFinish,GanttView[[#This Row],[_Row]]),WorkWeek,Holidays),N(INDEX(tsk_Duration,GanttView[[#This Row],[_Row]]))))</f>
        <v/>
      </c>
      <c r="E194" s="129" t="str">
        <f aca="false">IF(IFERROR(INDEX(tsk_Name,GanttView[[#This Row],[_Row]])="",TRUE()),"",INDEX(tsk_PlanStart,GanttView[[#This Row],[_Row]]))</f>
        <v/>
      </c>
      <c r="F194" s="129" t="str">
        <f aca="false">IF(IFERROR(INDEX(tsk_Name,GanttView[[#This Row],[_Row]])="",TRUE()),"",INDEX(tsk_PlanFinish,GanttView[[#This Row],[_Row]]))</f>
        <v/>
      </c>
      <c r="G194" s="129" t="str">
        <f aca="false">IF(IFERROR(INDEX(tsk_Name,GanttView[[#This Row],[_Row]])="",TRUE()),"",INDEX(tsk_FcStart,GanttView[[#This Row],[_Row]]))</f>
        <v/>
      </c>
      <c r="H194" s="129" t="str">
        <f aca="false">IF(IFERROR(INDEX(tsk_Name,GanttView[[#This Row],[_Row]])="",TRUE()),"",INDEX(tsk_FcFinish,GanttView[[#This Row],[_Row]]))</f>
        <v/>
      </c>
      <c r="I194" s="130" t="str">
        <f aca="false">IF(IFERROR(INDEX(tsk_Name,GanttView[[#This Row],[_Row]])="",TRUE()),"",INDEX(tsk_Progress,GanttView[[#This Row],[_Row]]))</f>
        <v/>
      </c>
      <c r="J194" s="128" t="str">
        <f aca="false">IF(IFERROR(INDEX(tsk_Name,GanttView[[#This Row],[_Row]])="",TRUE()),"",INDEX(tsk_ResourceNames,GanttView[[#This Row],[_Row]])&amp;"")</f>
        <v/>
      </c>
      <c r="K194" s="131" t="str">
        <f aca="false">IF(IFERROR(INDEX(tsk_Name,GanttView[[#This Row],[_Row]])="",TRUE()),"",INDEX(tsk_Status,GanttView[[#This Row],[_Row]]))</f>
        <v/>
      </c>
      <c r="L194" s="131" t="str">
        <f aca="false">IF(IFERROR(INDEX(tsk_Name,GanttView[[#This Row],[_Row]])="",TRUE()),"",INDEX(tsk_Show,GanttView[[#This Row],[_Row]])&amp;"")</f>
        <v/>
      </c>
      <c r="M194" s="132" t="n">
        <f aca="false">ROW()-ROW(GanttView[[#Headers],[ID]])</f>
        <v>189</v>
      </c>
      <c r="N194" s="133" t="b">
        <f aca="false">IF(IFERROR(INDEX(tsk_Name,GanttView[[#This Row],[_Row]])="",TRUE()),FALSE(),INDEX(tsk_IsSummary,GanttView[[#This Row],[_Row]]))</f>
        <v>0</v>
      </c>
      <c r="O194" s="133" t="b">
        <f aca="false">IF(IFERROR(INDEX(tsk_Name,GanttView[[#This Row],[_Row]])="",TRUE()),FALSE(),AND(INDEX(tsk_IsLeaf,GanttView[[#This Row],[_Row]])=1,N(INDEX(tsk_Duration,GanttView[[#This Row],[_Row]]))=0))</f>
        <v>0</v>
      </c>
      <c r="P194" s="134" t="n">
        <f aca="false">IF(IFERROR(INDEX(tsk_Name,GanttView[[#This Row],[_Row]])="",TRUE()),0,IF(AND(INDEX(tsk_IsLeaf,GanttView[[#This Row],[_Row]])=1,NOT(GanttView[[#This Row],[_IsMilestone]]),N(GanttView[[#This Row],[%]])&gt;0),GanttView[[#This Row],[Forecast Start]],0))</f>
        <v>0</v>
      </c>
      <c r="Q194" s="134" t="n">
        <f aca="false">IF(GanttView[[#This Row],[_DoneFrom]]=0,0,IF(GanttView[[#This Row],[%]]&gt;=1,GanttView[[#This Row],[Forecast Finish]],MAX(GanttView[[#This Row],[_DoneFrom]],GanttView[[#This Row],[Forecast Start]]+ROUND((GanttView[[#This Row],[Forecast Finish]]-GanttView[[#This Row],[Forecast Start]]+1)*GanttView[[#This Row],[%]],0)-1)))</f>
        <v>0</v>
      </c>
      <c r="R194" s="134" t="n">
        <f aca="false">IF(IFERROR(INDEX(tsk_Name,GanttView[[#This Row],[_Row]])="",TRUE()),0,IF(OR(INDEX(tsk_IsLeaf,GanttView[[#This Row],[_Row]])&lt;&gt;1,GanttView[[#This Row],[_IsMilestone]],N(GanttView[[#This Row],[%]])&gt;=1),0,IF(GanttView[[#This Row],[_DoneTo]]&gt;0,GanttView[[#This Row],[_DoneTo]]+1,GanttView[[#This Row],[Forecast Start]])))</f>
        <v>0</v>
      </c>
      <c r="S194" s="134" t="n">
        <f aca="false">IF(GanttView[[#This Row],[_RemFrom]]=0,0,GanttView[[#This Row],[Forecast Finish]])</f>
        <v>0</v>
      </c>
      <c r="T194" s="133" t="b">
        <f aca="false">IF(IFERROR(INDEX(tsk_Name,GanttView[[#This Row],[_Row]])="",TRUE()),FALSE(),N(INDEX(tsk_Variance,GanttView[[#This Row],[_Row]]))&gt;0)</f>
        <v>0</v>
      </c>
      <c r="U194" s="134" t="n">
        <f aca="false">IF(IFERROR(INDEX(tsk_Name,GanttView[[#This Row],[_Row]])="",TRUE()),0,N(INDEX(tsk_Deadline,GanttView[[#This Row],[_Row]])))</f>
        <v>0</v>
      </c>
      <c r="V194" s="133" t="b">
        <f aca="false">IF(IFERROR(INDEX(tsk_Name,GanttView[[#This Row],[_Row]])="",TRUE()),FALSE(),INDEX(tsk_Critical,GanttView[[#This Row],[_Row]])="Yes")</f>
        <v>0</v>
      </c>
    </row>
    <row r="195" customFormat="false" ht="15" hidden="false" customHeight="false" outlineLevel="0" collapsed="false">
      <c r="A195" s="127" t="str">
        <f aca="false">IF(IFERROR(INDEX(tsk_Name,GanttView[[#This Row],[_Row]])="",TRUE()),"",INDEX(tsk_ID,GanttView[[#This Row],[_Row]]))</f>
        <v/>
      </c>
      <c r="B195" s="127" t="str">
        <f aca="false">IF(IFERROR(INDEX(tsk_Name,GanttView[[#This Row],[_Row]])="",TRUE()),"",INDEX(tsk_WBS,GanttView[[#This Row],[_Row]]))</f>
        <v/>
      </c>
      <c r="C195" s="128" t="str">
        <f aca="false">IF(IFERROR(INDEX(tsk_Name,GanttView[[#This Row],[_Row]])="",TRUE()),"",REPT("    ",INDEX(tsk_Level,GanttView[[#This Row],[_Row]])-1)&amp;INDEX(tsk_Name,GanttView[[#This Row],[_Row]]))</f>
        <v/>
      </c>
      <c r="D195" s="127" t="str">
        <f aca="false">IF(IFERROR(INDEX(tsk_Name,GanttView[[#This Row],[_Row]])="",TRUE()),"",IF(INDEX(tsk_IsSummary,GanttView[[#This Row],[_Row]]),NETWORKDAYS.INTL(INDEX(tsk_FcStart,GanttView[[#This Row],[_Row]]),INDEX(tsk_FcFinish,GanttView[[#This Row],[_Row]]),WorkWeek,Holidays),N(INDEX(tsk_Duration,GanttView[[#This Row],[_Row]]))))</f>
        <v/>
      </c>
      <c r="E195" s="129" t="str">
        <f aca="false">IF(IFERROR(INDEX(tsk_Name,GanttView[[#This Row],[_Row]])="",TRUE()),"",INDEX(tsk_PlanStart,GanttView[[#This Row],[_Row]]))</f>
        <v/>
      </c>
      <c r="F195" s="129" t="str">
        <f aca="false">IF(IFERROR(INDEX(tsk_Name,GanttView[[#This Row],[_Row]])="",TRUE()),"",INDEX(tsk_PlanFinish,GanttView[[#This Row],[_Row]]))</f>
        <v/>
      </c>
      <c r="G195" s="129" t="str">
        <f aca="false">IF(IFERROR(INDEX(tsk_Name,GanttView[[#This Row],[_Row]])="",TRUE()),"",INDEX(tsk_FcStart,GanttView[[#This Row],[_Row]]))</f>
        <v/>
      </c>
      <c r="H195" s="129" t="str">
        <f aca="false">IF(IFERROR(INDEX(tsk_Name,GanttView[[#This Row],[_Row]])="",TRUE()),"",INDEX(tsk_FcFinish,GanttView[[#This Row],[_Row]]))</f>
        <v/>
      </c>
      <c r="I195" s="130" t="str">
        <f aca="false">IF(IFERROR(INDEX(tsk_Name,GanttView[[#This Row],[_Row]])="",TRUE()),"",INDEX(tsk_Progress,GanttView[[#This Row],[_Row]]))</f>
        <v/>
      </c>
      <c r="J195" s="128" t="str">
        <f aca="false">IF(IFERROR(INDEX(tsk_Name,GanttView[[#This Row],[_Row]])="",TRUE()),"",INDEX(tsk_ResourceNames,GanttView[[#This Row],[_Row]])&amp;"")</f>
        <v/>
      </c>
      <c r="K195" s="131" t="str">
        <f aca="false">IF(IFERROR(INDEX(tsk_Name,GanttView[[#This Row],[_Row]])="",TRUE()),"",INDEX(tsk_Status,GanttView[[#This Row],[_Row]]))</f>
        <v/>
      </c>
      <c r="L195" s="131" t="str">
        <f aca="false">IF(IFERROR(INDEX(tsk_Name,GanttView[[#This Row],[_Row]])="",TRUE()),"",INDEX(tsk_Show,GanttView[[#This Row],[_Row]])&amp;"")</f>
        <v/>
      </c>
      <c r="M195" s="132" t="n">
        <f aca="false">ROW()-ROW(GanttView[[#Headers],[ID]])</f>
        <v>190</v>
      </c>
      <c r="N195" s="133" t="b">
        <f aca="false">IF(IFERROR(INDEX(tsk_Name,GanttView[[#This Row],[_Row]])="",TRUE()),FALSE(),INDEX(tsk_IsSummary,GanttView[[#This Row],[_Row]]))</f>
        <v>0</v>
      </c>
      <c r="O195" s="133" t="b">
        <f aca="false">IF(IFERROR(INDEX(tsk_Name,GanttView[[#This Row],[_Row]])="",TRUE()),FALSE(),AND(INDEX(tsk_IsLeaf,GanttView[[#This Row],[_Row]])=1,N(INDEX(tsk_Duration,GanttView[[#This Row],[_Row]]))=0))</f>
        <v>0</v>
      </c>
      <c r="P195" s="134" t="n">
        <f aca="false">IF(IFERROR(INDEX(tsk_Name,GanttView[[#This Row],[_Row]])="",TRUE()),0,IF(AND(INDEX(tsk_IsLeaf,GanttView[[#This Row],[_Row]])=1,NOT(GanttView[[#This Row],[_IsMilestone]]),N(GanttView[[#This Row],[%]])&gt;0),GanttView[[#This Row],[Forecast Start]],0))</f>
        <v>0</v>
      </c>
      <c r="Q195" s="134" t="n">
        <f aca="false">IF(GanttView[[#This Row],[_DoneFrom]]=0,0,IF(GanttView[[#This Row],[%]]&gt;=1,GanttView[[#This Row],[Forecast Finish]],MAX(GanttView[[#This Row],[_DoneFrom]],GanttView[[#This Row],[Forecast Start]]+ROUND((GanttView[[#This Row],[Forecast Finish]]-GanttView[[#This Row],[Forecast Start]]+1)*GanttView[[#This Row],[%]],0)-1)))</f>
        <v>0</v>
      </c>
      <c r="R195" s="134" t="n">
        <f aca="false">IF(IFERROR(INDEX(tsk_Name,GanttView[[#This Row],[_Row]])="",TRUE()),0,IF(OR(INDEX(tsk_IsLeaf,GanttView[[#This Row],[_Row]])&lt;&gt;1,GanttView[[#This Row],[_IsMilestone]],N(GanttView[[#This Row],[%]])&gt;=1),0,IF(GanttView[[#This Row],[_DoneTo]]&gt;0,GanttView[[#This Row],[_DoneTo]]+1,GanttView[[#This Row],[Forecast Start]])))</f>
        <v>0</v>
      </c>
      <c r="S195" s="134" t="n">
        <f aca="false">IF(GanttView[[#This Row],[_RemFrom]]=0,0,GanttView[[#This Row],[Forecast Finish]])</f>
        <v>0</v>
      </c>
      <c r="T195" s="133" t="b">
        <f aca="false">IF(IFERROR(INDEX(tsk_Name,GanttView[[#This Row],[_Row]])="",TRUE()),FALSE(),N(INDEX(tsk_Variance,GanttView[[#This Row],[_Row]]))&gt;0)</f>
        <v>0</v>
      </c>
      <c r="U195" s="134" t="n">
        <f aca="false">IF(IFERROR(INDEX(tsk_Name,GanttView[[#This Row],[_Row]])="",TRUE()),0,N(INDEX(tsk_Deadline,GanttView[[#This Row],[_Row]])))</f>
        <v>0</v>
      </c>
      <c r="V195" s="133" t="b">
        <f aca="false">IF(IFERROR(INDEX(tsk_Name,GanttView[[#This Row],[_Row]])="",TRUE()),FALSE(),INDEX(tsk_Critical,GanttView[[#This Row],[_Row]])="Yes")</f>
        <v>0</v>
      </c>
    </row>
    <row r="196" customFormat="false" ht="15" hidden="false" customHeight="false" outlineLevel="0" collapsed="false">
      <c r="A196" s="127" t="str">
        <f aca="false">IF(IFERROR(INDEX(tsk_Name,GanttView[[#This Row],[_Row]])="",TRUE()),"",INDEX(tsk_ID,GanttView[[#This Row],[_Row]]))</f>
        <v/>
      </c>
      <c r="B196" s="127" t="str">
        <f aca="false">IF(IFERROR(INDEX(tsk_Name,GanttView[[#This Row],[_Row]])="",TRUE()),"",INDEX(tsk_WBS,GanttView[[#This Row],[_Row]]))</f>
        <v/>
      </c>
      <c r="C196" s="128" t="str">
        <f aca="false">IF(IFERROR(INDEX(tsk_Name,GanttView[[#This Row],[_Row]])="",TRUE()),"",REPT("    ",INDEX(tsk_Level,GanttView[[#This Row],[_Row]])-1)&amp;INDEX(tsk_Name,GanttView[[#This Row],[_Row]]))</f>
        <v/>
      </c>
      <c r="D196" s="127" t="str">
        <f aca="false">IF(IFERROR(INDEX(tsk_Name,GanttView[[#This Row],[_Row]])="",TRUE()),"",IF(INDEX(tsk_IsSummary,GanttView[[#This Row],[_Row]]),NETWORKDAYS.INTL(INDEX(tsk_FcStart,GanttView[[#This Row],[_Row]]),INDEX(tsk_FcFinish,GanttView[[#This Row],[_Row]]),WorkWeek,Holidays),N(INDEX(tsk_Duration,GanttView[[#This Row],[_Row]]))))</f>
        <v/>
      </c>
      <c r="E196" s="129" t="str">
        <f aca="false">IF(IFERROR(INDEX(tsk_Name,GanttView[[#This Row],[_Row]])="",TRUE()),"",INDEX(tsk_PlanStart,GanttView[[#This Row],[_Row]]))</f>
        <v/>
      </c>
      <c r="F196" s="129" t="str">
        <f aca="false">IF(IFERROR(INDEX(tsk_Name,GanttView[[#This Row],[_Row]])="",TRUE()),"",INDEX(tsk_PlanFinish,GanttView[[#This Row],[_Row]]))</f>
        <v/>
      </c>
      <c r="G196" s="129" t="str">
        <f aca="false">IF(IFERROR(INDEX(tsk_Name,GanttView[[#This Row],[_Row]])="",TRUE()),"",INDEX(tsk_FcStart,GanttView[[#This Row],[_Row]]))</f>
        <v/>
      </c>
      <c r="H196" s="129" t="str">
        <f aca="false">IF(IFERROR(INDEX(tsk_Name,GanttView[[#This Row],[_Row]])="",TRUE()),"",INDEX(tsk_FcFinish,GanttView[[#This Row],[_Row]]))</f>
        <v/>
      </c>
      <c r="I196" s="130" t="str">
        <f aca="false">IF(IFERROR(INDEX(tsk_Name,GanttView[[#This Row],[_Row]])="",TRUE()),"",INDEX(tsk_Progress,GanttView[[#This Row],[_Row]]))</f>
        <v/>
      </c>
      <c r="J196" s="128" t="str">
        <f aca="false">IF(IFERROR(INDEX(tsk_Name,GanttView[[#This Row],[_Row]])="",TRUE()),"",INDEX(tsk_ResourceNames,GanttView[[#This Row],[_Row]])&amp;"")</f>
        <v/>
      </c>
      <c r="K196" s="131" t="str">
        <f aca="false">IF(IFERROR(INDEX(tsk_Name,GanttView[[#This Row],[_Row]])="",TRUE()),"",INDEX(tsk_Status,GanttView[[#This Row],[_Row]]))</f>
        <v/>
      </c>
      <c r="L196" s="131" t="str">
        <f aca="false">IF(IFERROR(INDEX(tsk_Name,GanttView[[#This Row],[_Row]])="",TRUE()),"",INDEX(tsk_Show,GanttView[[#This Row],[_Row]])&amp;"")</f>
        <v/>
      </c>
      <c r="M196" s="132" t="n">
        <f aca="false">ROW()-ROW(GanttView[[#Headers],[ID]])</f>
        <v>191</v>
      </c>
      <c r="N196" s="133" t="b">
        <f aca="false">IF(IFERROR(INDEX(tsk_Name,GanttView[[#This Row],[_Row]])="",TRUE()),FALSE(),INDEX(tsk_IsSummary,GanttView[[#This Row],[_Row]]))</f>
        <v>0</v>
      </c>
      <c r="O196" s="133" t="b">
        <f aca="false">IF(IFERROR(INDEX(tsk_Name,GanttView[[#This Row],[_Row]])="",TRUE()),FALSE(),AND(INDEX(tsk_IsLeaf,GanttView[[#This Row],[_Row]])=1,N(INDEX(tsk_Duration,GanttView[[#This Row],[_Row]]))=0))</f>
        <v>0</v>
      </c>
      <c r="P196" s="134" t="n">
        <f aca="false">IF(IFERROR(INDEX(tsk_Name,GanttView[[#This Row],[_Row]])="",TRUE()),0,IF(AND(INDEX(tsk_IsLeaf,GanttView[[#This Row],[_Row]])=1,NOT(GanttView[[#This Row],[_IsMilestone]]),N(GanttView[[#This Row],[%]])&gt;0),GanttView[[#This Row],[Forecast Start]],0))</f>
        <v>0</v>
      </c>
      <c r="Q196" s="134" t="n">
        <f aca="false">IF(GanttView[[#This Row],[_DoneFrom]]=0,0,IF(GanttView[[#This Row],[%]]&gt;=1,GanttView[[#This Row],[Forecast Finish]],MAX(GanttView[[#This Row],[_DoneFrom]],GanttView[[#This Row],[Forecast Start]]+ROUND((GanttView[[#This Row],[Forecast Finish]]-GanttView[[#This Row],[Forecast Start]]+1)*GanttView[[#This Row],[%]],0)-1)))</f>
        <v>0</v>
      </c>
      <c r="R196" s="134" t="n">
        <f aca="false">IF(IFERROR(INDEX(tsk_Name,GanttView[[#This Row],[_Row]])="",TRUE()),0,IF(OR(INDEX(tsk_IsLeaf,GanttView[[#This Row],[_Row]])&lt;&gt;1,GanttView[[#This Row],[_IsMilestone]],N(GanttView[[#This Row],[%]])&gt;=1),0,IF(GanttView[[#This Row],[_DoneTo]]&gt;0,GanttView[[#This Row],[_DoneTo]]+1,GanttView[[#This Row],[Forecast Start]])))</f>
        <v>0</v>
      </c>
      <c r="S196" s="134" t="n">
        <f aca="false">IF(GanttView[[#This Row],[_RemFrom]]=0,0,GanttView[[#This Row],[Forecast Finish]])</f>
        <v>0</v>
      </c>
      <c r="T196" s="133" t="b">
        <f aca="false">IF(IFERROR(INDEX(tsk_Name,GanttView[[#This Row],[_Row]])="",TRUE()),FALSE(),N(INDEX(tsk_Variance,GanttView[[#This Row],[_Row]]))&gt;0)</f>
        <v>0</v>
      </c>
      <c r="U196" s="134" t="n">
        <f aca="false">IF(IFERROR(INDEX(tsk_Name,GanttView[[#This Row],[_Row]])="",TRUE()),0,N(INDEX(tsk_Deadline,GanttView[[#This Row],[_Row]])))</f>
        <v>0</v>
      </c>
      <c r="V196" s="133" t="b">
        <f aca="false">IF(IFERROR(INDEX(tsk_Name,GanttView[[#This Row],[_Row]])="",TRUE()),FALSE(),INDEX(tsk_Critical,GanttView[[#This Row],[_Row]])="Yes")</f>
        <v>0</v>
      </c>
    </row>
    <row r="197" customFormat="false" ht="15" hidden="false" customHeight="false" outlineLevel="0" collapsed="false">
      <c r="A197" s="127" t="str">
        <f aca="false">IF(IFERROR(INDEX(tsk_Name,GanttView[[#This Row],[_Row]])="",TRUE()),"",INDEX(tsk_ID,GanttView[[#This Row],[_Row]]))</f>
        <v/>
      </c>
      <c r="B197" s="127" t="str">
        <f aca="false">IF(IFERROR(INDEX(tsk_Name,GanttView[[#This Row],[_Row]])="",TRUE()),"",INDEX(tsk_WBS,GanttView[[#This Row],[_Row]]))</f>
        <v/>
      </c>
      <c r="C197" s="128" t="str">
        <f aca="false">IF(IFERROR(INDEX(tsk_Name,GanttView[[#This Row],[_Row]])="",TRUE()),"",REPT("    ",INDEX(tsk_Level,GanttView[[#This Row],[_Row]])-1)&amp;INDEX(tsk_Name,GanttView[[#This Row],[_Row]]))</f>
        <v/>
      </c>
      <c r="D197" s="127" t="str">
        <f aca="false">IF(IFERROR(INDEX(tsk_Name,GanttView[[#This Row],[_Row]])="",TRUE()),"",IF(INDEX(tsk_IsSummary,GanttView[[#This Row],[_Row]]),NETWORKDAYS.INTL(INDEX(tsk_FcStart,GanttView[[#This Row],[_Row]]),INDEX(tsk_FcFinish,GanttView[[#This Row],[_Row]]),WorkWeek,Holidays),N(INDEX(tsk_Duration,GanttView[[#This Row],[_Row]]))))</f>
        <v/>
      </c>
      <c r="E197" s="129" t="str">
        <f aca="false">IF(IFERROR(INDEX(tsk_Name,GanttView[[#This Row],[_Row]])="",TRUE()),"",INDEX(tsk_PlanStart,GanttView[[#This Row],[_Row]]))</f>
        <v/>
      </c>
      <c r="F197" s="129" t="str">
        <f aca="false">IF(IFERROR(INDEX(tsk_Name,GanttView[[#This Row],[_Row]])="",TRUE()),"",INDEX(tsk_PlanFinish,GanttView[[#This Row],[_Row]]))</f>
        <v/>
      </c>
      <c r="G197" s="129" t="str">
        <f aca="false">IF(IFERROR(INDEX(tsk_Name,GanttView[[#This Row],[_Row]])="",TRUE()),"",INDEX(tsk_FcStart,GanttView[[#This Row],[_Row]]))</f>
        <v/>
      </c>
      <c r="H197" s="129" t="str">
        <f aca="false">IF(IFERROR(INDEX(tsk_Name,GanttView[[#This Row],[_Row]])="",TRUE()),"",INDEX(tsk_FcFinish,GanttView[[#This Row],[_Row]]))</f>
        <v/>
      </c>
      <c r="I197" s="130" t="str">
        <f aca="false">IF(IFERROR(INDEX(tsk_Name,GanttView[[#This Row],[_Row]])="",TRUE()),"",INDEX(tsk_Progress,GanttView[[#This Row],[_Row]]))</f>
        <v/>
      </c>
      <c r="J197" s="128" t="str">
        <f aca="false">IF(IFERROR(INDEX(tsk_Name,GanttView[[#This Row],[_Row]])="",TRUE()),"",INDEX(tsk_ResourceNames,GanttView[[#This Row],[_Row]])&amp;"")</f>
        <v/>
      </c>
      <c r="K197" s="131" t="str">
        <f aca="false">IF(IFERROR(INDEX(tsk_Name,GanttView[[#This Row],[_Row]])="",TRUE()),"",INDEX(tsk_Status,GanttView[[#This Row],[_Row]]))</f>
        <v/>
      </c>
      <c r="L197" s="131" t="str">
        <f aca="false">IF(IFERROR(INDEX(tsk_Name,GanttView[[#This Row],[_Row]])="",TRUE()),"",INDEX(tsk_Show,GanttView[[#This Row],[_Row]])&amp;"")</f>
        <v/>
      </c>
      <c r="M197" s="132" t="n">
        <f aca="false">ROW()-ROW(GanttView[[#Headers],[ID]])</f>
        <v>192</v>
      </c>
      <c r="N197" s="133" t="b">
        <f aca="false">IF(IFERROR(INDEX(tsk_Name,GanttView[[#This Row],[_Row]])="",TRUE()),FALSE(),INDEX(tsk_IsSummary,GanttView[[#This Row],[_Row]]))</f>
        <v>0</v>
      </c>
      <c r="O197" s="133" t="b">
        <f aca="false">IF(IFERROR(INDEX(tsk_Name,GanttView[[#This Row],[_Row]])="",TRUE()),FALSE(),AND(INDEX(tsk_IsLeaf,GanttView[[#This Row],[_Row]])=1,N(INDEX(tsk_Duration,GanttView[[#This Row],[_Row]]))=0))</f>
        <v>0</v>
      </c>
      <c r="P197" s="134" t="n">
        <f aca="false">IF(IFERROR(INDEX(tsk_Name,GanttView[[#This Row],[_Row]])="",TRUE()),0,IF(AND(INDEX(tsk_IsLeaf,GanttView[[#This Row],[_Row]])=1,NOT(GanttView[[#This Row],[_IsMilestone]]),N(GanttView[[#This Row],[%]])&gt;0),GanttView[[#This Row],[Forecast Start]],0))</f>
        <v>0</v>
      </c>
      <c r="Q197" s="134" t="n">
        <f aca="false">IF(GanttView[[#This Row],[_DoneFrom]]=0,0,IF(GanttView[[#This Row],[%]]&gt;=1,GanttView[[#This Row],[Forecast Finish]],MAX(GanttView[[#This Row],[_DoneFrom]],GanttView[[#This Row],[Forecast Start]]+ROUND((GanttView[[#This Row],[Forecast Finish]]-GanttView[[#This Row],[Forecast Start]]+1)*GanttView[[#This Row],[%]],0)-1)))</f>
        <v>0</v>
      </c>
      <c r="R197" s="134" t="n">
        <f aca="false">IF(IFERROR(INDEX(tsk_Name,GanttView[[#This Row],[_Row]])="",TRUE()),0,IF(OR(INDEX(tsk_IsLeaf,GanttView[[#This Row],[_Row]])&lt;&gt;1,GanttView[[#This Row],[_IsMilestone]],N(GanttView[[#This Row],[%]])&gt;=1),0,IF(GanttView[[#This Row],[_DoneTo]]&gt;0,GanttView[[#This Row],[_DoneTo]]+1,GanttView[[#This Row],[Forecast Start]])))</f>
        <v>0</v>
      </c>
      <c r="S197" s="134" t="n">
        <f aca="false">IF(GanttView[[#This Row],[_RemFrom]]=0,0,GanttView[[#This Row],[Forecast Finish]])</f>
        <v>0</v>
      </c>
      <c r="T197" s="133" t="b">
        <f aca="false">IF(IFERROR(INDEX(tsk_Name,GanttView[[#This Row],[_Row]])="",TRUE()),FALSE(),N(INDEX(tsk_Variance,GanttView[[#This Row],[_Row]]))&gt;0)</f>
        <v>0</v>
      </c>
      <c r="U197" s="134" t="n">
        <f aca="false">IF(IFERROR(INDEX(tsk_Name,GanttView[[#This Row],[_Row]])="",TRUE()),0,N(INDEX(tsk_Deadline,GanttView[[#This Row],[_Row]])))</f>
        <v>0</v>
      </c>
      <c r="V197" s="133" t="b">
        <f aca="false">IF(IFERROR(INDEX(tsk_Name,GanttView[[#This Row],[_Row]])="",TRUE()),FALSE(),INDEX(tsk_Critical,GanttView[[#This Row],[_Row]])="Yes")</f>
        <v>0</v>
      </c>
    </row>
    <row r="198" customFormat="false" ht="15" hidden="false" customHeight="false" outlineLevel="0" collapsed="false">
      <c r="A198" s="127" t="str">
        <f aca="false">IF(IFERROR(INDEX(tsk_Name,GanttView[[#This Row],[_Row]])="",TRUE()),"",INDEX(tsk_ID,GanttView[[#This Row],[_Row]]))</f>
        <v/>
      </c>
      <c r="B198" s="127" t="str">
        <f aca="false">IF(IFERROR(INDEX(tsk_Name,GanttView[[#This Row],[_Row]])="",TRUE()),"",INDEX(tsk_WBS,GanttView[[#This Row],[_Row]]))</f>
        <v/>
      </c>
      <c r="C198" s="128" t="str">
        <f aca="false">IF(IFERROR(INDEX(tsk_Name,GanttView[[#This Row],[_Row]])="",TRUE()),"",REPT("    ",INDEX(tsk_Level,GanttView[[#This Row],[_Row]])-1)&amp;INDEX(tsk_Name,GanttView[[#This Row],[_Row]]))</f>
        <v/>
      </c>
      <c r="D198" s="127" t="str">
        <f aca="false">IF(IFERROR(INDEX(tsk_Name,GanttView[[#This Row],[_Row]])="",TRUE()),"",IF(INDEX(tsk_IsSummary,GanttView[[#This Row],[_Row]]),NETWORKDAYS.INTL(INDEX(tsk_FcStart,GanttView[[#This Row],[_Row]]),INDEX(tsk_FcFinish,GanttView[[#This Row],[_Row]]),WorkWeek,Holidays),N(INDEX(tsk_Duration,GanttView[[#This Row],[_Row]]))))</f>
        <v/>
      </c>
      <c r="E198" s="129" t="str">
        <f aca="false">IF(IFERROR(INDEX(tsk_Name,GanttView[[#This Row],[_Row]])="",TRUE()),"",INDEX(tsk_PlanStart,GanttView[[#This Row],[_Row]]))</f>
        <v/>
      </c>
      <c r="F198" s="129" t="str">
        <f aca="false">IF(IFERROR(INDEX(tsk_Name,GanttView[[#This Row],[_Row]])="",TRUE()),"",INDEX(tsk_PlanFinish,GanttView[[#This Row],[_Row]]))</f>
        <v/>
      </c>
      <c r="G198" s="129" t="str">
        <f aca="false">IF(IFERROR(INDEX(tsk_Name,GanttView[[#This Row],[_Row]])="",TRUE()),"",INDEX(tsk_FcStart,GanttView[[#This Row],[_Row]]))</f>
        <v/>
      </c>
      <c r="H198" s="129" t="str">
        <f aca="false">IF(IFERROR(INDEX(tsk_Name,GanttView[[#This Row],[_Row]])="",TRUE()),"",INDEX(tsk_FcFinish,GanttView[[#This Row],[_Row]]))</f>
        <v/>
      </c>
      <c r="I198" s="130" t="str">
        <f aca="false">IF(IFERROR(INDEX(tsk_Name,GanttView[[#This Row],[_Row]])="",TRUE()),"",INDEX(tsk_Progress,GanttView[[#This Row],[_Row]]))</f>
        <v/>
      </c>
      <c r="J198" s="128" t="str">
        <f aca="false">IF(IFERROR(INDEX(tsk_Name,GanttView[[#This Row],[_Row]])="",TRUE()),"",INDEX(tsk_ResourceNames,GanttView[[#This Row],[_Row]])&amp;"")</f>
        <v/>
      </c>
      <c r="K198" s="131" t="str">
        <f aca="false">IF(IFERROR(INDEX(tsk_Name,GanttView[[#This Row],[_Row]])="",TRUE()),"",INDEX(tsk_Status,GanttView[[#This Row],[_Row]]))</f>
        <v/>
      </c>
      <c r="L198" s="131" t="str">
        <f aca="false">IF(IFERROR(INDEX(tsk_Name,GanttView[[#This Row],[_Row]])="",TRUE()),"",INDEX(tsk_Show,GanttView[[#This Row],[_Row]])&amp;"")</f>
        <v/>
      </c>
      <c r="M198" s="132" t="n">
        <f aca="false">ROW()-ROW(GanttView[[#Headers],[ID]])</f>
        <v>193</v>
      </c>
      <c r="N198" s="133" t="b">
        <f aca="false">IF(IFERROR(INDEX(tsk_Name,GanttView[[#This Row],[_Row]])="",TRUE()),FALSE(),INDEX(tsk_IsSummary,GanttView[[#This Row],[_Row]]))</f>
        <v>0</v>
      </c>
      <c r="O198" s="133" t="b">
        <f aca="false">IF(IFERROR(INDEX(tsk_Name,GanttView[[#This Row],[_Row]])="",TRUE()),FALSE(),AND(INDEX(tsk_IsLeaf,GanttView[[#This Row],[_Row]])=1,N(INDEX(tsk_Duration,GanttView[[#This Row],[_Row]]))=0))</f>
        <v>0</v>
      </c>
      <c r="P198" s="134" t="n">
        <f aca="false">IF(IFERROR(INDEX(tsk_Name,GanttView[[#This Row],[_Row]])="",TRUE()),0,IF(AND(INDEX(tsk_IsLeaf,GanttView[[#This Row],[_Row]])=1,NOT(GanttView[[#This Row],[_IsMilestone]]),N(GanttView[[#This Row],[%]])&gt;0),GanttView[[#This Row],[Forecast Start]],0))</f>
        <v>0</v>
      </c>
      <c r="Q198" s="134" t="n">
        <f aca="false">IF(GanttView[[#This Row],[_DoneFrom]]=0,0,IF(GanttView[[#This Row],[%]]&gt;=1,GanttView[[#This Row],[Forecast Finish]],MAX(GanttView[[#This Row],[_DoneFrom]],GanttView[[#This Row],[Forecast Start]]+ROUND((GanttView[[#This Row],[Forecast Finish]]-GanttView[[#This Row],[Forecast Start]]+1)*GanttView[[#This Row],[%]],0)-1)))</f>
        <v>0</v>
      </c>
      <c r="R198" s="134" t="n">
        <f aca="false">IF(IFERROR(INDEX(tsk_Name,GanttView[[#This Row],[_Row]])="",TRUE()),0,IF(OR(INDEX(tsk_IsLeaf,GanttView[[#This Row],[_Row]])&lt;&gt;1,GanttView[[#This Row],[_IsMilestone]],N(GanttView[[#This Row],[%]])&gt;=1),0,IF(GanttView[[#This Row],[_DoneTo]]&gt;0,GanttView[[#This Row],[_DoneTo]]+1,GanttView[[#This Row],[Forecast Start]])))</f>
        <v>0</v>
      </c>
      <c r="S198" s="134" t="n">
        <f aca="false">IF(GanttView[[#This Row],[_RemFrom]]=0,0,GanttView[[#This Row],[Forecast Finish]])</f>
        <v>0</v>
      </c>
      <c r="T198" s="133" t="b">
        <f aca="false">IF(IFERROR(INDEX(tsk_Name,GanttView[[#This Row],[_Row]])="",TRUE()),FALSE(),N(INDEX(tsk_Variance,GanttView[[#This Row],[_Row]]))&gt;0)</f>
        <v>0</v>
      </c>
      <c r="U198" s="134" t="n">
        <f aca="false">IF(IFERROR(INDEX(tsk_Name,GanttView[[#This Row],[_Row]])="",TRUE()),0,N(INDEX(tsk_Deadline,GanttView[[#This Row],[_Row]])))</f>
        <v>0</v>
      </c>
      <c r="V198" s="133" t="b">
        <f aca="false">IF(IFERROR(INDEX(tsk_Name,GanttView[[#This Row],[_Row]])="",TRUE()),FALSE(),INDEX(tsk_Critical,GanttView[[#This Row],[_Row]])="Yes")</f>
        <v>0</v>
      </c>
    </row>
    <row r="199" customFormat="false" ht="15" hidden="false" customHeight="false" outlineLevel="0" collapsed="false">
      <c r="A199" s="127" t="str">
        <f aca="false">IF(IFERROR(INDEX(tsk_Name,GanttView[[#This Row],[_Row]])="",TRUE()),"",INDEX(tsk_ID,GanttView[[#This Row],[_Row]]))</f>
        <v/>
      </c>
      <c r="B199" s="127" t="str">
        <f aca="false">IF(IFERROR(INDEX(tsk_Name,GanttView[[#This Row],[_Row]])="",TRUE()),"",INDEX(tsk_WBS,GanttView[[#This Row],[_Row]]))</f>
        <v/>
      </c>
      <c r="C199" s="128" t="str">
        <f aca="false">IF(IFERROR(INDEX(tsk_Name,GanttView[[#This Row],[_Row]])="",TRUE()),"",REPT("    ",INDEX(tsk_Level,GanttView[[#This Row],[_Row]])-1)&amp;INDEX(tsk_Name,GanttView[[#This Row],[_Row]]))</f>
        <v/>
      </c>
      <c r="D199" s="127" t="str">
        <f aca="false">IF(IFERROR(INDEX(tsk_Name,GanttView[[#This Row],[_Row]])="",TRUE()),"",IF(INDEX(tsk_IsSummary,GanttView[[#This Row],[_Row]]),NETWORKDAYS.INTL(INDEX(tsk_FcStart,GanttView[[#This Row],[_Row]]),INDEX(tsk_FcFinish,GanttView[[#This Row],[_Row]]),WorkWeek,Holidays),N(INDEX(tsk_Duration,GanttView[[#This Row],[_Row]]))))</f>
        <v/>
      </c>
      <c r="E199" s="129" t="str">
        <f aca="false">IF(IFERROR(INDEX(tsk_Name,GanttView[[#This Row],[_Row]])="",TRUE()),"",INDEX(tsk_PlanStart,GanttView[[#This Row],[_Row]]))</f>
        <v/>
      </c>
      <c r="F199" s="129" t="str">
        <f aca="false">IF(IFERROR(INDEX(tsk_Name,GanttView[[#This Row],[_Row]])="",TRUE()),"",INDEX(tsk_PlanFinish,GanttView[[#This Row],[_Row]]))</f>
        <v/>
      </c>
      <c r="G199" s="129" t="str">
        <f aca="false">IF(IFERROR(INDEX(tsk_Name,GanttView[[#This Row],[_Row]])="",TRUE()),"",INDEX(tsk_FcStart,GanttView[[#This Row],[_Row]]))</f>
        <v/>
      </c>
      <c r="H199" s="129" t="str">
        <f aca="false">IF(IFERROR(INDEX(tsk_Name,GanttView[[#This Row],[_Row]])="",TRUE()),"",INDEX(tsk_FcFinish,GanttView[[#This Row],[_Row]]))</f>
        <v/>
      </c>
      <c r="I199" s="130" t="str">
        <f aca="false">IF(IFERROR(INDEX(tsk_Name,GanttView[[#This Row],[_Row]])="",TRUE()),"",INDEX(tsk_Progress,GanttView[[#This Row],[_Row]]))</f>
        <v/>
      </c>
      <c r="J199" s="128" t="str">
        <f aca="false">IF(IFERROR(INDEX(tsk_Name,GanttView[[#This Row],[_Row]])="",TRUE()),"",INDEX(tsk_ResourceNames,GanttView[[#This Row],[_Row]])&amp;"")</f>
        <v/>
      </c>
      <c r="K199" s="131" t="str">
        <f aca="false">IF(IFERROR(INDEX(tsk_Name,GanttView[[#This Row],[_Row]])="",TRUE()),"",INDEX(tsk_Status,GanttView[[#This Row],[_Row]]))</f>
        <v/>
      </c>
      <c r="L199" s="131" t="str">
        <f aca="false">IF(IFERROR(INDEX(tsk_Name,GanttView[[#This Row],[_Row]])="",TRUE()),"",INDEX(tsk_Show,GanttView[[#This Row],[_Row]])&amp;"")</f>
        <v/>
      </c>
      <c r="M199" s="132" t="n">
        <f aca="false">ROW()-ROW(GanttView[[#Headers],[ID]])</f>
        <v>194</v>
      </c>
      <c r="N199" s="133" t="b">
        <f aca="false">IF(IFERROR(INDEX(tsk_Name,GanttView[[#This Row],[_Row]])="",TRUE()),FALSE(),INDEX(tsk_IsSummary,GanttView[[#This Row],[_Row]]))</f>
        <v>0</v>
      </c>
      <c r="O199" s="133" t="b">
        <f aca="false">IF(IFERROR(INDEX(tsk_Name,GanttView[[#This Row],[_Row]])="",TRUE()),FALSE(),AND(INDEX(tsk_IsLeaf,GanttView[[#This Row],[_Row]])=1,N(INDEX(tsk_Duration,GanttView[[#This Row],[_Row]]))=0))</f>
        <v>0</v>
      </c>
      <c r="P199" s="134" t="n">
        <f aca="false">IF(IFERROR(INDEX(tsk_Name,GanttView[[#This Row],[_Row]])="",TRUE()),0,IF(AND(INDEX(tsk_IsLeaf,GanttView[[#This Row],[_Row]])=1,NOT(GanttView[[#This Row],[_IsMilestone]]),N(GanttView[[#This Row],[%]])&gt;0),GanttView[[#This Row],[Forecast Start]],0))</f>
        <v>0</v>
      </c>
      <c r="Q199" s="134" t="n">
        <f aca="false">IF(GanttView[[#This Row],[_DoneFrom]]=0,0,IF(GanttView[[#This Row],[%]]&gt;=1,GanttView[[#This Row],[Forecast Finish]],MAX(GanttView[[#This Row],[_DoneFrom]],GanttView[[#This Row],[Forecast Start]]+ROUND((GanttView[[#This Row],[Forecast Finish]]-GanttView[[#This Row],[Forecast Start]]+1)*GanttView[[#This Row],[%]],0)-1)))</f>
        <v>0</v>
      </c>
      <c r="R199" s="134" t="n">
        <f aca="false">IF(IFERROR(INDEX(tsk_Name,GanttView[[#This Row],[_Row]])="",TRUE()),0,IF(OR(INDEX(tsk_IsLeaf,GanttView[[#This Row],[_Row]])&lt;&gt;1,GanttView[[#This Row],[_IsMilestone]],N(GanttView[[#This Row],[%]])&gt;=1),0,IF(GanttView[[#This Row],[_DoneTo]]&gt;0,GanttView[[#This Row],[_DoneTo]]+1,GanttView[[#This Row],[Forecast Start]])))</f>
        <v>0</v>
      </c>
      <c r="S199" s="134" t="n">
        <f aca="false">IF(GanttView[[#This Row],[_RemFrom]]=0,0,GanttView[[#This Row],[Forecast Finish]])</f>
        <v>0</v>
      </c>
      <c r="T199" s="133" t="b">
        <f aca="false">IF(IFERROR(INDEX(tsk_Name,GanttView[[#This Row],[_Row]])="",TRUE()),FALSE(),N(INDEX(tsk_Variance,GanttView[[#This Row],[_Row]]))&gt;0)</f>
        <v>0</v>
      </c>
      <c r="U199" s="134" t="n">
        <f aca="false">IF(IFERROR(INDEX(tsk_Name,GanttView[[#This Row],[_Row]])="",TRUE()),0,N(INDEX(tsk_Deadline,GanttView[[#This Row],[_Row]])))</f>
        <v>0</v>
      </c>
      <c r="V199" s="133" t="b">
        <f aca="false">IF(IFERROR(INDEX(tsk_Name,GanttView[[#This Row],[_Row]])="",TRUE()),FALSE(),INDEX(tsk_Critical,GanttView[[#This Row],[_Row]])="Yes")</f>
        <v>0</v>
      </c>
    </row>
    <row r="200" customFormat="false" ht="15" hidden="false" customHeight="false" outlineLevel="0" collapsed="false">
      <c r="A200" s="127" t="str">
        <f aca="false">IF(IFERROR(INDEX(tsk_Name,GanttView[[#This Row],[_Row]])="",TRUE()),"",INDEX(tsk_ID,GanttView[[#This Row],[_Row]]))</f>
        <v/>
      </c>
      <c r="B200" s="127" t="str">
        <f aca="false">IF(IFERROR(INDEX(tsk_Name,GanttView[[#This Row],[_Row]])="",TRUE()),"",INDEX(tsk_WBS,GanttView[[#This Row],[_Row]]))</f>
        <v/>
      </c>
      <c r="C200" s="128" t="str">
        <f aca="false">IF(IFERROR(INDEX(tsk_Name,GanttView[[#This Row],[_Row]])="",TRUE()),"",REPT("    ",INDEX(tsk_Level,GanttView[[#This Row],[_Row]])-1)&amp;INDEX(tsk_Name,GanttView[[#This Row],[_Row]]))</f>
        <v/>
      </c>
      <c r="D200" s="127" t="str">
        <f aca="false">IF(IFERROR(INDEX(tsk_Name,GanttView[[#This Row],[_Row]])="",TRUE()),"",IF(INDEX(tsk_IsSummary,GanttView[[#This Row],[_Row]]),NETWORKDAYS.INTL(INDEX(tsk_FcStart,GanttView[[#This Row],[_Row]]),INDEX(tsk_FcFinish,GanttView[[#This Row],[_Row]]),WorkWeek,Holidays),N(INDEX(tsk_Duration,GanttView[[#This Row],[_Row]]))))</f>
        <v/>
      </c>
      <c r="E200" s="129" t="str">
        <f aca="false">IF(IFERROR(INDEX(tsk_Name,GanttView[[#This Row],[_Row]])="",TRUE()),"",INDEX(tsk_PlanStart,GanttView[[#This Row],[_Row]]))</f>
        <v/>
      </c>
      <c r="F200" s="129" t="str">
        <f aca="false">IF(IFERROR(INDEX(tsk_Name,GanttView[[#This Row],[_Row]])="",TRUE()),"",INDEX(tsk_PlanFinish,GanttView[[#This Row],[_Row]]))</f>
        <v/>
      </c>
      <c r="G200" s="129" t="str">
        <f aca="false">IF(IFERROR(INDEX(tsk_Name,GanttView[[#This Row],[_Row]])="",TRUE()),"",INDEX(tsk_FcStart,GanttView[[#This Row],[_Row]]))</f>
        <v/>
      </c>
      <c r="H200" s="129" t="str">
        <f aca="false">IF(IFERROR(INDEX(tsk_Name,GanttView[[#This Row],[_Row]])="",TRUE()),"",INDEX(tsk_FcFinish,GanttView[[#This Row],[_Row]]))</f>
        <v/>
      </c>
      <c r="I200" s="130" t="str">
        <f aca="false">IF(IFERROR(INDEX(tsk_Name,GanttView[[#This Row],[_Row]])="",TRUE()),"",INDEX(tsk_Progress,GanttView[[#This Row],[_Row]]))</f>
        <v/>
      </c>
      <c r="J200" s="128" t="str">
        <f aca="false">IF(IFERROR(INDEX(tsk_Name,GanttView[[#This Row],[_Row]])="",TRUE()),"",INDEX(tsk_ResourceNames,GanttView[[#This Row],[_Row]])&amp;"")</f>
        <v/>
      </c>
      <c r="K200" s="131" t="str">
        <f aca="false">IF(IFERROR(INDEX(tsk_Name,GanttView[[#This Row],[_Row]])="",TRUE()),"",INDEX(tsk_Status,GanttView[[#This Row],[_Row]]))</f>
        <v/>
      </c>
      <c r="L200" s="131" t="str">
        <f aca="false">IF(IFERROR(INDEX(tsk_Name,GanttView[[#This Row],[_Row]])="",TRUE()),"",INDEX(tsk_Show,GanttView[[#This Row],[_Row]])&amp;"")</f>
        <v/>
      </c>
      <c r="M200" s="132" t="n">
        <f aca="false">ROW()-ROW(GanttView[[#Headers],[ID]])</f>
        <v>195</v>
      </c>
      <c r="N200" s="133" t="b">
        <f aca="false">IF(IFERROR(INDEX(tsk_Name,GanttView[[#This Row],[_Row]])="",TRUE()),FALSE(),INDEX(tsk_IsSummary,GanttView[[#This Row],[_Row]]))</f>
        <v>0</v>
      </c>
      <c r="O200" s="133" t="b">
        <f aca="false">IF(IFERROR(INDEX(tsk_Name,GanttView[[#This Row],[_Row]])="",TRUE()),FALSE(),AND(INDEX(tsk_IsLeaf,GanttView[[#This Row],[_Row]])=1,N(INDEX(tsk_Duration,GanttView[[#This Row],[_Row]]))=0))</f>
        <v>0</v>
      </c>
      <c r="P200" s="134" t="n">
        <f aca="false">IF(IFERROR(INDEX(tsk_Name,GanttView[[#This Row],[_Row]])="",TRUE()),0,IF(AND(INDEX(tsk_IsLeaf,GanttView[[#This Row],[_Row]])=1,NOT(GanttView[[#This Row],[_IsMilestone]]),N(GanttView[[#This Row],[%]])&gt;0),GanttView[[#This Row],[Forecast Start]],0))</f>
        <v>0</v>
      </c>
      <c r="Q200" s="134" t="n">
        <f aca="false">IF(GanttView[[#This Row],[_DoneFrom]]=0,0,IF(GanttView[[#This Row],[%]]&gt;=1,GanttView[[#This Row],[Forecast Finish]],MAX(GanttView[[#This Row],[_DoneFrom]],GanttView[[#This Row],[Forecast Start]]+ROUND((GanttView[[#This Row],[Forecast Finish]]-GanttView[[#This Row],[Forecast Start]]+1)*GanttView[[#This Row],[%]],0)-1)))</f>
        <v>0</v>
      </c>
      <c r="R200" s="134" t="n">
        <f aca="false">IF(IFERROR(INDEX(tsk_Name,GanttView[[#This Row],[_Row]])="",TRUE()),0,IF(OR(INDEX(tsk_IsLeaf,GanttView[[#This Row],[_Row]])&lt;&gt;1,GanttView[[#This Row],[_IsMilestone]],N(GanttView[[#This Row],[%]])&gt;=1),0,IF(GanttView[[#This Row],[_DoneTo]]&gt;0,GanttView[[#This Row],[_DoneTo]]+1,GanttView[[#This Row],[Forecast Start]])))</f>
        <v>0</v>
      </c>
      <c r="S200" s="134" t="n">
        <f aca="false">IF(GanttView[[#This Row],[_RemFrom]]=0,0,GanttView[[#This Row],[Forecast Finish]])</f>
        <v>0</v>
      </c>
      <c r="T200" s="133" t="b">
        <f aca="false">IF(IFERROR(INDEX(tsk_Name,GanttView[[#This Row],[_Row]])="",TRUE()),FALSE(),N(INDEX(tsk_Variance,GanttView[[#This Row],[_Row]]))&gt;0)</f>
        <v>0</v>
      </c>
      <c r="U200" s="134" t="n">
        <f aca="false">IF(IFERROR(INDEX(tsk_Name,GanttView[[#This Row],[_Row]])="",TRUE()),0,N(INDEX(tsk_Deadline,GanttView[[#This Row],[_Row]])))</f>
        <v>0</v>
      </c>
      <c r="V200" s="133" t="b">
        <f aca="false">IF(IFERROR(INDEX(tsk_Name,GanttView[[#This Row],[_Row]])="",TRUE()),FALSE(),INDEX(tsk_Critical,GanttView[[#This Row],[_Row]])="Yes")</f>
        <v>0</v>
      </c>
    </row>
    <row r="201" customFormat="false" ht="15" hidden="false" customHeight="false" outlineLevel="0" collapsed="false">
      <c r="A201" s="127" t="str">
        <f aca="false">IF(IFERROR(INDEX(tsk_Name,GanttView[[#This Row],[_Row]])="",TRUE()),"",INDEX(tsk_ID,GanttView[[#This Row],[_Row]]))</f>
        <v/>
      </c>
      <c r="B201" s="127" t="str">
        <f aca="false">IF(IFERROR(INDEX(tsk_Name,GanttView[[#This Row],[_Row]])="",TRUE()),"",INDEX(tsk_WBS,GanttView[[#This Row],[_Row]]))</f>
        <v/>
      </c>
      <c r="C201" s="128" t="str">
        <f aca="false">IF(IFERROR(INDEX(tsk_Name,GanttView[[#This Row],[_Row]])="",TRUE()),"",REPT("    ",INDEX(tsk_Level,GanttView[[#This Row],[_Row]])-1)&amp;INDEX(tsk_Name,GanttView[[#This Row],[_Row]]))</f>
        <v/>
      </c>
      <c r="D201" s="127" t="str">
        <f aca="false">IF(IFERROR(INDEX(tsk_Name,GanttView[[#This Row],[_Row]])="",TRUE()),"",IF(INDEX(tsk_IsSummary,GanttView[[#This Row],[_Row]]),NETWORKDAYS.INTL(INDEX(tsk_FcStart,GanttView[[#This Row],[_Row]]),INDEX(tsk_FcFinish,GanttView[[#This Row],[_Row]]),WorkWeek,Holidays),N(INDEX(tsk_Duration,GanttView[[#This Row],[_Row]]))))</f>
        <v/>
      </c>
      <c r="E201" s="129" t="str">
        <f aca="false">IF(IFERROR(INDEX(tsk_Name,GanttView[[#This Row],[_Row]])="",TRUE()),"",INDEX(tsk_PlanStart,GanttView[[#This Row],[_Row]]))</f>
        <v/>
      </c>
      <c r="F201" s="129" t="str">
        <f aca="false">IF(IFERROR(INDEX(tsk_Name,GanttView[[#This Row],[_Row]])="",TRUE()),"",INDEX(tsk_PlanFinish,GanttView[[#This Row],[_Row]]))</f>
        <v/>
      </c>
      <c r="G201" s="129" t="str">
        <f aca="false">IF(IFERROR(INDEX(tsk_Name,GanttView[[#This Row],[_Row]])="",TRUE()),"",INDEX(tsk_FcStart,GanttView[[#This Row],[_Row]]))</f>
        <v/>
      </c>
      <c r="H201" s="129" t="str">
        <f aca="false">IF(IFERROR(INDEX(tsk_Name,GanttView[[#This Row],[_Row]])="",TRUE()),"",INDEX(tsk_FcFinish,GanttView[[#This Row],[_Row]]))</f>
        <v/>
      </c>
      <c r="I201" s="130" t="str">
        <f aca="false">IF(IFERROR(INDEX(tsk_Name,GanttView[[#This Row],[_Row]])="",TRUE()),"",INDEX(tsk_Progress,GanttView[[#This Row],[_Row]]))</f>
        <v/>
      </c>
      <c r="J201" s="128" t="str">
        <f aca="false">IF(IFERROR(INDEX(tsk_Name,GanttView[[#This Row],[_Row]])="",TRUE()),"",INDEX(tsk_ResourceNames,GanttView[[#This Row],[_Row]])&amp;"")</f>
        <v/>
      </c>
      <c r="K201" s="131" t="str">
        <f aca="false">IF(IFERROR(INDEX(tsk_Name,GanttView[[#This Row],[_Row]])="",TRUE()),"",INDEX(tsk_Status,GanttView[[#This Row],[_Row]]))</f>
        <v/>
      </c>
      <c r="L201" s="131" t="str">
        <f aca="false">IF(IFERROR(INDEX(tsk_Name,GanttView[[#This Row],[_Row]])="",TRUE()),"",INDEX(tsk_Show,GanttView[[#This Row],[_Row]])&amp;"")</f>
        <v/>
      </c>
      <c r="M201" s="132" t="n">
        <f aca="false">ROW()-ROW(GanttView[[#Headers],[ID]])</f>
        <v>196</v>
      </c>
      <c r="N201" s="133" t="b">
        <f aca="false">IF(IFERROR(INDEX(tsk_Name,GanttView[[#This Row],[_Row]])="",TRUE()),FALSE(),INDEX(tsk_IsSummary,GanttView[[#This Row],[_Row]]))</f>
        <v>0</v>
      </c>
      <c r="O201" s="133" t="b">
        <f aca="false">IF(IFERROR(INDEX(tsk_Name,GanttView[[#This Row],[_Row]])="",TRUE()),FALSE(),AND(INDEX(tsk_IsLeaf,GanttView[[#This Row],[_Row]])=1,N(INDEX(tsk_Duration,GanttView[[#This Row],[_Row]]))=0))</f>
        <v>0</v>
      </c>
      <c r="P201" s="134" t="n">
        <f aca="false">IF(IFERROR(INDEX(tsk_Name,GanttView[[#This Row],[_Row]])="",TRUE()),0,IF(AND(INDEX(tsk_IsLeaf,GanttView[[#This Row],[_Row]])=1,NOT(GanttView[[#This Row],[_IsMilestone]]),N(GanttView[[#This Row],[%]])&gt;0),GanttView[[#This Row],[Forecast Start]],0))</f>
        <v>0</v>
      </c>
      <c r="Q201" s="134" t="n">
        <f aca="false">IF(GanttView[[#This Row],[_DoneFrom]]=0,0,IF(GanttView[[#This Row],[%]]&gt;=1,GanttView[[#This Row],[Forecast Finish]],MAX(GanttView[[#This Row],[_DoneFrom]],GanttView[[#This Row],[Forecast Start]]+ROUND((GanttView[[#This Row],[Forecast Finish]]-GanttView[[#This Row],[Forecast Start]]+1)*GanttView[[#This Row],[%]],0)-1)))</f>
        <v>0</v>
      </c>
      <c r="R201" s="134" t="n">
        <f aca="false">IF(IFERROR(INDEX(tsk_Name,GanttView[[#This Row],[_Row]])="",TRUE()),0,IF(OR(INDEX(tsk_IsLeaf,GanttView[[#This Row],[_Row]])&lt;&gt;1,GanttView[[#This Row],[_IsMilestone]],N(GanttView[[#This Row],[%]])&gt;=1),0,IF(GanttView[[#This Row],[_DoneTo]]&gt;0,GanttView[[#This Row],[_DoneTo]]+1,GanttView[[#This Row],[Forecast Start]])))</f>
        <v>0</v>
      </c>
      <c r="S201" s="134" t="n">
        <f aca="false">IF(GanttView[[#This Row],[_RemFrom]]=0,0,GanttView[[#This Row],[Forecast Finish]])</f>
        <v>0</v>
      </c>
      <c r="T201" s="133" t="b">
        <f aca="false">IF(IFERROR(INDEX(tsk_Name,GanttView[[#This Row],[_Row]])="",TRUE()),FALSE(),N(INDEX(tsk_Variance,GanttView[[#This Row],[_Row]]))&gt;0)</f>
        <v>0</v>
      </c>
      <c r="U201" s="134" t="n">
        <f aca="false">IF(IFERROR(INDEX(tsk_Name,GanttView[[#This Row],[_Row]])="",TRUE()),0,N(INDEX(tsk_Deadline,GanttView[[#This Row],[_Row]])))</f>
        <v>0</v>
      </c>
      <c r="V201" s="133" t="b">
        <f aca="false">IF(IFERROR(INDEX(tsk_Name,GanttView[[#This Row],[_Row]])="",TRUE()),FALSE(),INDEX(tsk_Critical,GanttView[[#This Row],[_Row]])="Yes")</f>
        <v>0</v>
      </c>
    </row>
    <row r="202" customFormat="false" ht="15" hidden="false" customHeight="false" outlineLevel="0" collapsed="false">
      <c r="A202" s="127" t="str">
        <f aca="false">IF(IFERROR(INDEX(tsk_Name,GanttView[[#This Row],[_Row]])="",TRUE()),"",INDEX(tsk_ID,GanttView[[#This Row],[_Row]]))</f>
        <v/>
      </c>
      <c r="B202" s="127" t="str">
        <f aca="false">IF(IFERROR(INDEX(tsk_Name,GanttView[[#This Row],[_Row]])="",TRUE()),"",INDEX(tsk_WBS,GanttView[[#This Row],[_Row]]))</f>
        <v/>
      </c>
      <c r="C202" s="128" t="str">
        <f aca="false">IF(IFERROR(INDEX(tsk_Name,GanttView[[#This Row],[_Row]])="",TRUE()),"",REPT("    ",INDEX(tsk_Level,GanttView[[#This Row],[_Row]])-1)&amp;INDEX(tsk_Name,GanttView[[#This Row],[_Row]]))</f>
        <v/>
      </c>
      <c r="D202" s="127" t="str">
        <f aca="false">IF(IFERROR(INDEX(tsk_Name,GanttView[[#This Row],[_Row]])="",TRUE()),"",IF(INDEX(tsk_IsSummary,GanttView[[#This Row],[_Row]]),NETWORKDAYS.INTL(INDEX(tsk_FcStart,GanttView[[#This Row],[_Row]]),INDEX(tsk_FcFinish,GanttView[[#This Row],[_Row]]),WorkWeek,Holidays),N(INDEX(tsk_Duration,GanttView[[#This Row],[_Row]]))))</f>
        <v/>
      </c>
      <c r="E202" s="129" t="str">
        <f aca="false">IF(IFERROR(INDEX(tsk_Name,GanttView[[#This Row],[_Row]])="",TRUE()),"",INDEX(tsk_PlanStart,GanttView[[#This Row],[_Row]]))</f>
        <v/>
      </c>
      <c r="F202" s="129" t="str">
        <f aca="false">IF(IFERROR(INDEX(tsk_Name,GanttView[[#This Row],[_Row]])="",TRUE()),"",INDEX(tsk_PlanFinish,GanttView[[#This Row],[_Row]]))</f>
        <v/>
      </c>
      <c r="G202" s="129" t="str">
        <f aca="false">IF(IFERROR(INDEX(tsk_Name,GanttView[[#This Row],[_Row]])="",TRUE()),"",INDEX(tsk_FcStart,GanttView[[#This Row],[_Row]]))</f>
        <v/>
      </c>
      <c r="H202" s="129" t="str">
        <f aca="false">IF(IFERROR(INDEX(tsk_Name,GanttView[[#This Row],[_Row]])="",TRUE()),"",INDEX(tsk_FcFinish,GanttView[[#This Row],[_Row]]))</f>
        <v/>
      </c>
      <c r="I202" s="130" t="str">
        <f aca="false">IF(IFERROR(INDEX(tsk_Name,GanttView[[#This Row],[_Row]])="",TRUE()),"",INDEX(tsk_Progress,GanttView[[#This Row],[_Row]]))</f>
        <v/>
      </c>
      <c r="J202" s="128" t="str">
        <f aca="false">IF(IFERROR(INDEX(tsk_Name,GanttView[[#This Row],[_Row]])="",TRUE()),"",INDEX(tsk_ResourceNames,GanttView[[#This Row],[_Row]])&amp;"")</f>
        <v/>
      </c>
      <c r="K202" s="131" t="str">
        <f aca="false">IF(IFERROR(INDEX(tsk_Name,GanttView[[#This Row],[_Row]])="",TRUE()),"",INDEX(tsk_Status,GanttView[[#This Row],[_Row]]))</f>
        <v/>
      </c>
      <c r="L202" s="131" t="str">
        <f aca="false">IF(IFERROR(INDEX(tsk_Name,GanttView[[#This Row],[_Row]])="",TRUE()),"",INDEX(tsk_Show,GanttView[[#This Row],[_Row]])&amp;"")</f>
        <v/>
      </c>
      <c r="M202" s="132" t="n">
        <f aca="false">ROW()-ROW(GanttView[[#Headers],[ID]])</f>
        <v>197</v>
      </c>
      <c r="N202" s="133" t="b">
        <f aca="false">IF(IFERROR(INDEX(tsk_Name,GanttView[[#This Row],[_Row]])="",TRUE()),FALSE(),INDEX(tsk_IsSummary,GanttView[[#This Row],[_Row]]))</f>
        <v>0</v>
      </c>
      <c r="O202" s="133" t="b">
        <f aca="false">IF(IFERROR(INDEX(tsk_Name,GanttView[[#This Row],[_Row]])="",TRUE()),FALSE(),AND(INDEX(tsk_IsLeaf,GanttView[[#This Row],[_Row]])=1,N(INDEX(tsk_Duration,GanttView[[#This Row],[_Row]]))=0))</f>
        <v>0</v>
      </c>
      <c r="P202" s="134" t="n">
        <f aca="false">IF(IFERROR(INDEX(tsk_Name,GanttView[[#This Row],[_Row]])="",TRUE()),0,IF(AND(INDEX(tsk_IsLeaf,GanttView[[#This Row],[_Row]])=1,NOT(GanttView[[#This Row],[_IsMilestone]]),N(GanttView[[#This Row],[%]])&gt;0),GanttView[[#This Row],[Forecast Start]],0))</f>
        <v>0</v>
      </c>
      <c r="Q202" s="134" t="n">
        <f aca="false">IF(GanttView[[#This Row],[_DoneFrom]]=0,0,IF(GanttView[[#This Row],[%]]&gt;=1,GanttView[[#This Row],[Forecast Finish]],MAX(GanttView[[#This Row],[_DoneFrom]],GanttView[[#This Row],[Forecast Start]]+ROUND((GanttView[[#This Row],[Forecast Finish]]-GanttView[[#This Row],[Forecast Start]]+1)*GanttView[[#This Row],[%]],0)-1)))</f>
        <v>0</v>
      </c>
      <c r="R202" s="134" t="n">
        <f aca="false">IF(IFERROR(INDEX(tsk_Name,GanttView[[#This Row],[_Row]])="",TRUE()),0,IF(OR(INDEX(tsk_IsLeaf,GanttView[[#This Row],[_Row]])&lt;&gt;1,GanttView[[#This Row],[_IsMilestone]],N(GanttView[[#This Row],[%]])&gt;=1),0,IF(GanttView[[#This Row],[_DoneTo]]&gt;0,GanttView[[#This Row],[_DoneTo]]+1,GanttView[[#This Row],[Forecast Start]])))</f>
        <v>0</v>
      </c>
      <c r="S202" s="134" t="n">
        <f aca="false">IF(GanttView[[#This Row],[_RemFrom]]=0,0,GanttView[[#This Row],[Forecast Finish]])</f>
        <v>0</v>
      </c>
      <c r="T202" s="133" t="b">
        <f aca="false">IF(IFERROR(INDEX(tsk_Name,GanttView[[#This Row],[_Row]])="",TRUE()),FALSE(),N(INDEX(tsk_Variance,GanttView[[#This Row],[_Row]]))&gt;0)</f>
        <v>0</v>
      </c>
      <c r="U202" s="134" t="n">
        <f aca="false">IF(IFERROR(INDEX(tsk_Name,GanttView[[#This Row],[_Row]])="",TRUE()),0,N(INDEX(tsk_Deadline,GanttView[[#This Row],[_Row]])))</f>
        <v>0</v>
      </c>
      <c r="V202" s="133" t="b">
        <f aca="false">IF(IFERROR(INDEX(tsk_Name,GanttView[[#This Row],[_Row]])="",TRUE()),FALSE(),INDEX(tsk_Critical,GanttView[[#This Row],[_Row]])="Yes")</f>
        <v>0</v>
      </c>
    </row>
    <row r="203" customFormat="false" ht="15" hidden="false" customHeight="false" outlineLevel="0" collapsed="false">
      <c r="A203" s="127" t="str">
        <f aca="false">IF(IFERROR(INDEX(tsk_Name,GanttView[[#This Row],[_Row]])="",TRUE()),"",INDEX(tsk_ID,GanttView[[#This Row],[_Row]]))</f>
        <v/>
      </c>
      <c r="B203" s="127" t="str">
        <f aca="false">IF(IFERROR(INDEX(tsk_Name,GanttView[[#This Row],[_Row]])="",TRUE()),"",INDEX(tsk_WBS,GanttView[[#This Row],[_Row]]))</f>
        <v/>
      </c>
      <c r="C203" s="128" t="str">
        <f aca="false">IF(IFERROR(INDEX(tsk_Name,GanttView[[#This Row],[_Row]])="",TRUE()),"",REPT("    ",INDEX(tsk_Level,GanttView[[#This Row],[_Row]])-1)&amp;INDEX(tsk_Name,GanttView[[#This Row],[_Row]]))</f>
        <v/>
      </c>
      <c r="D203" s="127" t="str">
        <f aca="false">IF(IFERROR(INDEX(tsk_Name,GanttView[[#This Row],[_Row]])="",TRUE()),"",IF(INDEX(tsk_IsSummary,GanttView[[#This Row],[_Row]]),NETWORKDAYS.INTL(INDEX(tsk_FcStart,GanttView[[#This Row],[_Row]]),INDEX(tsk_FcFinish,GanttView[[#This Row],[_Row]]),WorkWeek,Holidays),N(INDEX(tsk_Duration,GanttView[[#This Row],[_Row]]))))</f>
        <v/>
      </c>
      <c r="E203" s="129" t="str">
        <f aca="false">IF(IFERROR(INDEX(tsk_Name,GanttView[[#This Row],[_Row]])="",TRUE()),"",INDEX(tsk_PlanStart,GanttView[[#This Row],[_Row]]))</f>
        <v/>
      </c>
      <c r="F203" s="129" t="str">
        <f aca="false">IF(IFERROR(INDEX(tsk_Name,GanttView[[#This Row],[_Row]])="",TRUE()),"",INDEX(tsk_PlanFinish,GanttView[[#This Row],[_Row]]))</f>
        <v/>
      </c>
      <c r="G203" s="129" t="str">
        <f aca="false">IF(IFERROR(INDEX(tsk_Name,GanttView[[#This Row],[_Row]])="",TRUE()),"",INDEX(tsk_FcStart,GanttView[[#This Row],[_Row]]))</f>
        <v/>
      </c>
      <c r="H203" s="129" t="str">
        <f aca="false">IF(IFERROR(INDEX(tsk_Name,GanttView[[#This Row],[_Row]])="",TRUE()),"",INDEX(tsk_FcFinish,GanttView[[#This Row],[_Row]]))</f>
        <v/>
      </c>
      <c r="I203" s="130" t="str">
        <f aca="false">IF(IFERROR(INDEX(tsk_Name,GanttView[[#This Row],[_Row]])="",TRUE()),"",INDEX(tsk_Progress,GanttView[[#This Row],[_Row]]))</f>
        <v/>
      </c>
      <c r="J203" s="128" t="str">
        <f aca="false">IF(IFERROR(INDEX(tsk_Name,GanttView[[#This Row],[_Row]])="",TRUE()),"",INDEX(tsk_ResourceNames,GanttView[[#This Row],[_Row]])&amp;"")</f>
        <v/>
      </c>
      <c r="K203" s="131" t="str">
        <f aca="false">IF(IFERROR(INDEX(tsk_Name,GanttView[[#This Row],[_Row]])="",TRUE()),"",INDEX(tsk_Status,GanttView[[#This Row],[_Row]]))</f>
        <v/>
      </c>
      <c r="L203" s="131" t="str">
        <f aca="false">IF(IFERROR(INDEX(tsk_Name,GanttView[[#This Row],[_Row]])="",TRUE()),"",INDEX(tsk_Show,GanttView[[#This Row],[_Row]])&amp;"")</f>
        <v/>
      </c>
      <c r="M203" s="132" t="n">
        <f aca="false">ROW()-ROW(GanttView[[#Headers],[ID]])</f>
        <v>198</v>
      </c>
      <c r="N203" s="133" t="b">
        <f aca="false">IF(IFERROR(INDEX(tsk_Name,GanttView[[#This Row],[_Row]])="",TRUE()),FALSE(),INDEX(tsk_IsSummary,GanttView[[#This Row],[_Row]]))</f>
        <v>0</v>
      </c>
      <c r="O203" s="133" t="b">
        <f aca="false">IF(IFERROR(INDEX(tsk_Name,GanttView[[#This Row],[_Row]])="",TRUE()),FALSE(),AND(INDEX(tsk_IsLeaf,GanttView[[#This Row],[_Row]])=1,N(INDEX(tsk_Duration,GanttView[[#This Row],[_Row]]))=0))</f>
        <v>0</v>
      </c>
      <c r="P203" s="134" t="n">
        <f aca="false">IF(IFERROR(INDEX(tsk_Name,GanttView[[#This Row],[_Row]])="",TRUE()),0,IF(AND(INDEX(tsk_IsLeaf,GanttView[[#This Row],[_Row]])=1,NOT(GanttView[[#This Row],[_IsMilestone]]),N(GanttView[[#This Row],[%]])&gt;0),GanttView[[#This Row],[Forecast Start]],0))</f>
        <v>0</v>
      </c>
      <c r="Q203" s="134" t="n">
        <f aca="false">IF(GanttView[[#This Row],[_DoneFrom]]=0,0,IF(GanttView[[#This Row],[%]]&gt;=1,GanttView[[#This Row],[Forecast Finish]],MAX(GanttView[[#This Row],[_DoneFrom]],GanttView[[#This Row],[Forecast Start]]+ROUND((GanttView[[#This Row],[Forecast Finish]]-GanttView[[#This Row],[Forecast Start]]+1)*GanttView[[#This Row],[%]],0)-1)))</f>
        <v>0</v>
      </c>
      <c r="R203" s="134" t="n">
        <f aca="false">IF(IFERROR(INDEX(tsk_Name,GanttView[[#This Row],[_Row]])="",TRUE()),0,IF(OR(INDEX(tsk_IsLeaf,GanttView[[#This Row],[_Row]])&lt;&gt;1,GanttView[[#This Row],[_IsMilestone]],N(GanttView[[#This Row],[%]])&gt;=1),0,IF(GanttView[[#This Row],[_DoneTo]]&gt;0,GanttView[[#This Row],[_DoneTo]]+1,GanttView[[#This Row],[Forecast Start]])))</f>
        <v>0</v>
      </c>
      <c r="S203" s="134" t="n">
        <f aca="false">IF(GanttView[[#This Row],[_RemFrom]]=0,0,GanttView[[#This Row],[Forecast Finish]])</f>
        <v>0</v>
      </c>
      <c r="T203" s="133" t="b">
        <f aca="false">IF(IFERROR(INDEX(tsk_Name,GanttView[[#This Row],[_Row]])="",TRUE()),FALSE(),N(INDEX(tsk_Variance,GanttView[[#This Row],[_Row]]))&gt;0)</f>
        <v>0</v>
      </c>
      <c r="U203" s="134" t="n">
        <f aca="false">IF(IFERROR(INDEX(tsk_Name,GanttView[[#This Row],[_Row]])="",TRUE()),0,N(INDEX(tsk_Deadline,GanttView[[#This Row],[_Row]])))</f>
        <v>0</v>
      </c>
      <c r="V203" s="133" t="b">
        <f aca="false">IF(IFERROR(INDEX(tsk_Name,GanttView[[#This Row],[_Row]])="",TRUE()),FALSE(),INDEX(tsk_Critical,GanttView[[#This Row],[_Row]])="Yes")</f>
        <v>0</v>
      </c>
    </row>
    <row r="204" customFormat="false" ht="15" hidden="false" customHeight="false" outlineLevel="0" collapsed="false">
      <c r="A204" s="127" t="str">
        <f aca="false">IF(IFERROR(INDEX(tsk_Name,GanttView[[#This Row],[_Row]])="",TRUE()),"",INDEX(tsk_ID,GanttView[[#This Row],[_Row]]))</f>
        <v/>
      </c>
      <c r="B204" s="127" t="str">
        <f aca="false">IF(IFERROR(INDEX(tsk_Name,GanttView[[#This Row],[_Row]])="",TRUE()),"",INDEX(tsk_WBS,GanttView[[#This Row],[_Row]]))</f>
        <v/>
      </c>
      <c r="C204" s="128" t="str">
        <f aca="false">IF(IFERROR(INDEX(tsk_Name,GanttView[[#This Row],[_Row]])="",TRUE()),"",REPT("    ",INDEX(tsk_Level,GanttView[[#This Row],[_Row]])-1)&amp;INDEX(tsk_Name,GanttView[[#This Row],[_Row]]))</f>
        <v/>
      </c>
      <c r="D204" s="127" t="str">
        <f aca="false">IF(IFERROR(INDEX(tsk_Name,GanttView[[#This Row],[_Row]])="",TRUE()),"",IF(INDEX(tsk_IsSummary,GanttView[[#This Row],[_Row]]),NETWORKDAYS.INTL(INDEX(tsk_FcStart,GanttView[[#This Row],[_Row]]),INDEX(tsk_FcFinish,GanttView[[#This Row],[_Row]]),WorkWeek,Holidays),N(INDEX(tsk_Duration,GanttView[[#This Row],[_Row]]))))</f>
        <v/>
      </c>
      <c r="E204" s="129" t="str">
        <f aca="false">IF(IFERROR(INDEX(tsk_Name,GanttView[[#This Row],[_Row]])="",TRUE()),"",INDEX(tsk_PlanStart,GanttView[[#This Row],[_Row]]))</f>
        <v/>
      </c>
      <c r="F204" s="129" t="str">
        <f aca="false">IF(IFERROR(INDEX(tsk_Name,GanttView[[#This Row],[_Row]])="",TRUE()),"",INDEX(tsk_PlanFinish,GanttView[[#This Row],[_Row]]))</f>
        <v/>
      </c>
      <c r="G204" s="129" t="str">
        <f aca="false">IF(IFERROR(INDEX(tsk_Name,GanttView[[#This Row],[_Row]])="",TRUE()),"",INDEX(tsk_FcStart,GanttView[[#This Row],[_Row]]))</f>
        <v/>
      </c>
      <c r="H204" s="129" t="str">
        <f aca="false">IF(IFERROR(INDEX(tsk_Name,GanttView[[#This Row],[_Row]])="",TRUE()),"",INDEX(tsk_FcFinish,GanttView[[#This Row],[_Row]]))</f>
        <v/>
      </c>
      <c r="I204" s="130" t="str">
        <f aca="false">IF(IFERROR(INDEX(tsk_Name,GanttView[[#This Row],[_Row]])="",TRUE()),"",INDEX(tsk_Progress,GanttView[[#This Row],[_Row]]))</f>
        <v/>
      </c>
      <c r="J204" s="128" t="str">
        <f aca="false">IF(IFERROR(INDEX(tsk_Name,GanttView[[#This Row],[_Row]])="",TRUE()),"",INDEX(tsk_ResourceNames,GanttView[[#This Row],[_Row]])&amp;"")</f>
        <v/>
      </c>
      <c r="K204" s="131" t="str">
        <f aca="false">IF(IFERROR(INDEX(tsk_Name,GanttView[[#This Row],[_Row]])="",TRUE()),"",INDEX(tsk_Status,GanttView[[#This Row],[_Row]]))</f>
        <v/>
      </c>
      <c r="L204" s="131" t="str">
        <f aca="false">IF(IFERROR(INDEX(tsk_Name,GanttView[[#This Row],[_Row]])="",TRUE()),"",INDEX(tsk_Show,GanttView[[#This Row],[_Row]])&amp;"")</f>
        <v/>
      </c>
      <c r="M204" s="132" t="n">
        <f aca="false">ROW()-ROW(GanttView[[#Headers],[ID]])</f>
        <v>199</v>
      </c>
      <c r="N204" s="133" t="b">
        <f aca="false">IF(IFERROR(INDEX(tsk_Name,GanttView[[#This Row],[_Row]])="",TRUE()),FALSE(),INDEX(tsk_IsSummary,GanttView[[#This Row],[_Row]]))</f>
        <v>0</v>
      </c>
      <c r="O204" s="133" t="b">
        <f aca="false">IF(IFERROR(INDEX(tsk_Name,GanttView[[#This Row],[_Row]])="",TRUE()),FALSE(),AND(INDEX(tsk_IsLeaf,GanttView[[#This Row],[_Row]])=1,N(INDEX(tsk_Duration,GanttView[[#This Row],[_Row]]))=0))</f>
        <v>0</v>
      </c>
      <c r="P204" s="134" t="n">
        <f aca="false">IF(IFERROR(INDEX(tsk_Name,GanttView[[#This Row],[_Row]])="",TRUE()),0,IF(AND(INDEX(tsk_IsLeaf,GanttView[[#This Row],[_Row]])=1,NOT(GanttView[[#This Row],[_IsMilestone]]),N(GanttView[[#This Row],[%]])&gt;0),GanttView[[#This Row],[Forecast Start]],0))</f>
        <v>0</v>
      </c>
      <c r="Q204" s="134" t="n">
        <f aca="false">IF(GanttView[[#This Row],[_DoneFrom]]=0,0,IF(GanttView[[#This Row],[%]]&gt;=1,GanttView[[#This Row],[Forecast Finish]],MAX(GanttView[[#This Row],[_DoneFrom]],GanttView[[#This Row],[Forecast Start]]+ROUND((GanttView[[#This Row],[Forecast Finish]]-GanttView[[#This Row],[Forecast Start]]+1)*GanttView[[#This Row],[%]],0)-1)))</f>
        <v>0</v>
      </c>
      <c r="R204" s="134" t="n">
        <f aca="false">IF(IFERROR(INDEX(tsk_Name,GanttView[[#This Row],[_Row]])="",TRUE()),0,IF(OR(INDEX(tsk_IsLeaf,GanttView[[#This Row],[_Row]])&lt;&gt;1,GanttView[[#This Row],[_IsMilestone]],N(GanttView[[#This Row],[%]])&gt;=1),0,IF(GanttView[[#This Row],[_DoneTo]]&gt;0,GanttView[[#This Row],[_DoneTo]]+1,GanttView[[#This Row],[Forecast Start]])))</f>
        <v>0</v>
      </c>
      <c r="S204" s="134" t="n">
        <f aca="false">IF(GanttView[[#This Row],[_RemFrom]]=0,0,GanttView[[#This Row],[Forecast Finish]])</f>
        <v>0</v>
      </c>
      <c r="T204" s="133" t="b">
        <f aca="false">IF(IFERROR(INDEX(tsk_Name,GanttView[[#This Row],[_Row]])="",TRUE()),FALSE(),N(INDEX(tsk_Variance,GanttView[[#This Row],[_Row]]))&gt;0)</f>
        <v>0</v>
      </c>
      <c r="U204" s="134" t="n">
        <f aca="false">IF(IFERROR(INDEX(tsk_Name,GanttView[[#This Row],[_Row]])="",TRUE()),0,N(INDEX(tsk_Deadline,GanttView[[#This Row],[_Row]])))</f>
        <v>0</v>
      </c>
      <c r="V204" s="133" t="b">
        <f aca="false">IF(IFERROR(INDEX(tsk_Name,GanttView[[#This Row],[_Row]])="",TRUE()),FALSE(),INDEX(tsk_Critical,GanttView[[#This Row],[_Row]])="Yes")</f>
        <v>0</v>
      </c>
    </row>
    <row r="205" customFormat="false" ht="15" hidden="false" customHeight="false" outlineLevel="0" collapsed="false">
      <c r="A205" s="127" t="str">
        <f aca="false">IF(IFERROR(INDEX(tsk_Name,GanttView[[#This Row],[_Row]])="",TRUE()),"",INDEX(tsk_ID,GanttView[[#This Row],[_Row]]))</f>
        <v/>
      </c>
      <c r="B205" s="127" t="str">
        <f aca="false">IF(IFERROR(INDEX(tsk_Name,GanttView[[#This Row],[_Row]])="",TRUE()),"",INDEX(tsk_WBS,GanttView[[#This Row],[_Row]]))</f>
        <v/>
      </c>
      <c r="C205" s="128" t="str">
        <f aca="false">IF(IFERROR(INDEX(tsk_Name,GanttView[[#This Row],[_Row]])="",TRUE()),"",REPT("    ",INDEX(tsk_Level,GanttView[[#This Row],[_Row]])-1)&amp;INDEX(tsk_Name,GanttView[[#This Row],[_Row]]))</f>
        <v/>
      </c>
      <c r="D205" s="127" t="str">
        <f aca="false">IF(IFERROR(INDEX(tsk_Name,GanttView[[#This Row],[_Row]])="",TRUE()),"",IF(INDEX(tsk_IsSummary,GanttView[[#This Row],[_Row]]),NETWORKDAYS.INTL(INDEX(tsk_FcStart,GanttView[[#This Row],[_Row]]),INDEX(tsk_FcFinish,GanttView[[#This Row],[_Row]]),WorkWeek,Holidays),N(INDEX(tsk_Duration,GanttView[[#This Row],[_Row]]))))</f>
        <v/>
      </c>
      <c r="E205" s="129" t="str">
        <f aca="false">IF(IFERROR(INDEX(tsk_Name,GanttView[[#This Row],[_Row]])="",TRUE()),"",INDEX(tsk_PlanStart,GanttView[[#This Row],[_Row]]))</f>
        <v/>
      </c>
      <c r="F205" s="129" t="str">
        <f aca="false">IF(IFERROR(INDEX(tsk_Name,GanttView[[#This Row],[_Row]])="",TRUE()),"",INDEX(tsk_PlanFinish,GanttView[[#This Row],[_Row]]))</f>
        <v/>
      </c>
      <c r="G205" s="129" t="str">
        <f aca="false">IF(IFERROR(INDEX(tsk_Name,GanttView[[#This Row],[_Row]])="",TRUE()),"",INDEX(tsk_FcStart,GanttView[[#This Row],[_Row]]))</f>
        <v/>
      </c>
      <c r="H205" s="129" t="str">
        <f aca="false">IF(IFERROR(INDEX(tsk_Name,GanttView[[#This Row],[_Row]])="",TRUE()),"",INDEX(tsk_FcFinish,GanttView[[#This Row],[_Row]]))</f>
        <v/>
      </c>
      <c r="I205" s="130" t="str">
        <f aca="false">IF(IFERROR(INDEX(tsk_Name,GanttView[[#This Row],[_Row]])="",TRUE()),"",INDEX(tsk_Progress,GanttView[[#This Row],[_Row]]))</f>
        <v/>
      </c>
      <c r="J205" s="128" t="str">
        <f aca="false">IF(IFERROR(INDEX(tsk_Name,GanttView[[#This Row],[_Row]])="",TRUE()),"",INDEX(tsk_ResourceNames,GanttView[[#This Row],[_Row]])&amp;"")</f>
        <v/>
      </c>
      <c r="K205" s="131" t="str">
        <f aca="false">IF(IFERROR(INDEX(tsk_Name,GanttView[[#This Row],[_Row]])="",TRUE()),"",INDEX(tsk_Status,GanttView[[#This Row],[_Row]]))</f>
        <v/>
      </c>
      <c r="L205" s="131" t="str">
        <f aca="false">IF(IFERROR(INDEX(tsk_Name,GanttView[[#This Row],[_Row]])="",TRUE()),"",INDEX(tsk_Show,GanttView[[#This Row],[_Row]])&amp;"")</f>
        <v/>
      </c>
      <c r="M205" s="132" t="n">
        <f aca="false">ROW()-ROW(GanttView[[#Headers],[ID]])</f>
        <v>200</v>
      </c>
      <c r="N205" s="133" t="b">
        <f aca="false">IF(IFERROR(INDEX(tsk_Name,GanttView[[#This Row],[_Row]])="",TRUE()),FALSE(),INDEX(tsk_IsSummary,GanttView[[#This Row],[_Row]]))</f>
        <v>0</v>
      </c>
      <c r="O205" s="133" t="b">
        <f aca="false">IF(IFERROR(INDEX(tsk_Name,GanttView[[#This Row],[_Row]])="",TRUE()),FALSE(),AND(INDEX(tsk_IsLeaf,GanttView[[#This Row],[_Row]])=1,N(INDEX(tsk_Duration,GanttView[[#This Row],[_Row]]))=0))</f>
        <v>0</v>
      </c>
      <c r="P205" s="134" t="n">
        <f aca="false">IF(IFERROR(INDEX(tsk_Name,GanttView[[#This Row],[_Row]])="",TRUE()),0,IF(AND(INDEX(tsk_IsLeaf,GanttView[[#This Row],[_Row]])=1,NOT(GanttView[[#This Row],[_IsMilestone]]),N(GanttView[[#This Row],[%]])&gt;0),GanttView[[#This Row],[Forecast Start]],0))</f>
        <v>0</v>
      </c>
      <c r="Q205" s="134" t="n">
        <f aca="false">IF(GanttView[[#This Row],[_DoneFrom]]=0,0,IF(GanttView[[#This Row],[%]]&gt;=1,GanttView[[#This Row],[Forecast Finish]],MAX(GanttView[[#This Row],[_DoneFrom]],GanttView[[#This Row],[Forecast Start]]+ROUND((GanttView[[#This Row],[Forecast Finish]]-GanttView[[#This Row],[Forecast Start]]+1)*GanttView[[#This Row],[%]],0)-1)))</f>
        <v>0</v>
      </c>
      <c r="R205" s="134" t="n">
        <f aca="false">IF(IFERROR(INDEX(tsk_Name,GanttView[[#This Row],[_Row]])="",TRUE()),0,IF(OR(INDEX(tsk_IsLeaf,GanttView[[#This Row],[_Row]])&lt;&gt;1,GanttView[[#This Row],[_IsMilestone]],N(GanttView[[#This Row],[%]])&gt;=1),0,IF(GanttView[[#This Row],[_DoneTo]]&gt;0,GanttView[[#This Row],[_DoneTo]]+1,GanttView[[#This Row],[Forecast Start]])))</f>
        <v>0</v>
      </c>
      <c r="S205" s="134" t="n">
        <f aca="false">IF(GanttView[[#This Row],[_RemFrom]]=0,0,GanttView[[#This Row],[Forecast Finish]])</f>
        <v>0</v>
      </c>
      <c r="T205" s="133" t="b">
        <f aca="false">IF(IFERROR(INDEX(tsk_Name,GanttView[[#This Row],[_Row]])="",TRUE()),FALSE(),N(INDEX(tsk_Variance,GanttView[[#This Row],[_Row]]))&gt;0)</f>
        <v>0</v>
      </c>
      <c r="U205" s="134" t="n">
        <f aca="false">IF(IFERROR(INDEX(tsk_Name,GanttView[[#This Row],[_Row]])="",TRUE()),0,N(INDEX(tsk_Deadline,GanttView[[#This Row],[_Row]])))</f>
        <v>0</v>
      </c>
      <c r="V205" s="133" t="b">
        <f aca="false">IF(IFERROR(INDEX(tsk_Name,GanttView[[#This Row],[_Row]])="",TRUE()),FALSE(),INDEX(tsk_Critical,GanttView[[#This Row],[_Row]])="Yes")</f>
        <v>0</v>
      </c>
    </row>
  </sheetData>
  <conditionalFormatting sqref="X6:FQ205">
    <cfRule type="expression" priority="2" aboveAverage="0" equalAverage="0" bottom="0" percent="0" rank="0" text="" dxfId="23">
      <formula>AND($U6&gt;0,$U6&gt;=X$5,$U6&lt;IF(GanttPeriod&lt;28,X$5+GanttPeriod,EDATE(X$5,IF(GanttPeriod&gt;=90,3,1))))</formula>
    </cfRule>
    <cfRule type="expression" priority="3" aboveAverage="0" equalAverage="0" bottom="0" percent="0" rank="0" text="" dxfId="50">
      <formula>AND($N6,AND($G6&gt;0,X$5&lt;=$H6,IF(GanttPeriod&lt;28,X$5+GanttPeriod,EDATE(X$5,IF(GanttPeriod&gt;=90,3,1)))-1&gt;=$G6))</formula>
    </cfRule>
    <cfRule type="expression" priority="4" aboveAverage="0" equalAverage="0" bottom="0" percent="0" rank="0" text="" dxfId="24">
      <formula>AND($O6,AND($G6&gt;0,$G6&gt;=X$5,$G6&lt;IF(GanttPeriod&lt;28,X$5+GanttPeriod,EDATE(X$5,IF(GanttPeriod&gt;=90,3,1)))))</formula>
    </cfRule>
    <cfRule type="expression" priority="5" aboveAverage="0" equalAverage="0" bottom="0" percent="0" rank="0" text="" dxfId="18">
      <formula>AND($P6&gt;0,X$5&lt;=$Q6,IF(GanttPeriod&lt;28,X$5+GanttPeriod,EDATE(X$5,IF(GanttPeriod&gt;=90,3,1)))-1&gt;=$P6)</formula>
    </cfRule>
    <cfRule type="expression" priority="6" aboveAverage="0" equalAverage="0" bottom="0" percent="0" rank="0" text="" dxfId="51">
      <formula>AND($V6,AND($R6&gt;0,X$5&lt;=$S6,IF(GanttPeriod&lt;28,X$5+GanttPeriod,EDATE(X$5,IF(GanttPeriod&gt;=90,3,1)))-1&gt;=$R6))</formula>
    </cfRule>
    <cfRule type="expression" priority="7" aboveAverage="0" equalAverage="0" bottom="0" percent="0" rank="0" text="" dxfId="19">
      <formula>AND($T6,AND($R6&gt;0,X$5&lt;=$S6,IF(GanttPeriod&lt;28,X$5+GanttPeriod,EDATE(X$5,IF(GanttPeriod&gt;=90,3,1)))-1&gt;=$R6))</formula>
    </cfRule>
    <cfRule type="expression" priority="8" aboveAverage="0" equalAverage="0" bottom="0" percent="0" rank="0" text="" dxfId="52">
      <formula>AND($R6&gt;0,X$5&lt;=$S6,IF(GanttPeriod&lt;28,X$5+GanttPeriod,EDATE(X$5,IF(GanttPeriod&gt;=90,3,1)))-1&gt;=$R6)</formula>
    </cfRule>
    <cfRule type="expression" priority="9" aboveAverage="0" equalAverage="0" bottom="0" percent="0" rank="0" text="" dxfId="53">
      <formula>AND(ISNUMBER($E6),AND($E6&gt;0,X$5&lt;=$F6,IF(GanttPeriod&lt;28,X$5+GanttPeriod,EDATE(X$5,IF(GanttPeriod&gt;=90,3,1)))-1&gt;=$E6))</formula>
    </cfRule>
    <cfRule type="expression" priority="10" aboveAverage="0" equalAverage="0" bottom="0" percent="0" rank="0" text="" dxfId="22">
      <formula>AND(StatusDate&gt;0,StatusDate&gt;=X$5,StatusDate&lt;IF(GanttPeriod&lt;28,X$5+GanttPeriod,EDATE(X$5,IF(GanttPeriod&gt;=90,3,1))))</formula>
    </cfRule>
    <cfRule type="expression" priority="11" aboveAverage="0" equalAverage="0" bottom="0" percent="0" rank="0" text="" dxfId="54">
      <formula>AND(GanttPeriod=1,NETWORKDAYS.INTL(X$5,X$5,WorkWeek,Holidays)=0)</formula>
    </cfRule>
  </conditionalFormatting>
  <conditionalFormatting sqref="X5:FQ5">
    <cfRule type="expression" priority="12" aboveAverage="0" equalAverage="0" bottom="0" percent="0" rank="0" text="" dxfId="23">
      <formula>AND(StatusDate&gt;0,StatusDate&gt;=X$5,StatusDate&lt;IF(GanttPeriod&lt;28,X$5+GanttPeriod,EDATE(X$5,IF(GanttPeriod&gt;=90,3,1))))</formula>
    </cfRule>
    <cfRule type="expression" priority="13" aboveAverage="0" equalAverage="0" bottom="0" percent="0" rank="0" text="" dxfId="55">
      <formula>GanttPeriod&gt;=28</formula>
    </cfRule>
  </conditionalFormatting>
  <conditionalFormatting sqref="A6:K205">
    <cfRule type="expression" priority="14" aboveAverage="0" equalAverage="0" bottom="0" percent="0" rank="0" text="" dxfId="43">
      <formula>$N6</formula>
    </cfRule>
  </conditionalFormatting>
  <conditionalFormatting sqref="K6:K205">
    <cfRule type="expression" priority="15" aboveAverage="0" equalAverage="0" bottom="0" percent="0" rank="0" text="" dxfId="12">
      <formula>$K6="Complete"</formula>
    </cfRule>
    <cfRule type="expression" priority="16" aboveAverage="0" equalAverage="0" bottom="0" percent="0" rank="0" text="" dxfId="45">
      <formula>$K6="In Progress"</formula>
    </cfRule>
    <cfRule type="expression" priority="17" aboveAverage="0" equalAverage="0" bottom="0" percent="0" rank="0" text="" dxfId="26">
      <formula>$K6="Behind"</formula>
    </cfRule>
    <cfRule type="expression" priority="18" aboveAverage="0" equalAverage="0" bottom="0" percent="0" rank="0" text="" dxfId="38">
      <formula>$K6="Late Start"</formula>
    </cfRule>
    <cfRule type="expression" priority="19" aboveAverage="0" equalAverage="0" bottom="0" percent="0" rank="0" text="" dxfId="46">
      <formula>$K6="Not Started"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M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
    <col collapsed="false" customWidth="true" hidden="false" outlineLevel="0" max="4" min="4" style="0" width="20"/>
    <col collapsed="false" customWidth="true" hidden="false" outlineLevel="0" max="6" min="5" style="0" width="10"/>
    <col collapsed="false" customWidth="true" hidden="false" outlineLevel="0" max="7" min="7" style="0" width="12"/>
    <col collapsed="false" customWidth="true" hidden="false" outlineLevel="0" max="8" min="8" style="0" width="26"/>
    <col collapsed="false" customWidth="true" hidden="false" outlineLevel="0" max="9" min="9" style="0" width="9"/>
    <col collapsed="false" customWidth="true" hidden="false" outlineLevel="0" max="12" min="10" style="0" width="13"/>
    <col collapsed="false" customWidth="true" hidden="false" outlineLevel="0" max="13" min="13" style="0" width="30"/>
  </cols>
  <sheetData>
    <row r="1" customFormat="false" ht="19.7" hidden="false" customHeight="false" outlineLevel="0" collapsed="false">
      <c r="A1" s="26" t="s">
        <v>710</v>
      </c>
    </row>
    <row r="2" customFormat="false" ht="15" hidden="false" customHeight="false" outlineLevel="0" collapsed="false">
      <c r="A2" s="8" t="s">
        <v>711</v>
      </c>
    </row>
    <row r="5" customFormat="false" ht="15" hidden="false" customHeight="false" outlineLevel="0" collapsed="false">
      <c r="B5" s="44" t="s">
        <v>712</v>
      </c>
      <c r="C5" s="44" t="s">
        <v>713</v>
      </c>
      <c r="D5" s="44" t="s">
        <v>714</v>
      </c>
      <c r="E5" s="44" t="s">
        <v>286</v>
      </c>
      <c r="F5" s="44" t="s">
        <v>242</v>
      </c>
      <c r="G5" s="44" t="s">
        <v>715</v>
      </c>
      <c r="H5" s="44" t="s">
        <v>716</v>
      </c>
      <c r="I5" s="9" t="s">
        <v>243</v>
      </c>
      <c r="J5" s="9" t="s">
        <v>244</v>
      </c>
      <c r="K5" s="9" t="s">
        <v>247</v>
      </c>
      <c r="L5" s="9" t="s">
        <v>248</v>
      </c>
      <c r="M5" s="44" t="s">
        <v>221</v>
      </c>
    </row>
    <row r="6" customFormat="false" ht="15" hidden="false" customHeight="false" outlineLevel="0" collapsed="false">
      <c r="B6" s="47" t="s">
        <v>308</v>
      </c>
      <c r="C6" s="47" t="s">
        <v>717</v>
      </c>
      <c r="D6" s="47" t="s">
        <v>718</v>
      </c>
      <c r="E6" s="47" t="s">
        <v>244</v>
      </c>
      <c r="F6" s="102" t="n">
        <v>0.5</v>
      </c>
      <c r="G6" s="112" t="n">
        <v>95</v>
      </c>
      <c r="H6" s="47" t="s">
        <v>719</v>
      </c>
      <c r="I6" s="108" t="n">
        <f aca="false">IF(ResourceTable[[#This Row],[Resource Name]]="","",COUNTIFS(tsk_Resource,ResourceTable[[#This Row],[Resource Name]],tsk_IsLeaf,1)+COUNTIFS(asg_Resource,ResourceTable[[#This Row],[Resource Name]],asg_Valid,1))</f>
        <v>4</v>
      </c>
      <c r="J6" s="110" t="n">
        <f aca="false">IF(ResourceTable[[#This Row],[Resource Name]]="","",SUMIFS(tsk_LeafWork,tsk_Resource,ResourceTable[[#This Row],[Resource Name]])+SUMIFS(asg_Work,asg_Resource,ResourceTable[[#This Row],[Resource Name]]))</f>
        <v>56</v>
      </c>
      <c r="K6" s="111" t="n">
        <f aca="false">IF(ResourceTable[[#This Row],[Resource Name]]="","",SUMIFS(tsk_LeafCost,tsk_Resource,ResourceTable[[#This Row],[Resource Name]])+SUMIFS(asg_Cost,asg_Resource,ResourceTable[[#This Row],[Resource Name]]))</f>
        <v>5320</v>
      </c>
      <c r="L6" s="111" t="n">
        <f aca="false">IF(ResourceTable[[#This Row],[Resource Name]]="","",SUMIFS(tsk_ResourceAC,tsk_Resource,ResourceTable[[#This Row],[Resource Name]])+SUMIFS(asg_ActualCost,asg_Resource,ResourceTable[[#This Row],[Resource Name]]))</f>
        <v>3040</v>
      </c>
      <c r="M6" s="47"/>
    </row>
    <row r="7" customFormat="false" ht="15" hidden="false" customHeight="false" outlineLevel="0" collapsed="false">
      <c r="B7" s="47" t="s">
        <v>313</v>
      </c>
      <c r="C7" s="47" t="s">
        <v>720</v>
      </c>
      <c r="D7" s="47" t="s">
        <v>721</v>
      </c>
      <c r="E7" s="47" t="s">
        <v>244</v>
      </c>
      <c r="F7" s="102" t="n">
        <v>1</v>
      </c>
      <c r="G7" s="112" t="n">
        <v>70</v>
      </c>
      <c r="H7" s="47" t="s">
        <v>722</v>
      </c>
      <c r="I7" s="108" t="n">
        <f aca="false">IF(ResourceTable[[#This Row],[Resource Name]]="","",COUNTIFS(tsk_Resource,ResourceTable[[#This Row],[Resource Name]],tsk_IsLeaf,1)+COUNTIFS(asg_Resource,ResourceTable[[#This Row],[Resource Name]],asg_Valid,1))</f>
        <v>3</v>
      </c>
      <c r="J7" s="110" t="n">
        <f aca="false">IF(ResourceTable[[#This Row],[Resource Name]]="","",SUMIFS(tsk_LeafWork,tsk_Resource,ResourceTable[[#This Row],[Resource Name]])+SUMIFS(asg_Work,asg_Resource,ResourceTable[[#This Row],[Resource Name]]))</f>
        <v>128</v>
      </c>
      <c r="K7" s="111" t="n">
        <f aca="false">IF(ResourceTable[[#This Row],[Resource Name]]="","",SUMIFS(tsk_LeafCost,tsk_Resource,ResourceTable[[#This Row],[Resource Name]])+SUMIFS(asg_Cost,asg_Resource,ResourceTable[[#This Row],[Resource Name]]))</f>
        <v>8960</v>
      </c>
      <c r="L7" s="111" t="n">
        <f aca="false">IF(ResourceTable[[#This Row],[Resource Name]]="","",SUMIFS(tsk_ResourceAC,tsk_Resource,ResourceTable[[#This Row],[Resource Name]])+SUMIFS(asg_ActualCost,asg_Resource,ResourceTable[[#This Row],[Resource Name]]))</f>
        <v>6160</v>
      </c>
      <c r="M7" s="47"/>
    </row>
    <row r="8" customFormat="false" ht="15" hidden="false" customHeight="false" outlineLevel="0" collapsed="false">
      <c r="B8" s="47" t="s">
        <v>317</v>
      </c>
      <c r="C8" s="47" t="s">
        <v>232</v>
      </c>
      <c r="D8" s="47" t="s">
        <v>723</v>
      </c>
      <c r="E8" s="47" t="s">
        <v>244</v>
      </c>
      <c r="F8" s="102" t="n">
        <v>0.5</v>
      </c>
      <c r="G8" s="112" t="n">
        <v>110</v>
      </c>
      <c r="H8" s="47" t="s">
        <v>724</v>
      </c>
      <c r="I8" s="108" t="n">
        <f aca="false">IF(ResourceTable[[#This Row],[Resource Name]]="","",COUNTIFS(tsk_Resource,ResourceTable[[#This Row],[Resource Name]],tsk_IsLeaf,1)+COUNTIFS(asg_Resource,ResourceTable[[#This Row],[Resource Name]],asg_Valid,1))</f>
        <v>1</v>
      </c>
      <c r="J8" s="110" t="n">
        <f aca="false">IF(ResourceTable[[#This Row],[Resource Name]]="","",SUMIFS(tsk_LeafWork,tsk_Resource,ResourceTable[[#This Row],[Resource Name]])+SUMIFS(asg_Work,asg_Resource,ResourceTable[[#This Row],[Resource Name]]))</f>
        <v>40</v>
      </c>
      <c r="K8" s="111" t="n">
        <f aca="false">IF(ResourceTable[[#This Row],[Resource Name]]="","",SUMIFS(tsk_LeafCost,tsk_Resource,ResourceTable[[#This Row],[Resource Name]])+SUMIFS(asg_Cost,asg_Resource,ResourceTable[[#This Row],[Resource Name]]))</f>
        <v>4400</v>
      </c>
      <c r="L8" s="111" t="n">
        <f aca="false">IF(ResourceTable[[#This Row],[Resource Name]]="","",SUMIFS(tsk_ResourceAC,tsk_Resource,ResourceTable[[#This Row],[Resource Name]])+SUMIFS(asg_ActualCost,asg_Resource,ResourceTable[[#This Row],[Resource Name]]))</f>
        <v>4400</v>
      </c>
      <c r="M8" s="47"/>
    </row>
    <row r="9" customFormat="false" ht="15" hidden="false" customHeight="false" outlineLevel="0" collapsed="false">
      <c r="B9" s="47" t="s">
        <v>304</v>
      </c>
      <c r="C9" s="47" t="s">
        <v>725</v>
      </c>
      <c r="D9" s="47" t="s">
        <v>726</v>
      </c>
      <c r="E9" s="47" t="s">
        <v>244</v>
      </c>
      <c r="F9" s="102" t="n">
        <v>1</v>
      </c>
      <c r="G9" s="112" t="n">
        <v>75</v>
      </c>
      <c r="H9" s="47" t="s">
        <v>727</v>
      </c>
      <c r="I9" s="108" t="n">
        <f aca="false">IF(ResourceTable[[#This Row],[Resource Name]]="","",COUNTIFS(tsk_Resource,ResourceTable[[#This Row],[Resource Name]],tsk_IsLeaf,1)+COUNTIFS(asg_Resource,ResourceTable[[#This Row],[Resource Name]],asg_Valid,1))</f>
        <v>4</v>
      </c>
      <c r="J9" s="110" t="n">
        <f aca="false">IF(ResourceTable[[#This Row],[Resource Name]]="","",SUMIFS(tsk_LeafWork,tsk_Resource,ResourceTable[[#This Row],[Resource Name]])+SUMIFS(asg_Work,asg_Resource,ResourceTable[[#This Row],[Resource Name]]))</f>
        <v>128</v>
      </c>
      <c r="K9" s="111" t="n">
        <f aca="false">IF(ResourceTable[[#This Row],[Resource Name]]="","",SUMIFS(tsk_LeafCost,tsk_Resource,ResourceTable[[#This Row],[Resource Name]])+SUMIFS(asg_Cost,asg_Resource,ResourceTable[[#This Row],[Resource Name]]))</f>
        <v>9600</v>
      </c>
      <c r="L9" s="111" t="n">
        <f aca="false">IF(ResourceTable[[#This Row],[Resource Name]]="","",SUMIFS(tsk_ResourceAC,tsk_Resource,ResourceTable[[#This Row],[Resource Name]])+SUMIFS(asg_ActualCost,asg_Resource,ResourceTable[[#This Row],[Resource Name]]))</f>
        <v>4500</v>
      </c>
      <c r="M9" s="47"/>
    </row>
    <row r="10" customFormat="false" ht="15" hidden="false" customHeight="false" outlineLevel="0" collapsed="false">
      <c r="B10" s="47" t="s">
        <v>299</v>
      </c>
      <c r="C10" s="47" t="s">
        <v>728</v>
      </c>
      <c r="D10" s="47" t="s">
        <v>729</v>
      </c>
      <c r="E10" s="47" t="s">
        <v>244</v>
      </c>
      <c r="F10" s="102" t="n">
        <v>1</v>
      </c>
      <c r="G10" s="112" t="n">
        <v>85</v>
      </c>
      <c r="H10" s="47" t="s">
        <v>730</v>
      </c>
      <c r="I10" s="108" t="n">
        <f aca="false">IF(ResourceTable[[#This Row],[Resource Name]]="","",COUNTIFS(tsk_Resource,ResourceTable[[#This Row],[Resource Name]],tsk_IsLeaf,1)+COUNTIFS(asg_Resource,ResourceTable[[#This Row],[Resource Name]],asg_Valid,1))</f>
        <v>5</v>
      </c>
      <c r="J10" s="110" t="n">
        <f aca="false">IF(ResourceTable[[#This Row],[Resource Name]]="","",SUMIFS(tsk_LeafWork,tsk_Resource,ResourceTable[[#This Row],[Resource Name]])+SUMIFS(asg_Work,asg_Resource,ResourceTable[[#This Row],[Resource Name]]))</f>
        <v>228</v>
      </c>
      <c r="K10" s="111" t="n">
        <f aca="false">IF(ResourceTable[[#This Row],[Resource Name]]="","",SUMIFS(tsk_LeafCost,tsk_Resource,ResourceTable[[#This Row],[Resource Name]])+SUMIFS(asg_Cost,asg_Resource,ResourceTable[[#This Row],[Resource Name]]))</f>
        <v>19380</v>
      </c>
      <c r="L10" s="111" t="n">
        <f aca="false">IF(ResourceTable[[#This Row],[Resource Name]]="","",SUMIFS(tsk_ResourceAC,tsk_Resource,ResourceTable[[#This Row],[Resource Name]])+SUMIFS(asg_ActualCost,asg_Resource,ResourceTable[[#This Row],[Resource Name]]))</f>
        <v>9180</v>
      </c>
      <c r="M10" s="47"/>
    </row>
    <row r="11" customFormat="false" ht="15" hidden="false" customHeight="false" outlineLevel="0" collapsed="false">
      <c r="B11" s="47" t="s">
        <v>667</v>
      </c>
      <c r="C11" s="47" t="s">
        <v>731</v>
      </c>
      <c r="D11" s="47" t="s">
        <v>732</v>
      </c>
      <c r="E11" s="47" t="s">
        <v>244</v>
      </c>
      <c r="F11" s="102" t="n">
        <v>1</v>
      </c>
      <c r="G11" s="112" t="n">
        <v>80</v>
      </c>
      <c r="H11" s="47" t="s">
        <v>733</v>
      </c>
      <c r="I11" s="108" t="n">
        <f aca="false">IF(ResourceTable[[#This Row],[Resource Name]]="","",COUNTIFS(tsk_Resource,ResourceTable[[#This Row],[Resource Name]],tsk_IsLeaf,1)+COUNTIFS(asg_Resource,ResourceTable[[#This Row],[Resource Name]],asg_Valid,1))</f>
        <v>3</v>
      </c>
      <c r="J11" s="110" t="n">
        <f aca="false">IF(ResourceTable[[#This Row],[Resource Name]]="","",SUMIFS(tsk_LeafWork,tsk_Resource,ResourceTable[[#This Row],[Resource Name]])+SUMIFS(asg_Work,asg_Resource,ResourceTable[[#This Row],[Resource Name]]))</f>
        <v>176</v>
      </c>
      <c r="K11" s="111" t="n">
        <f aca="false">IF(ResourceTable[[#This Row],[Resource Name]]="","",SUMIFS(tsk_LeafCost,tsk_Resource,ResourceTable[[#This Row],[Resource Name]])+SUMIFS(asg_Cost,asg_Resource,ResourceTable[[#This Row],[Resource Name]]))</f>
        <v>14080</v>
      </c>
      <c r="L11" s="111" t="n">
        <f aca="false">IF(ResourceTable[[#This Row],[Resource Name]]="","",SUMIFS(tsk_ResourceAC,tsk_Resource,ResourceTable[[#This Row],[Resource Name]])+SUMIFS(asg_ActualCost,asg_Resource,ResourceTable[[#This Row],[Resource Name]]))</f>
        <v>5760</v>
      </c>
      <c r="M11" s="47"/>
    </row>
    <row r="12" customFormat="false" ht="15" hidden="false" customHeight="false" outlineLevel="0" collapsed="false">
      <c r="B12" s="47" t="s">
        <v>676</v>
      </c>
      <c r="C12" s="47" t="s">
        <v>734</v>
      </c>
      <c r="D12" s="47" t="s">
        <v>735</v>
      </c>
      <c r="E12" s="47" t="s">
        <v>244</v>
      </c>
      <c r="F12" s="102" t="n">
        <v>1</v>
      </c>
      <c r="G12" s="112" t="n">
        <v>65</v>
      </c>
      <c r="H12" s="47" t="s">
        <v>736</v>
      </c>
      <c r="I12" s="108" t="n">
        <f aca="false">IF(ResourceTable[[#This Row],[Resource Name]]="","",COUNTIFS(tsk_Resource,ResourceTable[[#This Row],[Resource Name]],tsk_IsLeaf,1)+COUNTIFS(asg_Resource,ResourceTable[[#This Row],[Resource Name]],asg_Valid,1))</f>
        <v>2</v>
      </c>
      <c r="J12" s="110" t="n">
        <f aca="false">IF(ResourceTable[[#This Row],[Resource Name]]="","",SUMIFS(tsk_LeafWork,tsk_Resource,ResourceTable[[#This Row],[Resource Name]])+SUMIFS(asg_Work,asg_Resource,ResourceTable[[#This Row],[Resource Name]]))</f>
        <v>112</v>
      </c>
      <c r="K12" s="111" t="n">
        <f aca="false">IF(ResourceTable[[#This Row],[Resource Name]]="","",SUMIFS(tsk_LeafCost,tsk_Resource,ResourceTable[[#This Row],[Resource Name]])+SUMIFS(asg_Cost,asg_Resource,ResourceTable[[#This Row],[Resource Name]]))</f>
        <v>7280</v>
      </c>
      <c r="L12" s="111" t="n">
        <f aca="false">IF(ResourceTable[[#This Row],[Resource Name]]="","",SUMIFS(tsk_ResourceAC,tsk_Resource,ResourceTable[[#This Row],[Resource Name]])+SUMIFS(asg_ActualCost,asg_Resource,ResourceTable[[#This Row],[Resource Name]]))</f>
        <v>0</v>
      </c>
      <c r="M12" s="47"/>
    </row>
    <row r="13" customFormat="false" ht="15" hidden="false" customHeight="false" outlineLevel="0" collapsed="false">
      <c r="B13" s="47"/>
      <c r="C13" s="47"/>
      <c r="D13" s="47"/>
      <c r="E13" s="47"/>
      <c r="F13" s="102"/>
      <c r="G13" s="112"/>
      <c r="H13" s="47"/>
      <c r="I13" s="108" t="str">
        <f aca="false">IF(ResourceTable[[#This Row],[Resource Name]]="","",COUNTIFS(tsk_Resource,ResourceTable[[#This Row],[Resource Name]],tsk_IsLeaf,1)+COUNTIFS(asg_Resource,ResourceTable[[#This Row],[Resource Name]],asg_Valid,1))</f>
        <v/>
      </c>
      <c r="J13" s="110" t="str">
        <f aca="false">IF(ResourceTable[[#This Row],[Resource Name]]="","",SUMIFS(tsk_LeafWork,tsk_Resource,ResourceTable[[#This Row],[Resource Name]])+SUMIFS(asg_Work,asg_Resource,ResourceTable[[#This Row],[Resource Name]]))</f>
        <v/>
      </c>
      <c r="K13" s="111" t="str">
        <f aca="false">IF(ResourceTable[[#This Row],[Resource Name]]="","",SUMIFS(tsk_LeafCost,tsk_Resource,ResourceTable[[#This Row],[Resource Name]])+SUMIFS(asg_Cost,asg_Resource,ResourceTable[[#This Row],[Resource Name]]))</f>
        <v/>
      </c>
      <c r="L13" s="111" t="str">
        <f aca="false">IF(ResourceTable[[#This Row],[Resource Name]]="","",SUMIFS(tsk_ResourceAC,tsk_Resource,ResourceTable[[#This Row],[Resource Name]])+SUMIFS(asg_ActualCost,asg_Resource,ResourceTable[[#This Row],[Resource Name]]))</f>
        <v/>
      </c>
      <c r="M13" s="47"/>
    </row>
    <row r="14" customFormat="false" ht="15" hidden="false" customHeight="false" outlineLevel="0" collapsed="false">
      <c r="B14" s="47"/>
      <c r="C14" s="47"/>
      <c r="D14" s="47"/>
      <c r="E14" s="47"/>
      <c r="F14" s="102"/>
      <c r="G14" s="112"/>
      <c r="H14" s="47"/>
      <c r="I14" s="108" t="str">
        <f aca="false">IF(ResourceTable[[#This Row],[Resource Name]]="","",COUNTIFS(tsk_Resource,ResourceTable[[#This Row],[Resource Name]],tsk_IsLeaf,1)+COUNTIFS(asg_Resource,ResourceTable[[#This Row],[Resource Name]],asg_Valid,1))</f>
        <v/>
      </c>
      <c r="J14" s="110" t="str">
        <f aca="false">IF(ResourceTable[[#This Row],[Resource Name]]="","",SUMIFS(tsk_LeafWork,tsk_Resource,ResourceTable[[#This Row],[Resource Name]])+SUMIFS(asg_Work,asg_Resource,ResourceTable[[#This Row],[Resource Name]]))</f>
        <v/>
      </c>
      <c r="K14" s="111" t="str">
        <f aca="false">IF(ResourceTable[[#This Row],[Resource Name]]="","",SUMIFS(tsk_LeafCost,tsk_Resource,ResourceTable[[#This Row],[Resource Name]])+SUMIFS(asg_Cost,asg_Resource,ResourceTable[[#This Row],[Resource Name]]))</f>
        <v/>
      </c>
      <c r="L14" s="111" t="str">
        <f aca="false">IF(ResourceTable[[#This Row],[Resource Name]]="","",SUMIFS(tsk_ResourceAC,tsk_Resource,ResourceTable[[#This Row],[Resource Name]])+SUMIFS(asg_ActualCost,asg_Resource,ResourceTable[[#This Row],[Resource Name]]))</f>
        <v/>
      </c>
      <c r="M14" s="47"/>
    </row>
    <row r="15" customFormat="false" ht="15" hidden="false" customHeight="false" outlineLevel="0" collapsed="false">
      <c r="B15" s="47"/>
      <c r="C15" s="47"/>
      <c r="D15" s="47"/>
      <c r="E15" s="47"/>
      <c r="F15" s="102"/>
      <c r="G15" s="112"/>
      <c r="H15" s="47"/>
      <c r="I15" s="108" t="str">
        <f aca="false">IF(ResourceTable[[#This Row],[Resource Name]]="","",COUNTIFS(tsk_Resource,ResourceTable[[#This Row],[Resource Name]],tsk_IsLeaf,1)+COUNTIFS(asg_Resource,ResourceTable[[#This Row],[Resource Name]],asg_Valid,1))</f>
        <v/>
      </c>
      <c r="J15" s="110" t="str">
        <f aca="false">IF(ResourceTable[[#This Row],[Resource Name]]="","",SUMIFS(tsk_LeafWork,tsk_Resource,ResourceTable[[#This Row],[Resource Name]])+SUMIFS(asg_Work,asg_Resource,ResourceTable[[#This Row],[Resource Name]]))</f>
        <v/>
      </c>
      <c r="K15" s="111" t="str">
        <f aca="false">IF(ResourceTable[[#This Row],[Resource Name]]="","",SUMIFS(tsk_LeafCost,tsk_Resource,ResourceTable[[#This Row],[Resource Name]])+SUMIFS(asg_Cost,asg_Resource,ResourceTable[[#This Row],[Resource Name]]))</f>
        <v/>
      </c>
      <c r="L15" s="111" t="str">
        <f aca="false">IF(ResourceTable[[#This Row],[Resource Name]]="","",SUMIFS(tsk_ResourceAC,tsk_Resource,ResourceTable[[#This Row],[Resource Name]])+SUMIFS(asg_ActualCost,asg_Resource,ResourceTable[[#This Row],[Resource Name]]))</f>
        <v/>
      </c>
      <c r="M15" s="47"/>
    </row>
    <row r="16" customFormat="false" ht="15" hidden="false" customHeight="false" outlineLevel="0" collapsed="false">
      <c r="B16" s="47"/>
      <c r="C16" s="47"/>
      <c r="D16" s="47"/>
      <c r="E16" s="47"/>
      <c r="F16" s="102"/>
      <c r="G16" s="112"/>
      <c r="H16" s="47"/>
      <c r="I16" s="108" t="str">
        <f aca="false">IF(ResourceTable[[#This Row],[Resource Name]]="","",COUNTIFS(tsk_Resource,ResourceTable[[#This Row],[Resource Name]],tsk_IsLeaf,1)+COUNTIFS(asg_Resource,ResourceTable[[#This Row],[Resource Name]],asg_Valid,1))</f>
        <v/>
      </c>
      <c r="J16" s="110" t="str">
        <f aca="false">IF(ResourceTable[[#This Row],[Resource Name]]="","",SUMIFS(tsk_LeafWork,tsk_Resource,ResourceTable[[#This Row],[Resource Name]])+SUMIFS(asg_Work,asg_Resource,ResourceTable[[#This Row],[Resource Name]]))</f>
        <v/>
      </c>
      <c r="K16" s="111" t="str">
        <f aca="false">IF(ResourceTable[[#This Row],[Resource Name]]="","",SUMIFS(tsk_LeafCost,tsk_Resource,ResourceTable[[#This Row],[Resource Name]])+SUMIFS(asg_Cost,asg_Resource,ResourceTable[[#This Row],[Resource Name]]))</f>
        <v/>
      </c>
      <c r="L16" s="111" t="str">
        <f aca="false">IF(ResourceTable[[#This Row],[Resource Name]]="","",SUMIFS(tsk_ResourceAC,tsk_Resource,ResourceTable[[#This Row],[Resource Name]])+SUMIFS(asg_ActualCost,asg_Resource,ResourceTable[[#This Row],[Resource Name]]))</f>
        <v/>
      </c>
      <c r="M16" s="47"/>
    </row>
    <row r="17" customFormat="false" ht="15" hidden="false" customHeight="false" outlineLevel="0" collapsed="false">
      <c r="B17" s="47"/>
      <c r="C17" s="47"/>
      <c r="D17" s="47"/>
      <c r="E17" s="47"/>
      <c r="F17" s="102"/>
      <c r="G17" s="112"/>
      <c r="H17" s="47"/>
      <c r="I17" s="108" t="str">
        <f aca="false">IF(ResourceTable[[#This Row],[Resource Name]]="","",COUNTIFS(tsk_Resource,ResourceTable[[#This Row],[Resource Name]],tsk_IsLeaf,1)+COUNTIFS(asg_Resource,ResourceTable[[#This Row],[Resource Name]],asg_Valid,1))</f>
        <v/>
      </c>
      <c r="J17" s="110" t="str">
        <f aca="false">IF(ResourceTable[[#This Row],[Resource Name]]="","",SUMIFS(tsk_LeafWork,tsk_Resource,ResourceTable[[#This Row],[Resource Name]])+SUMIFS(asg_Work,asg_Resource,ResourceTable[[#This Row],[Resource Name]]))</f>
        <v/>
      </c>
      <c r="K17" s="111" t="str">
        <f aca="false">IF(ResourceTable[[#This Row],[Resource Name]]="","",SUMIFS(tsk_LeafCost,tsk_Resource,ResourceTable[[#This Row],[Resource Name]])+SUMIFS(asg_Cost,asg_Resource,ResourceTable[[#This Row],[Resource Name]]))</f>
        <v/>
      </c>
      <c r="L17" s="111" t="str">
        <f aca="false">IF(ResourceTable[[#This Row],[Resource Name]]="","",SUMIFS(tsk_ResourceAC,tsk_Resource,ResourceTable[[#This Row],[Resource Name]])+SUMIFS(asg_ActualCost,asg_Resource,ResourceTable[[#This Row],[Resource Name]]))</f>
        <v/>
      </c>
      <c r="M17" s="47"/>
    </row>
    <row r="18" customFormat="false" ht="15" hidden="false" customHeight="false" outlineLevel="0" collapsed="false">
      <c r="B18" s="47"/>
      <c r="C18" s="47"/>
      <c r="D18" s="47"/>
      <c r="E18" s="47"/>
      <c r="F18" s="102"/>
      <c r="G18" s="112"/>
      <c r="H18" s="47"/>
      <c r="I18" s="108" t="str">
        <f aca="false">IF(ResourceTable[[#This Row],[Resource Name]]="","",COUNTIFS(tsk_Resource,ResourceTable[[#This Row],[Resource Name]],tsk_IsLeaf,1)+COUNTIFS(asg_Resource,ResourceTable[[#This Row],[Resource Name]],asg_Valid,1))</f>
        <v/>
      </c>
      <c r="J18" s="110" t="str">
        <f aca="false">IF(ResourceTable[[#This Row],[Resource Name]]="","",SUMIFS(tsk_LeafWork,tsk_Resource,ResourceTable[[#This Row],[Resource Name]])+SUMIFS(asg_Work,asg_Resource,ResourceTable[[#This Row],[Resource Name]]))</f>
        <v/>
      </c>
      <c r="K18" s="111" t="str">
        <f aca="false">IF(ResourceTable[[#This Row],[Resource Name]]="","",SUMIFS(tsk_LeafCost,tsk_Resource,ResourceTable[[#This Row],[Resource Name]])+SUMIFS(asg_Cost,asg_Resource,ResourceTable[[#This Row],[Resource Name]]))</f>
        <v/>
      </c>
      <c r="L18" s="111" t="str">
        <f aca="false">IF(ResourceTable[[#This Row],[Resource Name]]="","",SUMIFS(tsk_ResourceAC,tsk_Resource,ResourceTable[[#This Row],[Resource Name]])+SUMIFS(asg_ActualCost,asg_Resource,ResourceTable[[#This Row],[Resource Name]]))</f>
        <v/>
      </c>
      <c r="M18" s="47"/>
    </row>
    <row r="19" customFormat="false" ht="15" hidden="false" customHeight="false" outlineLevel="0" collapsed="false">
      <c r="B19" s="47"/>
      <c r="C19" s="47"/>
      <c r="D19" s="47"/>
      <c r="E19" s="47"/>
      <c r="F19" s="102"/>
      <c r="G19" s="112"/>
      <c r="H19" s="47"/>
      <c r="I19" s="108" t="str">
        <f aca="false">IF(ResourceTable[[#This Row],[Resource Name]]="","",COUNTIFS(tsk_Resource,ResourceTable[[#This Row],[Resource Name]],tsk_IsLeaf,1)+COUNTIFS(asg_Resource,ResourceTable[[#This Row],[Resource Name]],asg_Valid,1))</f>
        <v/>
      </c>
      <c r="J19" s="110" t="str">
        <f aca="false">IF(ResourceTable[[#This Row],[Resource Name]]="","",SUMIFS(tsk_LeafWork,tsk_Resource,ResourceTable[[#This Row],[Resource Name]])+SUMIFS(asg_Work,asg_Resource,ResourceTable[[#This Row],[Resource Name]]))</f>
        <v/>
      </c>
      <c r="K19" s="111" t="str">
        <f aca="false">IF(ResourceTable[[#This Row],[Resource Name]]="","",SUMIFS(tsk_LeafCost,tsk_Resource,ResourceTable[[#This Row],[Resource Name]])+SUMIFS(asg_Cost,asg_Resource,ResourceTable[[#This Row],[Resource Name]]))</f>
        <v/>
      </c>
      <c r="L19" s="111" t="str">
        <f aca="false">IF(ResourceTable[[#This Row],[Resource Name]]="","",SUMIFS(tsk_ResourceAC,tsk_Resource,ResourceTable[[#This Row],[Resource Name]])+SUMIFS(asg_ActualCost,asg_Resource,ResourceTable[[#This Row],[Resource Name]]))</f>
        <v/>
      </c>
      <c r="M19" s="47"/>
    </row>
    <row r="20" customFormat="false" ht="15" hidden="false" customHeight="false" outlineLevel="0" collapsed="false">
      <c r="B20" s="47"/>
      <c r="C20" s="47"/>
      <c r="D20" s="47"/>
      <c r="E20" s="47"/>
      <c r="F20" s="102"/>
      <c r="G20" s="112"/>
      <c r="H20" s="47"/>
      <c r="I20" s="108" t="str">
        <f aca="false">IF(ResourceTable[[#This Row],[Resource Name]]="","",COUNTIFS(tsk_Resource,ResourceTable[[#This Row],[Resource Name]],tsk_IsLeaf,1)+COUNTIFS(asg_Resource,ResourceTable[[#This Row],[Resource Name]],asg_Valid,1))</f>
        <v/>
      </c>
      <c r="J20" s="110" t="str">
        <f aca="false">IF(ResourceTable[[#This Row],[Resource Name]]="","",SUMIFS(tsk_LeafWork,tsk_Resource,ResourceTable[[#This Row],[Resource Name]])+SUMIFS(asg_Work,asg_Resource,ResourceTable[[#This Row],[Resource Name]]))</f>
        <v/>
      </c>
      <c r="K20" s="111" t="str">
        <f aca="false">IF(ResourceTable[[#This Row],[Resource Name]]="","",SUMIFS(tsk_LeafCost,tsk_Resource,ResourceTable[[#This Row],[Resource Name]])+SUMIFS(asg_Cost,asg_Resource,ResourceTable[[#This Row],[Resource Name]]))</f>
        <v/>
      </c>
      <c r="L20" s="111" t="str">
        <f aca="false">IF(ResourceTable[[#This Row],[Resource Name]]="","",SUMIFS(tsk_ResourceAC,tsk_Resource,ResourceTable[[#This Row],[Resource Name]])+SUMIFS(asg_ActualCost,asg_Resource,ResourceTable[[#This Row],[Resource Name]]))</f>
        <v/>
      </c>
      <c r="M20" s="47"/>
    </row>
    <row r="21" customFormat="false" ht="15" hidden="false" customHeight="false" outlineLevel="0" collapsed="false">
      <c r="B21" s="47"/>
      <c r="C21" s="47"/>
      <c r="D21" s="47"/>
      <c r="E21" s="47"/>
      <c r="F21" s="102"/>
      <c r="G21" s="112"/>
      <c r="H21" s="47"/>
      <c r="I21" s="108" t="str">
        <f aca="false">IF(ResourceTable[[#This Row],[Resource Name]]="","",COUNTIFS(tsk_Resource,ResourceTable[[#This Row],[Resource Name]],tsk_IsLeaf,1)+COUNTIFS(asg_Resource,ResourceTable[[#This Row],[Resource Name]],asg_Valid,1))</f>
        <v/>
      </c>
      <c r="J21" s="110" t="str">
        <f aca="false">IF(ResourceTable[[#This Row],[Resource Name]]="","",SUMIFS(tsk_LeafWork,tsk_Resource,ResourceTable[[#This Row],[Resource Name]])+SUMIFS(asg_Work,asg_Resource,ResourceTable[[#This Row],[Resource Name]]))</f>
        <v/>
      </c>
      <c r="K21" s="111" t="str">
        <f aca="false">IF(ResourceTable[[#This Row],[Resource Name]]="","",SUMIFS(tsk_LeafCost,tsk_Resource,ResourceTable[[#This Row],[Resource Name]])+SUMIFS(asg_Cost,asg_Resource,ResourceTable[[#This Row],[Resource Name]]))</f>
        <v/>
      </c>
      <c r="L21" s="111" t="str">
        <f aca="false">IF(ResourceTable[[#This Row],[Resource Name]]="","",SUMIFS(tsk_ResourceAC,tsk_Resource,ResourceTable[[#This Row],[Resource Name]])+SUMIFS(asg_ActualCost,asg_Resource,ResourceTable[[#This Row],[Resource Name]]))</f>
        <v/>
      </c>
      <c r="M21" s="47"/>
    </row>
    <row r="22" customFormat="false" ht="15" hidden="false" customHeight="false" outlineLevel="0" collapsed="false">
      <c r="B22" s="47"/>
      <c r="C22" s="47"/>
      <c r="D22" s="47"/>
      <c r="E22" s="47"/>
      <c r="F22" s="102"/>
      <c r="G22" s="112"/>
      <c r="H22" s="47"/>
      <c r="I22" s="108" t="str">
        <f aca="false">IF(ResourceTable[[#This Row],[Resource Name]]="","",COUNTIFS(tsk_Resource,ResourceTable[[#This Row],[Resource Name]],tsk_IsLeaf,1)+COUNTIFS(asg_Resource,ResourceTable[[#This Row],[Resource Name]],asg_Valid,1))</f>
        <v/>
      </c>
      <c r="J22" s="110" t="str">
        <f aca="false">IF(ResourceTable[[#This Row],[Resource Name]]="","",SUMIFS(tsk_LeafWork,tsk_Resource,ResourceTable[[#This Row],[Resource Name]])+SUMIFS(asg_Work,asg_Resource,ResourceTable[[#This Row],[Resource Name]]))</f>
        <v/>
      </c>
      <c r="K22" s="111" t="str">
        <f aca="false">IF(ResourceTable[[#This Row],[Resource Name]]="","",SUMIFS(tsk_LeafCost,tsk_Resource,ResourceTable[[#This Row],[Resource Name]])+SUMIFS(asg_Cost,asg_Resource,ResourceTable[[#This Row],[Resource Name]]))</f>
        <v/>
      </c>
      <c r="L22" s="111" t="str">
        <f aca="false">IF(ResourceTable[[#This Row],[Resource Name]]="","",SUMIFS(tsk_ResourceAC,tsk_Resource,ResourceTable[[#This Row],[Resource Name]])+SUMIFS(asg_ActualCost,asg_Resource,ResourceTable[[#This Row],[Resource Name]]))</f>
        <v/>
      </c>
      <c r="M22" s="47"/>
    </row>
    <row r="23" customFormat="false" ht="15" hidden="false" customHeight="false" outlineLevel="0" collapsed="false">
      <c r="B23" s="47"/>
      <c r="C23" s="47"/>
      <c r="D23" s="47"/>
      <c r="E23" s="47"/>
      <c r="F23" s="102"/>
      <c r="G23" s="112"/>
      <c r="H23" s="47"/>
      <c r="I23" s="108" t="str">
        <f aca="false">IF(ResourceTable[[#This Row],[Resource Name]]="","",COUNTIFS(tsk_Resource,ResourceTable[[#This Row],[Resource Name]],tsk_IsLeaf,1)+COUNTIFS(asg_Resource,ResourceTable[[#This Row],[Resource Name]],asg_Valid,1))</f>
        <v/>
      </c>
      <c r="J23" s="110" t="str">
        <f aca="false">IF(ResourceTable[[#This Row],[Resource Name]]="","",SUMIFS(tsk_LeafWork,tsk_Resource,ResourceTable[[#This Row],[Resource Name]])+SUMIFS(asg_Work,asg_Resource,ResourceTable[[#This Row],[Resource Name]]))</f>
        <v/>
      </c>
      <c r="K23" s="111" t="str">
        <f aca="false">IF(ResourceTable[[#This Row],[Resource Name]]="","",SUMIFS(tsk_LeafCost,tsk_Resource,ResourceTable[[#This Row],[Resource Name]])+SUMIFS(asg_Cost,asg_Resource,ResourceTable[[#This Row],[Resource Name]]))</f>
        <v/>
      </c>
      <c r="L23" s="111" t="str">
        <f aca="false">IF(ResourceTable[[#This Row],[Resource Name]]="","",SUMIFS(tsk_ResourceAC,tsk_Resource,ResourceTable[[#This Row],[Resource Name]])+SUMIFS(asg_ActualCost,asg_Resource,ResourceTable[[#This Row],[Resource Name]]))</f>
        <v/>
      </c>
      <c r="M23" s="47"/>
    </row>
    <row r="24" customFormat="false" ht="15" hidden="false" customHeight="false" outlineLevel="0" collapsed="false">
      <c r="B24" s="47"/>
      <c r="C24" s="47"/>
      <c r="D24" s="47"/>
      <c r="E24" s="47"/>
      <c r="F24" s="102"/>
      <c r="G24" s="112"/>
      <c r="H24" s="47"/>
      <c r="I24" s="108" t="str">
        <f aca="false">IF(ResourceTable[[#This Row],[Resource Name]]="","",COUNTIFS(tsk_Resource,ResourceTable[[#This Row],[Resource Name]],tsk_IsLeaf,1)+COUNTIFS(asg_Resource,ResourceTable[[#This Row],[Resource Name]],asg_Valid,1))</f>
        <v/>
      </c>
      <c r="J24" s="110" t="str">
        <f aca="false">IF(ResourceTable[[#This Row],[Resource Name]]="","",SUMIFS(tsk_LeafWork,tsk_Resource,ResourceTable[[#This Row],[Resource Name]])+SUMIFS(asg_Work,asg_Resource,ResourceTable[[#This Row],[Resource Name]]))</f>
        <v/>
      </c>
      <c r="K24" s="111" t="str">
        <f aca="false">IF(ResourceTable[[#This Row],[Resource Name]]="","",SUMIFS(tsk_LeafCost,tsk_Resource,ResourceTable[[#This Row],[Resource Name]])+SUMIFS(asg_Cost,asg_Resource,ResourceTable[[#This Row],[Resource Name]]))</f>
        <v/>
      </c>
      <c r="L24" s="111" t="str">
        <f aca="false">IF(ResourceTable[[#This Row],[Resource Name]]="","",SUMIFS(tsk_ResourceAC,tsk_Resource,ResourceTable[[#This Row],[Resource Name]])+SUMIFS(asg_ActualCost,asg_Resource,ResourceTable[[#This Row],[Resource Name]]))</f>
        <v/>
      </c>
      <c r="M24" s="47"/>
    </row>
    <row r="25" customFormat="false" ht="15" hidden="false" customHeight="false" outlineLevel="0" collapsed="false">
      <c r="B25" s="47"/>
      <c r="C25" s="47"/>
      <c r="D25" s="47"/>
      <c r="E25" s="47"/>
      <c r="F25" s="102"/>
      <c r="G25" s="112"/>
      <c r="H25" s="47"/>
      <c r="I25" s="108" t="str">
        <f aca="false">IF(ResourceTable[[#This Row],[Resource Name]]="","",COUNTIFS(tsk_Resource,ResourceTable[[#This Row],[Resource Name]],tsk_IsLeaf,1)+COUNTIFS(asg_Resource,ResourceTable[[#This Row],[Resource Name]],asg_Valid,1))</f>
        <v/>
      </c>
      <c r="J25" s="110" t="str">
        <f aca="false">IF(ResourceTable[[#This Row],[Resource Name]]="","",SUMIFS(tsk_LeafWork,tsk_Resource,ResourceTable[[#This Row],[Resource Name]])+SUMIFS(asg_Work,asg_Resource,ResourceTable[[#This Row],[Resource Name]]))</f>
        <v/>
      </c>
      <c r="K25" s="111" t="str">
        <f aca="false">IF(ResourceTable[[#This Row],[Resource Name]]="","",SUMIFS(tsk_LeafCost,tsk_Resource,ResourceTable[[#This Row],[Resource Name]])+SUMIFS(asg_Cost,asg_Resource,ResourceTable[[#This Row],[Resource Name]]))</f>
        <v/>
      </c>
      <c r="L25" s="111" t="str">
        <f aca="false">IF(ResourceTable[[#This Row],[Resource Name]]="","",SUMIFS(tsk_ResourceAC,tsk_Resource,ResourceTable[[#This Row],[Resource Name]])+SUMIFS(asg_ActualCost,asg_Resource,ResourceTable[[#This Row],[Resource Name]]))</f>
        <v/>
      </c>
      <c r="M25" s="47"/>
    </row>
    <row r="26" customFormat="false" ht="15" hidden="false" customHeight="false" outlineLevel="0" collapsed="false">
      <c r="B26" s="47"/>
      <c r="C26" s="47"/>
      <c r="D26" s="47"/>
      <c r="E26" s="47"/>
      <c r="F26" s="102"/>
      <c r="G26" s="112"/>
      <c r="H26" s="47"/>
      <c r="I26" s="108" t="str">
        <f aca="false">IF(ResourceTable[[#This Row],[Resource Name]]="","",COUNTIFS(tsk_Resource,ResourceTable[[#This Row],[Resource Name]],tsk_IsLeaf,1)+COUNTIFS(asg_Resource,ResourceTable[[#This Row],[Resource Name]],asg_Valid,1))</f>
        <v/>
      </c>
      <c r="J26" s="110" t="str">
        <f aca="false">IF(ResourceTable[[#This Row],[Resource Name]]="","",SUMIFS(tsk_LeafWork,tsk_Resource,ResourceTable[[#This Row],[Resource Name]])+SUMIFS(asg_Work,asg_Resource,ResourceTable[[#This Row],[Resource Name]]))</f>
        <v/>
      </c>
      <c r="K26" s="111" t="str">
        <f aca="false">IF(ResourceTable[[#This Row],[Resource Name]]="","",SUMIFS(tsk_LeafCost,tsk_Resource,ResourceTable[[#This Row],[Resource Name]])+SUMIFS(asg_Cost,asg_Resource,ResourceTable[[#This Row],[Resource Name]]))</f>
        <v/>
      </c>
      <c r="L26" s="111" t="str">
        <f aca="false">IF(ResourceTable[[#This Row],[Resource Name]]="","",SUMIFS(tsk_ResourceAC,tsk_Resource,ResourceTable[[#This Row],[Resource Name]])+SUMIFS(asg_ActualCost,asg_Resource,ResourceTable[[#This Row],[Resource Name]]))</f>
        <v/>
      </c>
      <c r="M26" s="47"/>
    </row>
    <row r="27" customFormat="false" ht="15" hidden="false" customHeight="false" outlineLevel="0" collapsed="false">
      <c r="B27" s="47"/>
      <c r="C27" s="47"/>
      <c r="D27" s="47"/>
      <c r="E27" s="47"/>
      <c r="F27" s="102"/>
      <c r="G27" s="112"/>
      <c r="H27" s="47"/>
      <c r="I27" s="108" t="str">
        <f aca="false">IF(ResourceTable[[#This Row],[Resource Name]]="","",COUNTIFS(tsk_Resource,ResourceTable[[#This Row],[Resource Name]],tsk_IsLeaf,1)+COUNTIFS(asg_Resource,ResourceTable[[#This Row],[Resource Name]],asg_Valid,1))</f>
        <v/>
      </c>
      <c r="J27" s="110" t="str">
        <f aca="false">IF(ResourceTable[[#This Row],[Resource Name]]="","",SUMIFS(tsk_LeafWork,tsk_Resource,ResourceTable[[#This Row],[Resource Name]])+SUMIFS(asg_Work,asg_Resource,ResourceTable[[#This Row],[Resource Name]]))</f>
        <v/>
      </c>
      <c r="K27" s="111" t="str">
        <f aca="false">IF(ResourceTable[[#This Row],[Resource Name]]="","",SUMIFS(tsk_LeafCost,tsk_Resource,ResourceTable[[#This Row],[Resource Name]])+SUMIFS(asg_Cost,asg_Resource,ResourceTable[[#This Row],[Resource Name]]))</f>
        <v/>
      </c>
      <c r="L27" s="111" t="str">
        <f aca="false">IF(ResourceTable[[#This Row],[Resource Name]]="","",SUMIFS(tsk_ResourceAC,tsk_Resource,ResourceTable[[#This Row],[Resource Name]])+SUMIFS(asg_ActualCost,asg_Resource,ResourceTable[[#This Row],[Resource Name]]))</f>
        <v/>
      </c>
      <c r="M27" s="47"/>
    </row>
    <row r="28" customFormat="false" ht="15" hidden="false" customHeight="false" outlineLevel="0" collapsed="false">
      <c r="B28" s="47"/>
      <c r="C28" s="47"/>
      <c r="D28" s="47"/>
      <c r="E28" s="47"/>
      <c r="F28" s="102"/>
      <c r="G28" s="112"/>
      <c r="H28" s="47"/>
      <c r="I28" s="108" t="str">
        <f aca="false">IF(ResourceTable[[#This Row],[Resource Name]]="","",COUNTIFS(tsk_Resource,ResourceTable[[#This Row],[Resource Name]],tsk_IsLeaf,1)+COUNTIFS(asg_Resource,ResourceTable[[#This Row],[Resource Name]],asg_Valid,1))</f>
        <v/>
      </c>
      <c r="J28" s="110" t="str">
        <f aca="false">IF(ResourceTable[[#This Row],[Resource Name]]="","",SUMIFS(tsk_LeafWork,tsk_Resource,ResourceTable[[#This Row],[Resource Name]])+SUMIFS(asg_Work,asg_Resource,ResourceTable[[#This Row],[Resource Name]]))</f>
        <v/>
      </c>
      <c r="K28" s="111" t="str">
        <f aca="false">IF(ResourceTable[[#This Row],[Resource Name]]="","",SUMIFS(tsk_LeafCost,tsk_Resource,ResourceTable[[#This Row],[Resource Name]])+SUMIFS(asg_Cost,asg_Resource,ResourceTable[[#This Row],[Resource Name]]))</f>
        <v/>
      </c>
      <c r="L28" s="111" t="str">
        <f aca="false">IF(ResourceTable[[#This Row],[Resource Name]]="","",SUMIFS(tsk_ResourceAC,tsk_Resource,ResourceTable[[#This Row],[Resource Name]])+SUMIFS(asg_ActualCost,asg_Resource,ResourceTable[[#This Row],[Resource Name]]))</f>
        <v/>
      </c>
      <c r="M28" s="47"/>
    </row>
    <row r="29" customFormat="false" ht="15" hidden="false" customHeight="false" outlineLevel="0" collapsed="false">
      <c r="B29" s="47"/>
      <c r="C29" s="47"/>
      <c r="D29" s="47"/>
      <c r="E29" s="47"/>
      <c r="F29" s="102"/>
      <c r="G29" s="112"/>
      <c r="H29" s="47"/>
      <c r="I29" s="108" t="str">
        <f aca="false">IF(ResourceTable[[#This Row],[Resource Name]]="","",COUNTIFS(tsk_Resource,ResourceTable[[#This Row],[Resource Name]],tsk_IsLeaf,1)+COUNTIFS(asg_Resource,ResourceTable[[#This Row],[Resource Name]],asg_Valid,1))</f>
        <v/>
      </c>
      <c r="J29" s="110" t="str">
        <f aca="false">IF(ResourceTable[[#This Row],[Resource Name]]="","",SUMIFS(tsk_LeafWork,tsk_Resource,ResourceTable[[#This Row],[Resource Name]])+SUMIFS(asg_Work,asg_Resource,ResourceTable[[#This Row],[Resource Name]]))</f>
        <v/>
      </c>
      <c r="K29" s="111" t="str">
        <f aca="false">IF(ResourceTable[[#This Row],[Resource Name]]="","",SUMIFS(tsk_LeafCost,tsk_Resource,ResourceTable[[#This Row],[Resource Name]])+SUMIFS(asg_Cost,asg_Resource,ResourceTable[[#This Row],[Resource Name]]))</f>
        <v/>
      </c>
      <c r="L29" s="111" t="str">
        <f aca="false">IF(ResourceTable[[#This Row],[Resource Name]]="","",SUMIFS(tsk_ResourceAC,tsk_Resource,ResourceTable[[#This Row],[Resource Name]])+SUMIFS(asg_ActualCost,asg_Resource,ResourceTable[[#This Row],[Resource Name]]))</f>
        <v/>
      </c>
      <c r="M29" s="47"/>
    </row>
    <row r="30" customFormat="false" ht="15" hidden="false" customHeight="false" outlineLevel="0" collapsed="false">
      <c r="B30" s="47"/>
      <c r="C30" s="47"/>
      <c r="D30" s="47"/>
      <c r="E30" s="47"/>
      <c r="F30" s="102"/>
      <c r="G30" s="112"/>
      <c r="H30" s="47"/>
      <c r="I30" s="108" t="str">
        <f aca="false">IF(ResourceTable[[#This Row],[Resource Name]]="","",COUNTIFS(tsk_Resource,ResourceTable[[#This Row],[Resource Name]],tsk_IsLeaf,1)+COUNTIFS(asg_Resource,ResourceTable[[#This Row],[Resource Name]],asg_Valid,1))</f>
        <v/>
      </c>
      <c r="J30" s="110" t="str">
        <f aca="false">IF(ResourceTable[[#This Row],[Resource Name]]="","",SUMIFS(tsk_LeafWork,tsk_Resource,ResourceTable[[#This Row],[Resource Name]])+SUMIFS(asg_Work,asg_Resource,ResourceTable[[#This Row],[Resource Name]]))</f>
        <v/>
      </c>
      <c r="K30" s="111" t="str">
        <f aca="false">IF(ResourceTable[[#This Row],[Resource Name]]="","",SUMIFS(tsk_LeafCost,tsk_Resource,ResourceTable[[#This Row],[Resource Name]])+SUMIFS(asg_Cost,asg_Resource,ResourceTable[[#This Row],[Resource Name]]))</f>
        <v/>
      </c>
      <c r="L30" s="111" t="str">
        <f aca="false">IF(ResourceTable[[#This Row],[Resource Name]]="","",SUMIFS(tsk_ResourceAC,tsk_Resource,ResourceTable[[#This Row],[Resource Name]])+SUMIFS(asg_ActualCost,asg_Resource,ResourceTable[[#This Row],[Resource Name]]))</f>
        <v/>
      </c>
      <c r="M30" s="47"/>
    </row>
    <row r="31" customFormat="false" ht="15" hidden="false" customHeight="false" outlineLevel="0" collapsed="false">
      <c r="B31" s="47"/>
      <c r="C31" s="47"/>
      <c r="D31" s="47"/>
      <c r="E31" s="47"/>
      <c r="F31" s="102"/>
      <c r="G31" s="112"/>
      <c r="H31" s="47"/>
      <c r="I31" s="108" t="str">
        <f aca="false">IF(ResourceTable[[#This Row],[Resource Name]]="","",COUNTIFS(tsk_Resource,ResourceTable[[#This Row],[Resource Name]],tsk_IsLeaf,1)+COUNTIFS(asg_Resource,ResourceTable[[#This Row],[Resource Name]],asg_Valid,1))</f>
        <v/>
      </c>
      <c r="J31" s="110" t="str">
        <f aca="false">IF(ResourceTable[[#This Row],[Resource Name]]="","",SUMIFS(tsk_LeafWork,tsk_Resource,ResourceTable[[#This Row],[Resource Name]])+SUMIFS(asg_Work,asg_Resource,ResourceTable[[#This Row],[Resource Name]]))</f>
        <v/>
      </c>
      <c r="K31" s="111" t="str">
        <f aca="false">IF(ResourceTable[[#This Row],[Resource Name]]="","",SUMIFS(tsk_LeafCost,tsk_Resource,ResourceTable[[#This Row],[Resource Name]])+SUMIFS(asg_Cost,asg_Resource,ResourceTable[[#This Row],[Resource Name]]))</f>
        <v/>
      </c>
      <c r="L31" s="111" t="str">
        <f aca="false">IF(ResourceTable[[#This Row],[Resource Name]]="","",SUMIFS(tsk_ResourceAC,tsk_Resource,ResourceTable[[#This Row],[Resource Name]])+SUMIFS(asg_ActualCost,asg_Resource,ResourceTable[[#This Row],[Resource Name]]))</f>
        <v/>
      </c>
      <c r="M31" s="47"/>
    </row>
    <row r="32" customFormat="false" ht="15" hidden="false" customHeight="false" outlineLevel="0" collapsed="false">
      <c r="B32" s="47"/>
      <c r="C32" s="47"/>
      <c r="D32" s="47"/>
      <c r="E32" s="47"/>
      <c r="F32" s="102"/>
      <c r="G32" s="112"/>
      <c r="H32" s="47"/>
      <c r="I32" s="108" t="str">
        <f aca="false">IF(ResourceTable[[#This Row],[Resource Name]]="","",COUNTIFS(tsk_Resource,ResourceTable[[#This Row],[Resource Name]],tsk_IsLeaf,1)+COUNTIFS(asg_Resource,ResourceTable[[#This Row],[Resource Name]],asg_Valid,1))</f>
        <v/>
      </c>
      <c r="J32" s="110" t="str">
        <f aca="false">IF(ResourceTable[[#This Row],[Resource Name]]="","",SUMIFS(tsk_LeafWork,tsk_Resource,ResourceTable[[#This Row],[Resource Name]])+SUMIFS(asg_Work,asg_Resource,ResourceTable[[#This Row],[Resource Name]]))</f>
        <v/>
      </c>
      <c r="K32" s="111" t="str">
        <f aca="false">IF(ResourceTable[[#This Row],[Resource Name]]="","",SUMIFS(tsk_LeafCost,tsk_Resource,ResourceTable[[#This Row],[Resource Name]])+SUMIFS(asg_Cost,asg_Resource,ResourceTable[[#This Row],[Resource Name]]))</f>
        <v/>
      </c>
      <c r="L32" s="111" t="str">
        <f aca="false">IF(ResourceTable[[#This Row],[Resource Name]]="","",SUMIFS(tsk_ResourceAC,tsk_Resource,ResourceTable[[#This Row],[Resource Name]])+SUMIFS(asg_ActualCost,asg_Resource,ResourceTable[[#This Row],[Resource Name]]))</f>
        <v/>
      </c>
      <c r="M32" s="47"/>
    </row>
    <row r="33" customFormat="false" ht="15" hidden="false" customHeight="false" outlineLevel="0" collapsed="false">
      <c r="B33" s="47"/>
      <c r="C33" s="47"/>
      <c r="D33" s="47"/>
      <c r="E33" s="47"/>
      <c r="F33" s="102"/>
      <c r="G33" s="112"/>
      <c r="H33" s="47"/>
      <c r="I33" s="108" t="str">
        <f aca="false">IF(ResourceTable[[#This Row],[Resource Name]]="","",COUNTIFS(tsk_Resource,ResourceTable[[#This Row],[Resource Name]],tsk_IsLeaf,1)+COUNTIFS(asg_Resource,ResourceTable[[#This Row],[Resource Name]],asg_Valid,1))</f>
        <v/>
      </c>
      <c r="J33" s="110" t="str">
        <f aca="false">IF(ResourceTable[[#This Row],[Resource Name]]="","",SUMIFS(tsk_LeafWork,tsk_Resource,ResourceTable[[#This Row],[Resource Name]])+SUMIFS(asg_Work,asg_Resource,ResourceTable[[#This Row],[Resource Name]]))</f>
        <v/>
      </c>
      <c r="K33" s="111" t="str">
        <f aca="false">IF(ResourceTable[[#This Row],[Resource Name]]="","",SUMIFS(tsk_LeafCost,tsk_Resource,ResourceTable[[#This Row],[Resource Name]])+SUMIFS(asg_Cost,asg_Resource,ResourceTable[[#This Row],[Resource Name]]))</f>
        <v/>
      </c>
      <c r="L33" s="111" t="str">
        <f aca="false">IF(ResourceTable[[#This Row],[Resource Name]]="","",SUMIFS(tsk_ResourceAC,tsk_Resource,ResourceTable[[#This Row],[Resource Name]])+SUMIFS(asg_ActualCost,asg_Resource,ResourceTable[[#This Row],[Resource Name]]))</f>
        <v/>
      </c>
      <c r="M33" s="47"/>
    </row>
    <row r="34" customFormat="false" ht="15" hidden="false" customHeight="false" outlineLevel="0" collapsed="false">
      <c r="B34" s="47"/>
      <c r="C34" s="47"/>
      <c r="D34" s="47"/>
      <c r="E34" s="47"/>
      <c r="F34" s="102"/>
      <c r="G34" s="112"/>
      <c r="H34" s="47"/>
      <c r="I34" s="108" t="str">
        <f aca="false">IF(ResourceTable[[#This Row],[Resource Name]]="","",COUNTIFS(tsk_Resource,ResourceTable[[#This Row],[Resource Name]],tsk_IsLeaf,1)+COUNTIFS(asg_Resource,ResourceTable[[#This Row],[Resource Name]],asg_Valid,1))</f>
        <v/>
      </c>
      <c r="J34" s="110" t="str">
        <f aca="false">IF(ResourceTable[[#This Row],[Resource Name]]="","",SUMIFS(tsk_LeafWork,tsk_Resource,ResourceTable[[#This Row],[Resource Name]])+SUMIFS(asg_Work,asg_Resource,ResourceTable[[#This Row],[Resource Name]]))</f>
        <v/>
      </c>
      <c r="K34" s="111" t="str">
        <f aca="false">IF(ResourceTable[[#This Row],[Resource Name]]="","",SUMIFS(tsk_LeafCost,tsk_Resource,ResourceTable[[#This Row],[Resource Name]])+SUMIFS(asg_Cost,asg_Resource,ResourceTable[[#This Row],[Resource Name]]))</f>
        <v/>
      </c>
      <c r="L34" s="111" t="str">
        <f aca="false">IF(ResourceTable[[#This Row],[Resource Name]]="","",SUMIFS(tsk_ResourceAC,tsk_Resource,ResourceTable[[#This Row],[Resource Name]])+SUMIFS(asg_ActualCost,asg_Resource,ResourceTable[[#This Row],[Resource Name]]))</f>
        <v/>
      </c>
      <c r="M34" s="47"/>
    </row>
    <row r="35" customFormat="false" ht="15" hidden="false" customHeight="false" outlineLevel="0" collapsed="false">
      <c r="B35" s="47"/>
      <c r="C35" s="47"/>
      <c r="D35" s="47"/>
      <c r="E35" s="47"/>
      <c r="F35" s="102"/>
      <c r="G35" s="112"/>
      <c r="H35" s="47"/>
      <c r="I35" s="108" t="str">
        <f aca="false">IF(ResourceTable[[#This Row],[Resource Name]]="","",COUNTIFS(tsk_Resource,ResourceTable[[#This Row],[Resource Name]],tsk_IsLeaf,1)+COUNTIFS(asg_Resource,ResourceTable[[#This Row],[Resource Name]],asg_Valid,1))</f>
        <v/>
      </c>
      <c r="J35" s="110" t="str">
        <f aca="false">IF(ResourceTable[[#This Row],[Resource Name]]="","",SUMIFS(tsk_LeafWork,tsk_Resource,ResourceTable[[#This Row],[Resource Name]])+SUMIFS(asg_Work,asg_Resource,ResourceTable[[#This Row],[Resource Name]]))</f>
        <v/>
      </c>
      <c r="K35" s="111" t="str">
        <f aca="false">IF(ResourceTable[[#This Row],[Resource Name]]="","",SUMIFS(tsk_LeafCost,tsk_Resource,ResourceTable[[#This Row],[Resource Name]])+SUMIFS(asg_Cost,asg_Resource,ResourceTable[[#This Row],[Resource Name]]))</f>
        <v/>
      </c>
      <c r="L35" s="111" t="str">
        <f aca="false">IF(ResourceTable[[#This Row],[Resource Name]]="","",SUMIFS(tsk_ResourceAC,tsk_Resource,ResourceTable[[#This Row],[Resource Name]])+SUMIFS(asg_ActualCost,asg_Resource,ResourceTable[[#This Row],[Resource Name]]))</f>
        <v/>
      </c>
      <c r="M35" s="47"/>
    </row>
    <row r="36" customFormat="false" ht="15" hidden="false" customHeight="false" outlineLevel="0" collapsed="false">
      <c r="B36" s="47"/>
      <c r="C36" s="47"/>
      <c r="D36" s="47"/>
      <c r="E36" s="47"/>
      <c r="F36" s="102"/>
      <c r="G36" s="112"/>
      <c r="H36" s="47"/>
      <c r="I36" s="108" t="str">
        <f aca="false">IF(ResourceTable[[#This Row],[Resource Name]]="","",COUNTIFS(tsk_Resource,ResourceTable[[#This Row],[Resource Name]],tsk_IsLeaf,1)+COUNTIFS(asg_Resource,ResourceTable[[#This Row],[Resource Name]],asg_Valid,1))</f>
        <v/>
      </c>
      <c r="J36" s="110" t="str">
        <f aca="false">IF(ResourceTable[[#This Row],[Resource Name]]="","",SUMIFS(tsk_LeafWork,tsk_Resource,ResourceTable[[#This Row],[Resource Name]])+SUMIFS(asg_Work,asg_Resource,ResourceTable[[#This Row],[Resource Name]]))</f>
        <v/>
      </c>
      <c r="K36" s="111" t="str">
        <f aca="false">IF(ResourceTable[[#This Row],[Resource Name]]="","",SUMIFS(tsk_LeafCost,tsk_Resource,ResourceTable[[#This Row],[Resource Name]])+SUMIFS(asg_Cost,asg_Resource,ResourceTable[[#This Row],[Resource Name]]))</f>
        <v/>
      </c>
      <c r="L36" s="111" t="str">
        <f aca="false">IF(ResourceTable[[#This Row],[Resource Name]]="","",SUMIFS(tsk_ResourceAC,tsk_Resource,ResourceTable[[#This Row],[Resource Name]])+SUMIFS(asg_ActualCost,asg_Resource,ResourceTable[[#This Row],[Resource Name]]))</f>
        <v/>
      </c>
      <c r="M36" s="47"/>
    </row>
    <row r="37" customFormat="false" ht="15" hidden="false" customHeight="false" outlineLevel="0" collapsed="false">
      <c r="B37" s="47"/>
      <c r="C37" s="47"/>
      <c r="D37" s="47"/>
      <c r="E37" s="47"/>
      <c r="F37" s="102"/>
      <c r="G37" s="112"/>
      <c r="H37" s="47"/>
      <c r="I37" s="108" t="str">
        <f aca="false">IF(ResourceTable[[#This Row],[Resource Name]]="","",COUNTIFS(tsk_Resource,ResourceTable[[#This Row],[Resource Name]],tsk_IsLeaf,1)+COUNTIFS(asg_Resource,ResourceTable[[#This Row],[Resource Name]],asg_Valid,1))</f>
        <v/>
      </c>
      <c r="J37" s="110" t="str">
        <f aca="false">IF(ResourceTable[[#This Row],[Resource Name]]="","",SUMIFS(tsk_LeafWork,tsk_Resource,ResourceTable[[#This Row],[Resource Name]])+SUMIFS(asg_Work,asg_Resource,ResourceTable[[#This Row],[Resource Name]]))</f>
        <v/>
      </c>
      <c r="K37" s="111" t="str">
        <f aca="false">IF(ResourceTable[[#This Row],[Resource Name]]="","",SUMIFS(tsk_LeafCost,tsk_Resource,ResourceTable[[#This Row],[Resource Name]])+SUMIFS(asg_Cost,asg_Resource,ResourceTable[[#This Row],[Resource Name]]))</f>
        <v/>
      </c>
      <c r="L37" s="111" t="str">
        <f aca="false">IF(ResourceTable[[#This Row],[Resource Name]]="","",SUMIFS(tsk_ResourceAC,tsk_Resource,ResourceTable[[#This Row],[Resource Name]])+SUMIFS(asg_ActualCost,asg_Resource,ResourceTable[[#This Row],[Resource Name]]))</f>
        <v/>
      </c>
      <c r="M37" s="47"/>
    </row>
    <row r="38" customFormat="false" ht="15" hidden="false" customHeight="false" outlineLevel="0" collapsed="false">
      <c r="B38" s="47"/>
      <c r="C38" s="47"/>
      <c r="D38" s="47"/>
      <c r="E38" s="47"/>
      <c r="F38" s="102"/>
      <c r="G38" s="112"/>
      <c r="H38" s="47"/>
      <c r="I38" s="108" t="str">
        <f aca="false">IF(ResourceTable[[#This Row],[Resource Name]]="","",COUNTIFS(tsk_Resource,ResourceTable[[#This Row],[Resource Name]],tsk_IsLeaf,1)+COUNTIFS(asg_Resource,ResourceTable[[#This Row],[Resource Name]],asg_Valid,1))</f>
        <v/>
      </c>
      <c r="J38" s="110" t="str">
        <f aca="false">IF(ResourceTable[[#This Row],[Resource Name]]="","",SUMIFS(tsk_LeafWork,tsk_Resource,ResourceTable[[#This Row],[Resource Name]])+SUMIFS(asg_Work,asg_Resource,ResourceTable[[#This Row],[Resource Name]]))</f>
        <v/>
      </c>
      <c r="K38" s="111" t="str">
        <f aca="false">IF(ResourceTable[[#This Row],[Resource Name]]="","",SUMIFS(tsk_LeafCost,tsk_Resource,ResourceTable[[#This Row],[Resource Name]])+SUMIFS(asg_Cost,asg_Resource,ResourceTable[[#This Row],[Resource Name]]))</f>
        <v/>
      </c>
      <c r="L38" s="111" t="str">
        <f aca="false">IF(ResourceTable[[#This Row],[Resource Name]]="","",SUMIFS(tsk_ResourceAC,tsk_Resource,ResourceTable[[#This Row],[Resource Name]])+SUMIFS(asg_ActualCost,asg_Resource,ResourceTable[[#This Row],[Resource Name]]))</f>
        <v/>
      </c>
      <c r="M38" s="47"/>
    </row>
    <row r="39" customFormat="false" ht="15" hidden="false" customHeight="false" outlineLevel="0" collapsed="false">
      <c r="B39" s="47"/>
      <c r="C39" s="47"/>
      <c r="D39" s="47"/>
      <c r="E39" s="47"/>
      <c r="F39" s="102"/>
      <c r="G39" s="112"/>
      <c r="H39" s="47"/>
      <c r="I39" s="108" t="str">
        <f aca="false">IF(ResourceTable[[#This Row],[Resource Name]]="","",COUNTIFS(tsk_Resource,ResourceTable[[#This Row],[Resource Name]],tsk_IsLeaf,1)+COUNTIFS(asg_Resource,ResourceTable[[#This Row],[Resource Name]],asg_Valid,1))</f>
        <v/>
      </c>
      <c r="J39" s="110" t="str">
        <f aca="false">IF(ResourceTable[[#This Row],[Resource Name]]="","",SUMIFS(tsk_LeafWork,tsk_Resource,ResourceTable[[#This Row],[Resource Name]])+SUMIFS(asg_Work,asg_Resource,ResourceTable[[#This Row],[Resource Name]]))</f>
        <v/>
      </c>
      <c r="K39" s="111" t="str">
        <f aca="false">IF(ResourceTable[[#This Row],[Resource Name]]="","",SUMIFS(tsk_LeafCost,tsk_Resource,ResourceTable[[#This Row],[Resource Name]])+SUMIFS(asg_Cost,asg_Resource,ResourceTable[[#This Row],[Resource Name]]))</f>
        <v/>
      </c>
      <c r="L39" s="111" t="str">
        <f aca="false">IF(ResourceTable[[#This Row],[Resource Name]]="","",SUMIFS(tsk_ResourceAC,tsk_Resource,ResourceTable[[#This Row],[Resource Name]])+SUMIFS(asg_ActualCost,asg_Resource,ResourceTable[[#This Row],[Resource Name]]))</f>
        <v/>
      </c>
      <c r="M39" s="47"/>
    </row>
    <row r="40" customFormat="false" ht="15" hidden="false" customHeight="false" outlineLevel="0" collapsed="false">
      <c r="B40" s="47"/>
      <c r="C40" s="47"/>
      <c r="D40" s="47"/>
      <c r="E40" s="47"/>
      <c r="F40" s="102"/>
      <c r="G40" s="112"/>
      <c r="H40" s="47"/>
      <c r="I40" s="108" t="str">
        <f aca="false">IF(ResourceTable[[#This Row],[Resource Name]]="","",COUNTIFS(tsk_Resource,ResourceTable[[#This Row],[Resource Name]],tsk_IsLeaf,1)+COUNTIFS(asg_Resource,ResourceTable[[#This Row],[Resource Name]],asg_Valid,1))</f>
        <v/>
      </c>
      <c r="J40" s="110" t="str">
        <f aca="false">IF(ResourceTable[[#This Row],[Resource Name]]="","",SUMIFS(tsk_LeafWork,tsk_Resource,ResourceTable[[#This Row],[Resource Name]])+SUMIFS(asg_Work,asg_Resource,ResourceTable[[#This Row],[Resource Name]]))</f>
        <v/>
      </c>
      <c r="K40" s="111" t="str">
        <f aca="false">IF(ResourceTable[[#This Row],[Resource Name]]="","",SUMIFS(tsk_LeafCost,tsk_Resource,ResourceTable[[#This Row],[Resource Name]])+SUMIFS(asg_Cost,asg_Resource,ResourceTable[[#This Row],[Resource Name]]))</f>
        <v/>
      </c>
      <c r="L40" s="111" t="str">
        <f aca="false">IF(ResourceTable[[#This Row],[Resource Name]]="","",SUMIFS(tsk_ResourceAC,tsk_Resource,ResourceTable[[#This Row],[Resource Name]])+SUMIFS(asg_ActualCost,asg_Resource,ResourceTable[[#This Row],[Resource Name]]))</f>
        <v/>
      </c>
      <c r="M40" s="47"/>
    </row>
    <row r="41" customFormat="false" ht="15" hidden="false" customHeight="false" outlineLevel="0" collapsed="false">
      <c r="B41" s="47"/>
      <c r="C41" s="47"/>
      <c r="D41" s="47"/>
      <c r="E41" s="47"/>
      <c r="F41" s="102"/>
      <c r="G41" s="112"/>
      <c r="H41" s="47"/>
      <c r="I41" s="108" t="str">
        <f aca="false">IF(ResourceTable[[#This Row],[Resource Name]]="","",COUNTIFS(tsk_Resource,ResourceTable[[#This Row],[Resource Name]],tsk_IsLeaf,1)+COUNTIFS(asg_Resource,ResourceTable[[#This Row],[Resource Name]],asg_Valid,1))</f>
        <v/>
      </c>
      <c r="J41" s="110" t="str">
        <f aca="false">IF(ResourceTable[[#This Row],[Resource Name]]="","",SUMIFS(tsk_LeafWork,tsk_Resource,ResourceTable[[#This Row],[Resource Name]])+SUMIFS(asg_Work,asg_Resource,ResourceTable[[#This Row],[Resource Name]]))</f>
        <v/>
      </c>
      <c r="K41" s="111" t="str">
        <f aca="false">IF(ResourceTable[[#This Row],[Resource Name]]="","",SUMIFS(tsk_LeafCost,tsk_Resource,ResourceTable[[#This Row],[Resource Name]])+SUMIFS(asg_Cost,asg_Resource,ResourceTable[[#This Row],[Resource Name]]))</f>
        <v/>
      </c>
      <c r="L41" s="111" t="str">
        <f aca="false">IF(ResourceTable[[#This Row],[Resource Name]]="","",SUMIFS(tsk_ResourceAC,tsk_Resource,ResourceTable[[#This Row],[Resource Name]])+SUMIFS(asg_ActualCost,asg_Resource,ResourceTable[[#This Row],[Resource Name]]))</f>
        <v/>
      </c>
      <c r="M41" s="47"/>
    </row>
    <row r="42" customFormat="false" ht="15" hidden="false" customHeight="false" outlineLevel="0" collapsed="false">
      <c r="B42" s="47"/>
      <c r="C42" s="47"/>
      <c r="D42" s="47"/>
      <c r="E42" s="47"/>
      <c r="F42" s="102"/>
      <c r="G42" s="112"/>
      <c r="H42" s="47"/>
      <c r="I42" s="108" t="str">
        <f aca="false">IF(ResourceTable[[#This Row],[Resource Name]]="","",COUNTIFS(tsk_Resource,ResourceTable[[#This Row],[Resource Name]],tsk_IsLeaf,1)+COUNTIFS(asg_Resource,ResourceTable[[#This Row],[Resource Name]],asg_Valid,1))</f>
        <v/>
      </c>
      <c r="J42" s="110" t="str">
        <f aca="false">IF(ResourceTable[[#This Row],[Resource Name]]="","",SUMIFS(tsk_LeafWork,tsk_Resource,ResourceTable[[#This Row],[Resource Name]])+SUMIFS(asg_Work,asg_Resource,ResourceTable[[#This Row],[Resource Name]]))</f>
        <v/>
      </c>
      <c r="K42" s="111" t="str">
        <f aca="false">IF(ResourceTable[[#This Row],[Resource Name]]="","",SUMIFS(tsk_LeafCost,tsk_Resource,ResourceTable[[#This Row],[Resource Name]])+SUMIFS(asg_Cost,asg_Resource,ResourceTable[[#This Row],[Resource Name]]))</f>
        <v/>
      </c>
      <c r="L42" s="111" t="str">
        <f aca="false">IF(ResourceTable[[#This Row],[Resource Name]]="","",SUMIFS(tsk_ResourceAC,tsk_Resource,ResourceTable[[#This Row],[Resource Name]])+SUMIFS(asg_ActualCost,asg_Resource,ResourceTable[[#This Row],[Resource Name]]))</f>
        <v/>
      </c>
      <c r="M42" s="47"/>
    </row>
    <row r="43" customFormat="false" ht="15" hidden="false" customHeight="false" outlineLevel="0" collapsed="false">
      <c r="B43" s="47"/>
      <c r="C43" s="47"/>
      <c r="D43" s="47"/>
      <c r="E43" s="47"/>
      <c r="F43" s="102"/>
      <c r="G43" s="112"/>
      <c r="H43" s="47"/>
      <c r="I43" s="108" t="str">
        <f aca="false">IF(ResourceTable[[#This Row],[Resource Name]]="","",COUNTIFS(tsk_Resource,ResourceTable[[#This Row],[Resource Name]],tsk_IsLeaf,1)+COUNTIFS(asg_Resource,ResourceTable[[#This Row],[Resource Name]],asg_Valid,1))</f>
        <v/>
      </c>
      <c r="J43" s="110" t="str">
        <f aca="false">IF(ResourceTable[[#This Row],[Resource Name]]="","",SUMIFS(tsk_LeafWork,tsk_Resource,ResourceTable[[#This Row],[Resource Name]])+SUMIFS(asg_Work,asg_Resource,ResourceTable[[#This Row],[Resource Name]]))</f>
        <v/>
      </c>
      <c r="K43" s="111" t="str">
        <f aca="false">IF(ResourceTable[[#This Row],[Resource Name]]="","",SUMIFS(tsk_LeafCost,tsk_Resource,ResourceTable[[#This Row],[Resource Name]])+SUMIFS(asg_Cost,asg_Resource,ResourceTable[[#This Row],[Resource Name]]))</f>
        <v/>
      </c>
      <c r="L43" s="111" t="str">
        <f aca="false">IF(ResourceTable[[#This Row],[Resource Name]]="","",SUMIFS(tsk_ResourceAC,tsk_Resource,ResourceTable[[#This Row],[Resource Name]])+SUMIFS(asg_ActualCost,asg_Resource,ResourceTable[[#This Row],[Resource Name]]))</f>
        <v/>
      </c>
      <c r="M43" s="47"/>
    </row>
    <row r="44" customFormat="false" ht="15" hidden="false" customHeight="false" outlineLevel="0" collapsed="false">
      <c r="B44" s="47"/>
      <c r="C44" s="47"/>
      <c r="D44" s="47"/>
      <c r="E44" s="47"/>
      <c r="F44" s="102"/>
      <c r="G44" s="112"/>
      <c r="H44" s="47"/>
      <c r="I44" s="108" t="str">
        <f aca="false">IF(ResourceTable[[#This Row],[Resource Name]]="","",COUNTIFS(tsk_Resource,ResourceTable[[#This Row],[Resource Name]],tsk_IsLeaf,1)+COUNTIFS(asg_Resource,ResourceTable[[#This Row],[Resource Name]],asg_Valid,1))</f>
        <v/>
      </c>
      <c r="J44" s="110" t="str">
        <f aca="false">IF(ResourceTable[[#This Row],[Resource Name]]="","",SUMIFS(tsk_LeafWork,tsk_Resource,ResourceTable[[#This Row],[Resource Name]])+SUMIFS(asg_Work,asg_Resource,ResourceTable[[#This Row],[Resource Name]]))</f>
        <v/>
      </c>
      <c r="K44" s="111" t="str">
        <f aca="false">IF(ResourceTable[[#This Row],[Resource Name]]="","",SUMIFS(tsk_LeafCost,tsk_Resource,ResourceTable[[#This Row],[Resource Name]])+SUMIFS(asg_Cost,asg_Resource,ResourceTable[[#This Row],[Resource Name]]))</f>
        <v/>
      </c>
      <c r="L44" s="111" t="str">
        <f aca="false">IF(ResourceTable[[#This Row],[Resource Name]]="","",SUMIFS(tsk_ResourceAC,tsk_Resource,ResourceTable[[#This Row],[Resource Name]])+SUMIFS(asg_ActualCost,asg_Resource,ResourceTable[[#This Row],[Resource Name]]))</f>
        <v/>
      </c>
      <c r="M44" s="47"/>
    </row>
    <row r="45" customFormat="false" ht="15" hidden="false" customHeight="false" outlineLevel="0" collapsed="false">
      <c r="B45" s="47"/>
      <c r="C45" s="47"/>
      <c r="D45" s="47"/>
      <c r="E45" s="47"/>
      <c r="F45" s="102"/>
      <c r="G45" s="112"/>
      <c r="H45" s="47"/>
      <c r="I45" s="108" t="str">
        <f aca="false">IF(ResourceTable[[#This Row],[Resource Name]]="","",COUNTIFS(tsk_Resource,ResourceTable[[#This Row],[Resource Name]],tsk_IsLeaf,1)+COUNTIFS(asg_Resource,ResourceTable[[#This Row],[Resource Name]],asg_Valid,1))</f>
        <v/>
      </c>
      <c r="J45" s="110" t="str">
        <f aca="false">IF(ResourceTable[[#This Row],[Resource Name]]="","",SUMIFS(tsk_LeafWork,tsk_Resource,ResourceTable[[#This Row],[Resource Name]])+SUMIFS(asg_Work,asg_Resource,ResourceTable[[#This Row],[Resource Name]]))</f>
        <v/>
      </c>
      <c r="K45" s="111" t="str">
        <f aca="false">IF(ResourceTable[[#This Row],[Resource Name]]="","",SUMIFS(tsk_LeafCost,tsk_Resource,ResourceTable[[#This Row],[Resource Name]])+SUMIFS(asg_Cost,asg_Resource,ResourceTable[[#This Row],[Resource Name]]))</f>
        <v/>
      </c>
      <c r="L45" s="111" t="str">
        <f aca="false">IF(ResourceTable[[#This Row],[Resource Name]]="","",SUMIFS(tsk_ResourceAC,tsk_Resource,ResourceTable[[#This Row],[Resource Name]])+SUMIFS(asg_ActualCost,asg_Resource,ResourceTable[[#This Row],[Resource Name]]))</f>
        <v/>
      </c>
      <c r="M45" s="47"/>
    </row>
    <row r="46" customFormat="false" ht="15" hidden="false" customHeight="false" outlineLevel="0" collapsed="false">
      <c r="B46" s="47"/>
      <c r="C46" s="47"/>
      <c r="D46" s="47"/>
      <c r="E46" s="47"/>
      <c r="F46" s="102"/>
      <c r="G46" s="112"/>
      <c r="H46" s="47"/>
      <c r="I46" s="108" t="str">
        <f aca="false">IF(ResourceTable[[#This Row],[Resource Name]]="","",COUNTIFS(tsk_Resource,ResourceTable[[#This Row],[Resource Name]],tsk_IsLeaf,1)+COUNTIFS(asg_Resource,ResourceTable[[#This Row],[Resource Name]],asg_Valid,1))</f>
        <v/>
      </c>
      <c r="J46" s="110" t="str">
        <f aca="false">IF(ResourceTable[[#This Row],[Resource Name]]="","",SUMIFS(tsk_LeafWork,tsk_Resource,ResourceTable[[#This Row],[Resource Name]])+SUMIFS(asg_Work,asg_Resource,ResourceTable[[#This Row],[Resource Name]]))</f>
        <v/>
      </c>
      <c r="K46" s="111" t="str">
        <f aca="false">IF(ResourceTable[[#This Row],[Resource Name]]="","",SUMIFS(tsk_LeafCost,tsk_Resource,ResourceTable[[#This Row],[Resource Name]])+SUMIFS(asg_Cost,asg_Resource,ResourceTable[[#This Row],[Resource Name]]))</f>
        <v/>
      </c>
      <c r="L46" s="111" t="str">
        <f aca="false">IF(ResourceTable[[#This Row],[Resource Name]]="","",SUMIFS(tsk_ResourceAC,tsk_Resource,ResourceTable[[#This Row],[Resource Name]])+SUMIFS(asg_ActualCost,asg_Resource,ResourceTable[[#This Row],[Resource Name]]))</f>
        <v/>
      </c>
      <c r="M46" s="47"/>
    </row>
    <row r="47" customFormat="false" ht="15" hidden="false" customHeight="false" outlineLevel="0" collapsed="false">
      <c r="B47" s="47"/>
      <c r="C47" s="47"/>
      <c r="D47" s="47"/>
      <c r="E47" s="47"/>
      <c r="F47" s="102"/>
      <c r="G47" s="112"/>
      <c r="H47" s="47"/>
      <c r="I47" s="108" t="str">
        <f aca="false">IF(ResourceTable[[#This Row],[Resource Name]]="","",COUNTIFS(tsk_Resource,ResourceTable[[#This Row],[Resource Name]],tsk_IsLeaf,1)+COUNTIFS(asg_Resource,ResourceTable[[#This Row],[Resource Name]],asg_Valid,1))</f>
        <v/>
      </c>
      <c r="J47" s="110" t="str">
        <f aca="false">IF(ResourceTable[[#This Row],[Resource Name]]="","",SUMIFS(tsk_LeafWork,tsk_Resource,ResourceTable[[#This Row],[Resource Name]])+SUMIFS(asg_Work,asg_Resource,ResourceTable[[#This Row],[Resource Name]]))</f>
        <v/>
      </c>
      <c r="K47" s="111" t="str">
        <f aca="false">IF(ResourceTable[[#This Row],[Resource Name]]="","",SUMIFS(tsk_LeafCost,tsk_Resource,ResourceTable[[#This Row],[Resource Name]])+SUMIFS(asg_Cost,asg_Resource,ResourceTable[[#This Row],[Resource Name]]))</f>
        <v/>
      </c>
      <c r="L47" s="111" t="str">
        <f aca="false">IF(ResourceTable[[#This Row],[Resource Name]]="","",SUMIFS(tsk_ResourceAC,tsk_Resource,ResourceTable[[#This Row],[Resource Name]])+SUMIFS(asg_ActualCost,asg_Resource,ResourceTable[[#This Row],[Resource Name]]))</f>
        <v/>
      </c>
      <c r="M47" s="47"/>
    </row>
    <row r="48" customFormat="false" ht="15" hidden="false" customHeight="false" outlineLevel="0" collapsed="false">
      <c r="B48" s="47"/>
      <c r="C48" s="47"/>
      <c r="D48" s="47"/>
      <c r="E48" s="47"/>
      <c r="F48" s="102"/>
      <c r="G48" s="112"/>
      <c r="H48" s="47"/>
      <c r="I48" s="108" t="str">
        <f aca="false">IF(ResourceTable[[#This Row],[Resource Name]]="","",COUNTIFS(tsk_Resource,ResourceTable[[#This Row],[Resource Name]],tsk_IsLeaf,1)+COUNTIFS(asg_Resource,ResourceTable[[#This Row],[Resource Name]],asg_Valid,1))</f>
        <v/>
      </c>
      <c r="J48" s="110" t="str">
        <f aca="false">IF(ResourceTable[[#This Row],[Resource Name]]="","",SUMIFS(tsk_LeafWork,tsk_Resource,ResourceTable[[#This Row],[Resource Name]])+SUMIFS(asg_Work,asg_Resource,ResourceTable[[#This Row],[Resource Name]]))</f>
        <v/>
      </c>
      <c r="K48" s="111" t="str">
        <f aca="false">IF(ResourceTable[[#This Row],[Resource Name]]="","",SUMIFS(tsk_LeafCost,tsk_Resource,ResourceTable[[#This Row],[Resource Name]])+SUMIFS(asg_Cost,asg_Resource,ResourceTable[[#This Row],[Resource Name]]))</f>
        <v/>
      </c>
      <c r="L48" s="111" t="str">
        <f aca="false">IF(ResourceTable[[#This Row],[Resource Name]]="","",SUMIFS(tsk_ResourceAC,tsk_Resource,ResourceTable[[#This Row],[Resource Name]])+SUMIFS(asg_ActualCost,asg_Resource,ResourceTable[[#This Row],[Resource Name]]))</f>
        <v/>
      </c>
      <c r="M48" s="47"/>
    </row>
    <row r="49" customFormat="false" ht="15" hidden="false" customHeight="false" outlineLevel="0" collapsed="false">
      <c r="B49" s="47"/>
      <c r="C49" s="47"/>
      <c r="D49" s="47"/>
      <c r="E49" s="47"/>
      <c r="F49" s="102"/>
      <c r="G49" s="112"/>
      <c r="H49" s="47"/>
      <c r="I49" s="108" t="str">
        <f aca="false">IF(ResourceTable[[#This Row],[Resource Name]]="","",COUNTIFS(tsk_Resource,ResourceTable[[#This Row],[Resource Name]],tsk_IsLeaf,1)+COUNTIFS(asg_Resource,ResourceTable[[#This Row],[Resource Name]],asg_Valid,1))</f>
        <v/>
      </c>
      <c r="J49" s="110" t="str">
        <f aca="false">IF(ResourceTable[[#This Row],[Resource Name]]="","",SUMIFS(tsk_LeafWork,tsk_Resource,ResourceTable[[#This Row],[Resource Name]])+SUMIFS(asg_Work,asg_Resource,ResourceTable[[#This Row],[Resource Name]]))</f>
        <v/>
      </c>
      <c r="K49" s="111" t="str">
        <f aca="false">IF(ResourceTable[[#This Row],[Resource Name]]="","",SUMIFS(tsk_LeafCost,tsk_Resource,ResourceTable[[#This Row],[Resource Name]])+SUMIFS(asg_Cost,asg_Resource,ResourceTable[[#This Row],[Resource Name]]))</f>
        <v/>
      </c>
      <c r="L49" s="111" t="str">
        <f aca="false">IF(ResourceTable[[#This Row],[Resource Name]]="","",SUMIFS(tsk_ResourceAC,tsk_Resource,ResourceTable[[#This Row],[Resource Name]])+SUMIFS(asg_ActualCost,asg_Resource,ResourceTable[[#This Row],[Resource Name]]))</f>
        <v/>
      </c>
      <c r="M49" s="47"/>
    </row>
    <row r="50" customFormat="false" ht="15" hidden="false" customHeight="false" outlineLevel="0" collapsed="false">
      <c r="B50" s="47"/>
      <c r="C50" s="47"/>
      <c r="D50" s="47"/>
      <c r="E50" s="47"/>
      <c r="F50" s="102"/>
      <c r="G50" s="112"/>
      <c r="H50" s="47"/>
      <c r="I50" s="108" t="str">
        <f aca="false">IF(ResourceTable[[#This Row],[Resource Name]]="","",COUNTIFS(tsk_Resource,ResourceTable[[#This Row],[Resource Name]],tsk_IsLeaf,1)+COUNTIFS(asg_Resource,ResourceTable[[#This Row],[Resource Name]],asg_Valid,1))</f>
        <v/>
      </c>
      <c r="J50" s="110" t="str">
        <f aca="false">IF(ResourceTable[[#This Row],[Resource Name]]="","",SUMIFS(tsk_LeafWork,tsk_Resource,ResourceTable[[#This Row],[Resource Name]])+SUMIFS(asg_Work,asg_Resource,ResourceTable[[#This Row],[Resource Name]]))</f>
        <v/>
      </c>
      <c r="K50" s="111" t="str">
        <f aca="false">IF(ResourceTable[[#This Row],[Resource Name]]="","",SUMIFS(tsk_LeafCost,tsk_Resource,ResourceTable[[#This Row],[Resource Name]])+SUMIFS(asg_Cost,asg_Resource,ResourceTable[[#This Row],[Resource Name]]))</f>
        <v/>
      </c>
      <c r="L50" s="111" t="str">
        <f aca="false">IF(ResourceTable[[#This Row],[Resource Name]]="","",SUMIFS(tsk_ResourceAC,tsk_Resource,ResourceTable[[#This Row],[Resource Name]])+SUMIFS(asg_ActualCost,asg_Resource,ResourceTable[[#This Row],[Resource Name]]))</f>
        <v/>
      </c>
      <c r="M50" s="47"/>
    </row>
    <row r="51" customFormat="false" ht="15" hidden="false" customHeight="false" outlineLevel="0" collapsed="false">
      <c r="B51" s="47"/>
      <c r="C51" s="47"/>
      <c r="D51" s="47"/>
      <c r="E51" s="47"/>
      <c r="F51" s="102"/>
      <c r="G51" s="112"/>
      <c r="H51" s="47"/>
      <c r="I51" s="108" t="str">
        <f aca="false">IF(ResourceTable[[#This Row],[Resource Name]]="","",COUNTIFS(tsk_Resource,ResourceTable[[#This Row],[Resource Name]],tsk_IsLeaf,1)+COUNTIFS(asg_Resource,ResourceTable[[#This Row],[Resource Name]],asg_Valid,1))</f>
        <v/>
      </c>
      <c r="J51" s="110" t="str">
        <f aca="false">IF(ResourceTable[[#This Row],[Resource Name]]="","",SUMIFS(tsk_LeafWork,tsk_Resource,ResourceTable[[#This Row],[Resource Name]])+SUMIFS(asg_Work,asg_Resource,ResourceTable[[#This Row],[Resource Name]]))</f>
        <v/>
      </c>
      <c r="K51" s="111" t="str">
        <f aca="false">IF(ResourceTable[[#This Row],[Resource Name]]="","",SUMIFS(tsk_LeafCost,tsk_Resource,ResourceTable[[#This Row],[Resource Name]])+SUMIFS(asg_Cost,asg_Resource,ResourceTable[[#This Row],[Resource Name]]))</f>
        <v/>
      </c>
      <c r="L51" s="111" t="str">
        <f aca="false">IF(ResourceTable[[#This Row],[Resource Name]]="","",SUMIFS(tsk_ResourceAC,tsk_Resource,ResourceTable[[#This Row],[Resource Name]])+SUMIFS(asg_ActualCost,asg_Resource,ResourceTable[[#This Row],[Resource Name]]))</f>
        <v/>
      </c>
      <c r="M51" s="47"/>
    </row>
    <row r="52" customFormat="false" ht="15" hidden="false" customHeight="false" outlineLevel="0" collapsed="false">
      <c r="B52" s="47"/>
      <c r="C52" s="47"/>
      <c r="D52" s="47"/>
      <c r="E52" s="47"/>
      <c r="F52" s="102"/>
      <c r="G52" s="112"/>
      <c r="H52" s="47"/>
      <c r="I52" s="108" t="str">
        <f aca="false">IF(ResourceTable[[#This Row],[Resource Name]]="","",COUNTIFS(tsk_Resource,ResourceTable[[#This Row],[Resource Name]],tsk_IsLeaf,1)+COUNTIFS(asg_Resource,ResourceTable[[#This Row],[Resource Name]],asg_Valid,1))</f>
        <v/>
      </c>
      <c r="J52" s="110" t="str">
        <f aca="false">IF(ResourceTable[[#This Row],[Resource Name]]="","",SUMIFS(tsk_LeafWork,tsk_Resource,ResourceTable[[#This Row],[Resource Name]])+SUMIFS(asg_Work,asg_Resource,ResourceTable[[#This Row],[Resource Name]]))</f>
        <v/>
      </c>
      <c r="K52" s="111" t="str">
        <f aca="false">IF(ResourceTable[[#This Row],[Resource Name]]="","",SUMIFS(tsk_LeafCost,tsk_Resource,ResourceTable[[#This Row],[Resource Name]])+SUMIFS(asg_Cost,asg_Resource,ResourceTable[[#This Row],[Resource Name]]))</f>
        <v/>
      </c>
      <c r="L52" s="111" t="str">
        <f aca="false">IF(ResourceTable[[#This Row],[Resource Name]]="","",SUMIFS(tsk_ResourceAC,tsk_Resource,ResourceTable[[#This Row],[Resource Name]])+SUMIFS(asg_ActualCost,asg_Resource,ResourceTable[[#This Row],[Resource Name]]))</f>
        <v/>
      </c>
      <c r="M52" s="47"/>
    </row>
    <row r="53" customFormat="false" ht="15" hidden="false" customHeight="false" outlineLevel="0" collapsed="false">
      <c r="B53" s="47"/>
      <c r="C53" s="47"/>
      <c r="D53" s="47"/>
      <c r="E53" s="47"/>
      <c r="F53" s="102"/>
      <c r="G53" s="112"/>
      <c r="H53" s="47"/>
      <c r="I53" s="108" t="str">
        <f aca="false">IF(ResourceTable[[#This Row],[Resource Name]]="","",COUNTIFS(tsk_Resource,ResourceTable[[#This Row],[Resource Name]],tsk_IsLeaf,1)+COUNTIFS(asg_Resource,ResourceTable[[#This Row],[Resource Name]],asg_Valid,1))</f>
        <v/>
      </c>
      <c r="J53" s="110" t="str">
        <f aca="false">IF(ResourceTable[[#This Row],[Resource Name]]="","",SUMIFS(tsk_LeafWork,tsk_Resource,ResourceTable[[#This Row],[Resource Name]])+SUMIFS(asg_Work,asg_Resource,ResourceTable[[#This Row],[Resource Name]]))</f>
        <v/>
      </c>
      <c r="K53" s="111" t="str">
        <f aca="false">IF(ResourceTable[[#This Row],[Resource Name]]="","",SUMIFS(tsk_LeafCost,tsk_Resource,ResourceTable[[#This Row],[Resource Name]])+SUMIFS(asg_Cost,asg_Resource,ResourceTable[[#This Row],[Resource Name]]))</f>
        <v/>
      </c>
      <c r="L53" s="111" t="str">
        <f aca="false">IF(ResourceTable[[#This Row],[Resource Name]]="","",SUMIFS(tsk_ResourceAC,tsk_Resource,ResourceTable[[#This Row],[Resource Name]])+SUMIFS(asg_ActualCost,asg_Resource,ResourceTable[[#This Row],[Resource Name]]))</f>
        <v/>
      </c>
      <c r="M53" s="47"/>
    </row>
    <row r="54" customFormat="false" ht="15" hidden="false" customHeight="false" outlineLevel="0" collapsed="false">
      <c r="B54" s="47"/>
      <c r="C54" s="47"/>
      <c r="D54" s="47"/>
      <c r="E54" s="47"/>
      <c r="F54" s="102"/>
      <c r="G54" s="112"/>
      <c r="H54" s="47"/>
      <c r="I54" s="108" t="str">
        <f aca="false">IF(ResourceTable[[#This Row],[Resource Name]]="","",COUNTIFS(tsk_Resource,ResourceTable[[#This Row],[Resource Name]],tsk_IsLeaf,1)+COUNTIFS(asg_Resource,ResourceTable[[#This Row],[Resource Name]],asg_Valid,1))</f>
        <v/>
      </c>
      <c r="J54" s="110" t="str">
        <f aca="false">IF(ResourceTable[[#This Row],[Resource Name]]="","",SUMIFS(tsk_LeafWork,tsk_Resource,ResourceTable[[#This Row],[Resource Name]])+SUMIFS(asg_Work,asg_Resource,ResourceTable[[#This Row],[Resource Name]]))</f>
        <v/>
      </c>
      <c r="K54" s="111" t="str">
        <f aca="false">IF(ResourceTable[[#This Row],[Resource Name]]="","",SUMIFS(tsk_LeafCost,tsk_Resource,ResourceTable[[#This Row],[Resource Name]])+SUMIFS(asg_Cost,asg_Resource,ResourceTable[[#This Row],[Resource Name]]))</f>
        <v/>
      </c>
      <c r="L54" s="111" t="str">
        <f aca="false">IF(ResourceTable[[#This Row],[Resource Name]]="","",SUMIFS(tsk_ResourceAC,tsk_Resource,ResourceTable[[#This Row],[Resource Name]])+SUMIFS(asg_ActualCost,asg_Resource,ResourceTable[[#This Row],[Resource Name]]))</f>
        <v/>
      </c>
      <c r="M54" s="47"/>
    </row>
    <row r="55" customFormat="false" ht="15" hidden="false" customHeight="false" outlineLevel="0" collapsed="false">
      <c r="B55" s="47"/>
      <c r="C55" s="47"/>
      <c r="D55" s="47"/>
      <c r="E55" s="47"/>
      <c r="F55" s="102"/>
      <c r="G55" s="112"/>
      <c r="H55" s="47"/>
      <c r="I55" s="108" t="str">
        <f aca="false">IF(ResourceTable[[#This Row],[Resource Name]]="","",COUNTIFS(tsk_Resource,ResourceTable[[#This Row],[Resource Name]],tsk_IsLeaf,1)+COUNTIFS(asg_Resource,ResourceTable[[#This Row],[Resource Name]],asg_Valid,1))</f>
        <v/>
      </c>
      <c r="J55" s="110" t="str">
        <f aca="false">IF(ResourceTable[[#This Row],[Resource Name]]="","",SUMIFS(tsk_LeafWork,tsk_Resource,ResourceTable[[#This Row],[Resource Name]])+SUMIFS(asg_Work,asg_Resource,ResourceTable[[#This Row],[Resource Name]]))</f>
        <v/>
      </c>
      <c r="K55" s="111" t="str">
        <f aca="false">IF(ResourceTable[[#This Row],[Resource Name]]="","",SUMIFS(tsk_LeafCost,tsk_Resource,ResourceTable[[#This Row],[Resource Name]])+SUMIFS(asg_Cost,asg_Resource,ResourceTable[[#This Row],[Resource Name]]))</f>
        <v/>
      </c>
      <c r="L55" s="111" t="str">
        <f aca="false">IF(ResourceTable[[#This Row],[Resource Name]]="","",SUMIFS(tsk_ResourceAC,tsk_Resource,ResourceTable[[#This Row],[Resource Name]])+SUMIFS(asg_ActualCost,asg_Resource,ResourceTable[[#This Row],[Resource Name]]))</f>
        <v/>
      </c>
      <c r="M55" s="47"/>
    </row>
  </sheetData>
  <dataValidations count="1">
    <dataValidation allowBlank="false" errorStyle="stop" operator="between" showDropDown="false" showErrorMessage="false" showInputMessage="false" sqref="E6:E55" type="list">
      <formula1>L_ResType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U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9"/>
    <col collapsed="false" customWidth="true" hidden="false" outlineLevel="0" max="3" min="3" style="0" width="34"/>
    <col collapsed="false" customWidth="true" hidden="false" outlineLevel="0" max="4" min="4" style="0" width="22"/>
    <col collapsed="false" customWidth="true" hidden="false" outlineLevel="0" max="5" min="5" style="0" width="8"/>
    <col collapsed="false" customWidth="true" hidden="false" outlineLevel="0" max="6" min="6" style="0" width="10"/>
    <col collapsed="false" customWidth="true" hidden="false" outlineLevel="0" max="7" min="7" style="0" width="11"/>
    <col collapsed="false" customWidth="true" hidden="false" outlineLevel="0" max="8" min="8" style="0" width="30"/>
    <col collapsed="false" customWidth="true" hidden="true" outlineLevel="1" max="21" min="9" style="0" width="10"/>
  </cols>
  <sheetData>
    <row r="1" customFormat="false" ht="19.7" hidden="false" customHeight="false" outlineLevel="0" collapsed="false">
      <c r="A1" s="26" t="s">
        <v>737</v>
      </c>
    </row>
    <row r="2" customFormat="false" ht="15" hidden="false" customHeight="false" outlineLevel="0" collapsed="false">
      <c r="A2" s="8" t="s">
        <v>738</v>
      </c>
    </row>
    <row r="5" customFormat="false" ht="35.05" hidden="false" customHeight="false" outlineLevel="0" collapsed="false">
      <c r="B5" s="44" t="s">
        <v>292</v>
      </c>
      <c r="C5" s="9" t="s">
        <v>208</v>
      </c>
      <c r="D5" s="44" t="s">
        <v>236</v>
      </c>
      <c r="E5" s="44" t="s">
        <v>541</v>
      </c>
      <c r="F5" s="9" t="s">
        <v>244</v>
      </c>
      <c r="G5" s="9" t="s">
        <v>247</v>
      </c>
      <c r="H5" s="9" t="s">
        <v>739</v>
      </c>
      <c r="I5" s="31" t="s">
        <v>740</v>
      </c>
      <c r="J5" s="31" t="s">
        <v>741</v>
      </c>
      <c r="K5" s="31" t="s">
        <v>742</v>
      </c>
      <c r="L5" s="31" t="s">
        <v>743</v>
      </c>
      <c r="M5" s="31" t="s">
        <v>744</v>
      </c>
      <c r="N5" s="31" t="s">
        <v>745</v>
      </c>
      <c r="O5" s="31" t="s">
        <v>746</v>
      </c>
      <c r="P5" s="31" t="s">
        <v>620</v>
      </c>
      <c r="Q5" s="31" t="s">
        <v>747</v>
      </c>
      <c r="R5" s="31" t="s">
        <v>748</v>
      </c>
      <c r="S5" s="31" t="s">
        <v>707</v>
      </c>
      <c r="T5" s="31" t="s">
        <v>709</v>
      </c>
      <c r="U5" s="31" t="s">
        <v>749</v>
      </c>
    </row>
    <row r="6" customFormat="false" ht="15" hidden="false" customHeight="false" outlineLevel="0" collapsed="false">
      <c r="B6" s="46" t="n">
        <v>7</v>
      </c>
      <c r="C6" s="24" t="str">
        <f aca="false">IF(AssignmentTable[[#This Row],[_TaskPos]]&lt;=0,"",INDEX(tsk_Name,AssignmentTable[[#This Row],[_TaskPos]])&amp;"")</f>
        <v>Solution architecture</v>
      </c>
      <c r="D6" s="47" t="s">
        <v>299</v>
      </c>
      <c r="E6" s="93" t="n">
        <v>0.5</v>
      </c>
      <c r="F6" s="110" t="n">
        <f aca="false">IF(AssignmentTable[[#This Row],[_Valid]]=1,N(INDEX(tsk_Duration,AssignmentTable[[#This Row],[_TaskPos]]))*HoursPerDay*IF(AssignmentTable[[#This Row],[Units]]="",DefaultUnits,AssignmentTable[[#This Row],[Units]]),0)</f>
        <v>20</v>
      </c>
      <c r="G6" s="111" t="n">
        <f aca="false">IF(AssignmentTable[[#This Row],[Work]]=0,0,AssignmentTable[[#This Row],[Work]]*IFERROR(INDEX(res_Rate,MATCH(AssignmentTable[[#This Row],[Resource]],res_Name,0)),0))</f>
        <v>1700</v>
      </c>
      <c r="H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 s="32" t="n">
        <f aca="false">IF(N(AssignmentTable[[#This Row],[Task UID]])=0,0,IFERROR(MATCH(AssignmentTable[[#This Row],[Task UID]],tsk_UID,0),-1))</f>
        <v>7</v>
      </c>
      <c r="J6" s="32" t="n">
        <f aca="false">IF(AND(AssignmentTable[[#This Row],[_TaskPos]]&gt;0,AssignmentTable[[#This Row],[Resource]]&lt;&gt;"",AssignmentTable[[#This Row],[Check]]=""),1,0)</f>
        <v>1</v>
      </c>
      <c r="K6" s="32" t="n">
        <f aca="false">IF(AssignmentTable[[#This Row],[_Valid]]=1,AssignmentTable[[#This Row],[Task UID]]*1000+COUNTIFS(AssignmentTable[[#Headers],[Task UID]]:AssignmentTable[[#This Row],[Task UID]],AssignmentTable[[#This Row],[Task UID]],AssignmentTable[[#Headers],[_Valid]]:AssignmentTable[[#This Row],[_Valid]],1),"")</f>
        <v>7001</v>
      </c>
      <c r="L6" s="32" t="str">
        <f aca="false">IF(AssignmentTable[[#This Row],[_Valid]]=1,AssignmentTable[[#This Row],[Resource]]&amp;IF(OR(AssignmentTable[[#This Row],[Units]]="",AssignmentTable[[#This Row],[Units]]=1),"","["&amp;ROUND(AssignmentTable[[#This Row],[Units]]*100,0)&amp;"%]"),"")</f>
        <v>Jordan Lee[50%]</v>
      </c>
      <c r="M6" s="32" t="n">
        <f aca="false">IF(AssignmentTable[[#This Row],[_Valid]]=1,N(INDEX(tsk_StartWD,AssignmentTable[[#This Row],[_TaskPos]])),0)</f>
        <v>10</v>
      </c>
      <c r="N6" s="32" t="n">
        <f aca="false">IF(AssignmentTable[[#This Row],[_Valid]]=1,N(INDEX(tsk_FinishWD,AssignmentTable[[#This Row],[_TaskPos]])),0)</f>
        <v>15</v>
      </c>
      <c r="O6" s="32" t="n">
        <f aca="false">IF(OR(AssignmentTable[[#This Row],[Work]]=0,AssignmentTable[[#This Row],[_FinishWD]]=0),0,AssignmentTable[[#This Row],[Work]]/(AssignmentTable[[#This Row],[_FinishWD]]-AssignmentTable[[#This Row],[_StartWD]]+1))</f>
        <v>3.33333333333333</v>
      </c>
      <c r="P6" s="32" t="n">
        <f aca="false">AssignmentTable[[#This Row],[_WorkPerWD]]*MAX(0,AssignmentTable[[#This Row],[_StartWD]]-1)</f>
        <v>30</v>
      </c>
      <c r="Q6" s="32" t="n">
        <f aca="false">IF(AssignmentTable[[#This Row],[_Valid]]=1,AssignmentTable[[#This Row],[Work]]*N(INDEX(tsk_LeafProgress,AssignmentTable[[#This Row],[_TaskPos]])),0)</f>
        <v>20</v>
      </c>
      <c r="R6" s="32" t="n">
        <f aca="false">IF(NOT(AssignmentTable[[#This Row],[_Valid]]=1),0,IF(N(INDEX(tsk_LeafTotalCost,AssignmentTable[[#This Row],[_TaskPos]]))=0,0,N(INDEX(tsk_LeafAC,AssignmentTable[[#This Row],[_TaskPos]]))*AssignmentTable[[#This Row],[Cost]]/INDEX(tsk_LeafTotalCost,AssignmentTable[[#This Row],[_TaskPos]])))</f>
        <v>1700</v>
      </c>
      <c r="S6" s="32" t="n">
        <f aca="false">IF(NOT(AssignmentTable[[#This Row],[_Valid]]=1),0,IF(N(INDEX(tsk_LateKey,AssignmentTable[[#This Row],[_TaskPos]]))&gt;0,1,0))</f>
        <v>0</v>
      </c>
      <c r="T6" s="32" t="n">
        <f aca="false">IF(NOT(AssignmentTable[[#This Row],[_Valid]]=1),0,IF(INDEX(tsk_Critical,AssignmentTable[[#This Row],[_TaskPos]])="Yes",1,0))</f>
        <v>0</v>
      </c>
      <c r="U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 customFormat="false" ht="15" hidden="false" customHeight="false" outlineLevel="0" collapsed="false">
      <c r="B7" s="46" t="n">
        <v>17</v>
      </c>
      <c r="C7" s="24" t="str">
        <f aca="false">IF(AssignmentTable[[#This Row],[_TaskPos]]&lt;=0,"",INDEX(tsk_Name,AssignmentTable[[#This Row],[_TaskPos]])&amp;"")</f>
        <v>Feature screens</v>
      </c>
      <c r="D7" s="47" t="s">
        <v>304</v>
      </c>
      <c r="E7" s="93" t="n">
        <v>0.5</v>
      </c>
      <c r="F7" s="110" t="n">
        <f aca="false">IF(AssignmentTable[[#This Row],[_Valid]]=1,N(INDEX(tsk_Duration,AssignmentTable[[#This Row],[_TaskPos]]))*HoursPerDay*IF(AssignmentTable[[#This Row],[Units]]="",DefaultUnits,AssignmentTable[[#This Row],[Units]]),0)</f>
        <v>48</v>
      </c>
      <c r="G7" s="111" t="n">
        <f aca="false">IF(AssignmentTable[[#This Row],[Work]]=0,0,AssignmentTable[[#This Row],[Work]]*IFERROR(INDEX(res_Rate,MATCH(AssignmentTable[[#This Row],[Resource]],res_Name,0)),0))</f>
        <v>3600</v>
      </c>
      <c r="H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 s="32" t="n">
        <f aca="false">IF(N(AssignmentTable[[#This Row],[Task UID]])=0,0,IFERROR(MATCH(AssignmentTable[[#This Row],[Task UID]],tsk_UID,0),-1))</f>
        <v>17</v>
      </c>
      <c r="J7" s="32" t="n">
        <f aca="false">IF(AND(AssignmentTable[[#This Row],[_TaskPos]]&gt;0,AssignmentTable[[#This Row],[Resource]]&lt;&gt;"",AssignmentTable[[#This Row],[Check]]=""),1,0)</f>
        <v>1</v>
      </c>
      <c r="K7" s="32" t="n">
        <f aca="false">IF(AssignmentTable[[#This Row],[_Valid]]=1,AssignmentTable[[#This Row],[Task UID]]*1000+COUNTIFS(AssignmentTable[[#Headers],[Task UID]]:AssignmentTable[[#This Row],[Task UID]],AssignmentTable[[#This Row],[Task UID]],AssignmentTable[[#Headers],[_Valid]]:AssignmentTable[[#This Row],[_Valid]],1),"")</f>
        <v>17001</v>
      </c>
      <c r="L7" s="32" t="str">
        <f aca="false">IF(AssignmentTable[[#This Row],[_Valid]]=1,AssignmentTable[[#This Row],[Resource]]&amp;IF(OR(AssignmentTable[[#This Row],[Units]]="",AssignmentTable[[#This Row],[Units]]=1),"","["&amp;ROUND(AssignmentTable[[#This Row],[Units]]*100,0)&amp;"%]"),"")</f>
        <v>Casey Kim[50%]</v>
      </c>
      <c r="M7" s="32" t="n">
        <f aca="false">IF(AssignmentTable[[#This Row],[_Valid]]=1,N(INDEX(tsk_StartWD,AssignmentTable[[#This Row],[_TaskPos]])),0)</f>
        <v>31</v>
      </c>
      <c r="N7" s="32" t="n">
        <f aca="false">IF(AssignmentTable[[#This Row],[_Valid]]=1,N(INDEX(tsk_FinishWD,AssignmentTable[[#This Row],[_TaskPos]])),0)</f>
        <v>44</v>
      </c>
      <c r="O7" s="32" t="n">
        <f aca="false">IF(OR(AssignmentTable[[#This Row],[Work]]=0,AssignmentTable[[#This Row],[_FinishWD]]=0),0,AssignmentTable[[#This Row],[Work]]/(AssignmentTable[[#This Row],[_FinishWD]]-AssignmentTable[[#This Row],[_StartWD]]+1))</f>
        <v>3.42857142857143</v>
      </c>
      <c r="P7" s="32" t="n">
        <f aca="false">AssignmentTable[[#This Row],[_WorkPerWD]]*MAX(0,AssignmentTable[[#This Row],[_StartWD]]-1)</f>
        <v>102.857142857143</v>
      </c>
      <c r="Q7" s="32" t="n">
        <f aca="false">IF(AssignmentTable[[#This Row],[_Valid]]=1,AssignmentTable[[#This Row],[Work]]*N(INDEX(tsk_LeafProgress,AssignmentTable[[#This Row],[_TaskPos]])),0)</f>
        <v>12</v>
      </c>
      <c r="R7" s="32" t="n">
        <f aca="false">IF(NOT(AssignmentTable[[#This Row],[_Valid]]=1),0,IF(N(INDEX(tsk_LeafTotalCost,AssignmentTable[[#This Row],[_TaskPos]]))=0,0,N(INDEX(tsk_LeafAC,AssignmentTable[[#This Row],[_TaskPos]]))*AssignmentTable[[#This Row],[Cost]]/INDEX(tsk_LeafTotalCost,AssignmentTable[[#This Row],[_TaskPos]])))</f>
        <v>900</v>
      </c>
      <c r="S7" s="32" t="n">
        <f aca="false">IF(NOT(AssignmentTable[[#This Row],[_Valid]]=1),0,IF(N(INDEX(tsk_LateKey,AssignmentTable[[#This Row],[_TaskPos]]))&gt;0,1,0))</f>
        <v>1</v>
      </c>
      <c r="T7" s="32" t="n">
        <f aca="false">IF(NOT(AssignmentTable[[#This Row],[_Valid]]=1),0,IF(INDEX(tsk_Critical,AssignmentTable[[#This Row],[_TaskPos]])="Yes",1,0))</f>
        <v>1</v>
      </c>
      <c r="U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 customFormat="false" ht="15" hidden="false" customHeight="false" outlineLevel="0" collapsed="false">
      <c r="B8" s="46" t="n">
        <v>21</v>
      </c>
      <c r="C8" s="24" t="str">
        <f aca="false">IF(AssignmentTable[[#This Row],[_TaskPos]]&lt;=0,"",INDEX(tsk_Name,AssignmentTable[[#This Row],[_TaskPos]])&amp;"")</f>
        <v>System integration testing</v>
      </c>
      <c r="D8" s="47" t="s">
        <v>667</v>
      </c>
      <c r="E8" s="93" t="n">
        <v>0.5</v>
      </c>
      <c r="F8" s="110" t="n">
        <f aca="false">IF(AssignmentTable[[#This Row],[_Valid]]=1,N(INDEX(tsk_Duration,AssignmentTable[[#This Row],[_TaskPos]]))*HoursPerDay*IF(AssignmentTable[[#This Row],[Units]]="",DefaultUnits,AssignmentTable[[#This Row],[Units]]),0)</f>
        <v>32</v>
      </c>
      <c r="G8" s="111" t="n">
        <f aca="false">IF(AssignmentTable[[#This Row],[Work]]=0,0,AssignmentTable[[#This Row],[Work]]*IFERROR(INDEX(res_Rate,MATCH(AssignmentTable[[#This Row],[Resource]],res_Name,0)),0))</f>
        <v>2560</v>
      </c>
      <c r="H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 s="32" t="n">
        <f aca="false">IF(N(AssignmentTable[[#This Row],[Task UID]])=0,0,IFERROR(MATCH(AssignmentTable[[#This Row],[Task UID]],tsk_UID,0),-1))</f>
        <v>21</v>
      </c>
      <c r="J8" s="32" t="n">
        <f aca="false">IF(AND(AssignmentTable[[#This Row],[_TaskPos]]&gt;0,AssignmentTable[[#This Row],[Resource]]&lt;&gt;"",AssignmentTable[[#This Row],[Check]]=""),1,0)</f>
        <v>1</v>
      </c>
      <c r="K8" s="32" t="n">
        <f aca="false">IF(AssignmentTable[[#This Row],[_Valid]]=1,AssignmentTable[[#This Row],[Task UID]]*1000+COUNTIFS(AssignmentTable[[#Headers],[Task UID]]:AssignmentTable[[#This Row],[Task UID]],AssignmentTable[[#This Row],[Task UID]],AssignmentTable[[#Headers],[_Valid]]:AssignmentTable[[#This Row],[_Valid]],1),"")</f>
        <v>21001</v>
      </c>
      <c r="L8" s="32" t="str">
        <f aca="false">IF(AssignmentTable[[#This Row],[_Valid]]=1,AssignmentTable[[#This Row],[Resource]]&amp;IF(OR(AssignmentTable[[#This Row],[Units]]="",AssignmentTable[[#This Row],[Units]]=1),"","["&amp;ROUND(AssignmentTable[[#This Row],[Units]]*100,0)&amp;"%]"),"")</f>
        <v>Sam Rivera[50%]</v>
      </c>
      <c r="M8" s="32" t="n">
        <f aca="false">IF(AssignmentTable[[#This Row],[_Valid]]=1,N(INDEX(tsk_StartWD,AssignmentTable[[#This Row],[_TaskPos]])),0)</f>
        <v>47</v>
      </c>
      <c r="N8" s="32" t="n">
        <f aca="false">IF(AssignmentTable[[#This Row],[_Valid]]=1,N(INDEX(tsk_FinishWD,AssignmentTable[[#This Row],[_TaskPos]])),0)</f>
        <v>54</v>
      </c>
      <c r="O8" s="32" t="n">
        <f aca="false">IF(OR(AssignmentTable[[#This Row],[Work]]=0,AssignmentTable[[#This Row],[_FinishWD]]=0),0,AssignmentTable[[#This Row],[Work]]/(AssignmentTable[[#This Row],[_FinishWD]]-AssignmentTable[[#This Row],[_StartWD]]+1))</f>
        <v>4</v>
      </c>
      <c r="P8" s="32" t="n">
        <f aca="false">AssignmentTable[[#This Row],[_WorkPerWD]]*MAX(0,AssignmentTable[[#This Row],[_StartWD]]-1)</f>
        <v>184</v>
      </c>
      <c r="Q8" s="32" t="n">
        <f aca="false">IF(AssignmentTable[[#This Row],[_Valid]]=1,AssignmentTable[[#This Row],[Work]]*N(INDEX(tsk_LeafProgress,AssignmentTable[[#This Row],[_TaskPos]])),0)</f>
        <v>0</v>
      </c>
      <c r="R8" s="32" t="n">
        <f aca="false">IF(NOT(AssignmentTable[[#This Row],[_Valid]]=1),0,IF(N(INDEX(tsk_LeafTotalCost,AssignmentTable[[#This Row],[_TaskPos]]))=0,0,N(INDEX(tsk_LeafAC,AssignmentTable[[#This Row],[_TaskPos]]))*AssignmentTable[[#This Row],[Cost]]/INDEX(tsk_LeafTotalCost,AssignmentTable[[#This Row],[_TaskPos]])))</f>
        <v>0</v>
      </c>
      <c r="S8" s="32" t="n">
        <f aca="false">IF(NOT(AssignmentTable[[#This Row],[_Valid]]=1),0,IF(N(INDEX(tsk_LateKey,AssignmentTable[[#This Row],[_TaskPos]]))&gt;0,1,0))</f>
        <v>1</v>
      </c>
      <c r="T8" s="32" t="n">
        <f aca="false">IF(NOT(AssignmentTable[[#This Row],[_Valid]]=1),0,IF(INDEX(tsk_Critical,AssignmentTable[[#This Row],[_TaskPos]])="Yes",1,0))</f>
        <v>0</v>
      </c>
      <c r="U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 customFormat="false" ht="15" hidden="false" customHeight="false" outlineLevel="0" collapsed="false">
      <c r="B9" s="46" t="n">
        <v>22</v>
      </c>
      <c r="C9" s="24" t="str">
        <f aca="false">IF(AssignmentTable[[#This Row],[_TaskPos]]&lt;=0,"",INDEX(tsk_Name,AssignmentTable[[#This Row],[_TaskPos]])&amp;"")</f>
        <v>User acceptance testing</v>
      </c>
      <c r="D9" s="47" t="s">
        <v>676</v>
      </c>
      <c r="E9" s="93"/>
      <c r="F9" s="110" t="n">
        <f aca="false">IF(AssignmentTable[[#This Row],[_Valid]]=1,N(INDEX(tsk_Duration,AssignmentTable[[#This Row],[_TaskPos]]))*HoursPerDay*IF(AssignmentTable[[#This Row],[Units]]="",DefaultUnits,AssignmentTable[[#This Row],[Units]]),0)</f>
        <v>48</v>
      </c>
      <c r="G9" s="111" t="n">
        <f aca="false">IF(AssignmentTable[[#This Row],[Work]]=0,0,AssignmentTable[[#This Row],[Work]]*IFERROR(INDEX(res_Rate,MATCH(AssignmentTable[[#This Row],[Resource]],res_Name,0)),0))</f>
        <v>3120</v>
      </c>
      <c r="H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 s="32" t="n">
        <f aca="false">IF(N(AssignmentTable[[#This Row],[Task UID]])=0,0,IFERROR(MATCH(AssignmentTable[[#This Row],[Task UID]],tsk_UID,0),-1))</f>
        <v>22</v>
      </c>
      <c r="J9" s="32" t="n">
        <f aca="false">IF(AND(AssignmentTable[[#This Row],[_TaskPos]]&gt;0,AssignmentTable[[#This Row],[Resource]]&lt;&gt;"",AssignmentTable[[#This Row],[Check]]=""),1,0)</f>
        <v>1</v>
      </c>
      <c r="K9" s="32" t="n">
        <f aca="false">IF(AssignmentTable[[#This Row],[_Valid]]=1,AssignmentTable[[#This Row],[Task UID]]*1000+COUNTIFS(AssignmentTable[[#Headers],[Task UID]]:AssignmentTable[[#This Row],[Task UID]],AssignmentTable[[#This Row],[Task UID]],AssignmentTable[[#Headers],[_Valid]]:AssignmentTable[[#This Row],[_Valid]],1),"")</f>
        <v>22001</v>
      </c>
      <c r="L9" s="32" t="str">
        <f aca="false">IF(AssignmentTable[[#This Row],[_Valid]]=1,AssignmentTable[[#This Row],[Resource]]&amp;IF(OR(AssignmentTable[[#This Row],[Units]]="",AssignmentTable[[#This Row],[Units]]=1),"","["&amp;ROUND(AssignmentTable[[#This Row],[Units]]*100,0)&amp;"%]"),"")</f>
        <v>Taylor Morgan</v>
      </c>
      <c r="M9" s="32" t="n">
        <f aca="false">IF(AssignmentTable[[#This Row],[_Valid]]=1,N(INDEX(tsk_StartWD,AssignmentTable[[#This Row],[_TaskPos]])),0)</f>
        <v>66</v>
      </c>
      <c r="N9" s="32" t="n">
        <f aca="false">IF(AssignmentTable[[#This Row],[_Valid]]=1,N(INDEX(tsk_FinishWD,AssignmentTable[[#This Row],[_TaskPos]])),0)</f>
        <v>71</v>
      </c>
      <c r="O9" s="32" t="n">
        <f aca="false">IF(OR(AssignmentTable[[#This Row],[Work]]=0,AssignmentTable[[#This Row],[_FinishWD]]=0),0,AssignmentTable[[#This Row],[Work]]/(AssignmentTable[[#This Row],[_FinishWD]]-AssignmentTable[[#This Row],[_StartWD]]+1))</f>
        <v>8</v>
      </c>
      <c r="P9" s="32" t="n">
        <f aca="false">AssignmentTable[[#This Row],[_WorkPerWD]]*MAX(0,AssignmentTable[[#This Row],[_StartWD]]-1)</f>
        <v>520</v>
      </c>
      <c r="Q9" s="32" t="n">
        <f aca="false">IF(AssignmentTable[[#This Row],[_Valid]]=1,AssignmentTable[[#This Row],[Work]]*N(INDEX(tsk_LeafProgress,AssignmentTable[[#This Row],[_TaskPos]])),0)</f>
        <v>0</v>
      </c>
      <c r="R9" s="32" t="n">
        <f aca="false">IF(NOT(AssignmentTable[[#This Row],[_Valid]]=1),0,IF(N(INDEX(tsk_LeafTotalCost,AssignmentTable[[#This Row],[_TaskPos]]))=0,0,N(INDEX(tsk_LeafAC,AssignmentTable[[#This Row],[_TaskPos]]))*AssignmentTable[[#This Row],[Cost]]/INDEX(tsk_LeafTotalCost,AssignmentTable[[#This Row],[_TaskPos]])))</f>
        <v>0</v>
      </c>
      <c r="S9" s="32" t="n">
        <f aca="false">IF(NOT(AssignmentTable[[#This Row],[_Valid]]=1),0,IF(N(INDEX(tsk_LateKey,AssignmentTable[[#This Row],[_TaskPos]]))&gt;0,1,0))</f>
        <v>0</v>
      </c>
      <c r="T9" s="32" t="n">
        <f aca="false">IF(NOT(AssignmentTable[[#This Row],[_Valid]]=1),0,IF(INDEX(tsk_Critical,AssignmentTable[[#This Row],[_TaskPos]])="Yes",1,0))</f>
        <v>1</v>
      </c>
      <c r="U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 customFormat="false" ht="15" hidden="false" customHeight="false" outlineLevel="0" collapsed="false">
      <c r="B10" s="46"/>
      <c r="C10" s="24" t="str">
        <f aca="false">IF(AssignmentTable[[#This Row],[_TaskPos]]&lt;=0,"",INDEX(tsk_Name,AssignmentTable[[#This Row],[_TaskPos]])&amp;"")</f>
        <v/>
      </c>
      <c r="D10" s="47"/>
      <c r="E10" s="93"/>
      <c r="F10" s="110" t="n">
        <f aca="false">IF(AssignmentTable[[#This Row],[_Valid]]=1,N(INDEX(tsk_Duration,AssignmentTable[[#This Row],[_TaskPos]]))*HoursPerDay*IF(AssignmentTable[[#This Row],[Units]]="",DefaultUnits,AssignmentTable[[#This Row],[Units]]),0)</f>
        <v>0</v>
      </c>
      <c r="G10" s="111" t="n">
        <f aca="false">IF(AssignmentTable[[#This Row],[Work]]=0,0,AssignmentTable[[#This Row],[Work]]*IFERROR(INDEX(res_Rate,MATCH(AssignmentTable[[#This Row],[Resource]],res_Name,0)),0))</f>
        <v>0</v>
      </c>
      <c r="H1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 s="32" t="n">
        <f aca="false">IF(N(AssignmentTable[[#This Row],[Task UID]])=0,0,IFERROR(MATCH(AssignmentTable[[#This Row],[Task UID]],tsk_UID,0),-1))</f>
        <v>0</v>
      </c>
      <c r="J10" s="32" t="n">
        <f aca="false">IF(AND(AssignmentTable[[#This Row],[_TaskPos]]&gt;0,AssignmentTable[[#This Row],[Resource]]&lt;&gt;"",AssignmentTable[[#This Row],[Check]]=""),1,0)</f>
        <v>0</v>
      </c>
      <c r="K10" s="32" t="str">
        <f aca="false">IF(AssignmentTable[[#This Row],[_Valid]]=1,AssignmentTable[[#This Row],[Task UID]]*1000+COUNTIFS(AssignmentTable[[#Headers],[Task UID]]:AssignmentTable[[#This Row],[Task UID]],AssignmentTable[[#This Row],[Task UID]],AssignmentTable[[#Headers],[_Valid]]:AssignmentTable[[#This Row],[_Valid]],1),"")</f>
        <v/>
      </c>
      <c r="L10" s="32" t="str">
        <f aca="false">IF(AssignmentTable[[#This Row],[_Valid]]=1,AssignmentTable[[#This Row],[Resource]]&amp;IF(OR(AssignmentTable[[#This Row],[Units]]="",AssignmentTable[[#This Row],[Units]]=1),"","["&amp;ROUND(AssignmentTable[[#This Row],[Units]]*100,0)&amp;"%]"),"")</f>
        <v/>
      </c>
      <c r="M10" s="32" t="n">
        <f aca="false">IF(AssignmentTable[[#This Row],[_Valid]]=1,N(INDEX(tsk_StartWD,AssignmentTable[[#This Row],[_TaskPos]])),0)</f>
        <v>0</v>
      </c>
      <c r="N10" s="32" t="n">
        <f aca="false">IF(AssignmentTable[[#This Row],[_Valid]]=1,N(INDEX(tsk_FinishWD,AssignmentTable[[#This Row],[_TaskPos]])),0)</f>
        <v>0</v>
      </c>
      <c r="O10" s="32" t="n">
        <f aca="false">IF(OR(AssignmentTable[[#This Row],[Work]]=0,AssignmentTable[[#This Row],[_FinishWD]]=0),0,AssignmentTable[[#This Row],[Work]]/(AssignmentTable[[#This Row],[_FinishWD]]-AssignmentTable[[#This Row],[_StartWD]]+1))</f>
        <v>0</v>
      </c>
      <c r="P10" s="32" t="n">
        <f aca="false">AssignmentTable[[#This Row],[_WorkPerWD]]*MAX(0,AssignmentTable[[#This Row],[_StartWD]]-1)</f>
        <v>0</v>
      </c>
      <c r="Q10" s="32" t="n">
        <f aca="false">IF(AssignmentTable[[#This Row],[_Valid]]=1,AssignmentTable[[#This Row],[Work]]*N(INDEX(tsk_LeafProgress,AssignmentTable[[#This Row],[_TaskPos]])),0)</f>
        <v>0</v>
      </c>
      <c r="R10" s="32" t="n">
        <f aca="false">IF(NOT(AssignmentTable[[#This Row],[_Valid]]=1),0,IF(N(INDEX(tsk_LeafTotalCost,AssignmentTable[[#This Row],[_TaskPos]]))=0,0,N(INDEX(tsk_LeafAC,AssignmentTable[[#This Row],[_TaskPos]]))*AssignmentTable[[#This Row],[Cost]]/INDEX(tsk_LeafTotalCost,AssignmentTable[[#This Row],[_TaskPos]])))</f>
        <v>0</v>
      </c>
      <c r="S10" s="32" t="n">
        <f aca="false">IF(NOT(AssignmentTable[[#This Row],[_Valid]]=1),0,IF(N(INDEX(tsk_LateKey,AssignmentTable[[#This Row],[_TaskPos]]))&gt;0,1,0))</f>
        <v>0</v>
      </c>
      <c r="T10" s="32" t="n">
        <f aca="false">IF(NOT(AssignmentTable[[#This Row],[_Valid]]=1),0,IF(INDEX(tsk_Critical,AssignmentTable[[#This Row],[_TaskPos]])="Yes",1,0))</f>
        <v>0</v>
      </c>
      <c r="U1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1" customFormat="false" ht="15" hidden="false" customHeight="false" outlineLevel="0" collapsed="false">
      <c r="B11" s="46"/>
      <c r="C11" s="24" t="str">
        <f aca="false">IF(AssignmentTable[[#This Row],[_TaskPos]]&lt;=0,"",INDEX(tsk_Name,AssignmentTable[[#This Row],[_TaskPos]])&amp;"")</f>
        <v/>
      </c>
      <c r="D11" s="47"/>
      <c r="E11" s="93"/>
      <c r="F11" s="110" t="n">
        <f aca="false">IF(AssignmentTable[[#This Row],[_Valid]]=1,N(INDEX(tsk_Duration,AssignmentTable[[#This Row],[_TaskPos]]))*HoursPerDay*IF(AssignmentTable[[#This Row],[Units]]="",DefaultUnits,AssignmentTable[[#This Row],[Units]]),0)</f>
        <v>0</v>
      </c>
      <c r="G11" s="111" t="n">
        <f aca="false">IF(AssignmentTable[[#This Row],[Work]]=0,0,AssignmentTable[[#This Row],[Work]]*IFERROR(INDEX(res_Rate,MATCH(AssignmentTable[[#This Row],[Resource]],res_Name,0)),0))</f>
        <v>0</v>
      </c>
      <c r="H1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1" s="32" t="n">
        <f aca="false">IF(N(AssignmentTable[[#This Row],[Task UID]])=0,0,IFERROR(MATCH(AssignmentTable[[#This Row],[Task UID]],tsk_UID,0),-1))</f>
        <v>0</v>
      </c>
      <c r="J11" s="32" t="n">
        <f aca="false">IF(AND(AssignmentTable[[#This Row],[_TaskPos]]&gt;0,AssignmentTable[[#This Row],[Resource]]&lt;&gt;"",AssignmentTable[[#This Row],[Check]]=""),1,0)</f>
        <v>0</v>
      </c>
      <c r="K11" s="32" t="str">
        <f aca="false">IF(AssignmentTable[[#This Row],[_Valid]]=1,AssignmentTable[[#This Row],[Task UID]]*1000+COUNTIFS(AssignmentTable[[#Headers],[Task UID]]:AssignmentTable[[#This Row],[Task UID]],AssignmentTable[[#This Row],[Task UID]],AssignmentTable[[#Headers],[_Valid]]:AssignmentTable[[#This Row],[_Valid]],1),"")</f>
        <v/>
      </c>
      <c r="L11" s="32" t="str">
        <f aca="false">IF(AssignmentTable[[#This Row],[_Valid]]=1,AssignmentTable[[#This Row],[Resource]]&amp;IF(OR(AssignmentTable[[#This Row],[Units]]="",AssignmentTable[[#This Row],[Units]]=1),"","["&amp;ROUND(AssignmentTable[[#This Row],[Units]]*100,0)&amp;"%]"),"")</f>
        <v/>
      </c>
      <c r="M11" s="32" t="n">
        <f aca="false">IF(AssignmentTable[[#This Row],[_Valid]]=1,N(INDEX(tsk_StartWD,AssignmentTable[[#This Row],[_TaskPos]])),0)</f>
        <v>0</v>
      </c>
      <c r="N11" s="32" t="n">
        <f aca="false">IF(AssignmentTable[[#This Row],[_Valid]]=1,N(INDEX(tsk_FinishWD,AssignmentTable[[#This Row],[_TaskPos]])),0)</f>
        <v>0</v>
      </c>
      <c r="O11" s="32" t="n">
        <f aca="false">IF(OR(AssignmentTable[[#This Row],[Work]]=0,AssignmentTable[[#This Row],[_FinishWD]]=0),0,AssignmentTable[[#This Row],[Work]]/(AssignmentTable[[#This Row],[_FinishWD]]-AssignmentTable[[#This Row],[_StartWD]]+1))</f>
        <v>0</v>
      </c>
      <c r="P11" s="32" t="n">
        <f aca="false">AssignmentTable[[#This Row],[_WorkPerWD]]*MAX(0,AssignmentTable[[#This Row],[_StartWD]]-1)</f>
        <v>0</v>
      </c>
      <c r="Q11" s="32" t="n">
        <f aca="false">IF(AssignmentTable[[#This Row],[_Valid]]=1,AssignmentTable[[#This Row],[Work]]*N(INDEX(tsk_LeafProgress,AssignmentTable[[#This Row],[_TaskPos]])),0)</f>
        <v>0</v>
      </c>
      <c r="R11" s="32" t="n">
        <f aca="false">IF(NOT(AssignmentTable[[#This Row],[_Valid]]=1),0,IF(N(INDEX(tsk_LeafTotalCost,AssignmentTable[[#This Row],[_TaskPos]]))=0,0,N(INDEX(tsk_LeafAC,AssignmentTable[[#This Row],[_TaskPos]]))*AssignmentTable[[#This Row],[Cost]]/INDEX(tsk_LeafTotalCost,AssignmentTable[[#This Row],[_TaskPos]])))</f>
        <v>0</v>
      </c>
      <c r="S11" s="32" t="n">
        <f aca="false">IF(NOT(AssignmentTable[[#This Row],[_Valid]]=1),0,IF(N(INDEX(tsk_LateKey,AssignmentTable[[#This Row],[_TaskPos]]))&gt;0,1,0))</f>
        <v>0</v>
      </c>
      <c r="T11" s="32" t="n">
        <f aca="false">IF(NOT(AssignmentTable[[#This Row],[_Valid]]=1),0,IF(INDEX(tsk_Critical,AssignmentTable[[#This Row],[_TaskPos]])="Yes",1,0))</f>
        <v>0</v>
      </c>
      <c r="U1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2" customFormat="false" ht="15" hidden="false" customHeight="false" outlineLevel="0" collapsed="false">
      <c r="B12" s="46"/>
      <c r="C12" s="24" t="str">
        <f aca="false">IF(AssignmentTable[[#This Row],[_TaskPos]]&lt;=0,"",INDEX(tsk_Name,AssignmentTable[[#This Row],[_TaskPos]])&amp;"")</f>
        <v/>
      </c>
      <c r="D12" s="47"/>
      <c r="E12" s="93"/>
      <c r="F12" s="110" t="n">
        <f aca="false">IF(AssignmentTable[[#This Row],[_Valid]]=1,N(INDEX(tsk_Duration,AssignmentTable[[#This Row],[_TaskPos]]))*HoursPerDay*IF(AssignmentTable[[#This Row],[Units]]="",DefaultUnits,AssignmentTable[[#This Row],[Units]]),0)</f>
        <v>0</v>
      </c>
      <c r="G12" s="111" t="n">
        <f aca="false">IF(AssignmentTable[[#This Row],[Work]]=0,0,AssignmentTable[[#This Row],[Work]]*IFERROR(INDEX(res_Rate,MATCH(AssignmentTable[[#This Row],[Resource]],res_Name,0)),0))</f>
        <v>0</v>
      </c>
      <c r="H1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2" s="32" t="n">
        <f aca="false">IF(N(AssignmentTable[[#This Row],[Task UID]])=0,0,IFERROR(MATCH(AssignmentTable[[#This Row],[Task UID]],tsk_UID,0),-1))</f>
        <v>0</v>
      </c>
      <c r="J12" s="32" t="n">
        <f aca="false">IF(AND(AssignmentTable[[#This Row],[_TaskPos]]&gt;0,AssignmentTable[[#This Row],[Resource]]&lt;&gt;"",AssignmentTable[[#This Row],[Check]]=""),1,0)</f>
        <v>0</v>
      </c>
      <c r="K12" s="32" t="str">
        <f aca="false">IF(AssignmentTable[[#This Row],[_Valid]]=1,AssignmentTable[[#This Row],[Task UID]]*1000+COUNTIFS(AssignmentTable[[#Headers],[Task UID]]:AssignmentTable[[#This Row],[Task UID]],AssignmentTable[[#This Row],[Task UID]],AssignmentTable[[#Headers],[_Valid]]:AssignmentTable[[#This Row],[_Valid]],1),"")</f>
        <v/>
      </c>
      <c r="L12" s="32" t="str">
        <f aca="false">IF(AssignmentTable[[#This Row],[_Valid]]=1,AssignmentTable[[#This Row],[Resource]]&amp;IF(OR(AssignmentTable[[#This Row],[Units]]="",AssignmentTable[[#This Row],[Units]]=1),"","["&amp;ROUND(AssignmentTable[[#This Row],[Units]]*100,0)&amp;"%]"),"")</f>
        <v/>
      </c>
      <c r="M12" s="32" t="n">
        <f aca="false">IF(AssignmentTable[[#This Row],[_Valid]]=1,N(INDEX(tsk_StartWD,AssignmentTable[[#This Row],[_TaskPos]])),0)</f>
        <v>0</v>
      </c>
      <c r="N12" s="32" t="n">
        <f aca="false">IF(AssignmentTable[[#This Row],[_Valid]]=1,N(INDEX(tsk_FinishWD,AssignmentTable[[#This Row],[_TaskPos]])),0)</f>
        <v>0</v>
      </c>
      <c r="O12" s="32" t="n">
        <f aca="false">IF(OR(AssignmentTable[[#This Row],[Work]]=0,AssignmentTable[[#This Row],[_FinishWD]]=0),0,AssignmentTable[[#This Row],[Work]]/(AssignmentTable[[#This Row],[_FinishWD]]-AssignmentTable[[#This Row],[_StartWD]]+1))</f>
        <v>0</v>
      </c>
      <c r="P12" s="32" t="n">
        <f aca="false">AssignmentTable[[#This Row],[_WorkPerWD]]*MAX(0,AssignmentTable[[#This Row],[_StartWD]]-1)</f>
        <v>0</v>
      </c>
      <c r="Q12" s="32" t="n">
        <f aca="false">IF(AssignmentTable[[#This Row],[_Valid]]=1,AssignmentTable[[#This Row],[Work]]*N(INDEX(tsk_LeafProgress,AssignmentTable[[#This Row],[_TaskPos]])),0)</f>
        <v>0</v>
      </c>
      <c r="R12" s="32" t="n">
        <f aca="false">IF(NOT(AssignmentTable[[#This Row],[_Valid]]=1),0,IF(N(INDEX(tsk_LeafTotalCost,AssignmentTable[[#This Row],[_TaskPos]]))=0,0,N(INDEX(tsk_LeafAC,AssignmentTable[[#This Row],[_TaskPos]]))*AssignmentTable[[#This Row],[Cost]]/INDEX(tsk_LeafTotalCost,AssignmentTable[[#This Row],[_TaskPos]])))</f>
        <v>0</v>
      </c>
      <c r="S12" s="32" t="n">
        <f aca="false">IF(NOT(AssignmentTable[[#This Row],[_Valid]]=1),0,IF(N(INDEX(tsk_LateKey,AssignmentTable[[#This Row],[_TaskPos]]))&gt;0,1,0))</f>
        <v>0</v>
      </c>
      <c r="T12" s="32" t="n">
        <f aca="false">IF(NOT(AssignmentTable[[#This Row],[_Valid]]=1),0,IF(INDEX(tsk_Critical,AssignmentTable[[#This Row],[_TaskPos]])="Yes",1,0))</f>
        <v>0</v>
      </c>
      <c r="U1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3" customFormat="false" ht="15" hidden="false" customHeight="false" outlineLevel="0" collapsed="false">
      <c r="B13" s="46"/>
      <c r="C13" s="24" t="str">
        <f aca="false">IF(AssignmentTable[[#This Row],[_TaskPos]]&lt;=0,"",INDEX(tsk_Name,AssignmentTable[[#This Row],[_TaskPos]])&amp;"")</f>
        <v/>
      </c>
      <c r="D13" s="47"/>
      <c r="E13" s="93"/>
      <c r="F13" s="110" t="n">
        <f aca="false">IF(AssignmentTable[[#This Row],[_Valid]]=1,N(INDEX(tsk_Duration,AssignmentTable[[#This Row],[_TaskPos]]))*HoursPerDay*IF(AssignmentTable[[#This Row],[Units]]="",DefaultUnits,AssignmentTable[[#This Row],[Units]]),0)</f>
        <v>0</v>
      </c>
      <c r="G13" s="111" t="n">
        <f aca="false">IF(AssignmentTable[[#This Row],[Work]]=0,0,AssignmentTable[[#This Row],[Work]]*IFERROR(INDEX(res_Rate,MATCH(AssignmentTable[[#This Row],[Resource]],res_Name,0)),0))</f>
        <v>0</v>
      </c>
      <c r="H1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3" s="32" t="n">
        <f aca="false">IF(N(AssignmentTable[[#This Row],[Task UID]])=0,0,IFERROR(MATCH(AssignmentTable[[#This Row],[Task UID]],tsk_UID,0),-1))</f>
        <v>0</v>
      </c>
      <c r="J13" s="32" t="n">
        <f aca="false">IF(AND(AssignmentTable[[#This Row],[_TaskPos]]&gt;0,AssignmentTable[[#This Row],[Resource]]&lt;&gt;"",AssignmentTable[[#This Row],[Check]]=""),1,0)</f>
        <v>0</v>
      </c>
      <c r="K13" s="32" t="str">
        <f aca="false">IF(AssignmentTable[[#This Row],[_Valid]]=1,AssignmentTable[[#This Row],[Task UID]]*1000+COUNTIFS(AssignmentTable[[#Headers],[Task UID]]:AssignmentTable[[#This Row],[Task UID]],AssignmentTable[[#This Row],[Task UID]],AssignmentTable[[#Headers],[_Valid]]:AssignmentTable[[#This Row],[_Valid]],1),"")</f>
        <v/>
      </c>
      <c r="L13" s="32" t="str">
        <f aca="false">IF(AssignmentTable[[#This Row],[_Valid]]=1,AssignmentTable[[#This Row],[Resource]]&amp;IF(OR(AssignmentTable[[#This Row],[Units]]="",AssignmentTable[[#This Row],[Units]]=1),"","["&amp;ROUND(AssignmentTable[[#This Row],[Units]]*100,0)&amp;"%]"),"")</f>
        <v/>
      </c>
      <c r="M13" s="32" t="n">
        <f aca="false">IF(AssignmentTable[[#This Row],[_Valid]]=1,N(INDEX(tsk_StartWD,AssignmentTable[[#This Row],[_TaskPos]])),0)</f>
        <v>0</v>
      </c>
      <c r="N13" s="32" t="n">
        <f aca="false">IF(AssignmentTable[[#This Row],[_Valid]]=1,N(INDEX(tsk_FinishWD,AssignmentTable[[#This Row],[_TaskPos]])),0)</f>
        <v>0</v>
      </c>
      <c r="O13" s="32" t="n">
        <f aca="false">IF(OR(AssignmentTable[[#This Row],[Work]]=0,AssignmentTable[[#This Row],[_FinishWD]]=0),0,AssignmentTable[[#This Row],[Work]]/(AssignmentTable[[#This Row],[_FinishWD]]-AssignmentTable[[#This Row],[_StartWD]]+1))</f>
        <v>0</v>
      </c>
      <c r="P13" s="32" t="n">
        <f aca="false">AssignmentTable[[#This Row],[_WorkPerWD]]*MAX(0,AssignmentTable[[#This Row],[_StartWD]]-1)</f>
        <v>0</v>
      </c>
      <c r="Q13" s="32" t="n">
        <f aca="false">IF(AssignmentTable[[#This Row],[_Valid]]=1,AssignmentTable[[#This Row],[Work]]*N(INDEX(tsk_LeafProgress,AssignmentTable[[#This Row],[_TaskPos]])),0)</f>
        <v>0</v>
      </c>
      <c r="R13" s="32" t="n">
        <f aca="false">IF(NOT(AssignmentTable[[#This Row],[_Valid]]=1),0,IF(N(INDEX(tsk_LeafTotalCost,AssignmentTable[[#This Row],[_TaskPos]]))=0,0,N(INDEX(tsk_LeafAC,AssignmentTable[[#This Row],[_TaskPos]]))*AssignmentTable[[#This Row],[Cost]]/INDEX(tsk_LeafTotalCost,AssignmentTable[[#This Row],[_TaskPos]])))</f>
        <v>0</v>
      </c>
      <c r="S13" s="32" t="n">
        <f aca="false">IF(NOT(AssignmentTable[[#This Row],[_Valid]]=1),0,IF(N(INDEX(tsk_LateKey,AssignmentTable[[#This Row],[_TaskPos]]))&gt;0,1,0))</f>
        <v>0</v>
      </c>
      <c r="T13" s="32" t="n">
        <f aca="false">IF(NOT(AssignmentTable[[#This Row],[_Valid]]=1),0,IF(INDEX(tsk_Critical,AssignmentTable[[#This Row],[_TaskPos]])="Yes",1,0))</f>
        <v>0</v>
      </c>
      <c r="U1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4" customFormat="false" ht="15" hidden="false" customHeight="false" outlineLevel="0" collapsed="false">
      <c r="B14" s="46"/>
      <c r="C14" s="24" t="str">
        <f aca="false">IF(AssignmentTable[[#This Row],[_TaskPos]]&lt;=0,"",INDEX(tsk_Name,AssignmentTable[[#This Row],[_TaskPos]])&amp;"")</f>
        <v/>
      </c>
      <c r="D14" s="47"/>
      <c r="E14" s="93"/>
      <c r="F14" s="110" t="n">
        <f aca="false">IF(AssignmentTable[[#This Row],[_Valid]]=1,N(INDEX(tsk_Duration,AssignmentTable[[#This Row],[_TaskPos]]))*HoursPerDay*IF(AssignmentTable[[#This Row],[Units]]="",DefaultUnits,AssignmentTable[[#This Row],[Units]]),0)</f>
        <v>0</v>
      </c>
      <c r="G14" s="111" t="n">
        <f aca="false">IF(AssignmentTable[[#This Row],[Work]]=0,0,AssignmentTable[[#This Row],[Work]]*IFERROR(INDEX(res_Rate,MATCH(AssignmentTable[[#This Row],[Resource]],res_Name,0)),0))</f>
        <v>0</v>
      </c>
      <c r="H1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4" s="32" t="n">
        <f aca="false">IF(N(AssignmentTable[[#This Row],[Task UID]])=0,0,IFERROR(MATCH(AssignmentTable[[#This Row],[Task UID]],tsk_UID,0),-1))</f>
        <v>0</v>
      </c>
      <c r="J14" s="32" t="n">
        <f aca="false">IF(AND(AssignmentTable[[#This Row],[_TaskPos]]&gt;0,AssignmentTable[[#This Row],[Resource]]&lt;&gt;"",AssignmentTable[[#This Row],[Check]]=""),1,0)</f>
        <v>0</v>
      </c>
      <c r="K14" s="32" t="str">
        <f aca="false">IF(AssignmentTable[[#This Row],[_Valid]]=1,AssignmentTable[[#This Row],[Task UID]]*1000+COUNTIFS(AssignmentTable[[#Headers],[Task UID]]:AssignmentTable[[#This Row],[Task UID]],AssignmentTable[[#This Row],[Task UID]],AssignmentTable[[#Headers],[_Valid]]:AssignmentTable[[#This Row],[_Valid]],1),"")</f>
        <v/>
      </c>
      <c r="L14" s="32" t="str">
        <f aca="false">IF(AssignmentTable[[#This Row],[_Valid]]=1,AssignmentTable[[#This Row],[Resource]]&amp;IF(OR(AssignmentTable[[#This Row],[Units]]="",AssignmentTable[[#This Row],[Units]]=1),"","["&amp;ROUND(AssignmentTable[[#This Row],[Units]]*100,0)&amp;"%]"),"")</f>
        <v/>
      </c>
      <c r="M14" s="32" t="n">
        <f aca="false">IF(AssignmentTable[[#This Row],[_Valid]]=1,N(INDEX(tsk_StartWD,AssignmentTable[[#This Row],[_TaskPos]])),0)</f>
        <v>0</v>
      </c>
      <c r="N14" s="32" t="n">
        <f aca="false">IF(AssignmentTable[[#This Row],[_Valid]]=1,N(INDEX(tsk_FinishWD,AssignmentTable[[#This Row],[_TaskPos]])),0)</f>
        <v>0</v>
      </c>
      <c r="O14" s="32" t="n">
        <f aca="false">IF(OR(AssignmentTable[[#This Row],[Work]]=0,AssignmentTable[[#This Row],[_FinishWD]]=0),0,AssignmentTable[[#This Row],[Work]]/(AssignmentTable[[#This Row],[_FinishWD]]-AssignmentTable[[#This Row],[_StartWD]]+1))</f>
        <v>0</v>
      </c>
      <c r="P14" s="32" t="n">
        <f aca="false">AssignmentTable[[#This Row],[_WorkPerWD]]*MAX(0,AssignmentTable[[#This Row],[_StartWD]]-1)</f>
        <v>0</v>
      </c>
      <c r="Q14" s="32" t="n">
        <f aca="false">IF(AssignmentTable[[#This Row],[_Valid]]=1,AssignmentTable[[#This Row],[Work]]*N(INDEX(tsk_LeafProgress,AssignmentTable[[#This Row],[_TaskPos]])),0)</f>
        <v>0</v>
      </c>
      <c r="R14" s="32" t="n">
        <f aca="false">IF(NOT(AssignmentTable[[#This Row],[_Valid]]=1),0,IF(N(INDEX(tsk_LeafTotalCost,AssignmentTable[[#This Row],[_TaskPos]]))=0,0,N(INDEX(tsk_LeafAC,AssignmentTable[[#This Row],[_TaskPos]]))*AssignmentTable[[#This Row],[Cost]]/INDEX(tsk_LeafTotalCost,AssignmentTable[[#This Row],[_TaskPos]])))</f>
        <v>0</v>
      </c>
      <c r="S14" s="32" t="n">
        <f aca="false">IF(NOT(AssignmentTable[[#This Row],[_Valid]]=1),0,IF(N(INDEX(tsk_LateKey,AssignmentTable[[#This Row],[_TaskPos]]))&gt;0,1,0))</f>
        <v>0</v>
      </c>
      <c r="T14" s="32" t="n">
        <f aca="false">IF(NOT(AssignmentTable[[#This Row],[_Valid]]=1),0,IF(INDEX(tsk_Critical,AssignmentTable[[#This Row],[_TaskPos]])="Yes",1,0))</f>
        <v>0</v>
      </c>
      <c r="U1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5" customFormat="false" ht="15" hidden="false" customHeight="false" outlineLevel="0" collapsed="false">
      <c r="B15" s="46"/>
      <c r="C15" s="24" t="str">
        <f aca="false">IF(AssignmentTable[[#This Row],[_TaskPos]]&lt;=0,"",INDEX(tsk_Name,AssignmentTable[[#This Row],[_TaskPos]])&amp;"")</f>
        <v/>
      </c>
      <c r="D15" s="47"/>
      <c r="E15" s="93"/>
      <c r="F15" s="110" t="n">
        <f aca="false">IF(AssignmentTable[[#This Row],[_Valid]]=1,N(INDEX(tsk_Duration,AssignmentTable[[#This Row],[_TaskPos]]))*HoursPerDay*IF(AssignmentTable[[#This Row],[Units]]="",DefaultUnits,AssignmentTable[[#This Row],[Units]]),0)</f>
        <v>0</v>
      </c>
      <c r="G15" s="111" t="n">
        <f aca="false">IF(AssignmentTable[[#This Row],[Work]]=0,0,AssignmentTable[[#This Row],[Work]]*IFERROR(INDEX(res_Rate,MATCH(AssignmentTable[[#This Row],[Resource]],res_Name,0)),0))</f>
        <v>0</v>
      </c>
      <c r="H1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5" s="32" t="n">
        <f aca="false">IF(N(AssignmentTable[[#This Row],[Task UID]])=0,0,IFERROR(MATCH(AssignmentTable[[#This Row],[Task UID]],tsk_UID,0),-1))</f>
        <v>0</v>
      </c>
      <c r="J15" s="32" t="n">
        <f aca="false">IF(AND(AssignmentTable[[#This Row],[_TaskPos]]&gt;0,AssignmentTable[[#This Row],[Resource]]&lt;&gt;"",AssignmentTable[[#This Row],[Check]]=""),1,0)</f>
        <v>0</v>
      </c>
      <c r="K15" s="32" t="str">
        <f aca="false">IF(AssignmentTable[[#This Row],[_Valid]]=1,AssignmentTable[[#This Row],[Task UID]]*1000+COUNTIFS(AssignmentTable[[#Headers],[Task UID]]:AssignmentTable[[#This Row],[Task UID]],AssignmentTable[[#This Row],[Task UID]],AssignmentTable[[#Headers],[_Valid]]:AssignmentTable[[#This Row],[_Valid]],1),"")</f>
        <v/>
      </c>
      <c r="L15" s="32" t="str">
        <f aca="false">IF(AssignmentTable[[#This Row],[_Valid]]=1,AssignmentTable[[#This Row],[Resource]]&amp;IF(OR(AssignmentTable[[#This Row],[Units]]="",AssignmentTable[[#This Row],[Units]]=1),"","["&amp;ROUND(AssignmentTable[[#This Row],[Units]]*100,0)&amp;"%]"),"")</f>
        <v/>
      </c>
      <c r="M15" s="32" t="n">
        <f aca="false">IF(AssignmentTable[[#This Row],[_Valid]]=1,N(INDEX(tsk_StartWD,AssignmentTable[[#This Row],[_TaskPos]])),0)</f>
        <v>0</v>
      </c>
      <c r="N15" s="32" t="n">
        <f aca="false">IF(AssignmentTable[[#This Row],[_Valid]]=1,N(INDEX(tsk_FinishWD,AssignmentTable[[#This Row],[_TaskPos]])),0)</f>
        <v>0</v>
      </c>
      <c r="O15" s="32" t="n">
        <f aca="false">IF(OR(AssignmentTable[[#This Row],[Work]]=0,AssignmentTable[[#This Row],[_FinishWD]]=0),0,AssignmentTable[[#This Row],[Work]]/(AssignmentTable[[#This Row],[_FinishWD]]-AssignmentTable[[#This Row],[_StartWD]]+1))</f>
        <v>0</v>
      </c>
      <c r="P15" s="32" t="n">
        <f aca="false">AssignmentTable[[#This Row],[_WorkPerWD]]*MAX(0,AssignmentTable[[#This Row],[_StartWD]]-1)</f>
        <v>0</v>
      </c>
      <c r="Q15" s="32" t="n">
        <f aca="false">IF(AssignmentTable[[#This Row],[_Valid]]=1,AssignmentTable[[#This Row],[Work]]*N(INDEX(tsk_LeafProgress,AssignmentTable[[#This Row],[_TaskPos]])),0)</f>
        <v>0</v>
      </c>
      <c r="R15" s="32" t="n">
        <f aca="false">IF(NOT(AssignmentTable[[#This Row],[_Valid]]=1),0,IF(N(INDEX(tsk_LeafTotalCost,AssignmentTable[[#This Row],[_TaskPos]]))=0,0,N(INDEX(tsk_LeafAC,AssignmentTable[[#This Row],[_TaskPos]]))*AssignmentTable[[#This Row],[Cost]]/INDEX(tsk_LeafTotalCost,AssignmentTable[[#This Row],[_TaskPos]])))</f>
        <v>0</v>
      </c>
      <c r="S15" s="32" t="n">
        <f aca="false">IF(NOT(AssignmentTable[[#This Row],[_Valid]]=1),0,IF(N(INDEX(tsk_LateKey,AssignmentTable[[#This Row],[_TaskPos]]))&gt;0,1,0))</f>
        <v>0</v>
      </c>
      <c r="T15" s="32" t="n">
        <f aca="false">IF(NOT(AssignmentTable[[#This Row],[_Valid]]=1),0,IF(INDEX(tsk_Critical,AssignmentTable[[#This Row],[_TaskPos]])="Yes",1,0))</f>
        <v>0</v>
      </c>
      <c r="U1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6" customFormat="false" ht="15" hidden="false" customHeight="false" outlineLevel="0" collapsed="false">
      <c r="B16" s="46"/>
      <c r="C16" s="24" t="str">
        <f aca="false">IF(AssignmentTable[[#This Row],[_TaskPos]]&lt;=0,"",INDEX(tsk_Name,AssignmentTable[[#This Row],[_TaskPos]])&amp;"")</f>
        <v/>
      </c>
      <c r="D16" s="47"/>
      <c r="E16" s="93"/>
      <c r="F16" s="110" t="n">
        <f aca="false">IF(AssignmentTable[[#This Row],[_Valid]]=1,N(INDEX(tsk_Duration,AssignmentTable[[#This Row],[_TaskPos]]))*HoursPerDay*IF(AssignmentTable[[#This Row],[Units]]="",DefaultUnits,AssignmentTable[[#This Row],[Units]]),0)</f>
        <v>0</v>
      </c>
      <c r="G16" s="111" t="n">
        <f aca="false">IF(AssignmentTable[[#This Row],[Work]]=0,0,AssignmentTable[[#This Row],[Work]]*IFERROR(INDEX(res_Rate,MATCH(AssignmentTable[[#This Row],[Resource]],res_Name,0)),0))</f>
        <v>0</v>
      </c>
      <c r="H1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6" s="32" t="n">
        <f aca="false">IF(N(AssignmentTable[[#This Row],[Task UID]])=0,0,IFERROR(MATCH(AssignmentTable[[#This Row],[Task UID]],tsk_UID,0),-1))</f>
        <v>0</v>
      </c>
      <c r="J16" s="32" t="n">
        <f aca="false">IF(AND(AssignmentTable[[#This Row],[_TaskPos]]&gt;0,AssignmentTable[[#This Row],[Resource]]&lt;&gt;"",AssignmentTable[[#This Row],[Check]]=""),1,0)</f>
        <v>0</v>
      </c>
      <c r="K16" s="32" t="str">
        <f aca="false">IF(AssignmentTable[[#This Row],[_Valid]]=1,AssignmentTable[[#This Row],[Task UID]]*1000+COUNTIFS(AssignmentTable[[#Headers],[Task UID]]:AssignmentTable[[#This Row],[Task UID]],AssignmentTable[[#This Row],[Task UID]],AssignmentTable[[#Headers],[_Valid]]:AssignmentTable[[#This Row],[_Valid]],1),"")</f>
        <v/>
      </c>
      <c r="L16" s="32" t="str">
        <f aca="false">IF(AssignmentTable[[#This Row],[_Valid]]=1,AssignmentTable[[#This Row],[Resource]]&amp;IF(OR(AssignmentTable[[#This Row],[Units]]="",AssignmentTable[[#This Row],[Units]]=1),"","["&amp;ROUND(AssignmentTable[[#This Row],[Units]]*100,0)&amp;"%]"),"")</f>
        <v/>
      </c>
      <c r="M16" s="32" t="n">
        <f aca="false">IF(AssignmentTable[[#This Row],[_Valid]]=1,N(INDEX(tsk_StartWD,AssignmentTable[[#This Row],[_TaskPos]])),0)</f>
        <v>0</v>
      </c>
      <c r="N16" s="32" t="n">
        <f aca="false">IF(AssignmentTable[[#This Row],[_Valid]]=1,N(INDEX(tsk_FinishWD,AssignmentTable[[#This Row],[_TaskPos]])),0)</f>
        <v>0</v>
      </c>
      <c r="O16" s="32" t="n">
        <f aca="false">IF(OR(AssignmentTable[[#This Row],[Work]]=0,AssignmentTable[[#This Row],[_FinishWD]]=0),0,AssignmentTable[[#This Row],[Work]]/(AssignmentTable[[#This Row],[_FinishWD]]-AssignmentTable[[#This Row],[_StartWD]]+1))</f>
        <v>0</v>
      </c>
      <c r="P16" s="32" t="n">
        <f aca="false">AssignmentTable[[#This Row],[_WorkPerWD]]*MAX(0,AssignmentTable[[#This Row],[_StartWD]]-1)</f>
        <v>0</v>
      </c>
      <c r="Q16" s="32" t="n">
        <f aca="false">IF(AssignmentTable[[#This Row],[_Valid]]=1,AssignmentTable[[#This Row],[Work]]*N(INDEX(tsk_LeafProgress,AssignmentTable[[#This Row],[_TaskPos]])),0)</f>
        <v>0</v>
      </c>
      <c r="R16" s="32" t="n">
        <f aca="false">IF(NOT(AssignmentTable[[#This Row],[_Valid]]=1),0,IF(N(INDEX(tsk_LeafTotalCost,AssignmentTable[[#This Row],[_TaskPos]]))=0,0,N(INDEX(tsk_LeafAC,AssignmentTable[[#This Row],[_TaskPos]]))*AssignmentTable[[#This Row],[Cost]]/INDEX(tsk_LeafTotalCost,AssignmentTable[[#This Row],[_TaskPos]])))</f>
        <v>0</v>
      </c>
      <c r="S16" s="32" t="n">
        <f aca="false">IF(NOT(AssignmentTable[[#This Row],[_Valid]]=1),0,IF(N(INDEX(tsk_LateKey,AssignmentTable[[#This Row],[_TaskPos]]))&gt;0,1,0))</f>
        <v>0</v>
      </c>
      <c r="T16" s="32" t="n">
        <f aca="false">IF(NOT(AssignmentTable[[#This Row],[_Valid]]=1),0,IF(INDEX(tsk_Critical,AssignmentTable[[#This Row],[_TaskPos]])="Yes",1,0))</f>
        <v>0</v>
      </c>
      <c r="U1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7" customFormat="false" ht="15" hidden="false" customHeight="false" outlineLevel="0" collapsed="false">
      <c r="B17" s="46"/>
      <c r="C17" s="24" t="str">
        <f aca="false">IF(AssignmentTable[[#This Row],[_TaskPos]]&lt;=0,"",INDEX(tsk_Name,AssignmentTable[[#This Row],[_TaskPos]])&amp;"")</f>
        <v/>
      </c>
      <c r="D17" s="47"/>
      <c r="E17" s="93"/>
      <c r="F17" s="110" t="n">
        <f aca="false">IF(AssignmentTable[[#This Row],[_Valid]]=1,N(INDEX(tsk_Duration,AssignmentTable[[#This Row],[_TaskPos]]))*HoursPerDay*IF(AssignmentTable[[#This Row],[Units]]="",DefaultUnits,AssignmentTable[[#This Row],[Units]]),0)</f>
        <v>0</v>
      </c>
      <c r="G17" s="111" t="n">
        <f aca="false">IF(AssignmentTable[[#This Row],[Work]]=0,0,AssignmentTable[[#This Row],[Work]]*IFERROR(INDEX(res_Rate,MATCH(AssignmentTable[[#This Row],[Resource]],res_Name,0)),0))</f>
        <v>0</v>
      </c>
      <c r="H1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7" s="32" t="n">
        <f aca="false">IF(N(AssignmentTable[[#This Row],[Task UID]])=0,0,IFERROR(MATCH(AssignmentTable[[#This Row],[Task UID]],tsk_UID,0),-1))</f>
        <v>0</v>
      </c>
      <c r="J17" s="32" t="n">
        <f aca="false">IF(AND(AssignmentTable[[#This Row],[_TaskPos]]&gt;0,AssignmentTable[[#This Row],[Resource]]&lt;&gt;"",AssignmentTable[[#This Row],[Check]]=""),1,0)</f>
        <v>0</v>
      </c>
      <c r="K17" s="32" t="str">
        <f aca="false">IF(AssignmentTable[[#This Row],[_Valid]]=1,AssignmentTable[[#This Row],[Task UID]]*1000+COUNTIFS(AssignmentTable[[#Headers],[Task UID]]:AssignmentTable[[#This Row],[Task UID]],AssignmentTable[[#This Row],[Task UID]],AssignmentTable[[#Headers],[_Valid]]:AssignmentTable[[#This Row],[_Valid]],1),"")</f>
        <v/>
      </c>
      <c r="L17" s="32" t="str">
        <f aca="false">IF(AssignmentTable[[#This Row],[_Valid]]=1,AssignmentTable[[#This Row],[Resource]]&amp;IF(OR(AssignmentTable[[#This Row],[Units]]="",AssignmentTable[[#This Row],[Units]]=1),"","["&amp;ROUND(AssignmentTable[[#This Row],[Units]]*100,0)&amp;"%]"),"")</f>
        <v/>
      </c>
      <c r="M17" s="32" t="n">
        <f aca="false">IF(AssignmentTable[[#This Row],[_Valid]]=1,N(INDEX(tsk_StartWD,AssignmentTable[[#This Row],[_TaskPos]])),0)</f>
        <v>0</v>
      </c>
      <c r="N17" s="32" t="n">
        <f aca="false">IF(AssignmentTable[[#This Row],[_Valid]]=1,N(INDEX(tsk_FinishWD,AssignmentTable[[#This Row],[_TaskPos]])),0)</f>
        <v>0</v>
      </c>
      <c r="O17" s="32" t="n">
        <f aca="false">IF(OR(AssignmentTable[[#This Row],[Work]]=0,AssignmentTable[[#This Row],[_FinishWD]]=0),0,AssignmentTable[[#This Row],[Work]]/(AssignmentTable[[#This Row],[_FinishWD]]-AssignmentTable[[#This Row],[_StartWD]]+1))</f>
        <v>0</v>
      </c>
      <c r="P17" s="32" t="n">
        <f aca="false">AssignmentTable[[#This Row],[_WorkPerWD]]*MAX(0,AssignmentTable[[#This Row],[_StartWD]]-1)</f>
        <v>0</v>
      </c>
      <c r="Q17" s="32" t="n">
        <f aca="false">IF(AssignmentTable[[#This Row],[_Valid]]=1,AssignmentTable[[#This Row],[Work]]*N(INDEX(tsk_LeafProgress,AssignmentTable[[#This Row],[_TaskPos]])),0)</f>
        <v>0</v>
      </c>
      <c r="R17" s="32" t="n">
        <f aca="false">IF(NOT(AssignmentTable[[#This Row],[_Valid]]=1),0,IF(N(INDEX(tsk_LeafTotalCost,AssignmentTable[[#This Row],[_TaskPos]]))=0,0,N(INDEX(tsk_LeafAC,AssignmentTable[[#This Row],[_TaskPos]]))*AssignmentTable[[#This Row],[Cost]]/INDEX(tsk_LeafTotalCost,AssignmentTable[[#This Row],[_TaskPos]])))</f>
        <v>0</v>
      </c>
      <c r="S17" s="32" t="n">
        <f aca="false">IF(NOT(AssignmentTable[[#This Row],[_Valid]]=1),0,IF(N(INDEX(tsk_LateKey,AssignmentTable[[#This Row],[_TaskPos]]))&gt;0,1,0))</f>
        <v>0</v>
      </c>
      <c r="T17" s="32" t="n">
        <f aca="false">IF(NOT(AssignmentTable[[#This Row],[_Valid]]=1),0,IF(INDEX(tsk_Critical,AssignmentTable[[#This Row],[_TaskPos]])="Yes",1,0))</f>
        <v>0</v>
      </c>
      <c r="U1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8" customFormat="false" ht="15" hidden="false" customHeight="false" outlineLevel="0" collapsed="false">
      <c r="B18" s="46"/>
      <c r="C18" s="24" t="str">
        <f aca="false">IF(AssignmentTable[[#This Row],[_TaskPos]]&lt;=0,"",INDEX(tsk_Name,AssignmentTable[[#This Row],[_TaskPos]])&amp;"")</f>
        <v/>
      </c>
      <c r="D18" s="47"/>
      <c r="E18" s="93"/>
      <c r="F18" s="110" t="n">
        <f aca="false">IF(AssignmentTable[[#This Row],[_Valid]]=1,N(INDEX(tsk_Duration,AssignmentTable[[#This Row],[_TaskPos]]))*HoursPerDay*IF(AssignmentTable[[#This Row],[Units]]="",DefaultUnits,AssignmentTable[[#This Row],[Units]]),0)</f>
        <v>0</v>
      </c>
      <c r="G18" s="111" t="n">
        <f aca="false">IF(AssignmentTable[[#This Row],[Work]]=0,0,AssignmentTable[[#This Row],[Work]]*IFERROR(INDEX(res_Rate,MATCH(AssignmentTable[[#This Row],[Resource]],res_Name,0)),0))</f>
        <v>0</v>
      </c>
      <c r="H1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8" s="32" t="n">
        <f aca="false">IF(N(AssignmentTable[[#This Row],[Task UID]])=0,0,IFERROR(MATCH(AssignmentTable[[#This Row],[Task UID]],tsk_UID,0),-1))</f>
        <v>0</v>
      </c>
      <c r="J18" s="32" t="n">
        <f aca="false">IF(AND(AssignmentTable[[#This Row],[_TaskPos]]&gt;0,AssignmentTable[[#This Row],[Resource]]&lt;&gt;"",AssignmentTable[[#This Row],[Check]]=""),1,0)</f>
        <v>0</v>
      </c>
      <c r="K18" s="32" t="str">
        <f aca="false">IF(AssignmentTable[[#This Row],[_Valid]]=1,AssignmentTable[[#This Row],[Task UID]]*1000+COUNTIFS(AssignmentTable[[#Headers],[Task UID]]:AssignmentTable[[#This Row],[Task UID]],AssignmentTable[[#This Row],[Task UID]],AssignmentTable[[#Headers],[_Valid]]:AssignmentTable[[#This Row],[_Valid]],1),"")</f>
        <v/>
      </c>
      <c r="L18" s="32" t="str">
        <f aca="false">IF(AssignmentTable[[#This Row],[_Valid]]=1,AssignmentTable[[#This Row],[Resource]]&amp;IF(OR(AssignmentTable[[#This Row],[Units]]="",AssignmentTable[[#This Row],[Units]]=1),"","["&amp;ROUND(AssignmentTable[[#This Row],[Units]]*100,0)&amp;"%]"),"")</f>
        <v/>
      </c>
      <c r="M18" s="32" t="n">
        <f aca="false">IF(AssignmentTable[[#This Row],[_Valid]]=1,N(INDEX(tsk_StartWD,AssignmentTable[[#This Row],[_TaskPos]])),0)</f>
        <v>0</v>
      </c>
      <c r="N18" s="32" t="n">
        <f aca="false">IF(AssignmentTable[[#This Row],[_Valid]]=1,N(INDEX(tsk_FinishWD,AssignmentTable[[#This Row],[_TaskPos]])),0)</f>
        <v>0</v>
      </c>
      <c r="O18" s="32" t="n">
        <f aca="false">IF(OR(AssignmentTable[[#This Row],[Work]]=0,AssignmentTable[[#This Row],[_FinishWD]]=0),0,AssignmentTable[[#This Row],[Work]]/(AssignmentTable[[#This Row],[_FinishWD]]-AssignmentTable[[#This Row],[_StartWD]]+1))</f>
        <v>0</v>
      </c>
      <c r="P18" s="32" t="n">
        <f aca="false">AssignmentTable[[#This Row],[_WorkPerWD]]*MAX(0,AssignmentTable[[#This Row],[_StartWD]]-1)</f>
        <v>0</v>
      </c>
      <c r="Q18" s="32" t="n">
        <f aca="false">IF(AssignmentTable[[#This Row],[_Valid]]=1,AssignmentTable[[#This Row],[Work]]*N(INDEX(tsk_LeafProgress,AssignmentTable[[#This Row],[_TaskPos]])),0)</f>
        <v>0</v>
      </c>
      <c r="R18" s="32" t="n">
        <f aca="false">IF(NOT(AssignmentTable[[#This Row],[_Valid]]=1),0,IF(N(INDEX(tsk_LeafTotalCost,AssignmentTable[[#This Row],[_TaskPos]]))=0,0,N(INDEX(tsk_LeafAC,AssignmentTable[[#This Row],[_TaskPos]]))*AssignmentTable[[#This Row],[Cost]]/INDEX(tsk_LeafTotalCost,AssignmentTable[[#This Row],[_TaskPos]])))</f>
        <v>0</v>
      </c>
      <c r="S18" s="32" t="n">
        <f aca="false">IF(NOT(AssignmentTable[[#This Row],[_Valid]]=1),0,IF(N(INDEX(tsk_LateKey,AssignmentTable[[#This Row],[_TaskPos]]))&gt;0,1,0))</f>
        <v>0</v>
      </c>
      <c r="T18" s="32" t="n">
        <f aca="false">IF(NOT(AssignmentTable[[#This Row],[_Valid]]=1),0,IF(INDEX(tsk_Critical,AssignmentTable[[#This Row],[_TaskPos]])="Yes",1,0))</f>
        <v>0</v>
      </c>
      <c r="U1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9" customFormat="false" ht="15" hidden="false" customHeight="false" outlineLevel="0" collapsed="false">
      <c r="B19" s="46"/>
      <c r="C19" s="24" t="str">
        <f aca="false">IF(AssignmentTable[[#This Row],[_TaskPos]]&lt;=0,"",INDEX(tsk_Name,AssignmentTable[[#This Row],[_TaskPos]])&amp;"")</f>
        <v/>
      </c>
      <c r="D19" s="47"/>
      <c r="E19" s="93"/>
      <c r="F19" s="110" t="n">
        <f aca="false">IF(AssignmentTable[[#This Row],[_Valid]]=1,N(INDEX(tsk_Duration,AssignmentTable[[#This Row],[_TaskPos]]))*HoursPerDay*IF(AssignmentTable[[#This Row],[Units]]="",DefaultUnits,AssignmentTable[[#This Row],[Units]]),0)</f>
        <v>0</v>
      </c>
      <c r="G19" s="111" t="n">
        <f aca="false">IF(AssignmentTable[[#This Row],[Work]]=0,0,AssignmentTable[[#This Row],[Work]]*IFERROR(INDEX(res_Rate,MATCH(AssignmentTable[[#This Row],[Resource]],res_Name,0)),0))</f>
        <v>0</v>
      </c>
      <c r="H1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9" s="32" t="n">
        <f aca="false">IF(N(AssignmentTable[[#This Row],[Task UID]])=0,0,IFERROR(MATCH(AssignmentTable[[#This Row],[Task UID]],tsk_UID,0),-1))</f>
        <v>0</v>
      </c>
      <c r="J19" s="32" t="n">
        <f aca="false">IF(AND(AssignmentTable[[#This Row],[_TaskPos]]&gt;0,AssignmentTable[[#This Row],[Resource]]&lt;&gt;"",AssignmentTable[[#This Row],[Check]]=""),1,0)</f>
        <v>0</v>
      </c>
      <c r="K19" s="32" t="str">
        <f aca="false">IF(AssignmentTable[[#This Row],[_Valid]]=1,AssignmentTable[[#This Row],[Task UID]]*1000+COUNTIFS(AssignmentTable[[#Headers],[Task UID]]:AssignmentTable[[#This Row],[Task UID]],AssignmentTable[[#This Row],[Task UID]],AssignmentTable[[#Headers],[_Valid]]:AssignmentTable[[#This Row],[_Valid]],1),"")</f>
        <v/>
      </c>
      <c r="L19" s="32" t="str">
        <f aca="false">IF(AssignmentTable[[#This Row],[_Valid]]=1,AssignmentTable[[#This Row],[Resource]]&amp;IF(OR(AssignmentTable[[#This Row],[Units]]="",AssignmentTable[[#This Row],[Units]]=1),"","["&amp;ROUND(AssignmentTable[[#This Row],[Units]]*100,0)&amp;"%]"),"")</f>
        <v/>
      </c>
      <c r="M19" s="32" t="n">
        <f aca="false">IF(AssignmentTable[[#This Row],[_Valid]]=1,N(INDEX(tsk_StartWD,AssignmentTable[[#This Row],[_TaskPos]])),0)</f>
        <v>0</v>
      </c>
      <c r="N19" s="32" t="n">
        <f aca="false">IF(AssignmentTable[[#This Row],[_Valid]]=1,N(INDEX(tsk_FinishWD,AssignmentTable[[#This Row],[_TaskPos]])),0)</f>
        <v>0</v>
      </c>
      <c r="O19" s="32" t="n">
        <f aca="false">IF(OR(AssignmentTable[[#This Row],[Work]]=0,AssignmentTable[[#This Row],[_FinishWD]]=0),0,AssignmentTable[[#This Row],[Work]]/(AssignmentTable[[#This Row],[_FinishWD]]-AssignmentTable[[#This Row],[_StartWD]]+1))</f>
        <v>0</v>
      </c>
      <c r="P19" s="32" t="n">
        <f aca="false">AssignmentTable[[#This Row],[_WorkPerWD]]*MAX(0,AssignmentTable[[#This Row],[_StartWD]]-1)</f>
        <v>0</v>
      </c>
      <c r="Q19" s="32" t="n">
        <f aca="false">IF(AssignmentTable[[#This Row],[_Valid]]=1,AssignmentTable[[#This Row],[Work]]*N(INDEX(tsk_LeafProgress,AssignmentTable[[#This Row],[_TaskPos]])),0)</f>
        <v>0</v>
      </c>
      <c r="R19" s="32" t="n">
        <f aca="false">IF(NOT(AssignmentTable[[#This Row],[_Valid]]=1),0,IF(N(INDEX(tsk_LeafTotalCost,AssignmentTable[[#This Row],[_TaskPos]]))=0,0,N(INDEX(tsk_LeafAC,AssignmentTable[[#This Row],[_TaskPos]]))*AssignmentTable[[#This Row],[Cost]]/INDEX(tsk_LeafTotalCost,AssignmentTable[[#This Row],[_TaskPos]])))</f>
        <v>0</v>
      </c>
      <c r="S19" s="32" t="n">
        <f aca="false">IF(NOT(AssignmentTable[[#This Row],[_Valid]]=1),0,IF(N(INDEX(tsk_LateKey,AssignmentTable[[#This Row],[_TaskPos]]))&gt;0,1,0))</f>
        <v>0</v>
      </c>
      <c r="T19" s="32" t="n">
        <f aca="false">IF(NOT(AssignmentTable[[#This Row],[_Valid]]=1),0,IF(INDEX(tsk_Critical,AssignmentTable[[#This Row],[_TaskPos]])="Yes",1,0))</f>
        <v>0</v>
      </c>
      <c r="U1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0" customFormat="false" ht="15" hidden="false" customHeight="false" outlineLevel="0" collapsed="false">
      <c r="B20" s="46"/>
      <c r="C20" s="24" t="str">
        <f aca="false">IF(AssignmentTable[[#This Row],[_TaskPos]]&lt;=0,"",INDEX(tsk_Name,AssignmentTable[[#This Row],[_TaskPos]])&amp;"")</f>
        <v/>
      </c>
      <c r="D20" s="47"/>
      <c r="E20" s="93"/>
      <c r="F20" s="110" t="n">
        <f aca="false">IF(AssignmentTable[[#This Row],[_Valid]]=1,N(INDEX(tsk_Duration,AssignmentTable[[#This Row],[_TaskPos]]))*HoursPerDay*IF(AssignmentTable[[#This Row],[Units]]="",DefaultUnits,AssignmentTable[[#This Row],[Units]]),0)</f>
        <v>0</v>
      </c>
      <c r="G20" s="111" t="n">
        <f aca="false">IF(AssignmentTable[[#This Row],[Work]]=0,0,AssignmentTable[[#This Row],[Work]]*IFERROR(INDEX(res_Rate,MATCH(AssignmentTable[[#This Row],[Resource]],res_Name,0)),0))</f>
        <v>0</v>
      </c>
      <c r="H2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0" s="32" t="n">
        <f aca="false">IF(N(AssignmentTable[[#This Row],[Task UID]])=0,0,IFERROR(MATCH(AssignmentTable[[#This Row],[Task UID]],tsk_UID,0),-1))</f>
        <v>0</v>
      </c>
      <c r="J20" s="32" t="n">
        <f aca="false">IF(AND(AssignmentTable[[#This Row],[_TaskPos]]&gt;0,AssignmentTable[[#This Row],[Resource]]&lt;&gt;"",AssignmentTable[[#This Row],[Check]]=""),1,0)</f>
        <v>0</v>
      </c>
      <c r="K20" s="32" t="str">
        <f aca="false">IF(AssignmentTable[[#This Row],[_Valid]]=1,AssignmentTable[[#This Row],[Task UID]]*1000+COUNTIFS(AssignmentTable[[#Headers],[Task UID]]:AssignmentTable[[#This Row],[Task UID]],AssignmentTable[[#This Row],[Task UID]],AssignmentTable[[#Headers],[_Valid]]:AssignmentTable[[#This Row],[_Valid]],1),"")</f>
        <v/>
      </c>
      <c r="L20" s="32" t="str">
        <f aca="false">IF(AssignmentTable[[#This Row],[_Valid]]=1,AssignmentTable[[#This Row],[Resource]]&amp;IF(OR(AssignmentTable[[#This Row],[Units]]="",AssignmentTable[[#This Row],[Units]]=1),"","["&amp;ROUND(AssignmentTable[[#This Row],[Units]]*100,0)&amp;"%]"),"")</f>
        <v/>
      </c>
      <c r="M20" s="32" t="n">
        <f aca="false">IF(AssignmentTable[[#This Row],[_Valid]]=1,N(INDEX(tsk_StartWD,AssignmentTable[[#This Row],[_TaskPos]])),0)</f>
        <v>0</v>
      </c>
      <c r="N20" s="32" t="n">
        <f aca="false">IF(AssignmentTable[[#This Row],[_Valid]]=1,N(INDEX(tsk_FinishWD,AssignmentTable[[#This Row],[_TaskPos]])),0)</f>
        <v>0</v>
      </c>
      <c r="O20" s="32" t="n">
        <f aca="false">IF(OR(AssignmentTable[[#This Row],[Work]]=0,AssignmentTable[[#This Row],[_FinishWD]]=0),0,AssignmentTable[[#This Row],[Work]]/(AssignmentTable[[#This Row],[_FinishWD]]-AssignmentTable[[#This Row],[_StartWD]]+1))</f>
        <v>0</v>
      </c>
      <c r="P20" s="32" t="n">
        <f aca="false">AssignmentTable[[#This Row],[_WorkPerWD]]*MAX(0,AssignmentTable[[#This Row],[_StartWD]]-1)</f>
        <v>0</v>
      </c>
      <c r="Q20" s="32" t="n">
        <f aca="false">IF(AssignmentTable[[#This Row],[_Valid]]=1,AssignmentTable[[#This Row],[Work]]*N(INDEX(tsk_LeafProgress,AssignmentTable[[#This Row],[_TaskPos]])),0)</f>
        <v>0</v>
      </c>
      <c r="R20" s="32" t="n">
        <f aca="false">IF(NOT(AssignmentTable[[#This Row],[_Valid]]=1),0,IF(N(INDEX(tsk_LeafTotalCost,AssignmentTable[[#This Row],[_TaskPos]]))=0,0,N(INDEX(tsk_LeafAC,AssignmentTable[[#This Row],[_TaskPos]]))*AssignmentTable[[#This Row],[Cost]]/INDEX(tsk_LeafTotalCost,AssignmentTable[[#This Row],[_TaskPos]])))</f>
        <v>0</v>
      </c>
      <c r="S20" s="32" t="n">
        <f aca="false">IF(NOT(AssignmentTable[[#This Row],[_Valid]]=1),0,IF(N(INDEX(tsk_LateKey,AssignmentTable[[#This Row],[_TaskPos]]))&gt;0,1,0))</f>
        <v>0</v>
      </c>
      <c r="T20" s="32" t="n">
        <f aca="false">IF(NOT(AssignmentTable[[#This Row],[_Valid]]=1),0,IF(INDEX(tsk_Critical,AssignmentTable[[#This Row],[_TaskPos]])="Yes",1,0))</f>
        <v>0</v>
      </c>
      <c r="U2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1" customFormat="false" ht="15" hidden="false" customHeight="false" outlineLevel="0" collapsed="false">
      <c r="B21" s="46"/>
      <c r="C21" s="24" t="str">
        <f aca="false">IF(AssignmentTable[[#This Row],[_TaskPos]]&lt;=0,"",INDEX(tsk_Name,AssignmentTable[[#This Row],[_TaskPos]])&amp;"")</f>
        <v/>
      </c>
      <c r="D21" s="47"/>
      <c r="E21" s="93"/>
      <c r="F21" s="110" t="n">
        <f aca="false">IF(AssignmentTable[[#This Row],[_Valid]]=1,N(INDEX(tsk_Duration,AssignmentTable[[#This Row],[_TaskPos]]))*HoursPerDay*IF(AssignmentTable[[#This Row],[Units]]="",DefaultUnits,AssignmentTable[[#This Row],[Units]]),0)</f>
        <v>0</v>
      </c>
      <c r="G21" s="111" t="n">
        <f aca="false">IF(AssignmentTable[[#This Row],[Work]]=0,0,AssignmentTable[[#This Row],[Work]]*IFERROR(INDEX(res_Rate,MATCH(AssignmentTable[[#This Row],[Resource]],res_Name,0)),0))</f>
        <v>0</v>
      </c>
      <c r="H2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1" s="32" t="n">
        <f aca="false">IF(N(AssignmentTable[[#This Row],[Task UID]])=0,0,IFERROR(MATCH(AssignmentTable[[#This Row],[Task UID]],tsk_UID,0),-1))</f>
        <v>0</v>
      </c>
      <c r="J21" s="32" t="n">
        <f aca="false">IF(AND(AssignmentTable[[#This Row],[_TaskPos]]&gt;0,AssignmentTable[[#This Row],[Resource]]&lt;&gt;"",AssignmentTable[[#This Row],[Check]]=""),1,0)</f>
        <v>0</v>
      </c>
      <c r="K21" s="32" t="str">
        <f aca="false">IF(AssignmentTable[[#This Row],[_Valid]]=1,AssignmentTable[[#This Row],[Task UID]]*1000+COUNTIFS(AssignmentTable[[#Headers],[Task UID]]:AssignmentTable[[#This Row],[Task UID]],AssignmentTable[[#This Row],[Task UID]],AssignmentTable[[#Headers],[_Valid]]:AssignmentTable[[#This Row],[_Valid]],1),"")</f>
        <v/>
      </c>
      <c r="L21" s="32" t="str">
        <f aca="false">IF(AssignmentTable[[#This Row],[_Valid]]=1,AssignmentTable[[#This Row],[Resource]]&amp;IF(OR(AssignmentTable[[#This Row],[Units]]="",AssignmentTable[[#This Row],[Units]]=1),"","["&amp;ROUND(AssignmentTable[[#This Row],[Units]]*100,0)&amp;"%]"),"")</f>
        <v/>
      </c>
      <c r="M21" s="32" t="n">
        <f aca="false">IF(AssignmentTable[[#This Row],[_Valid]]=1,N(INDEX(tsk_StartWD,AssignmentTable[[#This Row],[_TaskPos]])),0)</f>
        <v>0</v>
      </c>
      <c r="N21" s="32" t="n">
        <f aca="false">IF(AssignmentTable[[#This Row],[_Valid]]=1,N(INDEX(tsk_FinishWD,AssignmentTable[[#This Row],[_TaskPos]])),0)</f>
        <v>0</v>
      </c>
      <c r="O21" s="32" t="n">
        <f aca="false">IF(OR(AssignmentTable[[#This Row],[Work]]=0,AssignmentTable[[#This Row],[_FinishWD]]=0),0,AssignmentTable[[#This Row],[Work]]/(AssignmentTable[[#This Row],[_FinishWD]]-AssignmentTable[[#This Row],[_StartWD]]+1))</f>
        <v>0</v>
      </c>
      <c r="P21" s="32" t="n">
        <f aca="false">AssignmentTable[[#This Row],[_WorkPerWD]]*MAX(0,AssignmentTable[[#This Row],[_StartWD]]-1)</f>
        <v>0</v>
      </c>
      <c r="Q21" s="32" t="n">
        <f aca="false">IF(AssignmentTable[[#This Row],[_Valid]]=1,AssignmentTable[[#This Row],[Work]]*N(INDEX(tsk_LeafProgress,AssignmentTable[[#This Row],[_TaskPos]])),0)</f>
        <v>0</v>
      </c>
      <c r="R21" s="32" t="n">
        <f aca="false">IF(NOT(AssignmentTable[[#This Row],[_Valid]]=1),0,IF(N(INDEX(tsk_LeafTotalCost,AssignmentTable[[#This Row],[_TaskPos]]))=0,0,N(INDEX(tsk_LeafAC,AssignmentTable[[#This Row],[_TaskPos]]))*AssignmentTable[[#This Row],[Cost]]/INDEX(tsk_LeafTotalCost,AssignmentTable[[#This Row],[_TaskPos]])))</f>
        <v>0</v>
      </c>
      <c r="S21" s="32" t="n">
        <f aca="false">IF(NOT(AssignmentTable[[#This Row],[_Valid]]=1),0,IF(N(INDEX(tsk_LateKey,AssignmentTable[[#This Row],[_TaskPos]]))&gt;0,1,0))</f>
        <v>0</v>
      </c>
      <c r="T21" s="32" t="n">
        <f aca="false">IF(NOT(AssignmentTable[[#This Row],[_Valid]]=1),0,IF(INDEX(tsk_Critical,AssignmentTable[[#This Row],[_TaskPos]])="Yes",1,0))</f>
        <v>0</v>
      </c>
      <c r="U2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2" customFormat="false" ht="15" hidden="false" customHeight="false" outlineLevel="0" collapsed="false">
      <c r="B22" s="46"/>
      <c r="C22" s="24" t="str">
        <f aca="false">IF(AssignmentTable[[#This Row],[_TaskPos]]&lt;=0,"",INDEX(tsk_Name,AssignmentTable[[#This Row],[_TaskPos]])&amp;"")</f>
        <v/>
      </c>
      <c r="D22" s="47"/>
      <c r="E22" s="93"/>
      <c r="F22" s="110" t="n">
        <f aca="false">IF(AssignmentTable[[#This Row],[_Valid]]=1,N(INDEX(tsk_Duration,AssignmentTable[[#This Row],[_TaskPos]]))*HoursPerDay*IF(AssignmentTable[[#This Row],[Units]]="",DefaultUnits,AssignmentTable[[#This Row],[Units]]),0)</f>
        <v>0</v>
      </c>
      <c r="G22" s="111" t="n">
        <f aca="false">IF(AssignmentTable[[#This Row],[Work]]=0,0,AssignmentTable[[#This Row],[Work]]*IFERROR(INDEX(res_Rate,MATCH(AssignmentTable[[#This Row],[Resource]],res_Name,0)),0))</f>
        <v>0</v>
      </c>
      <c r="H2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2" s="32" t="n">
        <f aca="false">IF(N(AssignmentTable[[#This Row],[Task UID]])=0,0,IFERROR(MATCH(AssignmentTable[[#This Row],[Task UID]],tsk_UID,0),-1))</f>
        <v>0</v>
      </c>
      <c r="J22" s="32" t="n">
        <f aca="false">IF(AND(AssignmentTable[[#This Row],[_TaskPos]]&gt;0,AssignmentTable[[#This Row],[Resource]]&lt;&gt;"",AssignmentTable[[#This Row],[Check]]=""),1,0)</f>
        <v>0</v>
      </c>
      <c r="K22" s="32" t="str">
        <f aca="false">IF(AssignmentTable[[#This Row],[_Valid]]=1,AssignmentTable[[#This Row],[Task UID]]*1000+COUNTIFS(AssignmentTable[[#Headers],[Task UID]]:AssignmentTable[[#This Row],[Task UID]],AssignmentTable[[#This Row],[Task UID]],AssignmentTable[[#Headers],[_Valid]]:AssignmentTable[[#This Row],[_Valid]],1),"")</f>
        <v/>
      </c>
      <c r="L22" s="32" t="str">
        <f aca="false">IF(AssignmentTable[[#This Row],[_Valid]]=1,AssignmentTable[[#This Row],[Resource]]&amp;IF(OR(AssignmentTable[[#This Row],[Units]]="",AssignmentTable[[#This Row],[Units]]=1),"","["&amp;ROUND(AssignmentTable[[#This Row],[Units]]*100,0)&amp;"%]"),"")</f>
        <v/>
      </c>
      <c r="M22" s="32" t="n">
        <f aca="false">IF(AssignmentTable[[#This Row],[_Valid]]=1,N(INDEX(tsk_StartWD,AssignmentTable[[#This Row],[_TaskPos]])),0)</f>
        <v>0</v>
      </c>
      <c r="N22" s="32" t="n">
        <f aca="false">IF(AssignmentTable[[#This Row],[_Valid]]=1,N(INDEX(tsk_FinishWD,AssignmentTable[[#This Row],[_TaskPos]])),0)</f>
        <v>0</v>
      </c>
      <c r="O22" s="32" t="n">
        <f aca="false">IF(OR(AssignmentTable[[#This Row],[Work]]=0,AssignmentTable[[#This Row],[_FinishWD]]=0),0,AssignmentTable[[#This Row],[Work]]/(AssignmentTable[[#This Row],[_FinishWD]]-AssignmentTable[[#This Row],[_StartWD]]+1))</f>
        <v>0</v>
      </c>
      <c r="P22" s="32" t="n">
        <f aca="false">AssignmentTable[[#This Row],[_WorkPerWD]]*MAX(0,AssignmentTable[[#This Row],[_StartWD]]-1)</f>
        <v>0</v>
      </c>
      <c r="Q22" s="32" t="n">
        <f aca="false">IF(AssignmentTable[[#This Row],[_Valid]]=1,AssignmentTable[[#This Row],[Work]]*N(INDEX(tsk_LeafProgress,AssignmentTable[[#This Row],[_TaskPos]])),0)</f>
        <v>0</v>
      </c>
      <c r="R22" s="32" t="n">
        <f aca="false">IF(NOT(AssignmentTable[[#This Row],[_Valid]]=1),0,IF(N(INDEX(tsk_LeafTotalCost,AssignmentTable[[#This Row],[_TaskPos]]))=0,0,N(INDEX(tsk_LeafAC,AssignmentTable[[#This Row],[_TaskPos]]))*AssignmentTable[[#This Row],[Cost]]/INDEX(tsk_LeafTotalCost,AssignmentTable[[#This Row],[_TaskPos]])))</f>
        <v>0</v>
      </c>
      <c r="S22" s="32" t="n">
        <f aca="false">IF(NOT(AssignmentTable[[#This Row],[_Valid]]=1),0,IF(N(INDEX(tsk_LateKey,AssignmentTable[[#This Row],[_TaskPos]]))&gt;0,1,0))</f>
        <v>0</v>
      </c>
      <c r="T22" s="32" t="n">
        <f aca="false">IF(NOT(AssignmentTable[[#This Row],[_Valid]]=1),0,IF(INDEX(tsk_Critical,AssignmentTable[[#This Row],[_TaskPos]])="Yes",1,0))</f>
        <v>0</v>
      </c>
      <c r="U2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3" customFormat="false" ht="15" hidden="false" customHeight="false" outlineLevel="0" collapsed="false">
      <c r="B23" s="46"/>
      <c r="C23" s="24" t="str">
        <f aca="false">IF(AssignmentTable[[#This Row],[_TaskPos]]&lt;=0,"",INDEX(tsk_Name,AssignmentTable[[#This Row],[_TaskPos]])&amp;"")</f>
        <v/>
      </c>
      <c r="D23" s="47"/>
      <c r="E23" s="93"/>
      <c r="F23" s="110" t="n">
        <f aca="false">IF(AssignmentTable[[#This Row],[_Valid]]=1,N(INDEX(tsk_Duration,AssignmentTable[[#This Row],[_TaskPos]]))*HoursPerDay*IF(AssignmentTable[[#This Row],[Units]]="",DefaultUnits,AssignmentTable[[#This Row],[Units]]),0)</f>
        <v>0</v>
      </c>
      <c r="G23" s="111" t="n">
        <f aca="false">IF(AssignmentTable[[#This Row],[Work]]=0,0,AssignmentTable[[#This Row],[Work]]*IFERROR(INDEX(res_Rate,MATCH(AssignmentTable[[#This Row],[Resource]],res_Name,0)),0))</f>
        <v>0</v>
      </c>
      <c r="H2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3" s="32" t="n">
        <f aca="false">IF(N(AssignmentTable[[#This Row],[Task UID]])=0,0,IFERROR(MATCH(AssignmentTable[[#This Row],[Task UID]],tsk_UID,0),-1))</f>
        <v>0</v>
      </c>
      <c r="J23" s="32" t="n">
        <f aca="false">IF(AND(AssignmentTable[[#This Row],[_TaskPos]]&gt;0,AssignmentTable[[#This Row],[Resource]]&lt;&gt;"",AssignmentTable[[#This Row],[Check]]=""),1,0)</f>
        <v>0</v>
      </c>
      <c r="K23" s="32" t="str">
        <f aca="false">IF(AssignmentTable[[#This Row],[_Valid]]=1,AssignmentTable[[#This Row],[Task UID]]*1000+COUNTIFS(AssignmentTable[[#Headers],[Task UID]]:AssignmentTable[[#This Row],[Task UID]],AssignmentTable[[#This Row],[Task UID]],AssignmentTable[[#Headers],[_Valid]]:AssignmentTable[[#This Row],[_Valid]],1),"")</f>
        <v/>
      </c>
      <c r="L23" s="32" t="str">
        <f aca="false">IF(AssignmentTable[[#This Row],[_Valid]]=1,AssignmentTable[[#This Row],[Resource]]&amp;IF(OR(AssignmentTable[[#This Row],[Units]]="",AssignmentTable[[#This Row],[Units]]=1),"","["&amp;ROUND(AssignmentTable[[#This Row],[Units]]*100,0)&amp;"%]"),"")</f>
        <v/>
      </c>
      <c r="M23" s="32" t="n">
        <f aca="false">IF(AssignmentTable[[#This Row],[_Valid]]=1,N(INDEX(tsk_StartWD,AssignmentTable[[#This Row],[_TaskPos]])),0)</f>
        <v>0</v>
      </c>
      <c r="N23" s="32" t="n">
        <f aca="false">IF(AssignmentTable[[#This Row],[_Valid]]=1,N(INDEX(tsk_FinishWD,AssignmentTable[[#This Row],[_TaskPos]])),0)</f>
        <v>0</v>
      </c>
      <c r="O23" s="32" t="n">
        <f aca="false">IF(OR(AssignmentTable[[#This Row],[Work]]=0,AssignmentTable[[#This Row],[_FinishWD]]=0),0,AssignmentTable[[#This Row],[Work]]/(AssignmentTable[[#This Row],[_FinishWD]]-AssignmentTable[[#This Row],[_StartWD]]+1))</f>
        <v>0</v>
      </c>
      <c r="P23" s="32" t="n">
        <f aca="false">AssignmentTable[[#This Row],[_WorkPerWD]]*MAX(0,AssignmentTable[[#This Row],[_StartWD]]-1)</f>
        <v>0</v>
      </c>
      <c r="Q23" s="32" t="n">
        <f aca="false">IF(AssignmentTable[[#This Row],[_Valid]]=1,AssignmentTable[[#This Row],[Work]]*N(INDEX(tsk_LeafProgress,AssignmentTable[[#This Row],[_TaskPos]])),0)</f>
        <v>0</v>
      </c>
      <c r="R23" s="32" t="n">
        <f aca="false">IF(NOT(AssignmentTable[[#This Row],[_Valid]]=1),0,IF(N(INDEX(tsk_LeafTotalCost,AssignmentTable[[#This Row],[_TaskPos]]))=0,0,N(INDEX(tsk_LeafAC,AssignmentTable[[#This Row],[_TaskPos]]))*AssignmentTable[[#This Row],[Cost]]/INDEX(tsk_LeafTotalCost,AssignmentTable[[#This Row],[_TaskPos]])))</f>
        <v>0</v>
      </c>
      <c r="S23" s="32" t="n">
        <f aca="false">IF(NOT(AssignmentTable[[#This Row],[_Valid]]=1),0,IF(N(INDEX(tsk_LateKey,AssignmentTable[[#This Row],[_TaskPos]]))&gt;0,1,0))</f>
        <v>0</v>
      </c>
      <c r="T23" s="32" t="n">
        <f aca="false">IF(NOT(AssignmentTable[[#This Row],[_Valid]]=1),0,IF(INDEX(tsk_Critical,AssignmentTable[[#This Row],[_TaskPos]])="Yes",1,0))</f>
        <v>0</v>
      </c>
      <c r="U2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4" customFormat="false" ht="15" hidden="false" customHeight="false" outlineLevel="0" collapsed="false">
      <c r="B24" s="46"/>
      <c r="C24" s="24" t="str">
        <f aca="false">IF(AssignmentTable[[#This Row],[_TaskPos]]&lt;=0,"",INDEX(tsk_Name,AssignmentTable[[#This Row],[_TaskPos]])&amp;"")</f>
        <v/>
      </c>
      <c r="D24" s="47"/>
      <c r="E24" s="93"/>
      <c r="F24" s="110" t="n">
        <f aca="false">IF(AssignmentTable[[#This Row],[_Valid]]=1,N(INDEX(tsk_Duration,AssignmentTable[[#This Row],[_TaskPos]]))*HoursPerDay*IF(AssignmentTable[[#This Row],[Units]]="",DefaultUnits,AssignmentTable[[#This Row],[Units]]),0)</f>
        <v>0</v>
      </c>
      <c r="G24" s="111" t="n">
        <f aca="false">IF(AssignmentTable[[#This Row],[Work]]=0,0,AssignmentTable[[#This Row],[Work]]*IFERROR(INDEX(res_Rate,MATCH(AssignmentTable[[#This Row],[Resource]],res_Name,0)),0))</f>
        <v>0</v>
      </c>
      <c r="H2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4" s="32" t="n">
        <f aca="false">IF(N(AssignmentTable[[#This Row],[Task UID]])=0,0,IFERROR(MATCH(AssignmentTable[[#This Row],[Task UID]],tsk_UID,0),-1))</f>
        <v>0</v>
      </c>
      <c r="J24" s="32" t="n">
        <f aca="false">IF(AND(AssignmentTable[[#This Row],[_TaskPos]]&gt;0,AssignmentTable[[#This Row],[Resource]]&lt;&gt;"",AssignmentTable[[#This Row],[Check]]=""),1,0)</f>
        <v>0</v>
      </c>
      <c r="K24" s="32" t="str">
        <f aca="false">IF(AssignmentTable[[#This Row],[_Valid]]=1,AssignmentTable[[#This Row],[Task UID]]*1000+COUNTIFS(AssignmentTable[[#Headers],[Task UID]]:AssignmentTable[[#This Row],[Task UID]],AssignmentTable[[#This Row],[Task UID]],AssignmentTable[[#Headers],[_Valid]]:AssignmentTable[[#This Row],[_Valid]],1),"")</f>
        <v/>
      </c>
      <c r="L24" s="32" t="str">
        <f aca="false">IF(AssignmentTable[[#This Row],[_Valid]]=1,AssignmentTable[[#This Row],[Resource]]&amp;IF(OR(AssignmentTable[[#This Row],[Units]]="",AssignmentTable[[#This Row],[Units]]=1),"","["&amp;ROUND(AssignmentTable[[#This Row],[Units]]*100,0)&amp;"%]"),"")</f>
        <v/>
      </c>
      <c r="M24" s="32" t="n">
        <f aca="false">IF(AssignmentTable[[#This Row],[_Valid]]=1,N(INDEX(tsk_StartWD,AssignmentTable[[#This Row],[_TaskPos]])),0)</f>
        <v>0</v>
      </c>
      <c r="N24" s="32" t="n">
        <f aca="false">IF(AssignmentTable[[#This Row],[_Valid]]=1,N(INDEX(tsk_FinishWD,AssignmentTable[[#This Row],[_TaskPos]])),0)</f>
        <v>0</v>
      </c>
      <c r="O24" s="32" t="n">
        <f aca="false">IF(OR(AssignmentTable[[#This Row],[Work]]=0,AssignmentTable[[#This Row],[_FinishWD]]=0),0,AssignmentTable[[#This Row],[Work]]/(AssignmentTable[[#This Row],[_FinishWD]]-AssignmentTable[[#This Row],[_StartWD]]+1))</f>
        <v>0</v>
      </c>
      <c r="P24" s="32" t="n">
        <f aca="false">AssignmentTable[[#This Row],[_WorkPerWD]]*MAX(0,AssignmentTable[[#This Row],[_StartWD]]-1)</f>
        <v>0</v>
      </c>
      <c r="Q24" s="32" t="n">
        <f aca="false">IF(AssignmentTable[[#This Row],[_Valid]]=1,AssignmentTable[[#This Row],[Work]]*N(INDEX(tsk_LeafProgress,AssignmentTable[[#This Row],[_TaskPos]])),0)</f>
        <v>0</v>
      </c>
      <c r="R24" s="32" t="n">
        <f aca="false">IF(NOT(AssignmentTable[[#This Row],[_Valid]]=1),0,IF(N(INDEX(tsk_LeafTotalCost,AssignmentTable[[#This Row],[_TaskPos]]))=0,0,N(INDEX(tsk_LeafAC,AssignmentTable[[#This Row],[_TaskPos]]))*AssignmentTable[[#This Row],[Cost]]/INDEX(tsk_LeafTotalCost,AssignmentTable[[#This Row],[_TaskPos]])))</f>
        <v>0</v>
      </c>
      <c r="S24" s="32" t="n">
        <f aca="false">IF(NOT(AssignmentTable[[#This Row],[_Valid]]=1),0,IF(N(INDEX(tsk_LateKey,AssignmentTable[[#This Row],[_TaskPos]]))&gt;0,1,0))</f>
        <v>0</v>
      </c>
      <c r="T24" s="32" t="n">
        <f aca="false">IF(NOT(AssignmentTable[[#This Row],[_Valid]]=1),0,IF(INDEX(tsk_Critical,AssignmentTable[[#This Row],[_TaskPos]])="Yes",1,0))</f>
        <v>0</v>
      </c>
      <c r="U2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5" customFormat="false" ht="15" hidden="false" customHeight="false" outlineLevel="0" collapsed="false">
      <c r="B25" s="46"/>
      <c r="C25" s="24" t="str">
        <f aca="false">IF(AssignmentTable[[#This Row],[_TaskPos]]&lt;=0,"",INDEX(tsk_Name,AssignmentTable[[#This Row],[_TaskPos]])&amp;"")</f>
        <v/>
      </c>
      <c r="D25" s="47"/>
      <c r="E25" s="93"/>
      <c r="F25" s="110" t="n">
        <f aca="false">IF(AssignmentTable[[#This Row],[_Valid]]=1,N(INDEX(tsk_Duration,AssignmentTable[[#This Row],[_TaskPos]]))*HoursPerDay*IF(AssignmentTable[[#This Row],[Units]]="",DefaultUnits,AssignmentTable[[#This Row],[Units]]),0)</f>
        <v>0</v>
      </c>
      <c r="G25" s="111" t="n">
        <f aca="false">IF(AssignmentTable[[#This Row],[Work]]=0,0,AssignmentTable[[#This Row],[Work]]*IFERROR(INDEX(res_Rate,MATCH(AssignmentTable[[#This Row],[Resource]],res_Name,0)),0))</f>
        <v>0</v>
      </c>
      <c r="H2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5" s="32" t="n">
        <f aca="false">IF(N(AssignmentTable[[#This Row],[Task UID]])=0,0,IFERROR(MATCH(AssignmentTable[[#This Row],[Task UID]],tsk_UID,0),-1))</f>
        <v>0</v>
      </c>
      <c r="J25" s="32" t="n">
        <f aca="false">IF(AND(AssignmentTable[[#This Row],[_TaskPos]]&gt;0,AssignmentTable[[#This Row],[Resource]]&lt;&gt;"",AssignmentTable[[#This Row],[Check]]=""),1,0)</f>
        <v>0</v>
      </c>
      <c r="K25" s="32" t="str">
        <f aca="false">IF(AssignmentTable[[#This Row],[_Valid]]=1,AssignmentTable[[#This Row],[Task UID]]*1000+COUNTIFS(AssignmentTable[[#Headers],[Task UID]]:AssignmentTable[[#This Row],[Task UID]],AssignmentTable[[#This Row],[Task UID]],AssignmentTable[[#Headers],[_Valid]]:AssignmentTable[[#This Row],[_Valid]],1),"")</f>
        <v/>
      </c>
      <c r="L25" s="32" t="str">
        <f aca="false">IF(AssignmentTable[[#This Row],[_Valid]]=1,AssignmentTable[[#This Row],[Resource]]&amp;IF(OR(AssignmentTable[[#This Row],[Units]]="",AssignmentTable[[#This Row],[Units]]=1),"","["&amp;ROUND(AssignmentTable[[#This Row],[Units]]*100,0)&amp;"%]"),"")</f>
        <v/>
      </c>
      <c r="M25" s="32" t="n">
        <f aca="false">IF(AssignmentTable[[#This Row],[_Valid]]=1,N(INDEX(tsk_StartWD,AssignmentTable[[#This Row],[_TaskPos]])),0)</f>
        <v>0</v>
      </c>
      <c r="N25" s="32" t="n">
        <f aca="false">IF(AssignmentTable[[#This Row],[_Valid]]=1,N(INDEX(tsk_FinishWD,AssignmentTable[[#This Row],[_TaskPos]])),0)</f>
        <v>0</v>
      </c>
      <c r="O25" s="32" t="n">
        <f aca="false">IF(OR(AssignmentTable[[#This Row],[Work]]=0,AssignmentTable[[#This Row],[_FinishWD]]=0),0,AssignmentTable[[#This Row],[Work]]/(AssignmentTable[[#This Row],[_FinishWD]]-AssignmentTable[[#This Row],[_StartWD]]+1))</f>
        <v>0</v>
      </c>
      <c r="P25" s="32" t="n">
        <f aca="false">AssignmentTable[[#This Row],[_WorkPerWD]]*MAX(0,AssignmentTable[[#This Row],[_StartWD]]-1)</f>
        <v>0</v>
      </c>
      <c r="Q25" s="32" t="n">
        <f aca="false">IF(AssignmentTable[[#This Row],[_Valid]]=1,AssignmentTable[[#This Row],[Work]]*N(INDEX(tsk_LeafProgress,AssignmentTable[[#This Row],[_TaskPos]])),0)</f>
        <v>0</v>
      </c>
      <c r="R25" s="32" t="n">
        <f aca="false">IF(NOT(AssignmentTable[[#This Row],[_Valid]]=1),0,IF(N(INDEX(tsk_LeafTotalCost,AssignmentTable[[#This Row],[_TaskPos]]))=0,0,N(INDEX(tsk_LeafAC,AssignmentTable[[#This Row],[_TaskPos]]))*AssignmentTable[[#This Row],[Cost]]/INDEX(tsk_LeafTotalCost,AssignmentTable[[#This Row],[_TaskPos]])))</f>
        <v>0</v>
      </c>
      <c r="S25" s="32" t="n">
        <f aca="false">IF(NOT(AssignmentTable[[#This Row],[_Valid]]=1),0,IF(N(INDEX(tsk_LateKey,AssignmentTable[[#This Row],[_TaskPos]]))&gt;0,1,0))</f>
        <v>0</v>
      </c>
      <c r="T25" s="32" t="n">
        <f aca="false">IF(NOT(AssignmentTable[[#This Row],[_Valid]]=1),0,IF(INDEX(tsk_Critical,AssignmentTable[[#This Row],[_TaskPos]])="Yes",1,0))</f>
        <v>0</v>
      </c>
      <c r="U2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6" customFormat="false" ht="15" hidden="false" customHeight="false" outlineLevel="0" collapsed="false">
      <c r="B26" s="46"/>
      <c r="C26" s="24" t="str">
        <f aca="false">IF(AssignmentTable[[#This Row],[_TaskPos]]&lt;=0,"",INDEX(tsk_Name,AssignmentTable[[#This Row],[_TaskPos]])&amp;"")</f>
        <v/>
      </c>
      <c r="D26" s="47"/>
      <c r="E26" s="93"/>
      <c r="F26" s="110" t="n">
        <f aca="false">IF(AssignmentTable[[#This Row],[_Valid]]=1,N(INDEX(tsk_Duration,AssignmentTable[[#This Row],[_TaskPos]]))*HoursPerDay*IF(AssignmentTable[[#This Row],[Units]]="",DefaultUnits,AssignmentTable[[#This Row],[Units]]),0)</f>
        <v>0</v>
      </c>
      <c r="G26" s="111" t="n">
        <f aca="false">IF(AssignmentTable[[#This Row],[Work]]=0,0,AssignmentTable[[#This Row],[Work]]*IFERROR(INDEX(res_Rate,MATCH(AssignmentTable[[#This Row],[Resource]],res_Name,0)),0))</f>
        <v>0</v>
      </c>
      <c r="H2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6" s="32" t="n">
        <f aca="false">IF(N(AssignmentTable[[#This Row],[Task UID]])=0,0,IFERROR(MATCH(AssignmentTable[[#This Row],[Task UID]],tsk_UID,0),-1))</f>
        <v>0</v>
      </c>
      <c r="J26" s="32" t="n">
        <f aca="false">IF(AND(AssignmentTable[[#This Row],[_TaskPos]]&gt;0,AssignmentTable[[#This Row],[Resource]]&lt;&gt;"",AssignmentTable[[#This Row],[Check]]=""),1,0)</f>
        <v>0</v>
      </c>
      <c r="K26" s="32" t="str">
        <f aca="false">IF(AssignmentTable[[#This Row],[_Valid]]=1,AssignmentTable[[#This Row],[Task UID]]*1000+COUNTIFS(AssignmentTable[[#Headers],[Task UID]]:AssignmentTable[[#This Row],[Task UID]],AssignmentTable[[#This Row],[Task UID]],AssignmentTable[[#Headers],[_Valid]]:AssignmentTable[[#This Row],[_Valid]],1),"")</f>
        <v/>
      </c>
      <c r="L26" s="32" t="str">
        <f aca="false">IF(AssignmentTable[[#This Row],[_Valid]]=1,AssignmentTable[[#This Row],[Resource]]&amp;IF(OR(AssignmentTable[[#This Row],[Units]]="",AssignmentTable[[#This Row],[Units]]=1),"","["&amp;ROUND(AssignmentTable[[#This Row],[Units]]*100,0)&amp;"%]"),"")</f>
        <v/>
      </c>
      <c r="M26" s="32" t="n">
        <f aca="false">IF(AssignmentTable[[#This Row],[_Valid]]=1,N(INDEX(tsk_StartWD,AssignmentTable[[#This Row],[_TaskPos]])),0)</f>
        <v>0</v>
      </c>
      <c r="N26" s="32" t="n">
        <f aca="false">IF(AssignmentTable[[#This Row],[_Valid]]=1,N(INDEX(tsk_FinishWD,AssignmentTable[[#This Row],[_TaskPos]])),0)</f>
        <v>0</v>
      </c>
      <c r="O26" s="32" t="n">
        <f aca="false">IF(OR(AssignmentTable[[#This Row],[Work]]=0,AssignmentTable[[#This Row],[_FinishWD]]=0),0,AssignmentTable[[#This Row],[Work]]/(AssignmentTable[[#This Row],[_FinishWD]]-AssignmentTable[[#This Row],[_StartWD]]+1))</f>
        <v>0</v>
      </c>
      <c r="P26" s="32" t="n">
        <f aca="false">AssignmentTable[[#This Row],[_WorkPerWD]]*MAX(0,AssignmentTable[[#This Row],[_StartWD]]-1)</f>
        <v>0</v>
      </c>
      <c r="Q26" s="32" t="n">
        <f aca="false">IF(AssignmentTable[[#This Row],[_Valid]]=1,AssignmentTable[[#This Row],[Work]]*N(INDEX(tsk_LeafProgress,AssignmentTable[[#This Row],[_TaskPos]])),0)</f>
        <v>0</v>
      </c>
      <c r="R26" s="32" t="n">
        <f aca="false">IF(NOT(AssignmentTable[[#This Row],[_Valid]]=1),0,IF(N(INDEX(tsk_LeafTotalCost,AssignmentTable[[#This Row],[_TaskPos]]))=0,0,N(INDEX(tsk_LeafAC,AssignmentTable[[#This Row],[_TaskPos]]))*AssignmentTable[[#This Row],[Cost]]/INDEX(tsk_LeafTotalCost,AssignmentTable[[#This Row],[_TaskPos]])))</f>
        <v>0</v>
      </c>
      <c r="S26" s="32" t="n">
        <f aca="false">IF(NOT(AssignmentTable[[#This Row],[_Valid]]=1),0,IF(N(INDEX(tsk_LateKey,AssignmentTable[[#This Row],[_TaskPos]]))&gt;0,1,0))</f>
        <v>0</v>
      </c>
      <c r="T26" s="32" t="n">
        <f aca="false">IF(NOT(AssignmentTable[[#This Row],[_Valid]]=1),0,IF(INDEX(tsk_Critical,AssignmentTable[[#This Row],[_TaskPos]])="Yes",1,0))</f>
        <v>0</v>
      </c>
      <c r="U2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7" customFormat="false" ht="15" hidden="false" customHeight="false" outlineLevel="0" collapsed="false">
      <c r="B27" s="46"/>
      <c r="C27" s="24" t="str">
        <f aca="false">IF(AssignmentTable[[#This Row],[_TaskPos]]&lt;=0,"",INDEX(tsk_Name,AssignmentTable[[#This Row],[_TaskPos]])&amp;"")</f>
        <v/>
      </c>
      <c r="D27" s="47"/>
      <c r="E27" s="93"/>
      <c r="F27" s="110" t="n">
        <f aca="false">IF(AssignmentTable[[#This Row],[_Valid]]=1,N(INDEX(tsk_Duration,AssignmentTable[[#This Row],[_TaskPos]]))*HoursPerDay*IF(AssignmentTable[[#This Row],[Units]]="",DefaultUnits,AssignmentTable[[#This Row],[Units]]),0)</f>
        <v>0</v>
      </c>
      <c r="G27" s="111" t="n">
        <f aca="false">IF(AssignmentTable[[#This Row],[Work]]=0,0,AssignmentTable[[#This Row],[Work]]*IFERROR(INDEX(res_Rate,MATCH(AssignmentTable[[#This Row],[Resource]],res_Name,0)),0))</f>
        <v>0</v>
      </c>
      <c r="H2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7" s="32" t="n">
        <f aca="false">IF(N(AssignmentTable[[#This Row],[Task UID]])=0,0,IFERROR(MATCH(AssignmentTable[[#This Row],[Task UID]],tsk_UID,0),-1))</f>
        <v>0</v>
      </c>
      <c r="J27" s="32" t="n">
        <f aca="false">IF(AND(AssignmentTable[[#This Row],[_TaskPos]]&gt;0,AssignmentTable[[#This Row],[Resource]]&lt;&gt;"",AssignmentTable[[#This Row],[Check]]=""),1,0)</f>
        <v>0</v>
      </c>
      <c r="K27" s="32" t="str">
        <f aca="false">IF(AssignmentTable[[#This Row],[_Valid]]=1,AssignmentTable[[#This Row],[Task UID]]*1000+COUNTIFS(AssignmentTable[[#Headers],[Task UID]]:AssignmentTable[[#This Row],[Task UID]],AssignmentTable[[#This Row],[Task UID]],AssignmentTable[[#Headers],[_Valid]]:AssignmentTable[[#This Row],[_Valid]],1),"")</f>
        <v/>
      </c>
      <c r="L27" s="32" t="str">
        <f aca="false">IF(AssignmentTable[[#This Row],[_Valid]]=1,AssignmentTable[[#This Row],[Resource]]&amp;IF(OR(AssignmentTable[[#This Row],[Units]]="",AssignmentTable[[#This Row],[Units]]=1),"","["&amp;ROUND(AssignmentTable[[#This Row],[Units]]*100,0)&amp;"%]"),"")</f>
        <v/>
      </c>
      <c r="M27" s="32" t="n">
        <f aca="false">IF(AssignmentTable[[#This Row],[_Valid]]=1,N(INDEX(tsk_StartWD,AssignmentTable[[#This Row],[_TaskPos]])),0)</f>
        <v>0</v>
      </c>
      <c r="N27" s="32" t="n">
        <f aca="false">IF(AssignmentTable[[#This Row],[_Valid]]=1,N(INDEX(tsk_FinishWD,AssignmentTable[[#This Row],[_TaskPos]])),0)</f>
        <v>0</v>
      </c>
      <c r="O27" s="32" t="n">
        <f aca="false">IF(OR(AssignmentTable[[#This Row],[Work]]=0,AssignmentTable[[#This Row],[_FinishWD]]=0),0,AssignmentTable[[#This Row],[Work]]/(AssignmentTable[[#This Row],[_FinishWD]]-AssignmentTable[[#This Row],[_StartWD]]+1))</f>
        <v>0</v>
      </c>
      <c r="P27" s="32" t="n">
        <f aca="false">AssignmentTable[[#This Row],[_WorkPerWD]]*MAX(0,AssignmentTable[[#This Row],[_StartWD]]-1)</f>
        <v>0</v>
      </c>
      <c r="Q27" s="32" t="n">
        <f aca="false">IF(AssignmentTable[[#This Row],[_Valid]]=1,AssignmentTable[[#This Row],[Work]]*N(INDEX(tsk_LeafProgress,AssignmentTable[[#This Row],[_TaskPos]])),0)</f>
        <v>0</v>
      </c>
      <c r="R27" s="32" t="n">
        <f aca="false">IF(NOT(AssignmentTable[[#This Row],[_Valid]]=1),0,IF(N(INDEX(tsk_LeafTotalCost,AssignmentTable[[#This Row],[_TaskPos]]))=0,0,N(INDEX(tsk_LeafAC,AssignmentTable[[#This Row],[_TaskPos]]))*AssignmentTable[[#This Row],[Cost]]/INDEX(tsk_LeafTotalCost,AssignmentTable[[#This Row],[_TaskPos]])))</f>
        <v>0</v>
      </c>
      <c r="S27" s="32" t="n">
        <f aca="false">IF(NOT(AssignmentTable[[#This Row],[_Valid]]=1),0,IF(N(INDEX(tsk_LateKey,AssignmentTable[[#This Row],[_TaskPos]]))&gt;0,1,0))</f>
        <v>0</v>
      </c>
      <c r="T27" s="32" t="n">
        <f aca="false">IF(NOT(AssignmentTable[[#This Row],[_Valid]]=1),0,IF(INDEX(tsk_Critical,AssignmentTable[[#This Row],[_TaskPos]])="Yes",1,0))</f>
        <v>0</v>
      </c>
      <c r="U2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8" customFormat="false" ht="15" hidden="false" customHeight="false" outlineLevel="0" collapsed="false">
      <c r="B28" s="46"/>
      <c r="C28" s="24" t="str">
        <f aca="false">IF(AssignmentTable[[#This Row],[_TaskPos]]&lt;=0,"",INDEX(tsk_Name,AssignmentTable[[#This Row],[_TaskPos]])&amp;"")</f>
        <v/>
      </c>
      <c r="D28" s="47"/>
      <c r="E28" s="93"/>
      <c r="F28" s="110" t="n">
        <f aca="false">IF(AssignmentTable[[#This Row],[_Valid]]=1,N(INDEX(tsk_Duration,AssignmentTable[[#This Row],[_TaskPos]]))*HoursPerDay*IF(AssignmentTable[[#This Row],[Units]]="",DefaultUnits,AssignmentTable[[#This Row],[Units]]),0)</f>
        <v>0</v>
      </c>
      <c r="G28" s="111" t="n">
        <f aca="false">IF(AssignmentTable[[#This Row],[Work]]=0,0,AssignmentTable[[#This Row],[Work]]*IFERROR(INDEX(res_Rate,MATCH(AssignmentTable[[#This Row],[Resource]],res_Name,0)),0))</f>
        <v>0</v>
      </c>
      <c r="H2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8" s="32" t="n">
        <f aca="false">IF(N(AssignmentTable[[#This Row],[Task UID]])=0,0,IFERROR(MATCH(AssignmentTable[[#This Row],[Task UID]],tsk_UID,0),-1))</f>
        <v>0</v>
      </c>
      <c r="J28" s="32" t="n">
        <f aca="false">IF(AND(AssignmentTable[[#This Row],[_TaskPos]]&gt;0,AssignmentTable[[#This Row],[Resource]]&lt;&gt;"",AssignmentTable[[#This Row],[Check]]=""),1,0)</f>
        <v>0</v>
      </c>
      <c r="K28" s="32" t="str">
        <f aca="false">IF(AssignmentTable[[#This Row],[_Valid]]=1,AssignmentTable[[#This Row],[Task UID]]*1000+COUNTIFS(AssignmentTable[[#Headers],[Task UID]]:AssignmentTable[[#This Row],[Task UID]],AssignmentTable[[#This Row],[Task UID]],AssignmentTable[[#Headers],[_Valid]]:AssignmentTable[[#This Row],[_Valid]],1),"")</f>
        <v/>
      </c>
      <c r="L28" s="32" t="str">
        <f aca="false">IF(AssignmentTable[[#This Row],[_Valid]]=1,AssignmentTable[[#This Row],[Resource]]&amp;IF(OR(AssignmentTable[[#This Row],[Units]]="",AssignmentTable[[#This Row],[Units]]=1),"","["&amp;ROUND(AssignmentTable[[#This Row],[Units]]*100,0)&amp;"%]"),"")</f>
        <v/>
      </c>
      <c r="M28" s="32" t="n">
        <f aca="false">IF(AssignmentTable[[#This Row],[_Valid]]=1,N(INDEX(tsk_StartWD,AssignmentTable[[#This Row],[_TaskPos]])),0)</f>
        <v>0</v>
      </c>
      <c r="N28" s="32" t="n">
        <f aca="false">IF(AssignmentTable[[#This Row],[_Valid]]=1,N(INDEX(tsk_FinishWD,AssignmentTable[[#This Row],[_TaskPos]])),0)</f>
        <v>0</v>
      </c>
      <c r="O28" s="32" t="n">
        <f aca="false">IF(OR(AssignmentTable[[#This Row],[Work]]=0,AssignmentTable[[#This Row],[_FinishWD]]=0),0,AssignmentTable[[#This Row],[Work]]/(AssignmentTable[[#This Row],[_FinishWD]]-AssignmentTable[[#This Row],[_StartWD]]+1))</f>
        <v>0</v>
      </c>
      <c r="P28" s="32" t="n">
        <f aca="false">AssignmentTable[[#This Row],[_WorkPerWD]]*MAX(0,AssignmentTable[[#This Row],[_StartWD]]-1)</f>
        <v>0</v>
      </c>
      <c r="Q28" s="32" t="n">
        <f aca="false">IF(AssignmentTable[[#This Row],[_Valid]]=1,AssignmentTable[[#This Row],[Work]]*N(INDEX(tsk_LeafProgress,AssignmentTable[[#This Row],[_TaskPos]])),0)</f>
        <v>0</v>
      </c>
      <c r="R28" s="32" t="n">
        <f aca="false">IF(NOT(AssignmentTable[[#This Row],[_Valid]]=1),0,IF(N(INDEX(tsk_LeafTotalCost,AssignmentTable[[#This Row],[_TaskPos]]))=0,0,N(INDEX(tsk_LeafAC,AssignmentTable[[#This Row],[_TaskPos]]))*AssignmentTable[[#This Row],[Cost]]/INDEX(tsk_LeafTotalCost,AssignmentTable[[#This Row],[_TaskPos]])))</f>
        <v>0</v>
      </c>
      <c r="S28" s="32" t="n">
        <f aca="false">IF(NOT(AssignmentTable[[#This Row],[_Valid]]=1),0,IF(N(INDEX(tsk_LateKey,AssignmentTable[[#This Row],[_TaskPos]]))&gt;0,1,0))</f>
        <v>0</v>
      </c>
      <c r="T28" s="32" t="n">
        <f aca="false">IF(NOT(AssignmentTable[[#This Row],[_Valid]]=1),0,IF(INDEX(tsk_Critical,AssignmentTable[[#This Row],[_TaskPos]])="Yes",1,0))</f>
        <v>0</v>
      </c>
      <c r="U2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29" customFormat="false" ht="15" hidden="false" customHeight="false" outlineLevel="0" collapsed="false">
      <c r="B29" s="46"/>
      <c r="C29" s="24" t="str">
        <f aca="false">IF(AssignmentTable[[#This Row],[_TaskPos]]&lt;=0,"",INDEX(tsk_Name,AssignmentTable[[#This Row],[_TaskPos]])&amp;"")</f>
        <v/>
      </c>
      <c r="D29" s="47"/>
      <c r="E29" s="93"/>
      <c r="F29" s="110" t="n">
        <f aca="false">IF(AssignmentTable[[#This Row],[_Valid]]=1,N(INDEX(tsk_Duration,AssignmentTable[[#This Row],[_TaskPos]]))*HoursPerDay*IF(AssignmentTable[[#This Row],[Units]]="",DefaultUnits,AssignmentTable[[#This Row],[Units]]),0)</f>
        <v>0</v>
      </c>
      <c r="G29" s="111" t="n">
        <f aca="false">IF(AssignmentTable[[#This Row],[Work]]=0,0,AssignmentTable[[#This Row],[Work]]*IFERROR(INDEX(res_Rate,MATCH(AssignmentTable[[#This Row],[Resource]],res_Name,0)),0))</f>
        <v>0</v>
      </c>
      <c r="H2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29" s="32" t="n">
        <f aca="false">IF(N(AssignmentTable[[#This Row],[Task UID]])=0,0,IFERROR(MATCH(AssignmentTable[[#This Row],[Task UID]],tsk_UID,0),-1))</f>
        <v>0</v>
      </c>
      <c r="J29" s="32" t="n">
        <f aca="false">IF(AND(AssignmentTable[[#This Row],[_TaskPos]]&gt;0,AssignmentTable[[#This Row],[Resource]]&lt;&gt;"",AssignmentTable[[#This Row],[Check]]=""),1,0)</f>
        <v>0</v>
      </c>
      <c r="K29" s="32" t="str">
        <f aca="false">IF(AssignmentTable[[#This Row],[_Valid]]=1,AssignmentTable[[#This Row],[Task UID]]*1000+COUNTIFS(AssignmentTable[[#Headers],[Task UID]]:AssignmentTable[[#This Row],[Task UID]],AssignmentTable[[#This Row],[Task UID]],AssignmentTable[[#Headers],[_Valid]]:AssignmentTable[[#This Row],[_Valid]],1),"")</f>
        <v/>
      </c>
      <c r="L29" s="32" t="str">
        <f aca="false">IF(AssignmentTable[[#This Row],[_Valid]]=1,AssignmentTable[[#This Row],[Resource]]&amp;IF(OR(AssignmentTable[[#This Row],[Units]]="",AssignmentTable[[#This Row],[Units]]=1),"","["&amp;ROUND(AssignmentTable[[#This Row],[Units]]*100,0)&amp;"%]"),"")</f>
        <v/>
      </c>
      <c r="M29" s="32" t="n">
        <f aca="false">IF(AssignmentTable[[#This Row],[_Valid]]=1,N(INDEX(tsk_StartWD,AssignmentTable[[#This Row],[_TaskPos]])),0)</f>
        <v>0</v>
      </c>
      <c r="N29" s="32" t="n">
        <f aca="false">IF(AssignmentTable[[#This Row],[_Valid]]=1,N(INDEX(tsk_FinishWD,AssignmentTable[[#This Row],[_TaskPos]])),0)</f>
        <v>0</v>
      </c>
      <c r="O29" s="32" t="n">
        <f aca="false">IF(OR(AssignmentTable[[#This Row],[Work]]=0,AssignmentTable[[#This Row],[_FinishWD]]=0),0,AssignmentTable[[#This Row],[Work]]/(AssignmentTable[[#This Row],[_FinishWD]]-AssignmentTable[[#This Row],[_StartWD]]+1))</f>
        <v>0</v>
      </c>
      <c r="P29" s="32" t="n">
        <f aca="false">AssignmentTable[[#This Row],[_WorkPerWD]]*MAX(0,AssignmentTable[[#This Row],[_StartWD]]-1)</f>
        <v>0</v>
      </c>
      <c r="Q29" s="32" t="n">
        <f aca="false">IF(AssignmentTable[[#This Row],[_Valid]]=1,AssignmentTable[[#This Row],[Work]]*N(INDEX(tsk_LeafProgress,AssignmentTable[[#This Row],[_TaskPos]])),0)</f>
        <v>0</v>
      </c>
      <c r="R29" s="32" t="n">
        <f aca="false">IF(NOT(AssignmentTable[[#This Row],[_Valid]]=1),0,IF(N(INDEX(tsk_LeafTotalCost,AssignmentTable[[#This Row],[_TaskPos]]))=0,0,N(INDEX(tsk_LeafAC,AssignmentTable[[#This Row],[_TaskPos]]))*AssignmentTable[[#This Row],[Cost]]/INDEX(tsk_LeafTotalCost,AssignmentTable[[#This Row],[_TaskPos]])))</f>
        <v>0</v>
      </c>
      <c r="S29" s="32" t="n">
        <f aca="false">IF(NOT(AssignmentTable[[#This Row],[_Valid]]=1),0,IF(N(INDEX(tsk_LateKey,AssignmentTable[[#This Row],[_TaskPos]]))&gt;0,1,0))</f>
        <v>0</v>
      </c>
      <c r="T29" s="32" t="n">
        <f aca="false">IF(NOT(AssignmentTable[[#This Row],[_Valid]]=1),0,IF(INDEX(tsk_Critical,AssignmentTable[[#This Row],[_TaskPos]])="Yes",1,0))</f>
        <v>0</v>
      </c>
      <c r="U2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0" customFormat="false" ht="15" hidden="false" customHeight="false" outlineLevel="0" collapsed="false">
      <c r="B30" s="46"/>
      <c r="C30" s="24" t="str">
        <f aca="false">IF(AssignmentTable[[#This Row],[_TaskPos]]&lt;=0,"",INDEX(tsk_Name,AssignmentTable[[#This Row],[_TaskPos]])&amp;"")</f>
        <v/>
      </c>
      <c r="D30" s="47"/>
      <c r="E30" s="93"/>
      <c r="F30" s="110" t="n">
        <f aca="false">IF(AssignmentTable[[#This Row],[_Valid]]=1,N(INDEX(tsk_Duration,AssignmentTable[[#This Row],[_TaskPos]]))*HoursPerDay*IF(AssignmentTable[[#This Row],[Units]]="",DefaultUnits,AssignmentTable[[#This Row],[Units]]),0)</f>
        <v>0</v>
      </c>
      <c r="G30" s="111" t="n">
        <f aca="false">IF(AssignmentTable[[#This Row],[Work]]=0,0,AssignmentTable[[#This Row],[Work]]*IFERROR(INDEX(res_Rate,MATCH(AssignmentTable[[#This Row],[Resource]],res_Name,0)),0))</f>
        <v>0</v>
      </c>
      <c r="H3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0" s="32" t="n">
        <f aca="false">IF(N(AssignmentTable[[#This Row],[Task UID]])=0,0,IFERROR(MATCH(AssignmentTable[[#This Row],[Task UID]],tsk_UID,0),-1))</f>
        <v>0</v>
      </c>
      <c r="J30" s="32" t="n">
        <f aca="false">IF(AND(AssignmentTable[[#This Row],[_TaskPos]]&gt;0,AssignmentTable[[#This Row],[Resource]]&lt;&gt;"",AssignmentTable[[#This Row],[Check]]=""),1,0)</f>
        <v>0</v>
      </c>
      <c r="K30" s="32" t="str">
        <f aca="false">IF(AssignmentTable[[#This Row],[_Valid]]=1,AssignmentTable[[#This Row],[Task UID]]*1000+COUNTIFS(AssignmentTable[[#Headers],[Task UID]]:AssignmentTable[[#This Row],[Task UID]],AssignmentTable[[#This Row],[Task UID]],AssignmentTable[[#Headers],[_Valid]]:AssignmentTable[[#This Row],[_Valid]],1),"")</f>
        <v/>
      </c>
      <c r="L30" s="32" t="str">
        <f aca="false">IF(AssignmentTable[[#This Row],[_Valid]]=1,AssignmentTable[[#This Row],[Resource]]&amp;IF(OR(AssignmentTable[[#This Row],[Units]]="",AssignmentTable[[#This Row],[Units]]=1),"","["&amp;ROUND(AssignmentTable[[#This Row],[Units]]*100,0)&amp;"%]"),"")</f>
        <v/>
      </c>
      <c r="M30" s="32" t="n">
        <f aca="false">IF(AssignmentTable[[#This Row],[_Valid]]=1,N(INDEX(tsk_StartWD,AssignmentTable[[#This Row],[_TaskPos]])),0)</f>
        <v>0</v>
      </c>
      <c r="N30" s="32" t="n">
        <f aca="false">IF(AssignmentTable[[#This Row],[_Valid]]=1,N(INDEX(tsk_FinishWD,AssignmentTable[[#This Row],[_TaskPos]])),0)</f>
        <v>0</v>
      </c>
      <c r="O30" s="32" t="n">
        <f aca="false">IF(OR(AssignmentTable[[#This Row],[Work]]=0,AssignmentTable[[#This Row],[_FinishWD]]=0),0,AssignmentTable[[#This Row],[Work]]/(AssignmentTable[[#This Row],[_FinishWD]]-AssignmentTable[[#This Row],[_StartWD]]+1))</f>
        <v>0</v>
      </c>
      <c r="P30" s="32" t="n">
        <f aca="false">AssignmentTable[[#This Row],[_WorkPerWD]]*MAX(0,AssignmentTable[[#This Row],[_StartWD]]-1)</f>
        <v>0</v>
      </c>
      <c r="Q30" s="32" t="n">
        <f aca="false">IF(AssignmentTable[[#This Row],[_Valid]]=1,AssignmentTable[[#This Row],[Work]]*N(INDEX(tsk_LeafProgress,AssignmentTable[[#This Row],[_TaskPos]])),0)</f>
        <v>0</v>
      </c>
      <c r="R30" s="32" t="n">
        <f aca="false">IF(NOT(AssignmentTable[[#This Row],[_Valid]]=1),0,IF(N(INDEX(tsk_LeafTotalCost,AssignmentTable[[#This Row],[_TaskPos]]))=0,0,N(INDEX(tsk_LeafAC,AssignmentTable[[#This Row],[_TaskPos]]))*AssignmentTable[[#This Row],[Cost]]/INDEX(tsk_LeafTotalCost,AssignmentTable[[#This Row],[_TaskPos]])))</f>
        <v>0</v>
      </c>
      <c r="S30" s="32" t="n">
        <f aca="false">IF(NOT(AssignmentTable[[#This Row],[_Valid]]=1),0,IF(N(INDEX(tsk_LateKey,AssignmentTable[[#This Row],[_TaskPos]]))&gt;0,1,0))</f>
        <v>0</v>
      </c>
      <c r="T30" s="32" t="n">
        <f aca="false">IF(NOT(AssignmentTable[[#This Row],[_Valid]]=1),0,IF(INDEX(tsk_Critical,AssignmentTable[[#This Row],[_TaskPos]])="Yes",1,0))</f>
        <v>0</v>
      </c>
      <c r="U3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1" customFormat="false" ht="15" hidden="false" customHeight="false" outlineLevel="0" collapsed="false">
      <c r="B31" s="46"/>
      <c r="C31" s="24" t="str">
        <f aca="false">IF(AssignmentTable[[#This Row],[_TaskPos]]&lt;=0,"",INDEX(tsk_Name,AssignmentTable[[#This Row],[_TaskPos]])&amp;"")</f>
        <v/>
      </c>
      <c r="D31" s="47"/>
      <c r="E31" s="93"/>
      <c r="F31" s="110" t="n">
        <f aca="false">IF(AssignmentTable[[#This Row],[_Valid]]=1,N(INDEX(tsk_Duration,AssignmentTable[[#This Row],[_TaskPos]]))*HoursPerDay*IF(AssignmentTable[[#This Row],[Units]]="",DefaultUnits,AssignmentTable[[#This Row],[Units]]),0)</f>
        <v>0</v>
      </c>
      <c r="G31" s="111" t="n">
        <f aca="false">IF(AssignmentTable[[#This Row],[Work]]=0,0,AssignmentTable[[#This Row],[Work]]*IFERROR(INDEX(res_Rate,MATCH(AssignmentTable[[#This Row],[Resource]],res_Name,0)),0))</f>
        <v>0</v>
      </c>
      <c r="H3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1" s="32" t="n">
        <f aca="false">IF(N(AssignmentTable[[#This Row],[Task UID]])=0,0,IFERROR(MATCH(AssignmentTable[[#This Row],[Task UID]],tsk_UID,0),-1))</f>
        <v>0</v>
      </c>
      <c r="J31" s="32" t="n">
        <f aca="false">IF(AND(AssignmentTable[[#This Row],[_TaskPos]]&gt;0,AssignmentTable[[#This Row],[Resource]]&lt;&gt;"",AssignmentTable[[#This Row],[Check]]=""),1,0)</f>
        <v>0</v>
      </c>
      <c r="K31" s="32" t="str">
        <f aca="false">IF(AssignmentTable[[#This Row],[_Valid]]=1,AssignmentTable[[#This Row],[Task UID]]*1000+COUNTIFS(AssignmentTable[[#Headers],[Task UID]]:AssignmentTable[[#This Row],[Task UID]],AssignmentTable[[#This Row],[Task UID]],AssignmentTable[[#Headers],[_Valid]]:AssignmentTable[[#This Row],[_Valid]],1),"")</f>
        <v/>
      </c>
      <c r="L31" s="32" t="str">
        <f aca="false">IF(AssignmentTable[[#This Row],[_Valid]]=1,AssignmentTable[[#This Row],[Resource]]&amp;IF(OR(AssignmentTable[[#This Row],[Units]]="",AssignmentTable[[#This Row],[Units]]=1),"","["&amp;ROUND(AssignmentTable[[#This Row],[Units]]*100,0)&amp;"%]"),"")</f>
        <v/>
      </c>
      <c r="M31" s="32" t="n">
        <f aca="false">IF(AssignmentTable[[#This Row],[_Valid]]=1,N(INDEX(tsk_StartWD,AssignmentTable[[#This Row],[_TaskPos]])),0)</f>
        <v>0</v>
      </c>
      <c r="N31" s="32" t="n">
        <f aca="false">IF(AssignmentTable[[#This Row],[_Valid]]=1,N(INDEX(tsk_FinishWD,AssignmentTable[[#This Row],[_TaskPos]])),0)</f>
        <v>0</v>
      </c>
      <c r="O31" s="32" t="n">
        <f aca="false">IF(OR(AssignmentTable[[#This Row],[Work]]=0,AssignmentTable[[#This Row],[_FinishWD]]=0),0,AssignmentTable[[#This Row],[Work]]/(AssignmentTable[[#This Row],[_FinishWD]]-AssignmentTable[[#This Row],[_StartWD]]+1))</f>
        <v>0</v>
      </c>
      <c r="P31" s="32" t="n">
        <f aca="false">AssignmentTable[[#This Row],[_WorkPerWD]]*MAX(0,AssignmentTable[[#This Row],[_StartWD]]-1)</f>
        <v>0</v>
      </c>
      <c r="Q31" s="32" t="n">
        <f aca="false">IF(AssignmentTable[[#This Row],[_Valid]]=1,AssignmentTable[[#This Row],[Work]]*N(INDEX(tsk_LeafProgress,AssignmentTable[[#This Row],[_TaskPos]])),0)</f>
        <v>0</v>
      </c>
      <c r="R31" s="32" t="n">
        <f aca="false">IF(NOT(AssignmentTable[[#This Row],[_Valid]]=1),0,IF(N(INDEX(tsk_LeafTotalCost,AssignmentTable[[#This Row],[_TaskPos]]))=0,0,N(INDEX(tsk_LeafAC,AssignmentTable[[#This Row],[_TaskPos]]))*AssignmentTable[[#This Row],[Cost]]/INDEX(tsk_LeafTotalCost,AssignmentTable[[#This Row],[_TaskPos]])))</f>
        <v>0</v>
      </c>
      <c r="S31" s="32" t="n">
        <f aca="false">IF(NOT(AssignmentTable[[#This Row],[_Valid]]=1),0,IF(N(INDEX(tsk_LateKey,AssignmentTable[[#This Row],[_TaskPos]]))&gt;0,1,0))</f>
        <v>0</v>
      </c>
      <c r="T31" s="32" t="n">
        <f aca="false">IF(NOT(AssignmentTable[[#This Row],[_Valid]]=1),0,IF(INDEX(tsk_Critical,AssignmentTable[[#This Row],[_TaskPos]])="Yes",1,0))</f>
        <v>0</v>
      </c>
      <c r="U3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2" customFormat="false" ht="15" hidden="false" customHeight="false" outlineLevel="0" collapsed="false">
      <c r="B32" s="46"/>
      <c r="C32" s="24" t="str">
        <f aca="false">IF(AssignmentTable[[#This Row],[_TaskPos]]&lt;=0,"",INDEX(tsk_Name,AssignmentTable[[#This Row],[_TaskPos]])&amp;"")</f>
        <v/>
      </c>
      <c r="D32" s="47"/>
      <c r="E32" s="93"/>
      <c r="F32" s="110" t="n">
        <f aca="false">IF(AssignmentTable[[#This Row],[_Valid]]=1,N(INDEX(tsk_Duration,AssignmentTable[[#This Row],[_TaskPos]]))*HoursPerDay*IF(AssignmentTable[[#This Row],[Units]]="",DefaultUnits,AssignmentTable[[#This Row],[Units]]),0)</f>
        <v>0</v>
      </c>
      <c r="G32" s="111" t="n">
        <f aca="false">IF(AssignmentTable[[#This Row],[Work]]=0,0,AssignmentTable[[#This Row],[Work]]*IFERROR(INDEX(res_Rate,MATCH(AssignmentTable[[#This Row],[Resource]],res_Name,0)),0))</f>
        <v>0</v>
      </c>
      <c r="H3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2" s="32" t="n">
        <f aca="false">IF(N(AssignmentTable[[#This Row],[Task UID]])=0,0,IFERROR(MATCH(AssignmentTable[[#This Row],[Task UID]],tsk_UID,0),-1))</f>
        <v>0</v>
      </c>
      <c r="J32" s="32" t="n">
        <f aca="false">IF(AND(AssignmentTable[[#This Row],[_TaskPos]]&gt;0,AssignmentTable[[#This Row],[Resource]]&lt;&gt;"",AssignmentTable[[#This Row],[Check]]=""),1,0)</f>
        <v>0</v>
      </c>
      <c r="K32" s="32" t="str">
        <f aca="false">IF(AssignmentTable[[#This Row],[_Valid]]=1,AssignmentTable[[#This Row],[Task UID]]*1000+COUNTIFS(AssignmentTable[[#Headers],[Task UID]]:AssignmentTable[[#This Row],[Task UID]],AssignmentTable[[#This Row],[Task UID]],AssignmentTable[[#Headers],[_Valid]]:AssignmentTable[[#This Row],[_Valid]],1),"")</f>
        <v/>
      </c>
      <c r="L32" s="32" t="str">
        <f aca="false">IF(AssignmentTable[[#This Row],[_Valid]]=1,AssignmentTable[[#This Row],[Resource]]&amp;IF(OR(AssignmentTable[[#This Row],[Units]]="",AssignmentTable[[#This Row],[Units]]=1),"","["&amp;ROUND(AssignmentTable[[#This Row],[Units]]*100,0)&amp;"%]"),"")</f>
        <v/>
      </c>
      <c r="M32" s="32" t="n">
        <f aca="false">IF(AssignmentTable[[#This Row],[_Valid]]=1,N(INDEX(tsk_StartWD,AssignmentTable[[#This Row],[_TaskPos]])),0)</f>
        <v>0</v>
      </c>
      <c r="N32" s="32" t="n">
        <f aca="false">IF(AssignmentTable[[#This Row],[_Valid]]=1,N(INDEX(tsk_FinishWD,AssignmentTable[[#This Row],[_TaskPos]])),0)</f>
        <v>0</v>
      </c>
      <c r="O32" s="32" t="n">
        <f aca="false">IF(OR(AssignmentTable[[#This Row],[Work]]=0,AssignmentTable[[#This Row],[_FinishWD]]=0),0,AssignmentTable[[#This Row],[Work]]/(AssignmentTable[[#This Row],[_FinishWD]]-AssignmentTable[[#This Row],[_StartWD]]+1))</f>
        <v>0</v>
      </c>
      <c r="P32" s="32" t="n">
        <f aca="false">AssignmentTable[[#This Row],[_WorkPerWD]]*MAX(0,AssignmentTable[[#This Row],[_StartWD]]-1)</f>
        <v>0</v>
      </c>
      <c r="Q32" s="32" t="n">
        <f aca="false">IF(AssignmentTable[[#This Row],[_Valid]]=1,AssignmentTable[[#This Row],[Work]]*N(INDEX(tsk_LeafProgress,AssignmentTable[[#This Row],[_TaskPos]])),0)</f>
        <v>0</v>
      </c>
      <c r="R32" s="32" t="n">
        <f aca="false">IF(NOT(AssignmentTable[[#This Row],[_Valid]]=1),0,IF(N(INDEX(tsk_LeafTotalCost,AssignmentTable[[#This Row],[_TaskPos]]))=0,0,N(INDEX(tsk_LeafAC,AssignmentTable[[#This Row],[_TaskPos]]))*AssignmentTable[[#This Row],[Cost]]/INDEX(tsk_LeafTotalCost,AssignmentTable[[#This Row],[_TaskPos]])))</f>
        <v>0</v>
      </c>
      <c r="S32" s="32" t="n">
        <f aca="false">IF(NOT(AssignmentTable[[#This Row],[_Valid]]=1),0,IF(N(INDEX(tsk_LateKey,AssignmentTable[[#This Row],[_TaskPos]]))&gt;0,1,0))</f>
        <v>0</v>
      </c>
      <c r="T32" s="32" t="n">
        <f aca="false">IF(NOT(AssignmentTable[[#This Row],[_Valid]]=1),0,IF(INDEX(tsk_Critical,AssignmentTable[[#This Row],[_TaskPos]])="Yes",1,0))</f>
        <v>0</v>
      </c>
      <c r="U3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3" customFormat="false" ht="15" hidden="false" customHeight="false" outlineLevel="0" collapsed="false">
      <c r="B33" s="46"/>
      <c r="C33" s="24" t="str">
        <f aca="false">IF(AssignmentTable[[#This Row],[_TaskPos]]&lt;=0,"",INDEX(tsk_Name,AssignmentTable[[#This Row],[_TaskPos]])&amp;"")</f>
        <v/>
      </c>
      <c r="D33" s="47"/>
      <c r="E33" s="93"/>
      <c r="F33" s="110" t="n">
        <f aca="false">IF(AssignmentTable[[#This Row],[_Valid]]=1,N(INDEX(tsk_Duration,AssignmentTable[[#This Row],[_TaskPos]]))*HoursPerDay*IF(AssignmentTable[[#This Row],[Units]]="",DefaultUnits,AssignmentTable[[#This Row],[Units]]),0)</f>
        <v>0</v>
      </c>
      <c r="G33" s="111" t="n">
        <f aca="false">IF(AssignmentTable[[#This Row],[Work]]=0,0,AssignmentTable[[#This Row],[Work]]*IFERROR(INDEX(res_Rate,MATCH(AssignmentTable[[#This Row],[Resource]],res_Name,0)),0))</f>
        <v>0</v>
      </c>
      <c r="H3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3" s="32" t="n">
        <f aca="false">IF(N(AssignmentTable[[#This Row],[Task UID]])=0,0,IFERROR(MATCH(AssignmentTable[[#This Row],[Task UID]],tsk_UID,0),-1))</f>
        <v>0</v>
      </c>
      <c r="J33" s="32" t="n">
        <f aca="false">IF(AND(AssignmentTable[[#This Row],[_TaskPos]]&gt;0,AssignmentTable[[#This Row],[Resource]]&lt;&gt;"",AssignmentTable[[#This Row],[Check]]=""),1,0)</f>
        <v>0</v>
      </c>
      <c r="K33" s="32" t="str">
        <f aca="false">IF(AssignmentTable[[#This Row],[_Valid]]=1,AssignmentTable[[#This Row],[Task UID]]*1000+COUNTIFS(AssignmentTable[[#Headers],[Task UID]]:AssignmentTable[[#This Row],[Task UID]],AssignmentTable[[#This Row],[Task UID]],AssignmentTable[[#Headers],[_Valid]]:AssignmentTable[[#This Row],[_Valid]],1),"")</f>
        <v/>
      </c>
      <c r="L33" s="32" t="str">
        <f aca="false">IF(AssignmentTable[[#This Row],[_Valid]]=1,AssignmentTable[[#This Row],[Resource]]&amp;IF(OR(AssignmentTable[[#This Row],[Units]]="",AssignmentTable[[#This Row],[Units]]=1),"","["&amp;ROUND(AssignmentTable[[#This Row],[Units]]*100,0)&amp;"%]"),"")</f>
        <v/>
      </c>
      <c r="M33" s="32" t="n">
        <f aca="false">IF(AssignmentTable[[#This Row],[_Valid]]=1,N(INDEX(tsk_StartWD,AssignmentTable[[#This Row],[_TaskPos]])),0)</f>
        <v>0</v>
      </c>
      <c r="N33" s="32" t="n">
        <f aca="false">IF(AssignmentTable[[#This Row],[_Valid]]=1,N(INDEX(tsk_FinishWD,AssignmentTable[[#This Row],[_TaskPos]])),0)</f>
        <v>0</v>
      </c>
      <c r="O33" s="32" t="n">
        <f aca="false">IF(OR(AssignmentTable[[#This Row],[Work]]=0,AssignmentTable[[#This Row],[_FinishWD]]=0),0,AssignmentTable[[#This Row],[Work]]/(AssignmentTable[[#This Row],[_FinishWD]]-AssignmentTable[[#This Row],[_StartWD]]+1))</f>
        <v>0</v>
      </c>
      <c r="P33" s="32" t="n">
        <f aca="false">AssignmentTable[[#This Row],[_WorkPerWD]]*MAX(0,AssignmentTable[[#This Row],[_StartWD]]-1)</f>
        <v>0</v>
      </c>
      <c r="Q33" s="32" t="n">
        <f aca="false">IF(AssignmentTable[[#This Row],[_Valid]]=1,AssignmentTable[[#This Row],[Work]]*N(INDEX(tsk_LeafProgress,AssignmentTable[[#This Row],[_TaskPos]])),0)</f>
        <v>0</v>
      </c>
      <c r="R33" s="32" t="n">
        <f aca="false">IF(NOT(AssignmentTable[[#This Row],[_Valid]]=1),0,IF(N(INDEX(tsk_LeafTotalCost,AssignmentTable[[#This Row],[_TaskPos]]))=0,0,N(INDEX(tsk_LeafAC,AssignmentTable[[#This Row],[_TaskPos]]))*AssignmentTable[[#This Row],[Cost]]/INDEX(tsk_LeafTotalCost,AssignmentTable[[#This Row],[_TaskPos]])))</f>
        <v>0</v>
      </c>
      <c r="S33" s="32" t="n">
        <f aca="false">IF(NOT(AssignmentTable[[#This Row],[_Valid]]=1),0,IF(N(INDEX(tsk_LateKey,AssignmentTable[[#This Row],[_TaskPos]]))&gt;0,1,0))</f>
        <v>0</v>
      </c>
      <c r="T33" s="32" t="n">
        <f aca="false">IF(NOT(AssignmentTable[[#This Row],[_Valid]]=1),0,IF(INDEX(tsk_Critical,AssignmentTable[[#This Row],[_TaskPos]])="Yes",1,0))</f>
        <v>0</v>
      </c>
      <c r="U3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4" customFormat="false" ht="15" hidden="false" customHeight="false" outlineLevel="0" collapsed="false">
      <c r="B34" s="46"/>
      <c r="C34" s="24" t="str">
        <f aca="false">IF(AssignmentTable[[#This Row],[_TaskPos]]&lt;=0,"",INDEX(tsk_Name,AssignmentTable[[#This Row],[_TaskPos]])&amp;"")</f>
        <v/>
      </c>
      <c r="D34" s="47"/>
      <c r="E34" s="93"/>
      <c r="F34" s="110" t="n">
        <f aca="false">IF(AssignmentTable[[#This Row],[_Valid]]=1,N(INDEX(tsk_Duration,AssignmentTable[[#This Row],[_TaskPos]]))*HoursPerDay*IF(AssignmentTable[[#This Row],[Units]]="",DefaultUnits,AssignmentTable[[#This Row],[Units]]),0)</f>
        <v>0</v>
      </c>
      <c r="G34" s="111" t="n">
        <f aca="false">IF(AssignmentTable[[#This Row],[Work]]=0,0,AssignmentTable[[#This Row],[Work]]*IFERROR(INDEX(res_Rate,MATCH(AssignmentTable[[#This Row],[Resource]],res_Name,0)),0))</f>
        <v>0</v>
      </c>
      <c r="H3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4" s="32" t="n">
        <f aca="false">IF(N(AssignmentTable[[#This Row],[Task UID]])=0,0,IFERROR(MATCH(AssignmentTable[[#This Row],[Task UID]],tsk_UID,0),-1))</f>
        <v>0</v>
      </c>
      <c r="J34" s="32" t="n">
        <f aca="false">IF(AND(AssignmentTable[[#This Row],[_TaskPos]]&gt;0,AssignmentTable[[#This Row],[Resource]]&lt;&gt;"",AssignmentTable[[#This Row],[Check]]=""),1,0)</f>
        <v>0</v>
      </c>
      <c r="K34" s="32" t="str">
        <f aca="false">IF(AssignmentTable[[#This Row],[_Valid]]=1,AssignmentTable[[#This Row],[Task UID]]*1000+COUNTIFS(AssignmentTable[[#Headers],[Task UID]]:AssignmentTable[[#This Row],[Task UID]],AssignmentTable[[#This Row],[Task UID]],AssignmentTable[[#Headers],[_Valid]]:AssignmentTable[[#This Row],[_Valid]],1),"")</f>
        <v/>
      </c>
      <c r="L34" s="32" t="str">
        <f aca="false">IF(AssignmentTable[[#This Row],[_Valid]]=1,AssignmentTable[[#This Row],[Resource]]&amp;IF(OR(AssignmentTable[[#This Row],[Units]]="",AssignmentTable[[#This Row],[Units]]=1),"","["&amp;ROUND(AssignmentTable[[#This Row],[Units]]*100,0)&amp;"%]"),"")</f>
        <v/>
      </c>
      <c r="M34" s="32" t="n">
        <f aca="false">IF(AssignmentTable[[#This Row],[_Valid]]=1,N(INDEX(tsk_StartWD,AssignmentTable[[#This Row],[_TaskPos]])),0)</f>
        <v>0</v>
      </c>
      <c r="N34" s="32" t="n">
        <f aca="false">IF(AssignmentTable[[#This Row],[_Valid]]=1,N(INDEX(tsk_FinishWD,AssignmentTable[[#This Row],[_TaskPos]])),0)</f>
        <v>0</v>
      </c>
      <c r="O34" s="32" t="n">
        <f aca="false">IF(OR(AssignmentTable[[#This Row],[Work]]=0,AssignmentTable[[#This Row],[_FinishWD]]=0),0,AssignmentTable[[#This Row],[Work]]/(AssignmentTable[[#This Row],[_FinishWD]]-AssignmentTable[[#This Row],[_StartWD]]+1))</f>
        <v>0</v>
      </c>
      <c r="P34" s="32" t="n">
        <f aca="false">AssignmentTable[[#This Row],[_WorkPerWD]]*MAX(0,AssignmentTable[[#This Row],[_StartWD]]-1)</f>
        <v>0</v>
      </c>
      <c r="Q34" s="32" t="n">
        <f aca="false">IF(AssignmentTable[[#This Row],[_Valid]]=1,AssignmentTable[[#This Row],[Work]]*N(INDEX(tsk_LeafProgress,AssignmentTable[[#This Row],[_TaskPos]])),0)</f>
        <v>0</v>
      </c>
      <c r="R34" s="32" t="n">
        <f aca="false">IF(NOT(AssignmentTable[[#This Row],[_Valid]]=1),0,IF(N(INDEX(tsk_LeafTotalCost,AssignmentTable[[#This Row],[_TaskPos]]))=0,0,N(INDEX(tsk_LeafAC,AssignmentTable[[#This Row],[_TaskPos]]))*AssignmentTable[[#This Row],[Cost]]/INDEX(tsk_LeafTotalCost,AssignmentTable[[#This Row],[_TaskPos]])))</f>
        <v>0</v>
      </c>
      <c r="S34" s="32" t="n">
        <f aca="false">IF(NOT(AssignmentTable[[#This Row],[_Valid]]=1),0,IF(N(INDEX(tsk_LateKey,AssignmentTable[[#This Row],[_TaskPos]]))&gt;0,1,0))</f>
        <v>0</v>
      </c>
      <c r="T34" s="32" t="n">
        <f aca="false">IF(NOT(AssignmentTable[[#This Row],[_Valid]]=1),0,IF(INDEX(tsk_Critical,AssignmentTable[[#This Row],[_TaskPos]])="Yes",1,0))</f>
        <v>0</v>
      </c>
      <c r="U3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5" customFormat="false" ht="15" hidden="false" customHeight="false" outlineLevel="0" collapsed="false">
      <c r="B35" s="46"/>
      <c r="C35" s="24" t="str">
        <f aca="false">IF(AssignmentTable[[#This Row],[_TaskPos]]&lt;=0,"",INDEX(tsk_Name,AssignmentTable[[#This Row],[_TaskPos]])&amp;"")</f>
        <v/>
      </c>
      <c r="D35" s="47"/>
      <c r="E35" s="93"/>
      <c r="F35" s="110" t="n">
        <f aca="false">IF(AssignmentTable[[#This Row],[_Valid]]=1,N(INDEX(tsk_Duration,AssignmentTable[[#This Row],[_TaskPos]]))*HoursPerDay*IF(AssignmentTable[[#This Row],[Units]]="",DefaultUnits,AssignmentTable[[#This Row],[Units]]),0)</f>
        <v>0</v>
      </c>
      <c r="G35" s="111" t="n">
        <f aca="false">IF(AssignmentTable[[#This Row],[Work]]=0,0,AssignmentTable[[#This Row],[Work]]*IFERROR(INDEX(res_Rate,MATCH(AssignmentTable[[#This Row],[Resource]],res_Name,0)),0))</f>
        <v>0</v>
      </c>
      <c r="H3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5" s="32" t="n">
        <f aca="false">IF(N(AssignmentTable[[#This Row],[Task UID]])=0,0,IFERROR(MATCH(AssignmentTable[[#This Row],[Task UID]],tsk_UID,0),-1))</f>
        <v>0</v>
      </c>
      <c r="J35" s="32" t="n">
        <f aca="false">IF(AND(AssignmentTable[[#This Row],[_TaskPos]]&gt;0,AssignmentTable[[#This Row],[Resource]]&lt;&gt;"",AssignmentTable[[#This Row],[Check]]=""),1,0)</f>
        <v>0</v>
      </c>
      <c r="K35" s="32" t="str">
        <f aca="false">IF(AssignmentTable[[#This Row],[_Valid]]=1,AssignmentTable[[#This Row],[Task UID]]*1000+COUNTIFS(AssignmentTable[[#Headers],[Task UID]]:AssignmentTable[[#This Row],[Task UID]],AssignmentTable[[#This Row],[Task UID]],AssignmentTable[[#Headers],[_Valid]]:AssignmentTable[[#This Row],[_Valid]],1),"")</f>
        <v/>
      </c>
      <c r="L35" s="32" t="str">
        <f aca="false">IF(AssignmentTable[[#This Row],[_Valid]]=1,AssignmentTable[[#This Row],[Resource]]&amp;IF(OR(AssignmentTable[[#This Row],[Units]]="",AssignmentTable[[#This Row],[Units]]=1),"","["&amp;ROUND(AssignmentTable[[#This Row],[Units]]*100,0)&amp;"%]"),"")</f>
        <v/>
      </c>
      <c r="M35" s="32" t="n">
        <f aca="false">IF(AssignmentTable[[#This Row],[_Valid]]=1,N(INDEX(tsk_StartWD,AssignmentTable[[#This Row],[_TaskPos]])),0)</f>
        <v>0</v>
      </c>
      <c r="N35" s="32" t="n">
        <f aca="false">IF(AssignmentTable[[#This Row],[_Valid]]=1,N(INDEX(tsk_FinishWD,AssignmentTable[[#This Row],[_TaskPos]])),0)</f>
        <v>0</v>
      </c>
      <c r="O35" s="32" t="n">
        <f aca="false">IF(OR(AssignmentTable[[#This Row],[Work]]=0,AssignmentTable[[#This Row],[_FinishWD]]=0),0,AssignmentTable[[#This Row],[Work]]/(AssignmentTable[[#This Row],[_FinishWD]]-AssignmentTable[[#This Row],[_StartWD]]+1))</f>
        <v>0</v>
      </c>
      <c r="P35" s="32" t="n">
        <f aca="false">AssignmentTable[[#This Row],[_WorkPerWD]]*MAX(0,AssignmentTable[[#This Row],[_StartWD]]-1)</f>
        <v>0</v>
      </c>
      <c r="Q35" s="32" t="n">
        <f aca="false">IF(AssignmentTable[[#This Row],[_Valid]]=1,AssignmentTable[[#This Row],[Work]]*N(INDEX(tsk_LeafProgress,AssignmentTable[[#This Row],[_TaskPos]])),0)</f>
        <v>0</v>
      </c>
      <c r="R35" s="32" t="n">
        <f aca="false">IF(NOT(AssignmentTable[[#This Row],[_Valid]]=1),0,IF(N(INDEX(tsk_LeafTotalCost,AssignmentTable[[#This Row],[_TaskPos]]))=0,0,N(INDEX(tsk_LeafAC,AssignmentTable[[#This Row],[_TaskPos]]))*AssignmentTable[[#This Row],[Cost]]/INDEX(tsk_LeafTotalCost,AssignmentTable[[#This Row],[_TaskPos]])))</f>
        <v>0</v>
      </c>
      <c r="S35" s="32" t="n">
        <f aca="false">IF(NOT(AssignmentTable[[#This Row],[_Valid]]=1),0,IF(N(INDEX(tsk_LateKey,AssignmentTable[[#This Row],[_TaskPos]]))&gt;0,1,0))</f>
        <v>0</v>
      </c>
      <c r="T35" s="32" t="n">
        <f aca="false">IF(NOT(AssignmentTable[[#This Row],[_Valid]]=1),0,IF(INDEX(tsk_Critical,AssignmentTable[[#This Row],[_TaskPos]])="Yes",1,0))</f>
        <v>0</v>
      </c>
      <c r="U3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6" customFormat="false" ht="15" hidden="false" customHeight="false" outlineLevel="0" collapsed="false">
      <c r="B36" s="46"/>
      <c r="C36" s="24" t="str">
        <f aca="false">IF(AssignmentTable[[#This Row],[_TaskPos]]&lt;=0,"",INDEX(tsk_Name,AssignmentTable[[#This Row],[_TaskPos]])&amp;"")</f>
        <v/>
      </c>
      <c r="D36" s="47"/>
      <c r="E36" s="93"/>
      <c r="F36" s="110" t="n">
        <f aca="false">IF(AssignmentTable[[#This Row],[_Valid]]=1,N(INDEX(tsk_Duration,AssignmentTable[[#This Row],[_TaskPos]]))*HoursPerDay*IF(AssignmentTable[[#This Row],[Units]]="",DefaultUnits,AssignmentTable[[#This Row],[Units]]),0)</f>
        <v>0</v>
      </c>
      <c r="G36" s="111" t="n">
        <f aca="false">IF(AssignmentTable[[#This Row],[Work]]=0,0,AssignmentTable[[#This Row],[Work]]*IFERROR(INDEX(res_Rate,MATCH(AssignmentTable[[#This Row],[Resource]],res_Name,0)),0))</f>
        <v>0</v>
      </c>
      <c r="H3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6" s="32" t="n">
        <f aca="false">IF(N(AssignmentTable[[#This Row],[Task UID]])=0,0,IFERROR(MATCH(AssignmentTable[[#This Row],[Task UID]],tsk_UID,0),-1))</f>
        <v>0</v>
      </c>
      <c r="J36" s="32" t="n">
        <f aca="false">IF(AND(AssignmentTable[[#This Row],[_TaskPos]]&gt;0,AssignmentTable[[#This Row],[Resource]]&lt;&gt;"",AssignmentTable[[#This Row],[Check]]=""),1,0)</f>
        <v>0</v>
      </c>
      <c r="K36" s="32" t="str">
        <f aca="false">IF(AssignmentTable[[#This Row],[_Valid]]=1,AssignmentTable[[#This Row],[Task UID]]*1000+COUNTIFS(AssignmentTable[[#Headers],[Task UID]]:AssignmentTable[[#This Row],[Task UID]],AssignmentTable[[#This Row],[Task UID]],AssignmentTable[[#Headers],[_Valid]]:AssignmentTable[[#This Row],[_Valid]],1),"")</f>
        <v/>
      </c>
      <c r="L36" s="32" t="str">
        <f aca="false">IF(AssignmentTable[[#This Row],[_Valid]]=1,AssignmentTable[[#This Row],[Resource]]&amp;IF(OR(AssignmentTable[[#This Row],[Units]]="",AssignmentTable[[#This Row],[Units]]=1),"","["&amp;ROUND(AssignmentTable[[#This Row],[Units]]*100,0)&amp;"%]"),"")</f>
        <v/>
      </c>
      <c r="M36" s="32" t="n">
        <f aca="false">IF(AssignmentTable[[#This Row],[_Valid]]=1,N(INDEX(tsk_StartWD,AssignmentTable[[#This Row],[_TaskPos]])),0)</f>
        <v>0</v>
      </c>
      <c r="N36" s="32" t="n">
        <f aca="false">IF(AssignmentTable[[#This Row],[_Valid]]=1,N(INDEX(tsk_FinishWD,AssignmentTable[[#This Row],[_TaskPos]])),0)</f>
        <v>0</v>
      </c>
      <c r="O36" s="32" t="n">
        <f aca="false">IF(OR(AssignmentTable[[#This Row],[Work]]=0,AssignmentTable[[#This Row],[_FinishWD]]=0),0,AssignmentTable[[#This Row],[Work]]/(AssignmentTable[[#This Row],[_FinishWD]]-AssignmentTable[[#This Row],[_StartWD]]+1))</f>
        <v>0</v>
      </c>
      <c r="P36" s="32" t="n">
        <f aca="false">AssignmentTable[[#This Row],[_WorkPerWD]]*MAX(0,AssignmentTable[[#This Row],[_StartWD]]-1)</f>
        <v>0</v>
      </c>
      <c r="Q36" s="32" t="n">
        <f aca="false">IF(AssignmentTable[[#This Row],[_Valid]]=1,AssignmentTable[[#This Row],[Work]]*N(INDEX(tsk_LeafProgress,AssignmentTable[[#This Row],[_TaskPos]])),0)</f>
        <v>0</v>
      </c>
      <c r="R36" s="32" t="n">
        <f aca="false">IF(NOT(AssignmentTable[[#This Row],[_Valid]]=1),0,IF(N(INDEX(tsk_LeafTotalCost,AssignmentTable[[#This Row],[_TaskPos]]))=0,0,N(INDEX(tsk_LeafAC,AssignmentTable[[#This Row],[_TaskPos]]))*AssignmentTable[[#This Row],[Cost]]/INDEX(tsk_LeafTotalCost,AssignmentTable[[#This Row],[_TaskPos]])))</f>
        <v>0</v>
      </c>
      <c r="S36" s="32" t="n">
        <f aca="false">IF(NOT(AssignmentTable[[#This Row],[_Valid]]=1),0,IF(N(INDEX(tsk_LateKey,AssignmentTable[[#This Row],[_TaskPos]]))&gt;0,1,0))</f>
        <v>0</v>
      </c>
      <c r="T36" s="32" t="n">
        <f aca="false">IF(NOT(AssignmentTable[[#This Row],[_Valid]]=1),0,IF(INDEX(tsk_Critical,AssignmentTable[[#This Row],[_TaskPos]])="Yes",1,0))</f>
        <v>0</v>
      </c>
      <c r="U3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7" customFormat="false" ht="15" hidden="false" customHeight="false" outlineLevel="0" collapsed="false">
      <c r="B37" s="46"/>
      <c r="C37" s="24" t="str">
        <f aca="false">IF(AssignmentTable[[#This Row],[_TaskPos]]&lt;=0,"",INDEX(tsk_Name,AssignmentTable[[#This Row],[_TaskPos]])&amp;"")</f>
        <v/>
      </c>
      <c r="D37" s="47"/>
      <c r="E37" s="93"/>
      <c r="F37" s="110" t="n">
        <f aca="false">IF(AssignmentTable[[#This Row],[_Valid]]=1,N(INDEX(tsk_Duration,AssignmentTable[[#This Row],[_TaskPos]]))*HoursPerDay*IF(AssignmentTable[[#This Row],[Units]]="",DefaultUnits,AssignmentTable[[#This Row],[Units]]),0)</f>
        <v>0</v>
      </c>
      <c r="G37" s="111" t="n">
        <f aca="false">IF(AssignmentTable[[#This Row],[Work]]=0,0,AssignmentTable[[#This Row],[Work]]*IFERROR(INDEX(res_Rate,MATCH(AssignmentTable[[#This Row],[Resource]],res_Name,0)),0))</f>
        <v>0</v>
      </c>
      <c r="H3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7" s="32" t="n">
        <f aca="false">IF(N(AssignmentTable[[#This Row],[Task UID]])=0,0,IFERROR(MATCH(AssignmentTable[[#This Row],[Task UID]],tsk_UID,0),-1))</f>
        <v>0</v>
      </c>
      <c r="J37" s="32" t="n">
        <f aca="false">IF(AND(AssignmentTable[[#This Row],[_TaskPos]]&gt;0,AssignmentTable[[#This Row],[Resource]]&lt;&gt;"",AssignmentTable[[#This Row],[Check]]=""),1,0)</f>
        <v>0</v>
      </c>
      <c r="K37" s="32" t="str">
        <f aca="false">IF(AssignmentTable[[#This Row],[_Valid]]=1,AssignmentTable[[#This Row],[Task UID]]*1000+COUNTIFS(AssignmentTable[[#Headers],[Task UID]]:AssignmentTable[[#This Row],[Task UID]],AssignmentTable[[#This Row],[Task UID]],AssignmentTable[[#Headers],[_Valid]]:AssignmentTable[[#This Row],[_Valid]],1),"")</f>
        <v/>
      </c>
      <c r="L37" s="32" t="str">
        <f aca="false">IF(AssignmentTable[[#This Row],[_Valid]]=1,AssignmentTable[[#This Row],[Resource]]&amp;IF(OR(AssignmentTable[[#This Row],[Units]]="",AssignmentTable[[#This Row],[Units]]=1),"","["&amp;ROUND(AssignmentTable[[#This Row],[Units]]*100,0)&amp;"%]"),"")</f>
        <v/>
      </c>
      <c r="M37" s="32" t="n">
        <f aca="false">IF(AssignmentTable[[#This Row],[_Valid]]=1,N(INDEX(tsk_StartWD,AssignmentTable[[#This Row],[_TaskPos]])),0)</f>
        <v>0</v>
      </c>
      <c r="N37" s="32" t="n">
        <f aca="false">IF(AssignmentTable[[#This Row],[_Valid]]=1,N(INDEX(tsk_FinishWD,AssignmentTable[[#This Row],[_TaskPos]])),0)</f>
        <v>0</v>
      </c>
      <c r="O37" s="32" t="n">
        <f aca="false">IF(OR(AssignmentTable[[#This Row],[Work]]=0,AssignmentTable[[#This Row],[_FinishWD]]=0),0,AssignmentTable[[#This Row],[Work]]/(AssignmentTable[[#This Row],[_FinishWD]]-AssignmentTable[[#This Row],[_StartWD]]+1))</f>
        <v>0</v>
      </c>
      <c r="P37" s="32" t="n">
        <f aca="false">AssignmentTable[[#This Row],[_WorkPerWD]]*MAX(0,AssignmentTable[[#This Row],[_StartWD]]-1)</f>
        <v>0</v>
      </c>
      <c r="Q37" s="32" t="n">
        <f aca="false">IF(AssignmentTable[[#This Row],[_Valid]]=1,AssignmentTable[[#This Row],[Work]]*N(INDEX(tsk_LeafProgress,AssignmentTable[[#This Row],[_TaskPos]])),0)</f>
        <v>0</v>
      </c>
      <c r="R37" s="32" t="n">
        <f aca="false">IF(NOT(AssignmentTable[[#This Row],[_Valid]]=1),0,IF(N(INDEX(tsk_LeafTotalCost,AssignmentTable[[#This Row],[_TaskPos]]))=0,0,N(INDEX(tsk_LeafAC,AssignmentTable[[#This Row],[_TaskPos]]))*AssignmentTable[[#This Row],[Cost]]/INDEX(tsk_LeafTotalCost,AssignmentTable[[#This Row],[_TaskPos]])))</f>
        <v>0</v>
      </c>
      <c r="S37" s="32" t="n">
        <f aca="false">IF(NOT(AssignmentTable[[#This Row],[_Valid]]=1),0,IF(N(INDEX(tsk_LateKey,AssignmentTable[[#This Row],[_TaskPos]]))&gt;0,1,0))</f>
        <v>0</v>
      </c>
      <c r="T37" s="32" t="n">
        <f aca="false">IF(NOT(AssignmentTable[[#This Row],[_Valid]]=1),0,IF(INDEX(tsk_Critical,AssignmentTable[[#This Row],[_TaskPos]])="Yes",1,0))</f>
        <v>0</v>
      </c>
      <c r="U3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8" customFormat="false" ht="15" hidden="false" customHeight="false" outlineLevel="0" collapsed="false">
      <c r="B38" s="46"/>
      <c r="C38" s="24" t="str">
        <f aca="false">IF(AssignmentTable[[#This Row],[_TaskPos]]&lt;=0,"",INDEX(tsk_Name,AssignmentTable[[#This Row],[_TaskPos]])&amp;"")</f>
        <v/>
      </c>
      <c r="D38" s="47"/>
      <c r="E38" s="93"/>
      <c r="F38" s="110" t="n">
        <f aca="false">IF(AssignmentTable[[#This Row],[_Valid]]=1,N(INDEX(tsk_Duration,AssignmentTable[[#This Row],[_TaskPos]]))*HoursPerDay*IF(AssignmentTable[[#This Row],[Units]]="",DefaultUnits,AssignmentTable[[#This Row],[Units]]),0)</f>
        <v>0</v>
      </c>
      <c r="G38" s="111" t="n">
        <f aca="false">IF(AssignmentTable[[#This Row],[Work]]=0,0,AssignmentTable[[#This Row],[Work]]*IFERROR(INDEX(res_Rate,MATCH(AssignmentTable[[#This Row],[Resource]],res_Name,0)),0))</f>
        <v>0</v>
      </c>
      <c r="H3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8" s="32" t="n">
        <f aca="false">IF(N(AssignmentTable[[#This Row],[Task UID]])=0,0,IFERROR(MATCH(AssignmentTable[[#This Row],[Task UID]],tsk_UID,0),-1))</f>
        <v>0</v>
      </c>
      <c r="J38" s="32" t="n">
        <f aca="false">IF(AND(AssignmentTable[[#This Row],[_TaskPos]]&gt;0,AssignmentTable[[#This Row],[Resource]]&lt;&gt;"",AssignmentTable[[#This Row],[Check]]=""),1,0)</f>
        <v>0</v>
      </c>
      <c r="K38" s="32" t="str">
        <f aca="false">IF(AssignmentTable[[#This Row],[_Valid]]=1,AssignmentTable[[#This Row],[Task UID]]*1000+COUNTIFS(AssignmentTable[[#Headers],[Task UID]]:AssignmentTable[[#This Row],[Task UID]],AssignmentTable[[#This Row],[Task UID]],AssignmentTable[[#Headers],[_Valid]]:AssignmentTable[[#This Row],[_Valid]],1),"")</f>
        <v/>
      </c>
      <c r="L38" s="32" t="str">
        <f aca="false">IF(AssignmentTable[[#This Row],[_Valid]]=1,AssignmentTable[[#This Row],[Resource]]&amp;IF(OR(AssignmentTable[[#This Row],[Units]]="",AssignmentTable[[#This Row],[Units]]=1),"","["&amp;ROUND(AssignmentTable[[#This Row],[Units]]*100,0)&amp;"%]"),"")</f>
        <v/>
      </c>
      <c r="M38" s="32" t="n">
        <f aca="false">IF(AssignmentTable[[#This Row],[_Valid]]=1,N(INDEX(tsk_StartWD,AssignmentTable[[#This Row],[_TaskPos]])),0)</f>
        <v>0</v>
      </c>
      <c r="N38" s="32" t="n">
        <f aca="false">IF(AssignmentTable[[#This Row],[_Valid]]=1,N(INDEX(tsk_FinishWD,AssignmentTable[[#This Row],[_TaskPos]])),0)</f>
        <v>0</v>
      </c>
      <c r="O38" s="32" t="n">
        <f aca="false">IF(OR(AssignmentTable[[#This Row],[Work]]=0,AssignmentTable[[#This Row],[_FinishWD]]=0),0,AssignmentTable[[#This Row],[Work]]/(AssignmentTable[[#This Row],[_FinishWD]]-AssignmentTable[[#This Row],[_StartWD]]+1))</f>
        <v>0</v>
      </c>
      <c r="P38" s="32" t="n">
        <f aca="false">AssignmentTable[[#This Row],[_WorkPerWD]]*MAX(0,AssignmentTable[[#This Row],[_StartWD]]-1)</f>
        <v>0</v>
      </c>
      <c r="Q38" s="32" t="n">
        <f aca="false">IF(AssignmentTable[[#This Row],[_Valid]]=1,AssignmentTable[[#This Row],[Work]]*N(INDEX(tsk_LeafProgress,AssignmentTable[[#This Row],[_TaskPos]])),0)</f>
        <v>0</v>
      </c>
      <c r="R38" s="32" t="n">
        <f aca="false">IF(NOT(AssignmentTable[[#This Row],[_Valid]]=1),0,IF(N(INDEX(tsk_LeafTotalCost,AssignmentTable[[#This Row],[_TaskPos]]))=0,0,N(INDEX(tsk_LeafAC,AssignmentTable[[#This Row],[_TaskPos]]))*AssignmentTable[[#This Row],[Cost]]/INDEX(tsk_LeafTotalCost,AssignmentTable[[#This Row],[_TaskPos]])))</f>
        <v>0</v>
      </c>
      <c r="S38" s="32" t="n">
        <f aca="false">IF(NOT(AssignmentTable[[#This Row],[_Valid]]=1),0,IF(N(INDEX(tsk_LateKey,AssignmentTable[[#This Row],[_TaskPos]]))&gt;0,1,0))</f>
        <v>0</v>
      </c>
      <c r="T38" s="32" t="n">
        <f aca="false">IF(NOT(AssignmentTable[[#This Row],[_Valid]]=1),0,IF(INDEX(tsk_Critical,AssignmentTable[[#This Row],[_TaskPos]])="Yes",1,0))</f>
        <v>0</v>
      </c>
      <c r="U3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39" customFormat="false" ht="15" hidden="false" customHeight="false" outlineLevel="0" collapsed="false">
      <c r="B39" s="46"/>
      <c r="C39" s="24" t="str">
        <f aca="false">IF(AssignmentTable[[#This Row],[_TaskPos]]&lt;=0,"",INDEX(tsk_Name,AssignmentTable[[#This Row],[_TaskPos]])&amp;"")</f>
        <v/>
      </c>
      <c r="D39" s="47"/>
      <c r="E39" s="93"/>
      <c r="F39" s="110" t="n">
        <f aca="false">IF(AssignmentTable[[#This Row],[_Valid]]=1,N(INDEX(tsk_Duration,AssignmentTable[[#This Row],[_TaskPos]]))*HoursPerDay*IF(AssignmentTable[[#This Row],[Units]]="",DefaultUnits,AssignmentTable[[#This Row],[Units]]),0)</f>
        <v>0</v>
      </c>
      <c r="G39" s="111" t="n">
        <f aca="false">IF(AssignmentTable[[#This Row],[Work]]=0,0,AssignmentTable[[#This Row],[Work]]*IFERROR(INDEX(res_Rate,MATCH(AssignmentTable[[#This Row],[Resource]],res_Name,0)),0))</f>
        <v>0</v>
      </c>
      <c r="H3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39" s="32" t="n">
        <f aca="false">IF(N(AssignmentTable[[#This Row],[Task UID]])=0,0,IFERROR(MATCH(AssignmentTable[[#This Row],[Task UID]],tsk_UID,0),-1))</f>
        <v>0</v>
      </c>
      <c r="J39" s="32" t="n">
        <f aca="false">IF(AND(AssignmentTable[[#This Row],[_TaskPos]]&gt;0,AssignmentTable[[#This Row],[Resource]]&lt;&gt;"",AssignmentTable[[#This Row],[Check]]=""),1,0)</f>
        <v>0</v>
      </c>
      <c r="K39" s="32" t="str">
        <f aca="false">IF(AssignmentTable[[#This Row],[_Valid]]=1,AssignmentTable[[#This Row],[Task UID]]*1000+COUNTIFS(AssignmentTable[[#Headers],[Task UID]]:AssignmentTable[[#This Row],[Task UID]],AssignmentTable[[#This Row],[Task UID]],AssignmentTable[[#Headers],[_Valid]]:AssignmentTable[[#This Row],[_Valid]],1),"")</f>
        <v/>
      </c>
      <c r="L39" s="32" t="str">
        <f aca="false">IF(AssignmentTable[[#This Row],[_Valid]]=1,AssignmentTable[[#This Row],[Resource]]&amp;IF(OR(AssignmentTable[[#This Row],[Units]]="",AssignmentTable[[#This Row],[Units]]=1),"","["&amp;ROUND(AssignmentTable[[#This Row],[Units]]*100,0)&amp;"%]"),"")</f>
        <v/>
      </c>
      <c r="M39" s="32" t="n">
        <f aca="false">IF(AssignmentTable[[#This Row],[_Valid]]=1,N(INDEX(tsk_StartWD,AssignmentTable[[#This Row],[_TaskPos]])),0)</f>
        <v>0</v>
      </c>
      <c r="N39" s="32" t="n">
        <f aca="false">IF(AssignmentTable[[#This Row],[_Valid]]=1,N(INDEX(tsk_FinishWD,AssignmentTable[[#This Row],[_TaskPos]])),0)</f>
        <v>0</v>
      </c>
      <c r="O39" s="32" t="n">
        <f aca="false">IF(OR(AssignmentTable[[#This Row],[Work]]=0,AssignmentTable[[#This Row],[_FinishWD]]=0),0,AssignmentTable[[#This Row],[Work]]/(AssignmentTable[[#This Row],[_FinishWD]]-AssignmentTable[[#This Row],[_StartWD]]+1))</f>
        <v>0</v>
      </c>
      <c r="P39" s="32" t="n">
        <f aca="false">AssignmentTable[[#This Row],[_WorkPerWD]]*MAX(0,AssignmentTable[[#This Row],[_StartWD]]-1)</f>
        <v>0</v>
      </c>
      <c r="Q39" s="32" t="n">
        <f aca="false">IF(AssignmentTable[[#This Row],[_Valid]]=1,AssignmentTable[[#This Row],[Work]]*N(INDEX(tsk_LeafProgress,AssignmentTable[[#This Row],[_TaskPos]])),0)</f>
        <v>0</v>
      </c>
      <c r="R39" s="32" t="n">
        <f aca="false">IF(NOT(AssignmentTable[[#This Row],[_Valid]]=1),0,IF(N(INDEX(tsk_LeafTotalCost,AssignmentTable[[#This Row],[_TaskPos]]))=0,0,N(INDEX(tsk_LeafAC,AssignmentTable[[#This Row],[_TaskPos]]))*AssignmentTable[[#This Row],[Cost]]/INDEX(tsk_LeafTotalCost,AssignmentTable[[#This Row],[_TaskPos]])))</f>
        <v>0</v>
      </c>
      <c r="S39" s="32" t="n">
        <f aca="false">IF(NOT(AssignmentTable[[#This Row],[_Valid]]=1),0,IF(N(INDEX(tsk_LateKey,AssignmentTable[[#This Row],[_TaskPos]]))&gt;0,1,0))</f>
        <v>0</v>
      </c>
      <c r="T39" s="32" t="n">
        <f aca="false">IF(NOT(AssignmentTable[[#This Row],[_Valid]]=1),0,IF(INDEX(tsk_Critical,AssignmentTable[[#This Row],[_TaskPos]])="Yes",1,0))</f>
        <v>0</v>
      </c>
      <c r="U3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0" customFormat="false" ht="15" hidden="false" customHeight="false" outlineLevel="0" collapsed="false">
      <c r="B40" s="46"/>
      <c r="C40" s="24" t="str">
        <f aca="false">IF(AssignmentTable[[#This Row],[_TaskPos]]&lt;=0,"",INDEX(tsk_Name,AssignmentTable[[#This Row],[_TaskPos]])&amp;"")</f>
        <v/>
      </c>
      <c r="D40" s="47"/>
      <c r="E40" s="93"/>
      <c r="F40" s="110" t="n">
        <f aca="false">IF(AssignmentTable[[#This Row],[_Valid]]=1,N(INDEX(tsk_Duration,AssignmentTable[[#This Row],[_TaskPos]]))*HoursPerDay*IF(AssignmentTable[[#This Row],[Units]]="",DefaultUnits,AssignmentTable[[#This Row],[Units]]),0)</f>
        <v>0</v>
      </c>
      <c r="G40" s="111" t="n">
        <f aca="false">IF(AssignmentTable[[#This Row],[Work]]=0,0,AssignmentTable[[#This Row],[Work]]*IFERROR(INDEX(res_Rate,MATCH(AssignmentTable[[#This Row],[Resource]],res_Name,0)),0))</f>
        <v>0</v>
      </c>
      <c r="H4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0" s="32" t="n">
        <f aca="false">IF(N(AssignmentTable[[#This Row],[Task UID]])=0,0,IFERROR(MATCH(AssignmentTable[[#This Row],[Task UID]],tsk_UID,0),-1))</f>
        <v>0</v>
      </c>
      <c r="J40" s="32" t="n">
        <f aca="false">IF(AND(AssignmentTable[[#This Row],[_TaskPos]]&gt;0,AssignmentTable[[#This Row],[Resource]]&lt;&gt;"",AssignmentTable[[#This Row],[Check]]=""),1,0)</f>
        <v>0</v>
      </c>
      <c r="K40" s="32" t="str">
        <f aca="false">IF(AssignmentTable[[#This Row],[_Valid]]=1,AssignmentTable[[#This Row],[Task UID]]*1000+COUNTIFS(AssignmentTable[[#Headers],[Task UID]]:AssignmentTable[[#This Row],[Task UID]],AssignmentTable[[#This Row],[Task UID]],AssignmentTable[[#Headers],[_Valid]]:AssignmentTable[[#This Row],[_Valid]],1),"")</f>
        <v/>
      </c>
      <c r="L40" s="32" t="str">
        <f aca="false">IF(AssignmentTable[[#This Row],[_Valid]]=1,AssignmentTable[[#This Row],[Resource]]&amp;IF(OR(AssignmentTable[[#This Row],[Units]]="",AssignmentTable[[#This Row],[Units]]=1),"","["&amp;ROUND(AssignmentTable[[#This Row],[Units]]*100,0)&amp;"%]"),"")</f>
        <v/>
      </c>
      <c r="M40" s="32" t="n">
        <f aca="false">IF(AssignmentTable[[#This Row],[_Valid]]=1,N(INDEX(tsk_StartWD,AssignmentTable[[#This Row],[_TaskPos]])),0)</f>
        <v>0</v>
      </c>
      <c r="N40" s="32" t="n">
        <f aca="false">IF(AssignmentTable[[#This Row],[_Valid]]=1,N(INDEX(tsk_FinishWD,AssignmentTable[[#This Row],[_TaskPos]])),0)</f>
        <v>0</v>
      </c>
      <c r="O40" s="32" t="n">
        <f aca="false">IF(OR(AssignmentTable[[#This Row],[Work]]=0,AssignmentTable[[#This Row],[_FinishWD]]=0),0,AssignmentTable[[#This Row],[Work]]/(AssignmentTable[[#This Row],[_FinishWD]]-AssignmentTable[[#This Row],[_StartWD]]+1))</f>
        <v>0</v>
      </c>
      <c r="P40" s="32" t="n">
        <f aca="false">AssignmentTable[[#This Row],[_WorkPerWD]]*MAX(0,AssignmentTable[[#This Row],[_StartWD]]-1)</f>
        <v>0</v>
      </c>
      <c r="Q40" s="32" t="n">
        <f aca="false">IF(AssignmentTable[[#This Row],[_Valid]]=1,AssignmentTable[[#This Row],[Work]]*N(INDEX(tsk_LeafProgress,AssignmentTable[[#This Row],[_TaskPos]])),0)</f>
        <v>0</v>
      </c>
      <c r="R40" s="32" t="n">
        <f aca="false">IF(NOT(AssignmentTable[[#This Row],[_Valid]]=1),0,IF(N(INDEX(tsk_LeafTotalCost,AssignmentTable[[#This Row],[_TaskPos]]))=0,0,N(INDEX(tsk_LeafAC,AssignmentTable[[#This Row],[_TaskPos]]))*AssignmentTable[[#This Row],[Cost]]/INDEX(tsk_LeafTotalCost,AssignmentTable[[#This Row],[_TaskPos]])))</f>
        <v>0</v>
      </c>
      <c r="S40" s="32" t="n">
        <f aca="false">IF(NOT(AssignmentTable[[#This Row],[_Valid]]=1),0,IF(N(INDEX(tsk_LateKey,AssignmentTable[[#This Row],[_TaskPos]]))&gt;0,1,0))</f>
        <v>0</v>
      </c>
      <c r="T40" s="32" t="n">
        <f aca="false">IF(NOT(AssignmentTable[[#This Row],[_Valid]]=1),0,IF(INDEX(tsk_Critical,AssignmentTable[[#This Row],[_TaskPos]])="Yes",1,0))</f>
        <v>0</v>
      </c>
      <c r="U4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1" customFormat="false" ht="15" hidden="false" customHeight="false" outlineLevel="0" collapsed="false">
      <c r="B41" s="46"/>
      <c r="C41" s="24" t="str">
        <f aca="false">IF(AssignmentTable[[#This Row],[_TaskPos]]&lt;=0,"",INDEX(tsk_Name,AssignmentTable[[#This Row],[_TaskPos]])&amp;"")</f>
        <v/>
      </c>
      <c r="D41" s="47"/>
      <c r="E41" s="93"/>
      <c r="F41" s="110" t="n">
        <f aca="false">IF(AssignmentTable[[#This Row],[_Valid]]=1,N(INDEX(tsk_Duration,AssignmentTable[[#This Row],[_TaskPos]]))*HoursPerDay*IF(AssignmentTable[[#This Row],[Units]]="",DefaultUnits,AssignmentTable[[#This Row],[Units]]),0)</f>
        <v>0</v>
      </c>
      <c r="G41" s="111" t="n">
        <f aca="false">IF(AssignmentTable[[#This Row],[Work]]=0,0,AssignmentTable[[#This Row],[Work]]*IFERROR(INDEX(res_Rate,MATCH(AssignmentTable[[#This Row],[Resource]],res_Name,0)),0))</f>
        <v>0</v>
      </c>
      <c r="H4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1" s="32" t="n">
        <f aca="false">IF(N(AssignmentTable[[#This Row],[Task UID]])=0,0,IFERROR(MATCH(AssignmentTable[[#This Row],[Task UID]],tsk_UID,0),-1))</f>
        <v>0</v>
      </c>
      <c r="J41" s="32" t="n">
        <f aca="false">IF(AND(AssignmentTable[[#This Row],[_TaskPos]]&gt;0,AssignmentTable[[#This Row],[Resource]]&lt;&gt;"",AssignmentTable[[#This Row],[Check]]=""),1,0)</f>
        <v>0</v>
      </c>
      <c r="K41" s="32" t="str">
        <f aca="false">IF(AssignmentTable[[#This Row],[_Valid]]=1,AssignmentTable[[#This Row],[Task UID]]*1000+COUNTIFS(AssignmentTable[[#Headers],[Task UID]]:AssignmentTable[[#This Row],[Task UID]],AssignmentTable[[#This Row],[Task UID]],AssignmentTable[[#Headers],[_Valid]]:AssignmentTable[[#This Row],[_Valid]],1),"")</f>
        <v/>
      </c>
      <c r="L41" s="32" t="str">
        <f aca="false">IF(AssignmentTable[[#This Row],[_Valid]]=1,AssignmentTable[[#This Row],[Resource]]&amp;IF(OR(AssignmentTable[[#This Row],[Units]]="",AssignmentTable[[#This Row],[Units]]=1),"","["&amp;ROUND(AssignmentTable[[#This Row],[Units]]*100,0)&amp;"%]"),"")</f>
        <v/>
      </c>
      <c r="M41" s="32" t="n">
        <f aca="false">IF(AssignmentTable[[#This Row],[_Valid]]=1,N(INDEX(tsk_StartWD,AssignmentTable[[#This Row],[_TaskPos]])),0)</f>
        <v>0</v>
      </c>
      <c r="N41" s="32" t="n">
        <f aca="false">IF(AssignmentTable[[#This Row],[_Valid]]=1,N(INDEX(tsk_FinishWD,AssignmentTable[[#This Row],[_TaskPos]])),0)</f>
        <v>0</v>
      </c>
      <c r="O41" s="32" t="n">
        <f aca="false">IF(OR(AssignmentTable[[#This Row],[Work]]=0,AssignmentTable[[#This Row],[_FinishWD]]=0),0,AssignmentTable[[#This Row],[Work]]/(AssignmentTable[[#This Row],[_FinishWD]]-AssignmentTable[[#This Row],[_StartWD]]+1))</f>
        <v>0</v>
      </c>
      <c r="P41" s="32" t="n">
        <f aca="false">AssignmentTable[[#This Row],[_WorkPerWD]]*MAX(0,AssignmentTable[[#This Row],[_StartWD]]-1)</f>
        <v>0</v>
      </c>
      <c r="Q41" s="32" t="n">
        <f aca="false">IF(AssignmentTable[[#This Row],[_Valid]]=1,AssignmentTable[[#This Row],[Work]]*N(INDEX(tsk_LeafProgress,AssignmentTable[[#This Row],[_TaskPos]])),0)</f>
        <v>0</v>
      </c>
      <c r="R41" s="32" t="n">
        <f aca="false">IF(NOT(AssignmentTable[[#This Row],[_Valid]]=1),0,IF(N(INDEX(tsk_LeafTotalCost,AssignmentTable[[#This Row],[_TaskPos]]))=0,0,N(INDEX(tsk_LeafAC,AssignmentTable[[#This Row],[_TaskPos]]))*AssignmentTable[[#This Row],[Cost]]/INDEX(tsk_LeafTotalCost,AssignmentTable[[#This Row],[_TaskPos]])))</f>
        <v>0</v>
      </c>
      <c r="S41" s="32" t="n">
        <f aca="false">IF(NOT(AssignmentTable[[#This Row],[_Valid]]=1),0,IF(N(INDEX(tsk_LateKey,AssignmentTable[[#This Row],[_TaskPos]]))&gt;0,1,0))</f>
        <v>0</v>
      </c>
      <c r="T41" s="32" t="n">
        <f aca="false">IF(NOT(AssignmentTable[[#This Row],[_Valid]]=1),0,IF(INDEX(tsk_Critical,AssignmentTable[[#This Row],[_TaskPos]])="Yes",1,0))</f>
        <v>0</v>
      </c>
      <c r="U4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2" customFormat="false" ht="15" hidden="false" customHeight="false" outlineLevel="0" collapsed="false">
      <c r="B42" s="46"/>
      <c r="C42" s="24" t="str">
        <f aca="false">IF(AssignmentTable[[#This Row],[_TaskPos]]&lt;=0,"",INDEX(tsk_Name,AssignmentTable[[#This Row],[_TaskPos]])&amp;"")</f>
        <v/>
      </c>
      <c r="D42" s="47"/>
      <c r="E42" s="93"/>
      <c r="F42" s="110" t="n">
        <f aca="false">IF(AssignmentTable[[#This Row],[_Valid]]=1,N(INDEX(tsk_Duration,AssignmentTable[[#This Row],[_TaskPos]]))*HoursPerDay*IF(AssignmentTable[[#This Row],[Units]]="",DefaultUnits,AssignmentTable[[#This Row],[Units]]),0)</f>
        <v>0</v>
      </c>
      <c r="G42" s="111" t="n">
        <f aca="false">IF(AssignmentTable[[#This Row],[Work]]=0,0,AssignmentTable[[#This Row],[Work]]*IFERROR(INDEX(res_Rate,MATCH(AssignmentTable[[#This Row],[Resource]],res_Name,0)),0))</f>
        <v>0</v>
      </c>
      <c r="H4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2" s="32" t="n">
        <f aca="false">IF(N(AssignmentTable[[#This Row],[Task UID]])=0,0,IFERROR(MATCH(AssignmentTable[[#This Row],[Task UID]],tsk_UID,0),-1))</f>
        <v>0</v>
      </c>
      <c r="J42" s="32" t="n">
        <f aca="false">IF(AND(AssignmentTable[[#This Row],[_TaskPos]]&gt;0,AssignmentTable[[#This Row],[Resource]]&lt;&gt;"",AssignmentTable[[#This Row],[Check]]=""),1,0)</f>
        <v>0</v>
      </c>
      <c r="K42" s="32" t="str">
        <f aca="false">IF(AssignmentTable[[#This Row],[_Valid]]=1,AssignmentTable[[#This Row],[Task UID]]*1000+COUNTIFS(AssignmentTable[[#Headers],[Task UID]]:AssignmentTable[[#This Row],[Task UID]],AssignmentTable[[#This Row],[Task UID]],AssignmentTable[[#Headers],[_Valid]]:AssignmentTable[[#This Row],[_Valid]],1),"")</f>
        <v/>
      </c>
      <c r="L42" s="32" t="str">
        <f aca="false">IF(AssignmentTable[[#This Row],[_Valid]]=1,AssignmentTable[[#This Row],[Resource]]&amp;IF(OR(AssignmentTable[[#This Row],[Units]]="",AssignmentTable[[#This Row],[Units]]=1),"","["&amp;ROUND(AssignmentTable[[#This Row],[Units]]*100,0)&amp;"%]"),"")</f>
        <v/>
      </c>
      <c r="M42" s="32" t="n">
        <f aca="false">IF(AssignmentTable[[#This Row],[_Valid]]=1,N(INDEX(tsk_StartWD,AssignmentTable[[#This Row],[_TaskPos]])),0)</f>
        <v>0</v>
      </c>
      <c r="N42" s="32" t="n">
        <f aca="false">IF(AssignmentTable[[#This Row],[_Valid]]=1,N(INDEX(tsk_FinishWD,AssignmentTable[[#This Row],[_TaskPos]])),0)</f>
        <v>0</v>
      </c>
      <c r="O42" s="32" t="n">
        <f aca="false">IF(OR(AssignmentTable[[#This Row],[Work]]=0,AssignmentTable[[#This Row],[_FinishWD]]=0),0,AssignmentTable[[#This Row],[Work]]/(AssignmentTable[[#This Row],[_FinishWD]]-AssignmentTable[[#This Row],[_StartWD]]+1))</f>
        <v>0</v>
      </c>
      <c r="P42" s="32" t="n">
        <f aca="false">AssignmentTable[[#This Row],[_WorkPerWD]]*MAX(0,AssignmentTable[[#This Row],[_StartWD]]-1)</f>
        <v>0</v>
      </c>
      <c r="Q42" s="32" t="n">
        <f aca="false">IF(AssignmentTable[[#This Row],[_Valid]]=1,AssignmentTable[[#This Row],[Work]]*N(INDEX(tsk_LeafProgress,AssignmentTable[[#This Row],[_TaskPos]])),0)</f>
        <v>0</v>
      </c>
      <c r="R42" s="32" t="n">
        <f aca="false">IF(NOT(AssignmentTable[[#This Row],[_Valid]]=1),0,IF(N(INDEX(tsk_LeafTotalCost,AssignmentTable[[#This Row],[_TaskPos]]))=0,0,N(INDEX(tsk_LeafAC,AssignmentTable[[#This Row],[_TaskPos]]))*AssignmentTable[[#This Row],[Cost]]/INDEX(tsk_LeafTotalCost,AssignmentTable[[#This Row],[_TaskPos]])))</f>
        <v>0</v>
      </c>
      <c r="S42" s="32" t="n">
        <f aca="false">IF(NOT(AssignmentTable[[#This Row],[_Valid]]=1),0,IF(N(INDEX(tsk_LateKey,AssignmentTable[[#This Row],[_TaskPos]]))&gt;0,1,0))</f>
        <v>0</v>
      </c>
      <c r="T42" s="32" t="n">
        <f aca="false">IF(NOT(AssignmentTable[[#This Row],[_Valid]]=1),0,IF(INDEX(tsk_Critical,AssignmentTable[[#This Row],[_TaskPos]])="Yes",1,0))</f>
        <v>0</v>
      </c>
      <c r="U4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3" customFormat="false" ht="15" hidden="false" customHeight="false" outlineLevel="0" collapsed="false">
      <c r="B43" s="46"/>
      <c r="C43" s="24" t="str">
        <f aca="false">IF(AssignmentTable[[#This Row],[_TaskPos]]&lt;=0,"",INDEX(tsk_Name,AssignmentTable[[#This Row],[_TaskPos]])&amp;"")</f>
        <v/>
      </c>
      <c r="D43" s="47"/>
      <c r="E43" s="93"/>
      <c r="F43" s="110" t="n">
        <f aca="false">IF(AssignmentTable[[#This Row],[_Valid]]=1,N(INDEX(tsk_Duration,AssignmentTable[[#This Row],[_TaskPos]]))*HoursPerDay*IF(AssignmentTable[[#This Row],[Units]]="",DefaultUnits,AssignmentTable[[#This Row],[Units]]),0)</f>
        <v>0</v>
      </c>
      <c r="G43" s="111" t="n">
        <f aca="false">IF(AssignmentTable[[#This Row],[Work]]=0,0,AssignmentTable[[#This Row],[Work]]*IFERROR(INDEX(res_Rate,MATCH(AssignmentTable[[#This Row],[Resource]],res_Name,0)),0))</f>
        <v>0</v>
      </c>
      <c r="H4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3" s="32" t="n">
        <f aca="false">IF(N(AssignmentTable[[#This Row],[Task UID]])=0,0,IFERROR(MATCH(AssignmentTable[[#This Row],[Task UID]],tsk_UID,0),-1))</f>
        <v>0</v>
      </c>
      <c r="J43" s="32" t="n">
        <f aca="false">IF(AND(AssignmentTable[[#This Row],[_TaskPos]]&gt;0,AssignmentTable[[#This Row],[Resource]]&lt;&gt;"",AssignmentTable[[#This Row],[Check]]=""),1,0)</f>
        <v>0</v>
      </c>
      <c r="K43" s="32" t="str">
        <f aca="false">IF(AssignmentTable[[#This Row],[_Valid]]=1,AssignmentTable[[#This Row],[Task UID]]*1000+COUNTIFS(AssignmentTable[[#Headers],[Task UID]]:AssignmentTable[[#This Row],[Task UID]],AssignmentTable[[#This Row],[Task UID]],AssignmentTable[[#Headers],[_Valid]]:AssignmentTable[[#This Row],[_Valid]],1),"")</f>
        <v/>
      </c>
      <c r="L43" s="32" t="str">
        <f aca="false">IF(AssignmentTable[[#This Row],[_Valid]]=1,AssignmentTable[[#This Row],[Resource]]&amp;IF(OR(AssignmentTable[[#This Row],[Units]]="",AssignmentTable[[#This Row],[Units]]=1),"","["&amp;ROUND(AssignmentTable[[#This Row],[Units]]*100,0)&amp;"%]"),"")</f>
        <v/>
      </c>
      <c r="M43" s="32" t="n">
        <f aca="false">IF(AssignmentTable[[#This Row],[_Valid]]=1,N(INDEX(tsk_StartWD,AssignmentTable[[#This Row],[_TaskPos]])),0)</f>
        <v>0</v>
      </c>
      <c r="N43" s="32" t="n">
        <f aca="false">IF(AssignmentTable[[#This Row],[_Valid]]=1,N(INDEX(tsk_FinishWD,AssignmentTable[[#This Row],[_TaskPos]])),0)</f>
        <v>0</v>
      </c>
      <c r="O43" s="32" t="n">
        <f aca="false">IF(OR(AssignmentTable[[#This Row],[Work]]=0,AssignmentTable[[#This Row],[_FinishWD]]=0),0,AssignmentTable[[#This Row],[Work]]/(AssignmentTable[[#This Row],[_FinishWD]]-AssignmentTable[[#This Row],[_StartWD]]+1))</f>
        <v>0</v>
      </c>
      <c r="P43" s="32" t="n">
        <f aca="false">AssignmentTable[[#This Row],[_WorkPerWD]]*MAX(0,AssignmentTable[[#This Row],[_StartWD]]-1)</f>
        <v>0</v>
      </c>
      <c r="Q43" s="32" t="n">
        <f aca="false">IF(AssignmentTable[[#This Row],[_Valid]]=1,AssignmentTable[[#This Row],[Work]]*N(INDEX(tsk_LeafProgress,AssignmentTable[[#This Row],[_TaskPos]])),0)</f>
        <v>0</v>
      </c>
      <c r="R43" s="32" t="n">
        <f aca="false">IF(NOT(AssignmentTable[[#This Row],[_Valid]]=1),0,IF(N(INDEX(tsk_LeafTotalCost,AssignmentTable[[#This Row],[_TaskPos]]))=0,0,N(INDEX(tsk_LeafAC,AssignmentTable[[#This Row],[_TaskPos]]))*AssignmentTable[[#This Row],[Cost]]/INDEX(tsk_LeafTotalCost,AssignmentTable[[#This Row],[_TaskPos]])))</f>
        <v>0</v>
      </c>
      <c r="S43" s="32" t="n">
        <f aca="false">IF(NOT(AssignmentTable[[#This Row],[_Valid]]=1),0,IF(N(INDEX(tsk_LateKey,AssignmentTable[[#This Row],[_TaskPos]]))&gt;0,1,0))</f>
        <v>0</v>
      </c>
      <c r="T43" s="32" t="n">
        <f aca="false">IF(NOT(AssignmentTable[[#This Row],[_Valid]]=1),0,IF(INDEX(tsk_Critical,AssignmentTable[[#This Row],[_TaskPos]])="Yes",1,0))</f>
        <v>0</v>
      </c>
      <c r="U4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4" customFormat="false" ht="15" hidden="false" customHeight="false" outlineLevel="0" collapsed="false">
      <c r="B44" s="46"/>
      <c r="C44" s="24" t="str">
        <f aca="false">IF(AssignmentTable[[#This Row],[_TaskPos]]&lt;=0,"",INDEX(tsk_Name,AssignmentTable[[#This Row],[_TaskPos]])&amp;"")</f>
        <v/>
      </c>
      <c r="D44" s="47"/>
      <c r="E44" s="93"/>
      <c r="F44" s="110" t="n">
        <f aca="false">IF(AssignmentTable[[#This Row],[_Valid]]=1,N(INDEX(tsk_Duration,AssignmentTable[[#This Row],[_TaskPos]]))*HoursPerDay*IF(AssignmentTable[[#This Row],[Units]]="",DefaultUnits,AssignmentTable[[#This Row],[Units]]),0)</f>
        <v>0</v>
      </c>
      <c r="G44" s="111" t="n">
        <f aca="false">IF(AssignmentTable[[#This Row],[Work]]=0,0,AssignmentTable[[#This Row],[Work]]*IFERROR(INDEX(res_Rate,MATCH(AssignmentTable[[#This Row],[Resource]],res_Name,0)),0))</f>
        <v>0</v>
      </c>
      <c r="H4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4" s="32" t="n">
        <f aca="false">IF(N(AssignmentTable[[#This Row],[Task UID]])=0,0,IFERROR(MATCH(AssignmentTable[[#This Row],[Task UID]],tsk_UID,0),-1))</f>
        <v>0</v>
      </c>
      <c r="J44" s="32" t="n">
        <f aca="false">IF(AND(AssignmentTable[[#This Row],[_TaskPos]]&gt;0,AssignmentTable[[#This Row],[Resource]]&lt;&gt;"",AssignmentTable[[#This Row],[Check]]=""),1,0)</f>
        <v>0</v>
      </c>
      <c r="K44" s="32" t="str">
        <f aca="false">IF(AssignmentTable[[#This Row],[_Valid]]=1,AssignmentTable[[#This Row],[Task UID]]*1000+COUNTIFS(AssignmentTable[[#Headers],[Task UID]]:AssignmentTable[[#This Row],[Task UID]],AssignmentTable[[#This Row],[Task UID]],AssignmentTable[[#Headers],[_Valid]]:AssignmentTable[[#This Row],[_Valid]],1),"")</f>
        <v/>
      </c>
      <c r="L44" s="32" t="str">
        <f aca="false">IF(AssignmentTable[[#This Row],[_Valid]]=1,AssignmentTable[[#This Row],[Resource]]&amp;IF(OR(AssignmentTable[[#This Row],[Units]]="",AssignmentTable[[#This Row],[Units]]=1),"","["&amp;ROUND(AssignmentTable[[#This Row],[Units]]*100,0)&amp;"%]"),"")</f>
        <v/>
      </c>
      <c r="M44" s="32" t="n">
        <f aca="false">IF(AssignmentTable[[#This Row],[_Valid]]=1,N(INDEX(tsk_StartWD,AssignmentTable[[#This Row],[_TaskPos]])),0)</f>
        <v>0</v>
      </c>
      <c r="N44" s="32" t="n">
        <f aca="false">IF(AssignmentTable[[#This Row],[_Valid]]=1,N(INDEX(tsk_FinishWD,AssignmentTable[[#This Row],[_TaskPos]])),0)</f>
        <v>0</v>
      </c>
      <c r="O44" s="32" t="n">
        <f aca="false">IF(OR(AssignmentTable[[#This Row],[Work]]=0,AssignmentTable[[#This Row],[_FinishWD]]=0),0,AssignmentTable[[#This Row],[Work]]/(AssignmentTable[[#This Row],[_FinishWD]]-AssignmentTable[[#This Row],[_StartWD]]+1))</f>
        <v>0</v>
      </c>
      <c r="P44" s="32" t="n">
        <f aca="false">AssignmentTable[[#This Row],[_WorkPerWD]]*MAX(0,AssignmentTable[[#This Row],[_StartWD]]-1)</f>
        <v>0</v>
      </c>
      <c r="Q44" s="32" t="n">
        <f aca="false">IF(AssignmentTable[[#This Row],[_Valid]]=1,AssignmentTable[[#This Row],[Work]]*N(INDEX(tsk_LeafProgress,AssignmentTable[[#This Row],[_TaskPos]])),0)</f>
        <v>0</v>
      </c>
      <c r="R44" s="32" t="n">
        <f aca="false">IF(NOT(AssignmentTable[[#This Row],[_Valid]]=1),0,IF(N(INDEX(tsk_LeafTotalCost,AssignmentTable[[#This Row],[_TaskPos]]))=0,0,N(INDEX(tsk_LeafAC,AssignmentTable[[#This Row],[_TaskPos]]))*AssignmentTable[[#This Row],[Cost]]/INDEX(tsk_LeafTotalCost,AssignmentTable[[#This Row],[_TaskPos]])))</f>
        <v>0</v>
      </c>
      <c r="S44" s="32" t="n">
        <f aca="false">IF(NOT(AssignmentTable[[#This Row],[_Valid]]=1),0,IF(N(INDEX(tsk_LateKey,AssignmentTable[[#This Row],[_TaskPos]]))&gt;0,1,0))</f>
        <v>0</v>
      </c>
      <c r="T44" s="32" t="n">
        <f aca="false">IF(NOT(AssignmentTable[[#This Row],[_Valid]]=1),0,IF(INDEX(tsk_Critical,AssignmentTable[[#This Row],[_TaskPos]])="Yes",1,0))</f>
        <v>0</v>
      </c>
      <c r="U4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5" customFormat="false" ht="15" hidden="false" customHeight="false" outlineLevel="0" collapsed="false">
      <c r="B45" s="46"/>
      <c r="C45" s="24" t="str">
        <f aca="false">IF(AssignmentTable[[#This Row],[_TaskPos]]&lt;=0,"",INDEX(tsk_Name,AssignmentTable[[#This Row],[_TaskPos]])&amp;"")</f>
        <v/>
      </c>
      <c r="D45" s="47"/>
      <c r="E45" s="93"/>
      <c r="F45" s="110" t="n">
        <f aca="false">IF(AssignmentTable[[#This Row],[_Valid]]=1,N(INDEX(tsk_Duration,AssignmentTable[[#This Row],[_TaskPos]]))*HoursPerDay*IF(AssignmentTable[[#This Row],[Units]]="",DefaultUnits,AssignmentTable[[#This Row],[Units]]),0)</f>
        <v>0</v>
      </c>
      <c r="G45" s="111" t="n">
        <f aca="false">IF(AssignmentTable[[#This Row],[Work]]=0,0,AssignmentTable[[#This Row],[Work]]*IFERROR(INDEX(res_Rate,MATCH(AssignmentTable[[#This Row],[Resource]],res_Name,0)),0))</f>
        <v>0</v>
      </c>
      <c r="H4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5" s="32" t="n">
        <f aca="false">IF(N(AssignmentTable[[#This Row],[Task UID]])=0,0,IFERROR(MATCH(AssignmentTable[[#This Row],[Task UID]],tsk_UID,0),-1))</f>
        <v>0</v>
      </c>
      <c r="J45" s="32" t="n">
        <f aca="false">IF(AND(AssignmentTable[[#This Row],[_TaskPos]]&gt;0,AssignmentTable[[#This Row],[Resource]]&lt;&gt;"",AssignmentTable[[#This Row],[Check]]=""),1,0)</f>
        <v>0</v>
      </c>
      <c r="K45" s="32" t="str">
        <f aca="false">IF(AssignmentTable[[#This Row],[_Valid]]=1,AssignmentTable[[#This Row],[Task UID]]*1000+COUNTIFS(AssignmentTable[[#Headers],[Task UID]]:AssignmentTable[[#This Row],[Task UID]],AssignmentTable[[#This Row],[Task UID]],AssignmentTable[[#Headers],[_Valid]]:AssignmentTable[[#This Row],[_Valid]],1),"")</f>
        <v/>
      </c>
      <c r="L45" s="32" t="str">
        <f aca="false">IF(AssignmentTable[[#This Row],[_Valid]]=1,AssignmentTable[[#This Row],[Resource]]&amp;IF(OR(AssignmentTable[[#This Row],[Units]]="",AssignmentTable[[#This Row],[Units]]=1),"","["&amp;ROUND(AssignmentTable[[#This Row],[Units]]*100,0)&amp;"%]"),"")</f>
        <v/>
      </c>
      <c r="M45" s="32" t="n">
        <f aca="false">IF(AssignmentTable[[#This Row],[_Valid]]=1,N(INDEX(tsk_StartWD,AssignmentTable[[#This Row],[_TaskPos]])),0)</f>
        <v>0</v>
      </c>
      <c r="N45" s="32" t="n">
        <f aca="false">IF(AssignmentTable[[#This Row],[_Valid]]=1,N(INDEX(tsk_FinishWD,AssignmentTable[[#This Row],[_TaskPos]])),0)</f>
        <v>0</v>
      </c>
      <c r="O45" s="32" t="n">
        <f aca="false">IF(OR(AssignmentTable[[#This Row],[Work]]=0,AssignmentTable[[#This Row],[_FinishWD]]=0),0,AssignmentTable[[#This Row],[Work]]/(AssignmentTable[[#This Row],[_FinishWD]]-AssignmentTable[[#This Row],[_StartWD]]+1))</f>
        <v>0</v>
      </c>
      <c r="P45" s="32" t="n">
        <f aca="false">AssignmentTable[[#This Row],[_WorkPerWD]]*MAX(0,AssignmentTable[[#This Row],[_StartWD]]-1)</f>
        <v>0</v>
      </c>
      <c r="Q45" s="32" t="n">
        <f aca="false">IF(AssignmentTable[[#This Row],[_Valid]]=1,AssignmentTable[[#This Row],[Work]]*N(INDEX(tsk_LeafProgress,AssignmentTable[[#This Row],[_TaskPos]])),0)</f>
        <v>0</v>
      </c>
      <c r="R45" s="32" t="n">
        <f aca="false">IF(NOT(AssignmentTable[[#This Row],[_Valid]]=1),0,IF(N(INDEX(tsk_LeafTotalCost,AssignmentTable[[#This Row],[_TaskPos]]))=0,0,N(INDEX(tsk_LeafAC,AssignmentTable[[#This Row],[_TaskPos]]))*AssignmentTable[[#This Row],[Cost]]/INDEX(tsk_LeafTotalCost,AssignmentTable[[#This Row],[_TaskPos]])))</f>
        <v>0</v>
      </c>
      <c r="S45" s="32" t="n">
        <f aca="false">IF(NOT(AssignmentTable[[#This Row],[_Valid]]=1),0,IF(N(INDEX(tsk_LateKey,AssignmentTable[[#This Row],[_TaskPos]]))&gt;0,1,0))</f>
        <v>0</v>
      </c>
      <c r="T45" s="32" t="n">
        <f aca="false">IF(NOT(AssignmentTable[[#This Row],[_Valid]]=1),0,IF(INDEX(tsk_Critical,AssignmentTable[[#This Row],[_TaskPos]])="Yes",1,0))</f>
        <v>0</v>
      </c>
      <c r="U4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6" customFormat="false" ht="15" hidden="false" customHeight="false" outlineLevel="0" collapsed="false">
      <c r="B46" s="46"/>
      <c r="C46" s="24" t="str">
        <f aca="false">IF(AssignmentTable[[#This Row],[_TaskPos]]&lt;=0,"",INDEX(tsk_Name,AssignmentTable[[#This Row],[_TaskPos]])&amp;"")</f>
        <v/>
      </c>
      <c r="D46" s="47"/>
      <c r="E46" s="93"/>
      <c r="F46" s="110" t="n">
        <f aca="false">IF(AssignmentTable[[#This Row],[_Valid]]=1,N(INDEX(tsk_Duration,AssignmentTable[[#This Row],[_TaskPos]]))*HoursPerDay*IF(AssignmentTable[[#This Row],[Units]]="",DefaultUnits,AssignmentTable[[#This Row],[Units]]),0)</f>
        <v>0</v>
      </c>
      <c r="G46" s="111" t="n">
        <f aca="false">IF(AssignmentTable[[#This Row],[Work]]=0,0,AssignmentTable[[#This Row],[Work]]*IFERROR(INDEX(res_Rate,MATCH(AssignmentTable[[#This Row],[Resource]],res_Name,0)),0))</f>
        <v>0</v>
      </c>
      <c r="H4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6" s="32" t="n">
        <f aca="false">IF(N(AssignmentTable[[#This Row],[Task UID]])=0,0,IFERROR(MATCH(AssignmentTable[[#This Row],[Task UID]],tsk_UID,0),-1))</f>
        <v>0</v>
      </c>
      <c r="J46" s="32" t="n">
        <f aca="false">IF(AND(AssignmentTable[[#This Row],[_TaskPos]]&gt;0,AssignmentTable[[#This Row],[Resource]]&lt;&gt;"",AssignmentTable[[#This Row],[Check]]=""),1,0)</f>
        <v>0</v>
      </c>
      <c r="K46" s="32" t="str">
        <f aca="false">IF(AssignmentTable[[#This Row],[_Valid]]=1,AssignmentTable[[#This Row],[Task UID]]*1000+COUNTIFS(AssignmentTable[[#Headers],[Task UID]]:AssignmentTable[[#This Row],[Task UID]],AssignmentTable[[#This Row],[Task UID]],AssignmentTable[[#Headers],[_Valid]]:AssignmentTable[[#This Row],[_Valid]],1),"")</f>
        <v/>
      </c>
      <c r="L46" s="32" t="str">
        <f aca="false">IF(AssignmentTable[[#This Row],[_Valid]]=1,AssignmentTable[[#This Row],[Resource]]&amp;IF(OR(AssignmentTable[[#This Row],[Units]]="",AssignmentTable[[#This Row],[Units]]=1),"","["&amp;ROUND(AssignmentTable[[#This Row],[Units]]*100,0)&amp;"%]"),"")</f>
        <v/>
      </c>
      <c r="M46" s="32" t="n">
        <f aca="false">IF(AssignmentTable[[#This Row],[_Valid]]=1,N(INDEX(tsk_StartWD,AssignmentTable[[#This Row],[_TaskPos]])),0)</f>
        <v>0</v>
      </c>
      <c r="N46" s="32" t="n">
        <f aca="false">IF(AssignmentTable[[#This Row],[_Valid]]=1,N(INDEX(tsk_FinishWD,AssignmentTable[[#This Row],[_TaskPos]])),0)</f>
        <v>0</v>
      </c>
      <c r="O46" s="32" t="n">
        <f aca="false">IF(OR(AssignmentTable[[#This Row],[Work]]=0,AssignmentTable[[#This Row],[_FinishWD]]=0),0,AssignmentTable[[#This Row],[Work]]/(AssignmentTable[[#This Row],[_FinishWD]]-AssignmentTable[[#This Row],[_StartWD]]+1))</f>
        <v>0</v>
      </c>
      <c r="P46" s="32" t="n">
        <f aca="false">AssignmentTable[[#This Row],[_WorkPerWD]]*MAX(0,AssignmentTable[[#This Row],[_StartWD]]-1)</f>
        <v>0</v>
      </c>
      <c r="Q46" s="32" t="n">
        <f aca="false">IF(AssignmentTable[[#This Row],[_Valid]]=1,AssignmentTable[[#This Row],[Work]]*N(INDEX(tsk_LeafProgress,AssignmentTable[[#This Row],[_TaskPos]])),0)</f>
        <v>0</v>
      </c>
      <c r="R46" s="32" t="n">
        <f aca="false">IF(NOT(AssignmentTable[[#This Row],[_Valid]]=1),0,IF(N(INDEX(tsk_LeafTotalCost,AssignmentTable[[#This Row],[_TaskPos]]))=0,0,N(INDEX(tsk_LeafAC,AssignmentTable[[#This Row],[_TaskPos]]))*AssignmentTable[[#This Row],[Cost]]/INDEX(tsk_LeafTotalCost,AssignmentTable[[#This Row],[_TaskPos]])))</f>
        <v>0</v>
      </c>
      <c r="S46" s="32" t="n">
        <f aca="false">IF(NOT(AssignmentTable[[#This Row],[_Valid]]=1),0,IF(N(INDEX(tsk_LateKey,AssignmentTable[[#This Row],[_TaskPos]]))&gt;0,1,0))</f>
        <v>0</v>
      </c>
      <c r="T46" s="32" t="n">
        <f aca="false">IF(NOT(AssignmentTable[[#This Row],[_Valid]]=1),0,IF(INDEX(tsk_Critical,AssignmentTable[[#This Row],[_TaskPos]])="Yes",1,0))</f>
        <v>0</v>
      </c>
      <c r="U4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7" customFormat="false" ht="15" hidden="false" customHeight="false" outlineLevel="0" collapsed="false">
      <c r="B47" s="46"/>
      <c r="C47" s="24" t="str">
        <f aca="false">IF(AssignmentTable[[#This Row],[_TaskPos]]&lt;=0,"",INDEX(tsk_Name,AssignmentTable[[#This Row],[_TaskPos]])&amp;"")</f>
        <v/>
      </c>
      <c r="D47" s="47"/>
      <c r="E47" s="93"/>
      <c r="F47" s="110" t="n">
        <f aca="false">IF(AssignmentTable[[#This Row],[_Valid]]=1,N(INDEX(tsk_Duration,AssignmentTable[[#This Row],[_TaskPos]]))*HoursPerDay*IF(AssignmentTable[[#This Row],[Units]]="",DefaultUnits,AssignmentTable[[#This Row],[Units]]),0)</f>
        <v>0</v>
      </c>
      <c r="G47" s="111" t="n">
        <f aca="false">IF(AssignmentTable[[#This Row],[Work]]=0,0,AssignmentTable[[#This Row],[Work]]*IFERROR(INDEX(res_Rate,MATCH(AssignmentTable[[#This Row],[Resource]],res_Name,0)),0))</f>
        <v>0</v>
      </c>
      <c r="H4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7" s="32" t="n">
        <f aca="false">IF(N(AssignmentTable[[#This Row],[Task UID]])=0,0,IFERROR(MATCH(AssignmentTable[[#This Row],[Task UID]],tsk_UID,0),-1))</f>
        <v>0</v>
      </c>
      <c r="J47" s="32" t="n">
        <f aca="false">IF(AND(AssignmentTable[[#This Row],[_TaskPos]]&gt;0,AssignmentTable[[#This Row],[Resource]]&lt;&gt;"",AssignmentTable[[#This Row],[Check]]=""),1,0)</f>
        <v>0</v>
      </c>
      <c r="K47" s="32" t="str">
        <f aca="false">IF(AssignmentTable[[#This Row],[_Valid]]=1,AssignmentTable[[#This Row],[Task UID]]*1000+COUNTIFS(AssignmentTable[[#Headers],[Task UID]]:AssignmentTable[[#This Row],[Task UID]],AssignmentTable[[#This Row],[Task UID]],AssignmentTable[[#Headers],[_Valid]]:AssignmentTable[[#This Row],[_Valid]],1),"")</f>
        <v/>
      </c>
      <c r="L47" s="32" t="str">
        <f aca="false">IF(AssignmentTable[[#This Row],[_Valid]]=1,AssignmentTable[[#This Row],[Resource]]&amp;IF(OR(AssignmentTable[[#This Row],[Units]]="",AssignmentTable[[#This Row],[Units]]=1),"","["&amp;ROUND(AssignmentTable[[#This Row],[Units]]*100,0)&amp;"%]"),"")</f>
        <v/>
      </c>
      <c r="M47" s="32" t="n">
        <f aca="false">IF(AssignmentTable[[#This Row],[_Valid]]=1,N(INDEX(tsk_StartWD,AssignmentTable[[#This Row],[_TaskPos]])),0)</f>
        <v>0</v>
      </c>
      <c r="N47" s="32" t="n">
        <f aca="false">IF(AssignmentTable[[#This Row],[_Valid]]=1,N(INDEX(tsk_FinishWD,AssignmentTable[[#This Row],[_TaskPos]])),0)</f>
        <v>0</v>
      </c>
      <c r="O47" s="32" t="n">
        <f aca="false">IF(OR(AssignmentTable[[#This Row],[Work]]=0,AssignmentTable[[#This Row],[_FinishWD]]=0),0,AssignmentTable[[#This Row],[Work]]/(AssignmentTable[[#This Row],[_FinishWD]]-AssignmentTable[[#This Row],[_StartWD]]+1))</f>
        <v>0</v>
      </c>
      <c r="P47" s="32" t="n">
        <f aca="false">AssignmentTable[[#This Row],[_WorkPerWD]]*MAX(0,AssignmentTable[[#This Row],[_StartWD]]-1)</f>
        <v>0</v>
      </c>
      <c r="Q47" s="32" t="n">
        <f aca="false">IF(AssignmentTable[[#This Row],[_Valid]]=1,AssignmentTable[[#This Row],[Work]]*N(INDEX(tsk_LeafProgress,AssignmentTable[[#This Row],[_TaskPos]])),0)</f>
        <v>0</v>
      </c>
      <c r="R47" s="32" t="n">
        <f aca="false">IF(NOT(AssignmentTable[[#This Row],[_Valid]]=1),0,IF(N(INDEX(tsk_LeafTotalCost,AssignmentTable[[#This Row],[_TaskPos]]))=0,0,N(INDEX(tsk_LeafAC,AssignmentTable[[#This Row],[_TaskPos]]))*AssignmentTable[[#This Row],[Cost]]/INDEX(tsk_LeafTotalCost,AssignmentTable[[#This Row],[_TaskPos]])))</f>
        <v>0</v>
      </c>
      <c r="S47" s="32" t="n">
        <f aca="false">IF(NOT(AssignmentTable[[#This Row],[_Valid]]=1),0,IF(N(INDEX(tsk_LateKey,AssignmentTable[[#This Row],[_TaskPos]]))&gt;0,1,0))</f>
        <v>0</v>
      </c>
      <c r="T47" s="32" t="n">
        <f aca="false">IF(NOT(AssignmentTable[[#This Row],[_Valid]]=1),0,IF(INDEX(tsk_Critical,AssignmentTable[[#This Row],[_TaskPos]])="Yes",1,0))</f>
        <v>0</v>
      </c>
      <c r="U4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8" customFormat="false" ht="15" hidden="false" customHeight="false" outlineLevel="0" collapsed="false">
      <c r="B48" s="46"/>
      <c r="C48" s="24" t="str">
        <f aca="false">IF(AssignmentTable[[#This Row],[_TaskPos]]&lt;=0,"",INDEX(tsk_Name,AssignmentTable[[#This Row],[_TaskPos]])&amp;"")</f>
        <v/>
      </c>
      <c r="D48" s="47"/>
      <c r="E48" s="93"/>
      <c r="F48" s="110" t="n">
        <f aca="false">IF(AssignmentTable[[#This Row],[_Valid]]=1,N(INDEX(tsk_Duration,AssignmentTable[[#This Row],[_TaskPos]]))*HoursPerDay*IF(AssignmentTable[[#This Row],[Units]]="",DefaultUnits,AssignmentTable[[#This Row],[Units]]),0)</f>
        <v>0</v>
      </c>
      <c r="G48" s="111" t="n">
        <f aca="false">IF(AssignmentTable[[#This Row],[Work]]=0,0,AssignmentTable[[#This Row],[Work]]*IFERROR(INDEX(res_Rate,MATCH(AssignmentTable[[#This Row],[Resource]],res_Name,0)),0))</f>
        <v>0</v>
      </c>
      <c r="H4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8" s="32" t="n">
        <f aca="false">IF(N(AssignmentTable[[#This Row],[Task UID]])=0,0,IFERROR(MATCH(AssignmentTable[[#This Row],[Task UID]],tsk_UID,0),-1))</f>
        <v>0</v>
      </c>
      <c r="J48" s="32" t="n">
        <f aca="false">IF(AND(AssignmentTable[[#This Row],[_TaskPos]]&gt;0,AssignmentTable[[#This Row],[Resource]]&lt;&gt;"",AssignmentTable[[#This Row],[Check]]=""),1,0)</f>
        <v>0</v>
      </c>
      <c r="K48" s="32" t="str">
        <f aca="false">IF(AssignmentTable[[#This Row],[_Valid]]=1,AssignmentTable[[#This Row],[Task UID]]*1000+COUNTIFS(AssignmentTable[[#Headers],[Task UID]]:AssignmentTable[[#This Row],[Task UID]],AssignmentTable[[#This Row],[Task UID]],AssignmentTable[[#Headers],[_Valid]]:AssignmentTable[[#This Row],[_Valid]],1),"")</f>
        <v/>
      </c>
      <c r="L48" s="32" t="str">
        <f aca="false">IF(AssignmentTable[[#This Row],[_Valid]]=1,AssignmentTable[[#This Row],[Resource]]&amp;IF(OR(AssignmentTable[[#This Row],[Units]]="",AssignmentTable[[#This Row],[Units]]=1),"","["&amp;ROUND(AssignmentTable[[#This Row],[Units]]*100,0)&amp;"%]"),"")</f>
        <v/>
      </c>
      <c r="M48" s="32" t="n">
        <f aca="false">IF(AssignmentTable[[#This Row],[_Valid]]=1,N(INDEX(tsk_StartWD,AssignmentTable[[#This Row],[_TaskPos]])),0)</f>
        <v>0</v>
      </c>
      <c r="N48" s="32" t="n">
        <f aca="false">IF(AssignmentTable[[#This Row],[_Valid]]=1,N(INDEX(tsk_FinishWD,AssignmentTable[[#This Row],[_TaskPos]])),0)</f>
        <v>0</v>
      </c>
      <c r="O48" s="32" t="n">
        <f aca="false">IF(OR(AssignmentTable[[#This Row],[Work]]=0,AssignmentTable[[#This Row],[_FinishWD]]=0),0,AssignmentTable[[#This Row],[Work]]/(AssignmentTable[[#This Row],[_FinishWD]]-AssignmentTable[[#This Row],[_StartWD]]+1))</f>
        <v>0</v>
      </c>
      <c r="P48" s="32" t="n">
        <f aca="false">AssignmentTable[[#This Row],[_WorkPerWD]]*MAX(0,AssignmentTable[[#This Row],[_StartWD]]-1)</f>
        <v>0</v>
      </c>
      <c r="Q48" s="32" t="n">
        <f aca="false">IF(AssignmentTable[[#This Row],[_Valid]]=1,AssignmentTable[[#This Row],[Work]]*N(INDEX(tsk_LeafProgress,AssignmentTable[[#This Row],[_TaskPos]])),0)</f>
        <v>0</v>
      </c>
      <c r="R48" s="32" t="n">
        <f aca="false">IF(NOT(AssignmentTable[[#This Row],[_Valid]]=1),0,IF(N(INDEX(tsk_LeafTotalCost,AssignmentTable[[#This Row],[_TaskPos]]))=0,0,N(INDEX(tsk_LeafAC,AssignmentTable[[#This Row],[_TaskPos]]))*AssignmentTable[[#This Row],[Cost]]/INDEX(tsk_LeafTotalCost,AssignmentTable[[#This Row],[_TaskPos]])))</f>
        <v>0</v>
      </c>
      <c r="S48" s="32" t="n">
        <f aca="false">IF(NOT(AssignmentTable[[#This Row],[_Valid]]=1),0,IF(N(INDEX(tsk_LateKey,AssignmentTable[[#This Row],[_TaskPos]]))&gt;0,1,0))</f>
        <v>0</v>
      </c>
      <c r="T48" s="32" t="n">
        <f aca="false">IF(NOT(AssignmentTable[[#This Row],[_Valid]]=1),0,IF(INDEX(tsk_Critical,AssignmentTable[[#This Row],[_TaskPos]])="Yes",1,0))</f>
        <v>0</v>
      </c>
      <c r="U4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49" customFormat="false" ht="15" hidden="false" customHeight="false" outlineLevel="0" collapsed="false">
      <c r="B49" s="46"/>
      <c r="C49" s="24" t="str">
        <f aca="false">IF(AssignmentTable[[#This Row],[_TaskPos]]&lt;=0,"",INDEX(tsk_Name,AssignmentTable[[#This Row],[_TaskPos]])&amp;"")</f>
        <v/>
      </c>
      <c r="D49" s="47"/>
      <c r="E49" s="93"/>
      <c r="F49" s="110" t="n">
        <f aca="false">IF(AssignmentTable[[#This Row],[_Valid]]=1,N(INDEX(tsk_Duration,AssignmentTable[[#This Row],[_TaskPos]]))*HoursPerDay*IF(AssignmentTable[[#This Row],[Units]]="",DefaultUnits,AssignmentTable[[#This Row],[Units]]),0)</f>
        <v>0</v>
      </c>
      <c r="G49" s="111" t="n">
        <f aca="false">IF(AssignmentTable[[#This Row],[Work]]=0,0,AssignmentTable[[#This Row],[Work]]*IFERROR(INDEX(res_Rate,MATCH(AssignmentTable[[#This Row],[Resource]],res_Name,0)),0))</f>
        <v>0</v>
      </c>
      <c r="H4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49" s="32" t="n">
        <f aca="false">IF(N(AssignmentTable[[#This Row],[Task UID]])=0,0,IFERROR(MATCH(AssignmentTable[[#This Row],[Task UID]],tsk_UID,0),-1))</f>
        <v>0</v>
      </c>
      <c r="J49" s="32" t="n">
        <f aca="false">IF(AND(AssignmentTable[[#This Row],[_TaskPos]]&gt;0,AssignmentTable[[#This Row],[Resource]]&lt;&gt;"",AssignmentTable[[#This Row],[Check]]=""),1,0)</f>
        <v>0</v>
      </c>
      <c r="K49" s="32" t="str">
        <f aca="false">IF(AssignmentTable[[#This Row],[_Valid]]=1,AssignmentTable[[#This Row],[Task UID]]*1000+COUNTIFS(AssignmentTable[[#Headers],[Task UID]]:AssignmentTable[[#This Row],[Task UID]],AssignmentTable[[#This Row],[Task UID]],AssignmentTable[[#Headers],[_Valid]]:AssignmentTable[[#This Row],[_Valid]],1),"")</f>
        <v/>
      </c>
      <c r="L49" s="32" t="str">
        <f aca="false">IF(AssignmentTable[[#This Row],[_Valid]]=1,AssignmentTable[[#This Row],[Resource]]&amp;IF(OR(AssignmentTable[[#This Row],[Units]]="",AssignmentTable[[#This Row],[Units]]=1),"","["&amp;ROUND(AssignmentTable[[#This Row],[Units]]*100,0)&amp;"%]"),"")</f>
        <v/>
      </c>
      <c r="M49" s="32" t="n">
        <f aca="false">IF(AssignmentTable[[#This Row],[_Valid]]=1,N(INDEX(tsk_StartWD,AssignmentTable[[#This Row],[_TaskPos]])),0)</f>
        <v>0</v>
      </c>
      <c r="N49" s="32" t="n">
        <f aca="false">IF(AssignmentTable[[#This Row],[_Valid]]=1,N(INDEX(tsk_FinishWD,AssignmentTable[[#This Row],[_TaskPos]])),0)</f>
        <v>0</v>
      </c>
      <c r="O49" s="32" t="n">
        <f aca="false">IF(OR(AssignmentTable[[#This Row],[Work]]=0,AssignmentTable[[#This Row],[_FinishWD]]=0),0,AssignmentTable[[#This Row],[Work]]/(AssignmentTable[[#This Row],[_FinishWD]]-AssignmentTable[[#This Row],[_StartWD]]+1))</f>
        <v>0</v>
      </c>
      <c r="P49" s="32" t="n">
        <f aca="false">AssignmentTable[[#This Row],[_WorkPerWD]]*MAX(0,AssignmentTable[[#This Row],[_StartWD]]-1)</f>
        <v>0</v>
      </c>
      <c r="Q49" s="32" t="n">
        <f aca="false">IF(AssignmentTable[[#This Row],[_Valid]]=1,AssignmentTable[[#This Row],[Work]]*N(INDEX(tsk_LeafProgress,AssignmentTable[[#This Row],[_TaskPos]])),0)</f>
        <v>0</v>
      </c>
      <c r="R49" s="32" t="n">
        <f aca="false">IF(NOT(AssignmentTable[[#This Row],[_Valid]]=1),0,IF(N(INDEX(tsk_LeafTotalCost,AssignmentTable[[#This Row],[_TaskPos]]))=0,0,N(INDEX(tsk_LeafAC,AssignmentTable[[#This Row],[_TaskPos]]))*AssignmentTable[[#This Row],[Cost]]/INDEX(tsk_LeafTotalCost,AssignmentTable[[#This Row],[_TaskPos]])))</f>
        <v>0</v>
      </c>
      <c r="S49" s="32" t="n">
        <f aca="false">IF(NOT(AssignmentTable[[#This Row],[_Valid]]=1),0,IF(N(INDEX(tsk_LateKey,AssignmentTable[[#This Row],[_TaskPos]]))&gt;0,1,0))</f>
        <v>0</v>
      </c>
      <c r="T49" s="32" t="n">
        <f aca="false">IF(NOT(AssignmentTable[[#This Row],[_Valid]]=1),0,IF(INDEX(tsk_Critical,AssignmentTable[[#This Row],[_TaskPos]])="Yes",1,0))</f>
        <v>0</v>
      </c>
      <c r="U4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0" customFormat="false" ht="15" hidden="false" customHeight="false" outlineLevel="0" collapsed="false">
      <c r="B50" s="46"/>
      <c r="C50" s="24" t="str">
        <f aca="false">IF(AssignmentTable[[#This Row],[_TaskPos]]&lt;=0,"",INDEX(tsk_Name,AssignmentTable[[#This Row],[_TaskPos]])&amp;"")</f>
        <v/>
      </c>
      <c r="D50" s="47"/>
      <c r="E50" s="93"/>
      <c r="F50" s="110" t="n">
        <f aca="false">IF(AssignmentTable[[#This Row],[_Valid]]=1,N(INDEX(tsk_Duration,AssignmentTable[[#This Row],[_TaskPos]]))*HoursPerDay*IF(AssignmentTable[[#This Row],[Units]]="",DefaultUnits,AssignmentTable[[#This Row],[Units]]),0)</f>
        <v>0</v>
      </c>
      <c r="G50" s="111" t="n">
        <f aca="false">IF(AssignmentTable[[#This Row],[Work]]=0,0,AssignmentTable[[#This Row],[Work]]*IFERROR(INDEX(res_Rate,MATCH(AssignmentTable[[#This Row],[Resource]],res_Name,0)),0))</f>
        <v>0</v>
      </c>
      <c r="H5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0" s="32" t="n">
        <f aca="false">IF(N(AssignmentTable[[#This Row],[Task UID]])=0,0,IFERROR(MATCH(AssignmentTable[[#This Row],[Task UID]],tsk_UID,0),-1))</f>
        <v>0</v>
      </c>
      <c r="J50" s="32" t="n">
        <f aca="false">IF(AND(AssignmentTable[[#This Row],[_TaskPos]]&gt;0,AssignmentTable[[#This Row],[Resource]]&lt;&gt;"",AssignmentTable[[#This Row],[Check]]=""),1,0)</f>
        <v>0</v>
      </c>
      <c r="K50" s="32" t="str">
        <f aca="false">IF(AssignmentTable[[#This Row],[_Valid]]=1,AssignmentTable[[#This Row],[Task UID]]*1000+COUNTIFS(AssignmentTable[[#Headers],[Task UID]]:AssignmentTable[[#This Row],[Task UID]],AssignmentTable[[#This Row],[Task UID]],AssignmentTable[[#Headers],[_Valid]]:AssignmentTable[[#This Row],[_Valid]],1),"")</f>
        <v/>
      </c>
      <c r="L50" s="32" t="str">
        <f aca="false">IF(AssignmentTable[[#This Row],[_Valid]]=1,AssignmentTable[[#This Row],[Resource]]&amp;IF(OR(AssignmentTable[[#This Row],[Units]]="",AssignmentTable[[#This Row],[Units]]=1),"","["&amp;ROUND(AssignmentTable[[#This Row],[Units]]*100,0)&amp;"%]"),"")</f>
        <v/>
      </c>
      <c r="M50" s="32" t="n">
        <f aca="false">IF(AssignmentTable[[#This Row],[_Valid]]=1,N(INDEX(tsk_StartWD,AssignmentTable[[#This Row],[_TaskPos]])),0)</f>
        <v>0</v>
      </c>
      <c r="N50" s="32" t="n">
        <f aca="false">IF(AssignmentTable[[#This Row],[_Valid]]=1,N(INDEX(tsk_FinishWD,AssignmentTable[[#This Row],[_TaskPos]])),0)</f>
        <v>0</v>
      </c>
      <c r="O50" s="32" t="n">
        <f aca="false">IF(OR(AssignmentTable[[#This Row],[Work]]=0,AssignmentTable[[#This Row],[_FinishWD]]=0),0,AssignmentTable[[#This Row],[Work]]/(AssignmentTable[[#This Row],[_FinishWD]]-AssignmentTable[[#This Row],[_StartWD]]+1))</f>
        <v>0</v>
      </c>
      <c r="P50" s="32" t="n">
        <f aca="false">AssignmentTable[[#This Row],[_WorkPerWD]]*MAX(0,AssignmentTable[[#This Row],[_StartWD]]-1)</f>
        <v>0</v>
      </c>
      <c r="Q50" s="32" t="n">
        <f aca="false">IF(AssignmentTable[[#This Row],[_Valid]]=1,AssignmentTable[[#This Row],[Work]]*N(INDEX(tsk_LeafProgress,AssignmentTable[[#This Row],[_TaskPos]])),0)</f>
        <v>0</v>
      </c>
      <c r="R50" s="32" t="n">
        <f aca="false">IF(NOT(AssignmentTable[[#This Row],[_Valid]]=1),0,IF(N(INDEX(tsk_LeafTotalCost,AssignmentTable[[#This Row],[_TaskPos]]))=0,0,N(INDEX(tsk_LeafAC,AssignmentTable[[#This Row],[_TaskPos]]))*AssignmentTable[[#This Row],[Cost]]/INDEX(tsk_LeafTotalCost,AssignmentTable[[#This Row],[_TaskPos]])))</f>
        <v>0</v>
      </c>
      <c r="S50" s="32" t="n">
        <f aca="false">IF(NOT(AssignmentTable[[#This Row],[_Valid]]=1),0,IF(N(INDEX(tsk_LateKey,AssignmentTable[[#This Row],[_TaskPos]]))&gt;0,1,0))</f>
        <v>0</v>
      </c>
      <c r="T50" s="32" t="n">
        <f aca="false">IF(NOT(AssignmentTable[[#This Row],[_Valid]]=1),0,IF(INDEX(tsk_Critical,AssignmentTable[[#This Row],[_TaskPos]])="Yes",1,0))</f>
        <v>0</v>
      </c>
      <c r="U5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1" customFormat="false" ht="15" hidden="false" customHeight="false" outlineLevel="0" collapsed="false">
      <c r="B51" s="46"/>
      <c r="C51" s="24" t="str">
        <f aca="false">IF(AssignmentTable[[#This Row],[_TaskPos]]&lt;=0,"",INDEX(tsk_Name,AssignmentTable[[#This Row],[_TaskPos]])&amp;"")</f>
        <v/>
      </c>
      <c r="D51" s="47"/>
      <c r="E51" s="93"/>
      <c r="F51" s="110" t="n">
        <f aca="false">IF(AssignmentTable[[#This Row],[_Valid]]=1,N(INDEX(tsk_Duration,AssignmentTable[[#This Row],[_TaskPos]]))*HoursPerDay*IF(AssignmentTable[[#This Row],[Units]]="",DefaultUnits,AssignmentTable[[#This Row],[Units]]),0)</f>
        <v>0</v>
      </c>
      <c r="G51" s="111" t="n">
        <f aca="false">IF(AssignmentTable[[#This Row],[Work]]=0,0,AssignmentTable[[#This Row],[Work]]*IFERROR(INDEX(res_Rate,MATCH(AssignmentTable[[#This Row],[Resource]],res_Name,0)),0))</f>
        <v>0</v>
      </c>
      <c r="H5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1" s="32" t="n">
        <f aca="false">IF(N(AssignmentTable[[#This Row],[Task UID]])=0,0,IFERROR(MATCH(AssignmentTable[[#This Row],[Task UID]],tsk_UID,0),-1))</f>
        <v>0</v>
      </c>
      <c r="J51" s="32" t="n">
        <f aca="false">IF(AND(AssignmentTable[[#This Row],[_TaskPos]]&gt;0,AssignmentTable[[#This Row],[Resource]]&lt;&gt;"",AssignmentTable[[#This Row],[Check]]=""),1,0)</f>
        <v>0</v>
      </c>
      <c r="K51" s="32" t="str">
        <f aca="false">IF(AssignmentTable[[#This Row],[_Valid]]=1,AssignmentTable[[#This Row],[Task UID]]*1000+COUNTIFS(AssignmentTable[[#Headers],[Task UID]]:AssignmentTable[[#This Row],[Task UID]],AssignmentTable[[#This Row],[Task UID]],AssignmentTable[[#Headers],[_Valid]]:AssignmentTable[[#This Row],[_Valid]],1),"")</f>
        <v/>
      </c>
      <c r="L51" s="32" t="str">
        <f aca="false">IF(AssignmentTable[[#This Row],[_Valid]]=1,AssignmentTable[[#This Row],[Resource]]&amp;IF(OR(AssignmentTable[[#This Row],[Units]]="",AssignmentTable[[#This Row],[Units]]=1),"","["&amp;ROUND(AssignmentTable[[#This Row],[Units]]*100,0)&amp;"%]"),"")</f>
        <v/>
      </c>
      <c r="M51" s="32" t="n">
        <f aca="false">IF(AssignmentTable[[#This Row],[_Valid]]=1,N(INDEX(tsk_StartWD,AssignmentTable[[#This Row],[_TaskPos]])),0)</f>
        <v>0</v>
      </c>
      <c r="N51" s="32" t="n">
        <f aca="false">IF(AssignmentTable[[#This Row],[_Valid]]=1,N(INDEX(tsk_FinishWD,AssignmentTable[[#This Row],[_TaskPos]])),0)</f>
        <v>0</v>
      </c>
      <c r="O51" s="32" t="n">
        <f aca="false">IF(OR(AssignmentTable[[#This Row],[Work]]=0,AssignmentTable[[#This Row],[_FinishWD]]=0),0,AssignmentTable[[#This Row],[Work]]/(AssignmentTable[[#This Row],[_FinishWD]]-AssignmentTable[[#This Row],[_StartWD]]+1))</f>
        <v>0</v>
      </c>
      <c r="P51" s="32" t="n">
        <f aca="false">AssignmentTable[[#This Row],[_WorkPerWD]]*MAX(0,AssignmentTable[[#This Row],[_StartWD]]-1)</f>
        <v>0</v>
      </c>
      <c r="Q51" s="32" t="n">
        <f aca="false">IF(AssignmentTable[[#This Row],[_Valid]]=1,AssignmentTable[[#This Row],[Work]]*N(INDEX(tsk_LeafProgress,AssignmentTable[[#This Row],[_TaskPos]])),0)</f>
        <v>0</v>
      </c>
      <c r="R51" s="32" t="n">
        <f aca="false">IF(NOT(AssignmentTable[[#This Row],[_Valid]]=1),0,IF(N(INDEX(tsk_LeafTotalCost,AssignmentTable[[#This Row],[_TaskPos]]))=0,0,N(INDEX(tsk_LeafAC,AssignmentTable[[#This Row],[_TaskPos]]))*AssignmentTable[[#This Row],[Cost]]/INDEX(tsk_LeafTotalCost,AssignmentTable[[#This Row],[_TaskPos]])))</f>
        <v>0</v>
      </c>
      <c r="S51" s="32" t="n">
        <f aca="false">IF(NOT(AssignmentTable[[#This Row],[_Valid]]=1),0,IF(N(INDEX(tsk_LateKey,AssignmentTable[[#This Row],[_TaskPos]]))&gt;0,1,0))</f>
        <v>0</v>
      </c>
      <c r="T51" s="32" t="n">
        <f aca="false">IF(NOT(AssignmentTable[[#This Row],[_Valid]]=1),0,IF(INDEX(tsk_Critical,AssignmentTable[[#This Row],[_TaskPos]])="Yes",1,0))</f>
        <v>0</v>
      </c>
      <c r="U5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2" customFormat="false" ht="15" hidden="false" customHeight="false" outlineLevel="0" collapsed="false">
      <c r="B52" s="46"/>
      <c r="C52" s="24" t="str">
        <f aca="false">IF(AssignmentTable[[#This Row],[_TaskPos]]&lt;=0,"",INDEX(tsk_Name,AssignmentTable[[#This Row],[_TaskPos]])&amp;"")</f>
        <v/>
      </c>
      <c r="D52" s="47"/>
      <c r="E52" s="93"/>
      <c r="F52" s="110" t="n">
        <f aca="false">IF(AssignmentTable[[#This Row],[_Valid]]=1,N(INDEX(tsk_Duration,AssignmentTable[[#This Row],[_TaskPos]]))*HoursPerDay*IF(AssignmentTable[[#This Row],[Units]]="",DefaultUnits,AssignmentTable[[#This Row],[Units]]),0)</f>
        <v>0</v>
      </c>
      <c r="G52" s="111" t="n">
        <f aca="false">IF(AssignmentTable[[#This Row],[Work]]=0,0,AssignmentTable[[#This Row],[Work]]*IFERROR(INDEX(res_Rate,MATCH(AssignmentTable[[#This Row],[Resource]],res_Name,0)),0))</f>
        <v>0</v>
      </c>
      <c r="H5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2" s="32" t="n">
        <f aca="false">IF(N(AssignmentTable[[#This Row],[Task UID]])=0,0,IFERROR(MATCH(AssignmentTable[[#This Row],[Task UID]],tsk_UID,0),-1))</f>
        <v>0</v>
      </c>
      <c r="J52" s="32" t="n">
        <f aca="false">IF(AND(AssignmentTable[[#This Row],[_TaskPos]]&gt;0,AssignmentTable[[#This Row],[Resource]]&lt;&gt;"",AssignmentTable[[#This Row],[Check]]=""),1,0)</f>
        <v>0</v>
      </c>
      <c r="K52" s="32" t="str">
        <f aca="false">IF(AssignmentTable[[#This Row],[_Valid]]=1,AssignmentTable[[#This Row],[Task UID]]*1000+COUNTIFS(AssignmentTable[[#Headers],[Task UID]]:AssignmentTable[[#This Row],[Task UID]],AssignmentTable[[#This Row],[Task UID]],AssignmentTable[[#Headers],[_Valid]]:AssignmentTable[[#This Row],[_Valid]],1),"")</f>
        <v/>
      </c>
      <c r="L52" s="32" t="str">
        <f aca="false">IF(AssignmentTable[[#This Row],[_Valid]]=1,AssignmentTable[[#This Row],[Resource]]&amp;IF(OR(AssignmentTable[[#This Row],[Units]]="",AssignmentTable[[#This Row],[Units]]=1),"","["&amp;ROUND(AssignmentTable[[#This Row],[Units]]*100,0)&amp;"%]"),"")</f>
        <v/>
      </c>
      <c r="M52" s="32" t="n">
        <f aca="false">IF(AssignmentTable[[#This Row],[_Valid]]=1,N(INDEX(tsk_StartWD,AssignmentTable[[#This Row],[_TaskPos]])),0)</f>
        <v>0</v>
      </c>
      <c r="N52" s="32" t="n">
        <f aca="false">IF(AssignmentTable[[#This Row],[_Valid]]=1,N(INDEX(tsk_FinishWD,AssignmentTable[[#This Row],[_TaskPos]])),0)</f>
        <v>0</v>
      </c>
      <c r="O52" s="32" t="n">
        <f aca="false">IF(OR(AssignmentTable[[#This Row],[Work]]=0,AssignmentTable[[#This Row],[_FinishWD]]=0),0,AssignmentTable[[#This Row],[Work]]/(AssignmentTable[[#This Row],[_FinishWD]]-AssignmentTable[[#This Row],[_StartWD]]+1))</f>
        <v>0</v>
      </c>
      <c r="P52" s="32" t="n">
        <f aca="false">AssignmentTable[[#This Row],[_WorkPerWD]]*MAX(0,AssignmentTable[[#This Row],[_StartWD]]-1)</f>
        <v>0</v>
      </c>
      <c r="Q52" s="32" t="n">
        <f aca="false">IF(AssignmentTable[[#This Row],[_Valid]]=1,AssignmentTable[[#This Row],[Work]]*N(INDEX(tsk_LeafProgress,AssignmentTable[[#This Row],[_TaskPos]])),0)</f>
        <v>0</v>
      </c>
      <c r="R52" s="32" t="n">
        <f aca="false">IF(NOT(AssignmentTable[[#This Row],[_Valid]]=1),0,IF(N(INDEX(tsk_LeafTotalCost,AssignmentTable[[#This Row],[_TaskPos]]))=0,0,N(INDEX(tsk_LeafAC,AssignmentTable[[#This Row],[_TaskPos]]))*AssignmentTable[[#This Row],[Cost]]/INDEX(tsk_LeafTotalCost,AssignmentTable[[#This Row],[_TaskPos]])))</f>
        <v>0</v>
      </c>
      <c r="S52" s="32" t="n">
        <f aca="false">IF(NOT(AssignmentTable[[#This Row],[_Valid]]=1),0,IF(N(INDEX(tsk_LateKey,AssignmentTable[[#This Row],[_TaskPos]]))&gt;0,1,0))</f>
        <v>0</v>
      </c>
      <c r="T52" s="32" t="n">
        <f aca="false">IF(NOT(AssignmentTable[[#This Row],[_Valid]]=1),0,IF(INDEX(tsk_Critical,AssignmentTable[[#This Row],[_TaskPos]])="Yes",1,0))</f>
        <v>0</v>
      </c>
      <c r="U5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3" customFormat="false" ht="15" hidden="false" customHeight="false" outlineLevel="0" collapsed="false">
      <c r="B53" s="46"/>
      <c r="C53" s="24" t="str">
        <f aca="false">IF(AssignmentTable[[#This Row],[_TaskPos]]&lt;=0,"",INDEX(tsk_Name,AssignmentTable[[#This Row],[_TaskPos]])&amp;"")</f>
        <v/>
      </c>
      <c r="D53" s="47"/>
      <c r="E53" s="93"/>
      <c r="F53" s="110" t="n">
        <f aca="false">IF(AssignmentTable[[#This Row],[_Valid]]=1,N(INDEX(tsk_Duration,AssignmentTable[[#This Row],[_TaskPos]]))*HoursPerDay*IF(AssignmentTable[[#This Row],[Units]]="",DefaultUnits,AssignmentTable[[#This Row],[Units]]),0)</f>
        <v>0</v>
      </c>
      <c r="G53" s="111" t="n">
        <f aca="false">IF(AssignmentTable[[#This Row],[Work]]=0,0,AssignmentTable[[#This Row],[Work]]*IFERROR(INDEX(res_Rate,MATCH(AssignmentTable[[#This Row],[Resource]],res_Name,0)),0))</f>
        <v>0</v>
      </c>
      <c r="H5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3" s="32" t="n">
        <f aca="false">IF(N(AssignmentTable[[#This Row],[Task UID]])=0,0,IFERROR(MATCH(AssignmentTable[[#This Row],[Task UID]],tsk_UID,0),-1))</f>
        <v>0</v>
      </c>
      <c r="J53" s="32" t="n">
        <f aca="false">IF(AND(AssignmentTable[[#This Row],[_TaskPos]]&gt;0,AssignmentTable[[#This Row],[Resource]]&lt;&gt;"",AssignmentTable[[#This Row],[Check]]=""),1,0)</f>
        <v>0</v>
      </c>
      <c r="K53" s="32" t="str">
        <f aca="false">IF(AssignmentTable[[#This Row],[_Valid]]=1,AssignmentTable[[#This Row],[Task UID]]*1000+COUNTIFS(AssignmentTable[[#Headers],[Task UID]]:AssignmentTable[[#This Row],[Task UID]],AssignmentTable[[#This Row],[Task UID]],AssignmentTable[[#Headers],[_Valid]]:AssignmentTable[[#This Row],[_Valid]],1),"")</f>
        <v/>
      </c>
      <c r="L53" s="32" t="str">
        <f aca="false">IF(AssignmentTable[[#This Row],[_Valid]]=1,AssignmentTable[[#This Row],[Resource]]&amp;IF(OR(AssignmentTable[[#This Row],[Units]]="",AssignmentTable[[#This Row],[Units]]=1),"","["&amp;ROUND(AssignmentTable[[#This Row],[Units]]*100,0)&amp;"%]"),"")</f>
        <v/>
      </c>
      <c r="M53" s="32" t="n">
        <f aca="false">IF(AssignmentTable[[#This Row],[_Valid]]=1,N(INDEX(tsk_StartWD,AssignmentTable[[#This Row],[_TaskPos]])),0)</f>
        <v>0</v>
      </c>
      <c r="N53" s="32" t="n">
        <f aca="false">IF(AssignmentTable[[#This Row],[_Valid]]=1,N(INDEX(tsk_FinishWD,AssignmentTable[[#This Row],[_TaskPos]])),0)</f>
        <v>0</v>
      </c>
      <c r="O53" s="32" t="n">
        <f aca="false">IF(OR(AssignmentTable[[#This Row],[Work]]=0,AssignmentTable[[#This Row],[_FinishWD]]=0),0,AssignmentTable[[#This Row],[Work]]/(AssignmentTable[[#This Row],[_FinishWD]]-AssignmentTable[[#This Row],[_StartWD]]+1))</f>
        <v>0</v>
      </c>
      <c r="P53" s="32" t="n">
        <f aca="false">AssignmentTable[[#This Row],[_WorkPerWD]]*MAX(0,AssignmentTable[[#This Row],[_StartWD]]-1)</f>
        <v>0</v>
      </c>
      <c r="Q53" s="32" t="n">
        <f aca="false">IF(AssignmentTable[[#This Row],[_Valid]]=1,AssignmentTable[[#This Row],[Work]]*N(INDEX(tsk_LeafProgress,AssignmentTable[[#This Row],[_TaskPos]])),0)</f>
        <v>0</v>
      </c>
      <c r="R53" s="32" t="n">
        <f aca="false">IF(NOT(AssignmentTable[[#This Row],[_Valid]]=1),0,IF(N(INDEX(tsk_LeafTotalCost,AssignmentTable[[#This Row],[_TaskPos]]))=0,0,N(INDEX(tsk_LeafAC,AssignmentTable[[#This Row],[_TaskPos]]))*AssignmentTable[[#This Row],[Cost]]/INDEX(tsk_LeafTotalCost,AssignmentTable[[#This Row],[_TaskPos]])))</f>
        <v>0</v>
      </c>
      <c r="S53" s="32" t="n">
        <f aca="false">IF(NOT(AssignmentTable[[#This Row],[_Valid]]=1),0,IF(N(INDEX(tsk_LateKey,AssignmentTable[[#This Row],[_TaskPos]]))&gt;0,1,0))</f>
        <v>0</v>
      </c>
      <c r="T53" s="32" t="n">
        <f aca="false">IF(NOT(AssignmentTable[[#This Row],[_Valid]]=1),0,IF(INDEX(tsk_Critical,AssignmentTable[[#This Row],[_TaskPos]])="Yes",1,0))</f>
        <v>0</v>
      </c>
      <c r="U5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4" customFormat="false" ht="15" hidden="false" customHeight="false" outlineLevel="0" collapsed="false">
      <c r="B54" s="46"/>
      <c r="C54" s="24" t="str">
        <f aca="false">IF(AssignmentTable[[#This Row],[_TaskPos]]&lt;=0,"",INDEX(tsk_Name,AssignmentTable[[#This Row],[_TaskPos]])&amp;"")</f>
        <v/>
      </c>
      <c r="D54" s="47"/>
      <c r="E54" s="93"/>
      <c r="F54" s="110" t="n">
        <f aca="false">IF(AssignmentTable[[#This Row],[_Valid]]=1,N(INDEX(tsk_Duration,AssignmentTable[[#This Row],[_TaskPos]]))*HoursPerDay*IF(AssignmentTable[[#This Row],[Units]]="",DefaultUnits,AssignmentTable[[#This Row],[Units]]),0)</f>
        <v>0</v>
      </c>
      <c r="G54" s="111" t="n">
        <f aca="false">IF(AssignmentTable[[#This Row],[Work]]=0,0,AssignmentTable[[#This Row],[Work]]*IFERROR(INDEX(res_Rate,MATCH(AssignmentTable[[#This Row],[Resource]],res_Name,0)),0))</f>
        <v>0</v>
      </c>
      <c r="H5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4" s="32" t="n">
        <f aca="false">IF(N(AssignmentTable[[#This Row],[Task UID]])=0,0,IFERROR(MATCH(AssignmentTable[[#This Row],[Task UID]],tsk_UID,0),-1))</f>
        <v>0</v>
      </c>
      <c r="J54" s="32" t="n">
        <f aca="false">IF(AND(AssignmentTable[[#This Row],[_TaskPos]]&gt;0,AssignmentTable[[#This Row],[Resource]]&lt;&gt;"",AssignmentTable[[#This Row],[Check]]=""),1,0)</f>
        <v>0</v>
      </c>
      <c r="K54" s="32" t="str">
        <f aca="false">IF(AssignmentTable[[#This Row],[_Valid]]=1,AssignmentTable[[#This Row],[Task UID]]*1000+COUNTIFS(AssignmentTable[[#Headers],[Task UID]]:AssignmentTable[[#This Row],[Task UID]],AssignmentTable[[#This Row],[Task UID]],AssignmentTable[[#Headers],[_Valid]]:AssignmentTable[[#This Row],[_Valid]],1),"")</f>
        <v/>
      </c>
      <c r="L54" s="32" t="str">
        <f aca="false">IF(AssignmentTable[[#This Row],[_Valid]]=1,AssignmentTable[[#This Row],[Resource]]&amp;IF(OR(AssignmentTable[[#This Row],[Units]]="",AssignmentTable[[#This Row],[Units]]=1),"","["&amp;ROUND(AssignmentTable[[#This Row],[Units]]*100,0)&amp;"%]"),"")</f>
        <v/>
      </c>
      <c r="M54" s="32" t="n">
        <f aca="false">IF(AssignmentTable[[#This Row],[_Valid]]=1,N(INDEX(tsk_StartWD,AssignmentTable[[#This Row],[_TaskPos]])),0)</f>
        <v>0</v>
      </c>
      <c r="N54" s="32" t="n">
        <f aca="false">IF(AssignmentTable[[#This Row],[_Valid]]=1,N(INDEX(tsk_FinishWD,AssignmentTable[[#This Row],[_TaskPos]])),0)</f>
        <v>0</v>
      </c>
      <c r="O54" s="32" t="n">
        <f aca="false">IF(OR(AssignmentTable[[#This Row],[Work]]=0,AssignmentTable[[#This Row],[_FinishWD]]=0),0,AssignmentTable[[#This Row],[Work]]/(AssignmentTable[[#This Row],[_FinishWD]]-AssignmentTable[[#This Row],[_StartWD]]+1))</f>
        <v>0</v>
      </c>
      <c r="P54" s="32" t="n">
        <f aca="false">AssignmentTable[[#This Row],[_WorkPerWD]]*MAX(0,AssignmentTable[[#This Row],[_StartWD]]-1)</f>
        <v>0</v>
      </c>
      <c r="Q54" s="32" t="n">
        <f aca="false">IF(AssignmentTable[[#This Row],[_Valid]]=1,AssignmentTable[[#This Row],[Work]]*N(INDEX(tsk_LeafProgress,AssignmentTable[[#This Row],[_TaskPos]])),0)</f>
        <v>0</v>
      </c>
      <c r="R54" s="32" t="n">
        <f aca="false">IF(NOT(AssignmentTable[[#This Row],[_Valid]]=1),0,IF(N(INDEX(tsk_LeafTotalCost,AssignmentTable[[#This Row],[_TaskPos]]))=0,0,N(INDEX(tsk_LeafAC,AssignmentTable[[#This Row],[_TaskPos]]))*AssignmentTable[[#This Row],[Cost]]/INDEX(tsk_LeafTotalCost,AssignmentTable[[#This Row],[_TaskPos]])))</f>
        <v>0</v>
      </c>
      <c r="S54" s="32" t="n">
        <f aca="false">IF(NOT(AssignmentTable[[#This Row],[_Valid]]=1),0,IF(N(INDEX(tsk_LateKey,AssignmentTable[[#This Row],[_TaskPos]]))&gt;0,1,0))</f>
        <v>0</v>
      </c>
      <c r="T54" s="32" t="n">
        <f aca="false">IF(NOT(AssignmentTable[[#This Row],[_Valid]]=1),0,IF(INDEX(tsk_Critical,AssignmentTable[[#This Row],[_TaskPos]])="Yes",1,0))</f>
        <v>0</v>
      </c>
      <c r="U5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5" customFormat="false" ht="15" hidden="false" customHeight="false" outlineLevel="0" collapsed="false">
      <c r="B55" s="46"/>
      <c r="C55" s="24" t="str">
        <f aca="false">IF(AssignmentTable[[#This Row],[_TaskPos]]&lt;=0,"",INDEX(tsk_Name,AssignmentTable[[#This Row],[_TaskPos]])&amp;"")</f>
        <v/>
      </c>
      <c r="D55" s="47"/>
      <c r="E55" s="93"/>
      <c r="F55" s="110" t="n">
        <f aca="false">IF(AssignmentTable[[#This Row],[_Valid]]=1,N(INDEX(tsk_Duration,AssignmentTable[[#This Row],[_TaskPos]]))*HoursPerDay*IF(AssignmentTable[[#This Row],[Units]]="",DefaultUnits,AssignmentTable[[#This Row],[Units]]),0)</f>
        <v>0</v>
      </c>
      <c r="G55" s="111" t="n">
        <f aca="false">IF(AssignmentTable[[#This Row],[Work]]=0,0,AssignmentTable[[#This Row],[Work]]*IFERROR(INDEX(res_Rate,MATCH(AssignmentTable[[#This Row],[Resource]],res_Name,0)),0))</f>
        <v>0</v>
      </c>
      <c r="H5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5" s="32" t="n">
        <f aca="false">IF(N(AssignmentTable[[#This Row],[Task UID]])=0,0,IFERROR(MATCH(AssignmentTable[[#This Row],[Task UID]],tsk_UID,0),-1))</f>
        <v>0</v>
      </c>
      <c r="J55" s="32" t="n">
        <f aca="false">IF(AND(AssignmentTable[[#This Row],[_TaskPos]]&gt;0,AssignmentTable[[#This Row],[Resource]]&lt;&gt;"",AssignmentTable[[#This Row],[Check]]=""),1,0)</f>
        <v>0</v>
      </c>
      <c r="K55" s="32" t="str">
        <f aca="false">IF(AssignmentTable[[#This Row],[_Valid]]=1,AssignmentTable[[#This Row],[Task UID]]*1000+COUNTIFS(AssignmentTable[[#Headers],[Task UID]]:AssignmentTable[[#This Row],[Task UID]],AssignmentTable[[#This Row],[Task UID]],AssignmentTable[[#Headers],[_Valid]]:AssignmentTable[[#This Row],[_Valid]],1),"")</f>
        <v/>
      </c>
      <c r="L55" s="32" t="str">
        <f aca="false">IF(AssignmentTable[[#This Row],[_Valid]]=1,AssignmentTable[[#This Row],[Resource]]&amp;IF(OR(AssignmentTable[[#This Row],[Units]]="",AssignmentTable[[#This Row],[Units]]=1),"","["&amp;ROUND(AssignmentTable[[#This Row],[Units]]*100,0)&amp;"%]"),"")</f>
        <v/>
      </c>
      <c r="M55" s="32" t="n">
        <f aca="false">IF(AssignmentTable[[#This Row],[_Valid]]=1,N(INDEX(tsk_StartWD,AssignmentTable[[#This Row],[_TaskPos]])),0)</f>
        <v>0</v>
      </c>
      <c r="N55" s="32" t="n">
        <f aca="false">IF(AssignmentTable[[#This Row],[_Valid]]=1,N(INDEX(tsk_FinishWD,AssignmentTable[[#This Row],[_TaskPos]])),0)</f>
        <v>0</v>
      </c>
      <c r="O55" s="32" t="n">
        <f aca="false">IF(OR(AssignmentTable[[#This Row],[Work]]=0,AssignmentTable[[#This Row],[_FinishWD]]=0),0,AssignmentTable[[#This Row],[Work]]/(AssignmentTable[[#This Row],[_FinishWD]]-AssignmentTable[[#This Row],[_StartWD]]+1))</f>
        <v>0</v>
      </c>
      <c r="P55" s="32" t="n">
        <f aca="false">AssignmentTable[[#This Row],[_WorkPerWD]]*MAX(0,AssignmentTable[[#This Row],[_StartWD]]-1)</f>
        <v>0</v>
      </c>
      <c r="Q55" s="32" t="n">
        <f aca="false">IF(AssignmentTable[[#This Row],[_Valid]]=1,AssignmentTable[[#This Row],[Work]]*N(INDEX(tsk_LeafProgress,AssignmentTable[[#This Row],[_TaskPos]])),0)</f>
        <v>0</v>
      </c>
      <c r="R55" s="32" t="n">
        <f aca="false">IF(NOT(AssignmentTable[[#This Row],[_Valid]]=1),0,IF(N(INDEX(tsk_LeafTotalCost,AssignmentTable[[#This Row],[_TaskPos]]))=0,0,N(INDEX(tsk_LeafAC,AssignmentTable[[#This Row],[_TaskPos]]))*AssignmentTable[[#This Row],[Cost]]/INDEX(tsk_LeafTotalCost,AssignmentTable[[#This Row],[_TaskPos]])))</f>
        <v>0</v>
      </c>
      <c r="S55" s="32" t="n">
        <f aca="false">IF(NOT(AssignmentTable[[#This Row],[_Valid]]=1),0,IF(N(INDEX(tsk_LateKey,AssignmentTable[[#This Row],[_TaskPos]]))&gt;0,1,0))</f>
        <v>0</v>
      </c>
      <c r="T55" s="32" t="n">
        <f aca="false">IF(NOT(AssignmentTable[[#This Row],[_Valid]]=1),0,IF(INDEX(tsk_Critical,AssignmentTable[[#This Row],[_TaskPos]])="Yes",1,0))</f>
        <v>0</v>
      </c>
      <c r="U5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6" customFormat="false" ht="15" hidden="false" customHeight="false" outlineLevel="0" collapsed="false">
      <c r="B56" s="46"/>
      <c r="C56" s="24" t="str">
        <f aca="false">IF(AssignmentTable[[#This Row],[_TaskPos]]&lt;=0,"",INDEX(tsk_Name,AssignmentTable[[#This Row],[_TaskPos]])&amp;"")</f>
        <v/>
      </c>
      <c r="D56" s="47"/>
      <c r="E56" s="93"/>
      <c r="F56" s="110" t="n">
        <f aca="false">IF(AssignmentTable[[#This Row],[_Valid]]=1,N(INDEX(tsk_Duration,AssignmentTable[[#This Row],[_TaskPos]]))*HoursPerDay*IF(AssignmentTable[[#This Row],[Units]]="",DefaultUnits,AssignmentTable[[#This Row],[Units]]),0)</f>
        <v>0</v>
      </c>
      <c r="G56" s="111" t="n">
        <f aca="false">IF(AssignmentTable[[#This Row],[Work]]=0,0,AssignmentTable[[#This Row],[Work]]*IFERROR(INDEX(res_Rate,MATCH(AssignmentTable[[#This Row],[Resource]],res_Name,0)),0))</f>
        <v>0</v>
      </c>
      <c r="H5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6" s="32" t="n">
        <f aca="false">IF(N(AssignmentTable[[#This Row],[Task UID]])=0,0,IFERROR(MATCH(AssignmentTable[[#This Row],[Task UID]],tsk_UID,0),-1))</f>
        <v>0</v>
      </c>
      <c r="J56" s="32" t="n">
        <f aca="false">IF(AND(AssignmentTable[[#This Row],[_TaskPos]]&gt;0,AssignmentTable[[#This Row],[Resource]]&lt;&gt;"",AssignmentTable[[#This Row],[Check]]=""),1,0)</f>
        <v>0</v>
      </c>
      <c r="K56" s="32" t="str">
        <f aca="false">IF(AssignmentTable[[#This Row],[_Valid]]=1,AssignmentTable[[#This Row],[Task UID]]*1000+COUNTIFS(AssignmentTable[[#Headers],[Task UID]]:AssignmentTable[[#This Row],[Task UID]],AssignmentTable[[#This Row],[Task UID]],AssignmentTable[[#Headers],[_Valid]]:AssignmentTable[[#This Row],[_Valid]],1),"")</f>
        <v/>
      </c>
      <c r="L56" s="32" t="str">
        <f aca="false">IF(AssignmentTable[[#This Row],[_Valid]]=1,AssignmentTable[[#This Row],[Resource]]&amp;IF(OR(AssignmentTable[[#This Row],[Units]]="",AssignmentTable[[#This Row],[Units]]=1),"","["&amp;ROUND(AssignmentTable[[#This Row],[Units]]*100,0)&amp;"%]"),"")</f>
        <v/>
      </c>
      <c r="M56" s="32" t="n">
        <f aca="false">IF(AssignmentTable[[#This Row],[_Valid]]=1,N(INDEX(tsk_StartWD,AssignmentTable[[#This Row],[_TaskPos]])),0)</f>
        <v>0</v>
      </c>
      <c r="N56" s="32" t="n">
        <f aca="false">IF(AssignmentTable[[#This Row],[_Valid]]=1,N(INDEX(tsk_FinishWD,AssignmentTable[[#This Row],[_TaskPos]])),0)</f>
        <v>0</v>
      </c>
      <c r="O56" s="32" t="n">
        <f aca="false">IF(OR(AssignmentTable[[#This Row],[Work]]=0,AssignmentTable[[#This Row],[_FinishWD]]=0),0,AssignmentTable[[#This Row],[Work]]/(AssignmentTable[[#This Row],[_FinishWD]]-AssignmentTable[[#This Row],[_StartWD]]+1))</f>
        <v>0</v>
      </c>
      <c r="P56" s="32" t="n">
        <f aca="false">AssignmentTable[[#This Row],[_WorkPerWD]]*MAX(0,AssignmentTable[[#This Row],[_StartWD]]-1)</f>
        <v>0</v>
      </c>
      <c r="Q56" s="32" t="n">
        <f aca="false">IF(AssignmentTable[[#This Row],[_Valid]]=1,AssignmentTable[[#This Row],[Work]]*N(INDEX(tsk_LeafProgress,AssignmentTable[[#This Row],[_TaskPos]])),0)</f>
        <v>0</v>
      </c>
      <c r="R56" s="32" t="n">
        <f aca="false">IF(NOT(AssignmentTable[[#This Row],[_Valid]]=1),0,IF(N(INDEX(tsk_LeafTotalCost,AssignmentTable[[#This Row],[_TaskPos]]))=0,0,N(INDEX(tsk_LeafAC,AssignmentTable[[#This Row],[_TaskPos]]))*AssignmentTable[[#This Row],[Cost]]/INDEX(tsk_LeafTotalCost,AssignmentTable[[#This Row],[_TaskPos]])))</f>
        <v>0</v>
      </c>
      <c r="S56" s="32" t="n">
        <f aca="false">IF(NOT(AssignmentTable[[#This Row],[_Valid]]=1),0,IF(N(INDEX(tsk_LateKey,AssignmentTable[[#This Row],[_TaskPos]]))&gt;0,1,0))</f>
        <v>0</v>
      </c>
      <c r="T56" s="32" t="n">
        <f aca="false">IF(NOT(AssignmentTable[[#This Row],[_Valid]]=1),0,IF(INDEX(tsk_Critical,AssignmentTable[[#This Row],[_TaskPos]])="Yes",1,0))</f>
        <v>0</v>
      </c>
      <c r="U5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7" customFormat="false" ht="15" hidden="false" customHeight="false" outlineLevel="0" collapsed="false">
      <c r="B57" s="46"/>
      <c r="C57" s="24" t="str">
        <f aca="false">IF(AssignmentTable[[#This Row],[_TaskPos]]&lt;=0,"",INDEX(tsk_Name,AssignmentTable[[#This Row],[_TaskPos]])&amp;"")</f>
        <v/>
      </c>
      <c r="D57" s="47"/>
      <c r="E57" s="93"/>
      <c r="F57" s="110" t="n">
        <f aca="false">IF(AssignmentTable[[#This Row],[_Valid]]=1,N(INDEX(tsk_Duration,AssignmentTable[[#This Row],[_TaskPos]]))*HoursPerDay*IF(AssignmentTable[[#This Row],[Units]]="",DefaultUnits,AssignmentTable[[#This Row],[Units]]),0)</f>
        <v>0</v>
      </c>
      <c r="G57" s="111" t="n">
        <f aca="false">IF(AssignmentTable[[#This Row],[Work]]=0,0,AssignmentTable[[#This Row],[Work]]*IFERROR(INDEX(res_Rate,MATCH(AssignmentTable[[#This Row],[Resource]],res_Name,0)),0))</f>
        <v>0</v>
      </c>
      <c r="H5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7" s="32" t="n">
        <f aca="false">IF(N(AssignmentTable[[#This Row],[Task UID]])=0,0,IFERROR(MATCH(AssignmentTable[[#This Row],[Task UID]],tsk_UID,0),-1))</f>
        <v>0</v>
      </c>
      <c r="J57" s="32" t="n">
        <f aca="false">IF(AND(AssignmentTable[[#This Row],[_TaskPos]]&gt;0,AssignmentTable[[#This Row],[Resource]]&lt;&gt;"",AssignmentTable[[#This Row],[Check]]=""),1,0)</f>
        <v>0</v>
      </c>
      <c r="K57" s="32" t="str">
        <f aca="false">IF(AssignmentTable[[#This Row],[_Valid]]=1,AssignmentTable[[#This Row],[Task UID]]*1000+COUNTIFS(AssignmentTable[[#Headers],[Task UID]]:AssignmentTable[[#This Row],[Task UID]],AssignmentTable[[#This Row],[Task UID]],AssignmentTable[[#Headers],[_Valid]]:AssignmentTable[[#This Row],[_Valid]],1),"")</f>
        <v/>
      </c>
      <c r="L57" s="32" t="str">
        <f aca="false">IF(AssignmentTable[[#This Row],[_Valid]]=1,AssignmentTable[[#This Row],[Resource]]&amp;IF(OR(AssignmentTable[[#This Row],[Units]]="",AssignmentTable[[#This Row],[Units]]=1),"","["&amp;ROUND(AssignmentTable[[#This Row],[Units]]*100,0)&amp;"%]"),"")</f>
        <v/>
      </c>
      <c r="M57" s="32" t="n">
        <f aca="false">IF(AssignmentTable[[#This Row],[_Valid]]=1,N(INDEX(tsk_StartWD,AssignmentTable[[#This Row],[_TaskPos]])),0)</f>
        <v>0</v>
      </c>
      <c r="N57" s="32" t="n">
        <f aca="false">IF(AssignmentTable[[#This Row],[_Valid]]=1,N(INDEX(tsk_FinishWD,AssignmentTable[[#This Row],[_TaskPos]])),0)</f>
        <v>0</v>
      </c>
      <c r="O57" s="32" t="n">
        <f aca="false">IF(OR(AssignmentTable[[#This Row],[Work]]=0,AssignmentTable[[#This Row],[_FinishWD]]=0),0,AssignmentTable[[#This Row],[Work]]/(AssignmentTable[[#This Row],[_FinishWD]]-AssignmentTable[[#This Row],[_StartWD]]+1))</f>
        <v>0</v>
      </c>
      <c r="P57" s="32" t="n">
        <f aca="false">AssignmentTable[[#This Row],[_WorkPerWD]]*MAX(0,AssignmentTable[[#This Row],[_StartWD]]-1)</f>
        <v>0</v>
      </c>
      <c r="Q57" s="32" t="n">
        <f aca="false">IF(AssignmentTable[[#This Row],[_Valid]]=1,AssignmentTable[[#This Row],[Work]]*N(INDEX(tsk_LeafProgress,AssignmentTable[[#This Row],[_TaskPos]])),0)</f>
        <v>0</v>
      </c>
      <c r="R57" s="32" t="n">
        <f aca="false">IF(NOT(AssignmentTable[[#This Row],[_Valid]]=1),0,IF(N(INDEX(tsk_LeafTotalCost,AssignmentTable[[#This Row],[_TaskPos]]))=0,0,N(INDEX(tsk_LeafAC,AssignmentTable[[#This Row],[_TaskPos]]))*AssignmentTable[[#This Row],[Cost]]/INDEX(tsk_LeafTotalCost,AssignmentTable[[#This Row],[_TaskPos]])))</f>
        <v>0</v>
      </c>
      <c r="S57" s="32" t="n">
        <f aca="false">IF(NOT(AssignmentTable[[#This Row],[_Valid]]=1),0,IF(N(INDEX(tsk_LateKey,AssignmentTable[[#This Row],[_TaskPos]]))&gt;0,1,0))</f>
        <v>0</v>
      </c>
      <c r="T57" s="32" t="n">
        <f aca="false">IF(NOT(AssignmentTable[[#This Row],[_Valid]]=1),0,IF(INDEX(tsk_Critical,AssignmentTable[[#This Row],[_TaskPos]])="Yes",1,0))</f>
        <v>0</v>
      </c>
      <c r="U5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8" customFormat="false" ht="15" hidden="false" customHeight="false" outlineLevel="0" collapsed="false">
      <c r="B58" s="46"/>
      <c r="C58" s="24" t="str">
        <f aca="false">IF(AssignmentTable[[#This Row],[_TaskPos]]&lt;=0,"",INDEX(tsk_Name,AssignmentTable[[#This Row],[_TaskPos]])&amp;"")</f>
        <v/>
      </c>
      <c r="D58" s="47"/>
      <c r="E58" s="93"/>
      <c r="F58" s="110" t="n">
        <f aca="false">IF(AssignmentTable[[#This Row],[_Valid]]=1,N(INDEX(tsk_Duration,AssignmentTable[[#This Row],[_TaskPos]]))*HoursPerDay*IF(AssignmentTable[[#This Row],[Units]]="",DefaultUnits,AssignmentTable[[#This Row],[Units]]),0)</f>
        <v>0</v>
      </c>
      <c r="G58" s="111" t="n">
        <f aca="false">IF(AssignmentTable[[#This Row],[Work]]=0,0,AssignmentTable[[#This Row],[Work]]*IFERROR(INDEX(res_Rate,MATCH(AssignmentTable[[#This Row],[Resource]],res_Name,0)),0))</f>
        <v>0</v>
      </c>
      <c r="H5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8" s="32" t="n">
        <f aca="false">IF(N(AssignmentTable[[#This Row],[Task UID]])=0,0,IFERROR(MATCH(AssignmentTable[[#This Row],[Task UID]],tsk_UID,0),-1))</f>
        <v>0</v>
      </c>
      <c r="J58" s="32" t="n">
        <f aca="false">IF(AND(AssignmentTable[[#This Row],[_TaskPos]]&gt;0,AssignmentTable[[#This Row],[Resource]]&lt;&gt;"",AssignmentTable[[#This Row],[Check]]=""),1,0)</f>
        <v>0</v>
      </c>
      <c r="K58" s="32" t="str">
        <f aca="false">IF(AssignmentTable[[#This Row],[_Valid]]=1,AssignmentTable[[#This Row],[Task UID]]*1000+COUNTIFS(AssignmentTable[[#Headers],[Task UID]]:AssignmentTable[[#This Row],[Task UID]],AssignmentTable[[#This Row],[Task UID]],AssignmentTable[[#Headers],[_Valid]]:AssignmentTable[[#This Row],[_Valid]],1),"")</f>
        <v/>
      </c>
      <c r="L58" s="32" t="str">
        <f aca="false">IF(AssignmentTable[[#This Row],[_Valid]]=1,AssignmentTable[[#This Row],[Resource]]&amp;IF(OR(AssignmentTable[[#This Row],[Units]]="",AssignmentTable[[#This Row],[Units]]=1),"","["&amp;ROUND(AssignmentTable[[#This Row],[Units]]*100,0)&amp;"%]"),"")</f>
        <v/>
      </c>
      <c r="M58" s="32" t="n">
        <f aca="false">IF(AssignmentTable[[#This Row],[_Valid]]=1,N(INDEX(tsk_StartWD,AssignmentTable[[#This Row],[_TaskPos]])),0)</f>
        <v>0</v>
      </c>
      <c r="N58" s="32" t="n">
        <f aca="false">IF(AssignmentTable[[#This Row],[_Valid]]=1,N(INDEX(tsk_FinishWD,AssignmentTable[[#This Row],[_TaskPos]])),0)</f>
        <v>0</v>
      </c>
      <c r="O58" s="32" t="n">
        <f aca="false">IF(OR(AssignmentTable[[#This Row],[Work]]=0,AssignmentTable[[#This Row],[_FinishWD]]=0),0,AssignmentTable[[#This Row],[Work]]/(AssignmentTable[[#This Row],[_FinishWD]]-AssignmentTable[[#This Row],[_StartWD]]+1))</f>
        <v>0</v>
      </c>
      <c r="P58" s="32" t="n">
        <f aca="false">AssignmentTable[[#This Row],[_WorkPerWD]]*MAX(0,AssignmentTable[[#This Row],[_StartWD]]-1)</f>
        <v>0</v>
      </c>
      <c r="Q58" s="32" t="n">
        <f aca="false">IF(AssignmentTable[[#This Row],[_Valid]]=1,AssignmentTable[[#This Row],[Work]]*N(INDEX(tsk_LeafProgress,AssignmentTable[[#This Row],[_TaskPos]])),0)</f>
        <v>0</v>
      </c>
      <c r="R58" s="32" t="n">
        <f aca="false">IF(NOT(AssignmentTable[[#This Row],[_Valid]]=1),0,IF(N(INDEX(tsk_LeafTotalCost,AssignmentTable[[#This Row],[_TaskPos]]))=0,0,N(INDEX(tsk_LeafAC,AssignmentTable[[#This Row],[_TaskPos]]))*AssignmentTable[[#This Row],[Cost]]/INDEX(tsk_LeafTotalCost,AssignmentTable[[#This Row],[_TaskPos]])))</f>
        <v>0</v>
      </c>
      <c r="S58" s="32" t="n">
        <f aca="false">IF(NOT(AssignmentTable[[#This Row],[_Valid]]=1),0,IF(N(INDEX(tsk_LateKey,AssignmentTable[[#This Row],[_TaskPos]]))&gt;0,1,0))</f>
        <v>0</v>
      </c>
      <c r="T58" s="32" t="n">
        <f aca="false">IF(NOT(AssignmentTable[[#This Row],[_Valid]]=1),0,IF(INDEX(tsk_Critical,AssignmentTable[[#This Row],[_TaskPos]])="Yes",1,0))</f>
        <v>0</v>
      </c>
      <c r="U5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59" customFormat="false" ht="15" hidden="false" customHeight="false" outlineLevel="0" collapsed="false">
      <c r="B59" s="46"/>
      <c r="C59" s="24" t="str">
        <f aca="false">IF(AssignmentTable[[#This Row],[_TaskPos]]&lt;=0,"",INDEX(tsk_Name,AssignmentTable[[#This Row],[_TaskPos]])&amp;"")</f>
        <v/>
      </c>
      <c r="D59" s="47"/>
      <c r="E59" s="93"/>
      <c r="F59" s="110" t="n">
        <f aca="false">IF(AssignmentTable[[#This Row],[_Valid]]=1,N(INDEX(tsk_Duration,AssignmentTable[[#This Row],[_TaskPos]]))*HoursPerDay*IF(AssignmentTable[[#This Row],[Units]]="",DefaultUnits,AssignmentTable[[#This Row],[Units]]),0)</f>
        <v>0</v>
      </c>
      <c r="G59" s="111" t="n">
        <f aca="false">IF(AssignmentTable[[#This Row],[Work]]=0,0,AssignmentTable[[#This Row],[Work]]*IFERROR(INDEX(res_Rate,MATCH(AssignmentTable[[#This Row],[Resource]],res_Name,0)),0))</f>
        <v>0</v>
      </c>
      <c r="H5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59" s="32" t="n">
        <f aca="false">IF(N(AssignmentTable[[#This Row],[Task UID]])=0,0,IFERROR(MATCH(AssignmentTable[[#This Row],[Task UID]],tsk_UID,0),-1))</f>
        <v>0</v>
      </c>
      <c r="J59" s="32" t="n">
        <f aca="false">IF(AND(AssignmentTable[[#This Row],[_TaskPos]]&gt;0,AssignmentTable[[#This Row],[Resource]]&lt;&gt;"",AssignmentTable[[#This Row],[Check]]=""),1,0)</f>
        <v>0</v>
      </c>
      <c r="K59" s="32" t="str">
        <f aca="false">IF(AssignmentTable[[#This Row],[_Valid]]=1,AssignmentTable[[#This Row],[Task UID]]*1000+COUNTIFS(AssignmentTable[[#Headers],[Task UID]]:AssignmentTable[[#This Row],[Task UID]],AssignmentTable[[#This Row],[Task UID]],AssignmentTable[[#Headers],[_Valid]]:AssignmentTable[[#This Row],[_Valid]],1),"")</f>
        <v/>
      </c>
      <c r="L59" s="32" t="str">
        <f aca="false">IF(AssignmentTable[[#This Row],[_Valid]]=1,AssignmentTable[[#This Row],[Resource]]&amp;IF(OR(AssignmentTable[[#This Row],[Units]]="",AssignmentTable[[#This Row],[Units]]=1),"","["&amp;ROUND(AssignmentTable[[#This Row],[Units]]*100,0)&amp;"%]"),"")</f>
        <v/>
      </c>
      <c r="M59" s="32" t="n">
        <f aca="false">IF(AssignmentTable[[#This Row],[_Valid]]=1,N(INDEX(tsk_StartWD,AssignmentTable[[#This Row],[_TaskPos]])),0)</f>
        <v>0</v>
      </c>
      <c r="N59" s="32" t="n">
        <f aca="false">IF(AssignmentTable[[#This Row],[_Valid]]=1,N(INDEX(tsk_FinishWD,AssignmentTable[[#This Row],[_TaskPos]])),0)</f>
        <v>0</v>
      </c>
      <c r="O59" s="32" t="n">
        <f aca="false">IF(OR(AssignmentTable[[#This Row],[Work]]=0,AssignmentTable[[#This Row],[_FinishWD]]=0),0,AssignmentTable[[#This Row],[Work]]/(AssignmentTable[[#This Row],[_FinishWD]]-AssignmentTable[[#This Row],[_StartWD]]+1))</f>
        <v>0</v>
      </c>
      <c r="P59" s="32" t="n">
        <f aca="false">AssignmentTable[[#This Row],[_WorkPerWD]]*MAX(0,AssignmentTable[[#This Row],[_StartWD]]-1)</f>
        <v>0</v>
      </c>
      <c r="Q59" s="32" t="n">
        <f aca="false">IF(AssignmentTable[[#This Row],[_Valid]]=1,AssignmentTable[[#This Row],[Work]]*N(INDEX(tsk_LeafProgress,AssignmentTable[[#This Row],[_TaskPos]])),0)</f>
        <v>0</v>
      </c>
      <c r="R59" s="32" t="n">
        <f aca="false">IF(NOT(AssignmentTable[[#This Row],[_Valid]]=1),0,IF(N(INDEX(tsk_LeafTotalCost,AssignmentTable[[#This Row],[_TaskPos]]))=0,0,N(INDEX(tsk_LeafAC,AssignmentTable[[#This Row],[_TaskPos]]))*AssignmentTable[[#This Row],[Cost]]/INDEX(tsk_LeafTotalCost,AssignmentTable[[#This Row],[_TaskPos]])))</f>
        <v>0</v>
      </c>
      <c r="S59" s="32" t="n">
        <f aca="false">IF(NOT(AssignmentTable[[#This Row],[_Valid]]=1),0,IF(N(INDEX(tsk_LateKey,AssignmentTable[[#This Row],[_TaskPos]]))&gt;0,1,0))</f>
        <v>0</v>
      </c>
      <c r="T59" s="32" t="n">
        <f aca="false">IF(NOT(AssignmentTable[[#This Row],[_Valid]]=1),0,IF(INDEX(tsk_Critical,AssignmentTable[[#This Row],[_TaskPos]])="Yes",1,0))</f>
        <v>0</v>
      </c>
      <c r="U5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0" customFormat="false" ht="15" hidden="false" customHeight="false" outlineLevel="0" collapsed="false">
      <c r="B60" s="46"/>
      <c r="C60" s="24" t="str">
        <f aca="false">IF(AssignmentTable[[#This Row],[_TaskPos]]&lt;=0,"",INDEX(tsk_Name,AssignmentTable[[#This Row],[_TaskPos]])&amp;"")</f>
        <v/>
      </c>
      <c r="D60" s="47"/>
      <c r="E60" s="93"/>
      <c r="F60" s="110" t="n">
        <f aca="false">IF(AssignmentTable[[#This Row],[_Valid]]=1,N(INDEX(tsk_Duration,AssignmentTable[[#This Row],[_TaskPos]]))*HoursPerDay*IF(AssignmentTable[[#This Row],[Units]]="",DefaultUnits,AssignmentTable[[#This Row],[Units]]),0)</f>
        <v>0</v>
      </c>
      <c r="G60" s="111" t="n">
        <f aca="false">IF(AssignmentTable[[#This Row],[Work]]=0,0,AssignmentTable[[#This Row],[Work]]*IFERROR(INDEX(res_Rate,MATCH(AssignmentTable[[#This Row],[Resource]],res_Name,0)),0))</f>
        <v>0</v>
      </c>
      <c r="H6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0" s="32" t="n">
        <f aca="false">IF(N(AssignmentTable[[#This Row],[Task UID]])=0,0,IFERROR(MATCH(AssignmentTable[[#This Row],[Task UID]],tsk_UID,0),-1))</f>
        <v>0</v>
      </c>
      <c r="J60" s="32" t="n">
        <f aca="false">IF(AND(AssignmentTable[[#This Row],[_TaskPos]]&gt;0,AssignmentTable[[#This Row],[Resource]]&lt;&gt;"",AssignmentTable[[#This Row],[Check]]=""),1,0)</f>
        <v>0</v>
      </c>
      <c r="K60" s="32" t="str">
        <f aca="false">IF(AssignmentTable[[#This Row],[_Valid]]=1,AssignmentTable[[#This Row],[Task UID]]*1000+COUNTIFS(AssignmentTable[[#Headers],[Task UID]]:AssignmentTable[[#This Row],[Task UID]],AssignmentTable[[#This Row],[Task UID]],AssignmentTable[[#Headers],[_Valid]]:AssignmentTable[[#This Row],[_Valid]],1),"")</f>
        <v/>
      </c>
      <c r="L60" s="32" t="str">
        <f aca="false">IF(AssignmentTable[[#This Row],[_Valid]]=1,AssignmentTable[[#This Row],[Resource]]&amp;IF(OR(AssignmentTable[[#This Row],[Units]]="",AssignmentTable[[#This Row],[Units]]=1),"","["&amp;ROUND(AssignmentTable[[#This Row],[Units]]*100,0)&amp;"%]"),"")</f>
        <v/>
      </c>
      <c r="M60" s="32" t="n">
        <f aca="false">IF(AssignmentTable[[#This Row],[_Valid]]=1,N(INDEX(tsk_StartWD,AssignmentTable[[#This Row],[_TaskPos]])),0)</f>
        <v>0</v>
      </c>
      <c r="N60" s="32" t="n">
        <f aca="false">IF(AssignmentTable[[#This Row],[_Valid]]=1,N(INDEX(tsk_FinishWD,AssignmentTable[[#This Row],[_TaskPos]])),0)</f>
        <v>0</v>
      </c>
      <c r="O60" s="32" t="n">
        <f aca="false">IF(OR(AssignmentTable[[#This Row],[Work]]=0,AssignmentTable[[#This Row],[_FinishWD]]=0),0,AssignmentTable[[#This Row],[Work]]/(AssignmentTable[[#This Row],[_FinishWD]]-AssignmentTable[[#This Row],[_StartWD]]+1))</f>
        <v>0</v>
      </c>
      <c r="P60" s="32" t="n">
        <f aca="false">AssignmentTable[[#This Row],[_WorkPerWD]]*MAX(0,AssignmentTable[[#This Row],[_StartWD]]-1)</f>
        <v>0</v>
      </c>
      <c r="Q60" s="32" t="n">
        <f aca="false">IF(AssignmentTable[[#This Row],[_Valid]]=1,AssignmentTable[[#This Row],[Work]]*N(INDEX(tsk_LeafProgress,AssignmentTable[[#This Row],[_TaskPos]])),0)</f>
        <v>0</v>
      </c>
      <c r="R60" s="32" t="n">
        <f aca="false">IF(NOT(AssignmentTable[[#This Row],[_Valid]]=1),0,IF(N(INDEX(tsk_LeafTotalCost,AssignmentTable[[#This Row],[_TaskPos]]))=0,0,N(INDEX(tsk_LeafAC,AssignmentTable[[#This Row],[_TaskPos]]))*AssignmentTable[[#This Row],[Cost]]/INDEX(tsk_LeafTotalCost,AssignmentTable[[#This Row],[_TaskPos]])))</f>
        <v>0</v>
      </c>
      <c r="S60" s="32" t="n">
        <f aca="false">IF(NOT(AssignmentTable[[#This Row],[_Valid]]=1),0,IF(N(INDEX(tsk_LateKey,AssignmentTable[[#This Row],[_TaskPos]]))&gt;0,1,0))</f>
        <v>0</v>
      </c>
      <c r="T60" s="32" t="n">
        <f aca="false">IF(NOT(AssignmentTable[[#This Row],[_Valid]]=1),0,IF(INDEX(tsk_Critical,AssignmentTable[[#This Row],[_TaskPos]])="Yes",1,0))</f>
        <v>0</v>
      </c>
      <c r="U6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1" customFormat="false" ht="15" hidden="false" customHeight="false" outlineLevel="0" collapsed="false">
      <c r="B61" s="46"/>
      <c r="C61" s="24" t="str">
        <f aca="false">IF(AssignmentTable[[#This Row],[_TaskPos]]&lt;=0,"",INDEX(tsk_Name,AssignmentTable[[#This Row],[_TaskPos]])&amp;"")</f>
        <v/>
      </c>
      <c r="D61" s="47"/>
      <c r="E61" s="93"/>
      <c r="F61" s="110" t="n">
        <f aca="false">IF(AssignmentTable[[#This Row],[_Valid]]=1,N(INDEX(tsk_Duration,AssignmentTable[[#This Row],[_TaskPos]]))*HoursPerDay*IF(AssignmentTable[[#This Row],[Units]]="",DefaultUnits,AssignmentTable[[#This Row],[Units]]),0)</f>
        <v>0</v>
      </c>
      <c r="G61" s="111" t="n">
        <f aca="false">IF(AssignmentTable[[#This Row],[Work]]=0,0,AssignmentTable[[#This Row],[Work]]*IFERROR(INDEX(res_Rate,MATCH(AssignmentTable[[#This Row],[Resource]],res_Name,0)),0))</f>
        <v>0</v>
      </c>
      <c r="H6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1" s="32" t="n">
        <f aca="false">IF(N(AssignmentTable[[#This Row],[Task UID]])=0,0,IFERROR(MATCH(AssignmentTable[[#This Row],[Task UID]],tsk_UID,0),-1))</f>
        <v>0</v>
      </c>
      <c r="J61" s="32" t="n">
        <f aca="false">IF(AND(AssignmentTable[[#This Row],[_TaskPos]]&gt;0,AssignmentTable[[#This Row],[Resource]]&lt;&gt;"",AssignmentTable[[#This Row],[Check]]=""),1,0)</f>
        <v>0</v>
      </c>
      <c r="K61" s="32" t="str">
        <f aca="false">IF(AssignmentTable[[#This Row],[_Valid]]=1,AssignmentTable[[#This Row],[Task UID]]*1000+COUNTIFS(AssignmentTable[[#Headers],[Task UID]]:AssignmentTable[[#This Row],[Task UID]],AssignmentTable[[#This Row],[Task UID]],AssignmentTable[[#Headers],[_Valid]]:AssignmentTable[[#This Row],[_Valid]],1),"")</f>
        <v/>
      </c>
      <c r="L61" s="32" t="str">
        <f aca="false">IF(AssignmentTable[[#This Row],[_Valid]]=1,AssignmentTable[[#This Row],[Resource]]&amp;IF(OR(AssignmentTable[[#This Row],[Units]]="",AssignmentTable[[#This Row],[Units]]=1),"","["&amp;ROUND(AssignmentTable[[#This Row],[Units]]*100,0)&amp;"%]"),"")</f>
        <v/>
      </c>
      <c r="M61" s="32" t="n">
        <f aca="false">IF(AssignmentTable[[#This Row],[_Valid]]=1,N(INDEX(tsk_StartWD,AssignmentTable[[#This Row],[_TaskPos]])),0)</f>
        <v>0</v>
      </c>
      <c r="N61" s="32" t="n">
        <f aca="false">IF(AssignmentTable[[#This Row],[_Valid]]=1,N(INDEX(tsk_FinishWD,AssignmentTable[[#This Row],[_TaskPos]])),0)</f>
        <v>0</v>
      </c>
      <c r="O61" s="32" t="n">
        <f aca="false">IF(OR(AssignmentTable[[#This Row],[Work]]=0,AssignmentTable[[#This Row],[_FinishWD]]=0),0,AssignmentTable[[#This Row],[Work]]/(AssignmentTable[[#This Row],[_FinishWD]]-AssignmentTable[[#This Row],[_StartWD]]+1))</f>
        <v>0</v>
      </c>
      <c r="P61" s="32" t="n">
        <f aca="false">AssignmentTable[[#This Row],[_WorkPerWD]]*MAX(0,AssignmentTable[[#This Row],[_StartWD]]-1)</f>
        <v>0</v>
      </c>
      <c r="Q61" s="32" t="n">
        <f aca="false">IF(AssignmentTable[[#This Row],[_Valid]]=1,AssignmentTable[[#This Row],[Work]]*N(INDEX(tsk_LeafProgress,AssignmentTable[[#This Row],[_TaskPos]])),0)</f>
        <v>0</v>
      </c>
      <c r="R61" s="32" t="n">
        <f aca="false">IF(NOT(AssignmentTable[[#This Row],[_Valid]]=1),0,IF(N(INDEX(tsk_LeafTotalCost,AssignmentTable[[#This Row],[_TaskPos]]))=0,0,N(INDEX(tsk_LeafAC,AssignmentTable[[#This Row],[_TaskPos]]))*AssignmentTable[[#This Row],[Cost]]/INDEX(tsk_LeafTotalCost,AssignmentTable[[#This Row],[_TaskPos]])))</f>
        <v>0</v>
      </c>
      <c r="S61" s="32" t="n">
        <f aca="false">IF(NOT(AssignmentTable[[#This Row],[_Valid]]=1),0,IF(N(INDEX(tsk_LateKey,AssignmentTable[[#This Row],[_TaskPos]]))&gt;0,1,0))</f>
        <v>0</v>
      </c>
      <c r="T61" s="32" t="n">
        <f aca="false">IF(NOT(AssignmentTable[[#This Row],[_Valid]]=1),0,IF(INDEX(tsk_Critical,AssignmentTable[[#This Row],[_TaskPos]])="Yes",1,0))</f>
        <v>0</v>
      </c>
      <c r="U6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2" customFormat="false" ht="15" hidden="false" customHeight="false" outlineLevel="0" collapsed="false">
      <c r="B62" s="46"/>
      <c r="C62" s="24" t="str">
        <f aca="false">IF(AssignmentTable[[#This Row],[_TaskPos]]&lt;=0,"",INDEX(tsk_Name,AssignmentTable[[#This Row],[_TaskPos]])&amp;"")</f>
        <v/>
      </c>
      <c r="D62" s="47"/>
      <c r="E62" s="93"/>
      <c r="F62" s="110" t="n">
        <f aca="false">IF(AssignmentTable[[#This Row],[_Valid]]=1,N(INDEX(tsk_Duration,AssignmentTable[[#This Row],[_TaskPos]]))*HoursPerDay*IF(AssignmentTable[[#This Row],[Units]]="",DefaultUnits,AssignmentTable[[#This Row],[Units]]),0)</f>
        <v>0</v>
      </c>
      <c r="G62" s="111" t="n">
        <f aca="false">IF(AssignmentTable[[#This Row],[Work]]=0,0,AssignmentTable[[#This Row],[Work]]*IFERROR(INDEX(res_Rate,MATCH(AssignmentTable[[#This Row],[Resource]],res_Name,0)),0))</f>
        <v>0</v>
      </c>
      <c r="H6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2" s="32" t="n">
        <f aca="false">IF(N(AssignmentTable[[#This Row],[Task UID]])=0,0,IFERROR(MATCH(AssignmentTable[[#This Row],[Task UID]],tsk_UID,0),-1))</f>
        <v>0</v>
      </c>
      <c r="J62" s="32" t="n">
        <f aca="false">IF(AND(AssignmentTable[[#This Row],[_TaskPos]]&gt;0,AssignmentTable[[#This Row],[Resource]]&lt;&gt;"",AssignmentTable[[#This Row],[Check]]=""),1,0)</f>
        <v>0</v>
      </c>
      <c r="K62" s="32" t="str">
        <f aca="false">IF(AssignmentTable[[#This Row],[_Valid]]=1,AssignmentTable[[#This Row],[Task UID]]*1000+COUNTIFS(AssignmentTable[[#Headers],[Task UID]]:AssignmentTable[[#This Row],[Task UID]],AssignmentTable[[#This Row],[Task UID]],AssignmentTable[[#Headers],[_Valid]]:AssignmentTable[[#This Row],[_Valid]],1),"")</f>
        <v/>
      </c>
      <c r="L62" s="32" t="str">
        <f aca="false">IF(AssignmentTable[[#This Row],[_Valid]]=1,AssignmentTable[[#This Row],[Resource]]&amp;IF(OR(AssignmentTable[[#This Row],[Units]]="",AssignmentTable[[#This Row],[Units]]=1),"","["&amp;ROUND(AssignmentTable[[#This Row],[Units]]*100,0)&amp;"%]"),"")</f>
        <v/>
      </c>
      <c r="M62" s="32" t="n">
        <f aca="false">IF(AssignmentTable[[#This Row],[_Valid]]=1,N(INDEX(tsk_StartWD,AssignmentTable[[#This Row],[_TaskPos]])),0)</f>
        <v>0</v>
      </c>
      <c r="N62" s="32" t="n">
        <f aca="false">IF(AssignmentTable[[#This Row],[_Valid]]=1,N(INDEX(tsk_FinishWD,AssignmentTable[[#This Row],[_TaskPos]])),0)</f>
        <v>0</v>
      </c>
      <c r="O62" s="32" t="n">
        <f aca="false">IF(OR(AssignmentTable[[#This Row],[Work]]=0,AssignmentTable[[#This Row],[_FinishWD]]=0),0,AssignmentTable[[#This Row],[Work]]/(AssignmentTable[[#This Row],[_FinishWD]]-AssignmentTable[[#This Row],[_StartWD]]+1))</f>
        <v>0</v>
      </c>
      <c r="P62" s="32" t="n">
        <f aca="false">AssignmentTable[[#This Row],[_WorkPerWD]]*MAX(0,AssignmentTable[[#This Row],[_StartWD]]-1)</f>
        <v>0</v>
      </c>
      <c r="Q62" s="32" t="n">
        <f aca="false">IF(AssignmentTable[[#This Row],[_Valid]]=1,AssignmentTable[[#This Row],[Work]]*N(INDEX(tsk_LeafProgress,AssignmentTable[[#This Row],[_TaskPos]])),0)</f>
        <v>0</v>
      </c>
      <c r="R62" s="32" t="n">
        <f aca="false">IF(NOT(AssignmentTable[[#This Row],[_Valid]]=1),0,IF(N(INDEX(tsk_LeafTotalCost,AssignmentTable[[#This Row],[_TaskPos]]))=0,0,N(INDEX(tsk_LeafAC,AssignmentTable[[#This Row],[_TaskPos]]))*AssignmentTable[[#This Row],[Cost]]/INDEX(tsk_LeafTotalCost,AssignmentTable[[#This Row],[_TaskPos]])))</f>
        <v>0</v>
      </c>
      <c r="S62" s="32" t="n">
        <f aca="false">IF(NOT(AssignmentTable[[#This Row],[_Valid]]=1),0,IF(N(INDEX(tsk_LateKey,AssignmentTable[[#This Row],[_TaskPos]]))&gt;0,1,0))</f>
        <v>0</v>
      </c>
      <c r="T62" s="32" t="n">
        <f aca="false">IF(NOT(AssignmentTable[[#This Row],[_Valid]]=1),0,IF(INDEX(tsk_Critical,AssignmentTable[[#This Row],[_TaskPos]])="Yes",1,0))</f>
        <v>0</v>
      </c>
      <c r="U6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3" customFormat="false" ht="15" hidden="false" customHeight="false" outlineLevel="0" collapsed="false">
      <c r="B63" s="46"/>
      <c r="C63" s="24" t="str">
        <f aca="false">IF(AssignmentTable[[#This Row],[_TaskPos]]&lt;=0,"",INDEX(tsk_Name,AssignmentTable[[#This Row],[_TaskPos]])&amp;"")</f>
        <v/>
      </c>
      <c r="D63" s="47"/>
      <c r="E63" s="93"/>
      <c r="F63" s="110" t="n">
        <f aca="false">IF(AssignmentTable[[#This Row],[_Valid]]=1,N(INDEX(tsk_Duration,AssignmentTable[[#This Row],[_TaskPos]]))*HoursPerDay*IF(AssignmentTable[[#This Row],[Units]]="",DefaultUnits,AssignmentTable[[#This Row],[Units]]),0)</f>
        <v>0</v>
      </c>
      <c r="G63" s="111" t="n">
        <f aca="false">IF(AssignmentTable[[#This Row],[Work]]=0,0,AssignmentTable[[#This Row],[Work]]*IFERROR(INDEX(res_Rate,MATCH(AssignmentTable[[#This Row],[Resource]],res_Name,0)),0))</f>
        <v>0</v>
      </c>
      <c r="H6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3" s="32" t="n">
        <f aca="false">IF(N(AssignmentTable[[#This Row],[Task UID]])=0,0,IFERROR(MATCH(AssignmentTable[[#This Row],[Task UID]],tsk_UID,0),-1))</f>
        <v>0</v>
      </c>
      <c r="J63" s="32" t="n">
        <f aca="false">IF(AND(AssignmentTable[[#This Row],[_TaskPos]]&gt;0,AssignmentTable[[#This Row],[Resource]]&lt;&gt;"",AssignmentTable[[#This Row],[Check]]=""),1,0)</f>
        <v>0</v>
      </c>
      <c r="K63" s="32" t="str">
        <f aca="false">IF(AssignmentTable[[#This Row],[_Valid]]=1,AssignmentTable[[#This Row],[Task UID]]*1000+COUNTIFS(AssignmentTable[[#Headers],[Task UID]]:AssignmentTable[[#This Row],[Task UID]],AssignmentTable[[#This Row],[Task UID]],AssignmentTable[[#Headers],[_Valid]]:AssignmentTable[[#This Row],[_Valid]],1),"")</f>
        <v/>
      </c>
      <c r="L63" s="32" t="str">
        <f aca="false">IF(AssignmentTable[[#This Row],[_Valid]]=1,AssignmentTable[[#This Row],[Resource]]&amp;IF(OR(AssignmentTable[[#This Row],[Units]]="",AssignmentTable[[#This Row],[Units]]=1),"","["&amp;ROUND(AssignmentTable[[#This Row],[Units]]*100,0)&amp;"%]"),"")</f>
        <v/>
      </c>
      <c r="M63" s="32" t="n">
        <f aca="false">IF(AssignmentTable[[#This Row],[_Valid]]=1,N(INDEX(tsk_StartWD,AssignmentTable[[#This Row],[_TaskPos]])),0)</f>
        <v>0</v>
      </c>
      <c r="N63" s="32" t="n">
        <f aca="false">IF(AssignmentTable[[#This Row],[_Valid]]=1,N(INDEX(tsk_FinishWD,AssignmentTable[[#This Row],[_TaskPos]])),0)</f>
        <v>0</v>
      </c>
      <c r="O63" s="32" t="n">
        <f aca="false">IF(OR(AssignmentTable[[#This Row],[Work]]=0,AssignmentTable[[#This Row],[_FinishWD]]=0),0,AssignmentTable[[#This Row],[Work]]/(AssignmentTable[[#This Row],[_FinishWD]]-AssignmentTable[[#This Row],[_StartWD]]+1))</f>
        <v>0</v>
      </c>
      <c r="P63" s="32" t="n">
        <f aca="false">AssignmentTable[[#This Row],[_WorkPerWD]]*MAX(0,AssignmentTable[[#This Row],[_StartWD]]-1)</f>
        <v>0</v>
      </c>
      <c r="Q63" s="32" t="n">
        <f aca="false">IF(AssignmentTable[[#This Row],[_Valid]]=1,AssignmentTable[[#This Row],[Work]]*N(INDEX(tsk_LeafProgress,AssignmentTable[[#This Row],[_TaskPos]])),0)</f>
        <v>0</v>
      </c>
      <c r="R63" s="32" t="n">
        <f aca="false">IF(NOT(AssignmentTable[[#This Row],[_Valid]]=1),0,IF(N(INDEX(tsk_LeafTotalCost,AssignmentTable[[#This Row],[_TaskPos]]))=0,0,N(INDEX(tsk_LeafAC,AssignmentTable[[#This Row],[_TaskPos]]))*AssignmentTable[[#This Row],[Cost]]/INDEX(tsk_LeafTotalCost,AssignmentTable[[#This Row],[_TaskPos]])))</f>
        <v>0</v>
      </c>
      <c r="S63" s="32" t="n">
        <f aca="false">IF(NOT(AssignmentTable[[#This Row],[_Valid]]=1),0,IF(N(INDEX(tsk_LateKey,AssignmentTable[[#This Row],[_TaskPos]]))&gt;0,1,0))</f>
        <v>0</v>
      </c>
      <c r="T63" s="32" t="n">
        <f aca="false">IF(NOT(AssignmentTable[[#This Row],[_Valid]]=1),0,IF(INDEX(tsk_Critical,AssignmentTable[[#This Row],[_TaskPos]])="Yes",1,0))</f>
        <v>0</v>
      </c>
      <c r="U6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4" customFormat="false" ht="15" hidden="false" customHeight="false" outlineLevel="0" collapsed="false">
      <c r="B64" s="46"/>
      <c r="C64" s="24" t="str">
        <f aca="false">IF(AssignmentTable[[#This Row],[_TaskPos]]&lt;=0,"",INDEX(tsk_Name,AssignmentTable[[#This Row],[_TaskPos]])&amp;"")</f>
        <v/>
      </c>
      <c r="D64" s="47"/>
      <c r="E64" s="93"/>
      <c r="F64" s="110" t="n">
        <f aca="false">IF(AssignmentTable[[#This Row],[_Valid]]=1,N(INDEX(tsk_Duration,AssignmentTable[[#This Row],[_TaskPos]]))*HoursPerDay*IF(AssignmentTable[[#This Row],[Units]]="",DefaultUnits,AssignmentTable[[#This Row],[Units]]),0)</f>
        <v>0</v>
      </c>
      <c r="G64" s="111" t="n">
        <f aca="false">IF(AssignmentTable[[#This Row],[Work]]=0,0,AssignmentTable[[#This Row],[Work]]*IFERROR(INDEX(res_Rate,MATCH(AssignmentTable[[#This Row],[Resource]],res_Name,0)),0))</f>
        <v>0</v>
      </c>
      <c r="H6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4" s="32" t="n">
        <f aca="false">IF(N(AssignmentTable[[#This Row],[Task UID]])=0,0,IFERROR(MATCH(AssignmentTable[[#This Row],[Task UID]],tsk_UID,0),-1))</f>
        <v>0</v>
      </c>
      <c r="J64" s="32" t="n">
        <f aca="false">IF(AND(AssignmentTable[[#This Row],[_TaskPos]]&gt;0,AssignmentTable[[#This Row],[Resource]]&lt;&gt;"",AssignmentTable[[#This Row],[Check]]=""),1,0)</f>
        <v>0</v>
      </c>
      <c r="K64" s="32" t="str">
        <f aca="false">IF(AssignmentTable[[#This Row],[_Valid]]=1,AssignmentTable[[#This Row],[Task UID]]*1000+COUNTIFS(AssignmentTable[[#Headers],[Task UID]]:AssignmentTable[[#This Row],[Task UID]],AssignmentTable[[#This Row],[Task UID]],AssignmentTable[[#Headers],[_Valid]]:AssignmentTable[[#This Row],[_Valid]],1),"")</f>
        <v/>
      </c>
      <c r="L64" s="32" t="str">
        <f aca="false">IF(AssignmentTable[[#This Row],[_Valid]]=1,AssignmentTable[[#This Row],[Resource]]&amp;IF(OR(AssignmentTable[[#This Row],[Units]]="",AssignmentTable[[#This Row],[Units]]=1),"","["&amp;ROUND(AssignmentTable[[#This Row],[Units]]*100,0)&amp;"%]"),"")</f>
        <v/>
      </c>
      <c r="M64" s="32" t="n">
        <f aca="false">IF(AssignmentTable[[#This Row],[_Valid]]=1,N(INDEX(tsk_StartWD,AssignmentTable[[#This Row],[_TaskPos]])),0)</f>
        <v>0</v>
      </c>
      <c r="N64" s="32" t="n">
        <f aca="false">IF(AssignmentTable[[#This Row],[_Valid]]=1,N(INDEX(tsk_FinishWD,AssignmentTable[[#This Row],[_TaskPos]])),0)</f>
        <v>0</v>
      </c>
      <c r="O64" s="32" t="n">
        <f aca="false">IF(OR(AssignmentTable[[#This Row],[Work]]=0,AssignmentTable[[#This Row],[_FinishWD]]=0),0,AssignmentTable[[#This Row],[Work]]/(AssignmentTable[[#This Row],[_FinishWD]]-AssignmentTable[[#This Row],[_StartWD]]+1))</f>
        <v>0</v>
      </c>
      <c r="P64" s="32" t="n">
        <f aca="false">AssignmentTable[[#This Row],[_WorkPerWD]]*MAX(0,AssignmentTable[[#This Row],[_StartWD]]-1)</f>
        <v>0</v>
      </c>
      <c r="Q64" s="32" t="n">
        <f aca="false">IF(AssignmentTable[[#This Row],[_Valid]]=1,AssignmentTable[[#This Row],[Work]]*N(INDEX(tsk_LeafProgress,AssignmentTable[[#This Row],[_TaskPos]])),0)</f>
        <v>0</v>
      </c>
      <c r="R64" s="32" t="n">
        <f aca="false">IF(NOT(AssignmentTable[[#This Row],[_Valid]]=1),0,IF(N(INDEX(tsk_LeafTotalCost,AssignmentTable[[#This Row],[_TaskPos]]))=0,0,N(INDEX(tsk_LeafAC,AssignmentTable[[#This Row],[_TaskPos]]))*AssignmentTable[[#This Row],[Cost]]/INDEX(tsk_LeafTotalCost,AssignmentTable[[#This Row],[_TaskPos]])))</f>
        <v>0</v>
      </c>
      <c r="S64" s="32" t="n">
        <f aca="false">IF(NOT(AssignmentTable[[#This Row],[_Valid]]=1),0,IF(N(INDEX(tsk_LateKey,AssignmentTable[[#This Row],[_TaskPos]]))&gt;0,1,0))</f>
        <v>0</v>
      </c>
      <c r="T64" s="32" t="n">
        <f aca="false">IF(NOT(AssignmentTable[[#This Row],[_Valid]]=1),0,IF(INDEX(tsk_Critical,AssignmentTable[[#This Row],[_TaskPos]])="Yes",1,0))</f>
        <v>0</v>
      </c>
      <c r="U6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5" customFormat="false" ht="15" hidden="false" customHeight="false" outlineLevel="0" collapsed="false">
      <c r="B65" s="46"/>
      <c r="C65" s="24" t="str">
        <f aca="false">IF(AssignmentTable[[#This Row],[_TaskPos]]&lt;=0,"",INDEX(tsk_Name,AssignmentTable[[#This Row],[_TaskPos]])&amp;"")</f>
        <v/>
      </c>
      <c r="D65" s="47"/>
      <c r="E65" s="93"/>
      <c r="F65" s="110" t="n">
        <f aca="false">IF(AssignmentTable[[#This Row],[_Valid]]=1,N(INDEX(tsk_Duration,AssignmentTable[[#This Row],[_TaskPos]]))*HoursPerDay*IF(AssignmentTable[[#This Row],[Units]]="",DefaultUnits,AssignmentTable[[#This Row],[Units]]),0)</f>
        <v>0</v>
      </c>
      <c r="G65" s="111" t="n">
        <f aca="false">IF(AssignmentTable[[#This Row],[Work]]=0,0,AssignmentTable[[#This Row],[Work]]*IFERROR(INDEX(res_Rate,MATCH(AssignmentTable[[#This Row],[Resource]],res_Name,0)),0))</f>
        <v>0</v>
      </c>
      <c r="H6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5" s="32" t="n">
        <f aca="false">IF(N(AssignmentTable[[#This Row],[Task UID]])=0,0,IFERROR(MATCH(AssignmentTable[[#This Row],[Task UID]],tsk_UID,0),-1))</f>
        <v>0</v>
      </c>
      <c r="J65" s="32" t="n">
        <f aca="false">IF(AND(AssignmentTable[[#This Row],[_TaskPos]]&gt;0,AssignmentTable[[#This Row],[Resource]]&lt;&gt;"",AssignmentTable[[#This Row],[Check]]=""),1,0)</f>
        <v>0</v>
      </c>
      <c r="K65" s="32" t="str">
        <f aca="false">IF(AssignmentTable[[#This Row],[_Valid]]=1,AssignmentTable[[#This Row],[Task UID]]*1000+COUNTIFS(AssignmentTable[[#Headers],[Task UID]]:AssignmentTable[[#This Row],[Task UID]],AssignmentTable[[#This Row],[Task UID]],AssignmentTable[[#Headers],[_Valid]]:AssignmentTable[[#This Row],[_Valid]],1),"")</f>
        <v/>
      </c>
      <c r="L65" s="32" t="str">
        <f aca="false">IF(AssignmentTable[[#This Row],[_Valid]]=1,AssignmentTable[[#This Row],[Resource]]&amp;IF(OR(AssignmentTable[[#This Row],[Units]]="",AssignmentTable[[#This Row],[Units]]=1),"","["&amp;ROUND(AssignmentTable[[#This Row],[Units]]*100,0)&amp;"%]"),"")</f>
        <v/>
      </c>
      <c r="M65" s="32" t="n">
        <f aca="false">IF(AssignmentTable[[#This Row],[_Valid]]=1,N(INDEX(tsk_StartWD,AssignmentTable[[#This Row],[_TaskPos]])),0)</f>
        <v>0</v>
      </c>
      <c r="N65" s="32" t="n">
        <f aca="false">IF(AssignmentTable[[#This Row],[_Valid]]=1,N(INDEX(tsk_FinishWD,AssignmentTable[[#This Row],[_TaskPos]])),0)</f>
        <v>0</v>
      </c>
      <c r="O65" s="32" t="n">
        <f aca="false">IF(OR(AssignmentTable[[#This Row],[Work]]=0,AssignmentTable[[#This Row],[_FinishWD]]=0),0,AssignmentTable[[#This Row],[Work]]/(AssignmentTable[[#This Row],[_FinishWD]]-AssignmentTable[[#This Row],[_StartWD]]+1))</f>
        <v>0</v>
      </c>
      <c r="P65" s="32" t="n">
        <f aca="false">AssignmentTable[[#This Row],[_WorkPerWD]]*MAX(0,AssignmentTable[[#This Row],[_StartWD]]-1)</f>
        <v>0</v>
      </c>
      <c r="Q65" s="32" t="n">
        <f aca="false">IF(AssignmentTable[[#This Row],[_Valid]]=1,AssignmentTable[[#This Row],[Work]]*N(INDEX(tsk_LeafProgress,AssignmentTable[[#This Row],[_TaskPos]])),0)</f>
        <v>0</v>
      </c>
      <c r="R65" s="32" t="n">
        <f aca="false">IF(NOT(AssignmentTable[[#This Row],[_Valid]]=1),0,IF(N(INDEX(tsk_LeafTotalCost,AssignmentTable[[#This Row],[_TaskPos]]))=0,0,N(INDEX(tsk_LeafAC,AssignmentTable[[#This Row],[_TaskPos]]))*AssignmentTable[[#This Row],[Cost]]/INDEX(tsk_LeafTotalCost,AssignmentTable[[#This Row],[_TaskPos]])))</f>
        <v>0</v>
      </c>
      <c r="S65" s="32" t="n">
        <f aca="false">IF(NOT(AssignmentTable[[#This Row],[_Valid]]=1),0,IF(N(INDEX(tsk_LateKey,AssignmentTable[[#This Row],[_TaskPos]]))&gt;0,1,0))</f>
        <v>0</v>
      </c>
      <c r="T65" s="32" t="n">
        <f aca="false">IF(NOT(AssignmentTable[[#This Row],[_Valid]]=1),0,IF(INDEX(tsk_Critical,AssignmentTable[[#This Row],[_TaskPos]])="Yes",1,0))</f>
        <v>0</v>
      </c>
      <c r="U6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6" customFormat="false" ht="15" hidden="false" customHeight="false" outlineLevel="0" collapsed="false">
      <c r="B66" s="46"/>
      <c r="C66" s="24" t="str">
        <f aca="false">IF(AssignmentTable[[#This Row],[_TaskPos]]&lt;=0,"",INDEX(tsk_Name,AssignmentTable[[#This Row],[_TaskPos]])&amp;"")</f>
        <v/>
      </c>
      <c r="D66" s="47"/>
      <c r="E66" s="93"/>
      <c r="F66" s="110" t="n">
        <f aca="false">IF(AssignmentTable[[#This Row],[_Valid]]=1,N(INDEX(tsk_Duration,AssignmentTable[[#This Row],[_TaskPos]]))*HoursPerDay*IF(AssignmentTable[[#This Row],[Units]]="",DefaultUnits,AssignmentTable[[#This Row],[Units]]),0)</f>
        <v>0</v>
      </c>
      <c r="G66" s="111" t="n">
        <f aca="false">IF(AssignmentTable[[#This Row],[Work]]=0,0,AssignmentTable[[#This Row],[Work]]*IFERROR(INDEX(res_Rate,MATCH(AssignmentTable[[#This Row],[Resource]],res_Name,0)),0))</f>
        <v>0</v>
      </c>
      <c r="H6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6" s="32" t="n">
        <f aca="false">IF(N(AssignmentTable[[#This Row],[Task UID]])=0,0,IFERROR(MATCH(AssignmentTable[[#This Row],[Task UID]],tsk_UID,0),-1))</f>
        <v>0</v>
      </c>
      <c r="J66" s="32" t="n">
        <f aca="false">IF(AND(AssignmentTable[[#This Row],[_TaskPos]]&gt;0,AssignmentTable[[#This Row],[Resource]]&lt;&gt;"",AssignmentTable[[#This Row],[Check]]=""),1,0)</f>
        <v>0</v>
      </c>
      <c r="K66" s="32" t="str">
        <f aca="false">IF(AssignmentTable[[#This Row],[_Valid]]=1,AssignmentTable[[#This Row],[Task UID]]*1000+COUNTIFS(AssignmentTable[[#Headers],[Task UID]]:AssignmentTable[[#This Row],[Task UID]],AssignmentTable[[#This Row],[Task UID]],AssignmentTable[[#Headers],[_Valid]]:AssignmentTable[[#This Row],[_Valid]],1),"")</f>
        <v/>
      </c>
      <c r="L66" s="32" t="str">
        <f aca="false">IF(AssignmentTable[[#This Row],[_Valid]]=1,AssignmentTable[[#This Row],[Resource]]&amp;IF(OR(AssignmentTable[[#This Row],[Units]]="",AssignmentTable[[#This Row],[Units]]=1),"","["&amp;ROUND(AssignmentTable[[#This Row],[Units]]*100,0)&amp;"%]"),"")</f>
        <v/>
      </c>
      <c r="M66" s="32" t="n">
        <f aca="false">IF(AssignmentTable[[#This Row],[_Valid]]=1,N(INDEX(tsk_StartWD,AssignmentTable[[#This Row],[_TaskPos]])),0)</f>
        <v>0</v>
      </c>
      <c r="N66" s="32" t="n">
        <f aca="false">IF(AssignmentTable[[#This Row],[_Valid]]=1,N(INDEX(tsk_FinishWD,AssignmentTable[[#This Row],[_TaskPos]])),0)</f>
        <v>0</v>
      </c>
      <c r="O66" s="32" t="n">
        <f aca="false">IF(OR(AssignmentTable[[#This Row],[Work]]=0,AssignmentTable[[#This Row],[_FinishWD]]=0),0,AssignmentTable[[#This Row],[Work]]/(AssignmentTable[[#This Row],[_FinishWD]]-AssignmentTable[[#This Row],[_StartWD]]+1))</f>
        <v>0</v>
      </c>
      <c r="P66" s="32" t="n">
        <f aca="false">AssignmentTable[[#This Row],[_WorkPerWD]]*MAX(0,AssignmentTable[[#This Row],[_StartWD]]-1)</f>
        <v>0</v>
      </c>
      <c r="Q66" s="32" t="n">
        <f aca="false">IF(AssignmentTable[[#This Row],[_Valid]]=1,AssignmentTable[[#This Row],[Work]]*N(INDEX(tsk_LeafProgress,AssignmentTable[[#This Row],[_TaskPos]])),0)</f>
        <v>0</v>
      </c>
      <c r="R66" s="32" t="n">
        <f aca="false">IF(NOT(AssignmentTable[[#This Row],[_Valid]]=1),0,IF(N(INDEX(tsk_LeafTotalCost,AssignmentTable[[#This Row],[_TaskPos]]))=0,0,N(INDEX(tsk_LeafAC,AssignmentTable[[#This Row],[_TaskPos]]))*AssignmentTable[[#This Row],[Cost]]/INDEX(tsk_LeafTotalCost,AssignmentTable[[#This Row],[_TaskPos]])))</f>
        <v>0</v>
      </c>
      <c r="S66" s="32" t="n">
        <f aca="false">IF(NOT(AssignmentTable[[#This Row],[_Valid]]=1),0,IF(N(INDEX(tsk_LateKey,AssignmentTable[[#This Row],[_TaskPos]]))&gt;0,1,0))</f>
        <v>0</v>
      </c>
      <c r="T66" s="32" t="n">
        <f aca="false">IF(NOT(AssignmentTable[[#This Row],[_Valid]]=1),0,IF(INDEX(tsk_Critical,AssignmentTable[[#This Row],[_TaskPos]])="Yes",1,0))</f>
        <v>0</v>
      </c>
      <c r="U6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7" customFormat="false" ht="15" hidden="false" customHeight="false" outlineLevel="0" collapsed="false">
      <c r="B67" s="46"/>
      <c r="C67" s="24" t="str">
        <f aca="false">IF(AssignmentTable[[#This Row],[_TaskPos]]&lt;=0,"",INDEX(tsk_Name,AssignmentTable[[#This Row],[_TaskPos]])&amp;"")</f>
        <v/>
      </c>
      <c r="D67" s="47"/>
      <c r="E67" s="93"/>
      <c r="F67" s="110" t="n">
        <f aca="false">IF(AssignmentTable[[#This Row],[_Valid]]=1,N(INDEX(tsk_Duration,AssignmentTable[[#This Row],[_TaskPos]]))*HoursPerDay*IF(AssignmentTable[[#This Row],[Units]]="",DefaultUnits,AssignmentTable[[#This Row],[Units]]),0)</f>
        <v>0</v>
      </c>
      <c r="G67" s="111" t="n">
        <f aca="false">IF(AssignmentTable[[#This Row],[Work]]=0,0,AssignmentTable[[#This Row],[Work]]*IFERROR(INDEX(res_Rate,MATCH(AssignmentTable[[#This Row],[Resource]],res_Name,0)),0))</f>
        <v>0</v>
      </c>
      <c r="H6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7" s="32" t="n">
        <f aca="false">IF(N(AssignmentTable[[#This Row],[Task UID]])=0,0,IFERROR(MATCH(AssignmentTable[[#This Row],[Task UID]],tsk_UID,0),-1))</f>
        <v>0</v>
      </c>
      <c r="J67" s="32" t="n">
        <f aca="false">IF(AND(AssignmentTable[[#This Row],[_TaskPos]]&gt;0,AssignmentTable[[#This Row],[Resource]]&lt;&gt;"",AssignmentTable[[#This Row],[Check]]=""),1,0)</f>
        <v>0</v>
      </c>
      <c r="K67" s="32" t="str">
        <f aca="false">IF(AssignmentTable[[#This Row],[_Valid]]=1,AssignmentTable[[#This Row],[Task UID]]*1000+COUNTIFS(AssignmentTable[[#Headers],[Task UID]]:AssignmentTable[[#This Row],[Task UID]],AssignmentTable[[#This Row],[Task UID]],AssignmentTable[[#Headers],[_Valid]]:AssignmentTable[[#This Row],[_Valid]],1),"")</f>
        <v/>
      </c>
      <c r="L67" s="32" t="str">
        <f aca="false">IF(AssignmentTable[[#This Row],[_Valid]]=1,AssignmentTable[[#This Row],[Resource]]&amp;IF(OR(AssignmentTable[[#This Row],[Units]]="",AssignmentTable[[#This Row],[Units]]=1),"","["&amp;ROUND(AssignmentTable[[#This Row],[Units]]*100,0)&amp;"%]"),"")</f>
        <v/>
      </c>
      <c r="M67" s="32" t="n">
        <f aca="false">IF(AssignmentTable[[#This Row],[_Valid]]=1,N(INDEX(tsk_StartWD,AssignmentTable[[#This Row],[_TaskPos]])),0)</f>
        <v>0</v>
      </c>
      <c r="N67" s="32" t="n">
        <f aca="false">IF(AssignmentTable[[#This Row],[_Valid]]=1,N(INDEX(tsk_FinishWD,AssignmentTable[[#This Row],[_TaskPos]])),0)</f>
        <v>0</v>
      </c>
      <c r="O67" s="32" t="n">
        <f aca="false">IF(OR(AssignmentTable[[#This Row],[Work]]=0,AssignmentTable[[#This Row],[_FinishWD]]=0),0,AssignmentTable[[#This Row],[Work]]/(AssignmentTable[[#This Row],[_FinishWD]]-AssignmentTable[[#This Row],[_StartWD]]+1))</f>
        <v>0</v>
      </c>
      <c r="P67" s="32" t="n">
        <f aca="false">AssignmentTable[[#This Row],[_WorkPerWD]]*MAX(0,AssignmentTable[[#This Row],[_StartWD]]-1)</f>
        <v>0</v>
      </c>
      <c r="Q67" s="32" t="n">
        <f aca="false">IF(AssignmentTable[[#This Row],[_Valid]]=1,AssignmentTable[[#This Row],[Work]]*N(INDEX(tsk_LeafProgress,AssignmentTable[[#This Row],[_TaskPos]])),0)</f>
        <v>0</v>
      </c>
      <c r="R67" s="32" t="n">
        <f aca="false">IF(NOT(AssignmentTable[[#This Row],[_Valid]]=1),0,IF(N(INDEX(tsk_LeafTotalCost,AssignmentTable[[#This Row],[_TaskPos]]))=0,0,N(INDEX(tsk_LeafAC,AssignmentTable[[#This Row],[_TaskPos]]))*AssignmentTable[[#This Row],[Cost]]/INDEX(tsk_LeafTotalCost,AssignmentTable[[#This Row],[_TaskPos]])))</f>
        <v>0</v>
      </c>
      <c r="S67" s="32" t="n">
        <f aca="false">IF(NOT(AssignmentTable[[#This Row],[_Valid]]=1),0,IF(N(INDEX(tsk_LateKey,AssignmentTable[[#This Row],[_TaskPos]]))&gt;0,1,0))</f>
        <v>0</v>
      </c>
      <c r="T67" s="32" t="n">
        <f aca="false">IF(NOT(AssignmentTable[[#This Row],[_Valid]]=1),0,IF(INDEX(tsk_Critical,AssignmentTable[[#This Row],[_TaskPos]])="Yes",1,0))</f>
        <v>0</v>
      </c>
      <c r="U6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8" customFormat="false" ht="15" hidden="false" customHeight="false" outlineLevel="0" collapsed="false">
      <c r="B68" s="46"/>
      <c r="C68" s="24" t="str">
        <f aca="false">IF(AssignmentTable[[#This Row],[_TaskPos]]&lt;=0,"",INDEX(tsk_Name,AssignmentTable[[#This Row],[_TaskPos]])&amp;"")</f>
        <v/>
      </c>
      <c r="D68" s="47"/>
      <c r="E68" s="93"/>
      <c r="F68" s="110" t="n">
        <f aca="false">IF(AssignmentTable[[#This Row],[_Valid]]=1,N(INDEX(tsk_Duration,AssignmentTable[[#This Row],[_TaskPos]]))*HoursPerDay*IF(AssignmentTable[[#This Row],[Units]]="",DefaultUnits,AssignmentTable[[#This Row],[Units]]),0)</f>
        <v>0</v>
      </c>
      <c r="G68" s="111" t="n">
        <f aca="false">IF(AssignmentTable[[#This Row],[Work]]=0,0,AssignmentTable[[#This Row],[Work]]*IFERROR(INDEX(res_Rate,MATCH(AssignmentTable[[#This Row],[Resource]],res_Name,0)),0))</f>
        <v>0</v>
      </c>
      <c r="H6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8" s="32" t="n">
        <f aca="false">IF(N(AssignmentTable[[#This Row],[Task UID]])=0,0,IFERROR(MATCH(AssignmentTable[[#This Row],[Task UID]],tsk_UID,0),-1))</f>
        <v>0</v>
      </c>
      <c r="J68" s="32" t="n">
        <f aca="false">IF(AND(AssignmentTable[[#This Row],[_TaskPos]]&gt;0,AssignmentTable[[#This Row],[Resource]]&lt;&gt;"",AssignmentTable[[#This Row],[Check]]=""),1,0)</f>
        <v>0</v>
      </c>
      <c r="K68" s="32" t="str">
        <f aca="false">IF(AssignmentTable[[#This Row],[_Valid]]=1,AssignmentTable[[#This Row],[Task UID]]*1000+COUNTIFS(AssignmentTable[[#Headers],[Task UID]]:AssignmentTable[[#This Row],[Task UID]],AssignmentTable[[#This Row],[Task UID]],AssignmentTable[[#Headers],[_Valid]]:AssignmentTable[[#This Row],[_Valid]],1),"")</f>
        <v/>
      </c>
      <c r="L68" s="32" t="str">
        <f aca="false">IF(AssignmentTable[[#This Row],[_Valid]]=1,AssignmentTable[[#This Row],[Resource]]&amp;IF(OR(AssignmentTable[[#This Row],[Units]]="",AssignmentTable[[#This Row],[Units]]=1),"","["&amp;ROUND(AssignmentTable[[#This Row],[Units]]*100,0)&amp;"%]"),"")</f>
        <v/>
      </c>
      <c r="M68" s="32" t="n">
        <f aca="false">IF(AssignmentTable[[#This Row],[_Valid]]=1,N(INDEX(tsk_StartWD,AssignmentTable[[#This Row],[_TaskPos]])),0)</f>
        <v>0</v>
      </c>
      <c r="N68" s="32" t="n">
        <f aca="false">IF(AssignmentTable[[#This Row],[_Valid]]=1,N(INDEX(tsk_FinishWD,AssignmentTable[[#This Row],[_TaskPos]])),0)</f>
        <v>0</v>
      </c>
      <c r="O68" s="32" t="n">
        <f aca="false">IF(OR(AssignmentTable[[#This Row],[Work]]=0,AssignmentTable[[#This Row],[_FinishWD]]=0),0,AssignmentTable[[#This Row],[Work]]/(AssignmentTable[[#This Row],[_FinishWD]]-AssignmentTable[[#This Row],[_StartWD]]+1))</f>
        <v>0</v>
      </c>
      <c r="P68" s="32" t="n">
        <f aca="false">AssignmentTable[[#This Row],[_WorkPerWD]]*MAX(0,AssignmentTable[[#This Row],[_StartWD]]-1)</f>
        <v>0</v>
      </c>
      <c r="Q68" s="32" t="n">
        <f aca="false">IF(AssignmentTable[[#This Row],[_Valid]]=1,AssignmentTable[[#This Row],[Work]]*N(INDEX(tsk_LeafProgress,AssignmentTable[[#This Row],[_TaskPos]])),0)</f>
        <v>0</v>
      </c>
      <c r="R68" s="32" t="n">
        <f aca="false">IF(NOT(AssignmentTable[[#This Row],[_Valid]]=1),0,IF(N(INDEX(tsk_LeafTotalCost,AssignmentTable[[#This Row],[_TaskPos]]))=0,0,N(INDEX(tsk_LeafAC,AssignmentTable[[#This Row],[_TaskPos]]))*AssignmentTable[[#This Row],[Cost]]/INDEX(tsk_LeafTotalCost,AssignmentTable[[#This Row],[_TaskPos]])))</f>
        <v>0</v>
      </c>
      <c r="S68" s="32" t="n">
        <f aca="false">IF(NOT(AssignmentTable[[#This Row],[_Valid]]=1),0,IF(N(INDEX(tsk_LateKey,AssignmentTable[[#This Row],[_TaskPos]]))&gt;0,1,0))</f>
        <v>0</v>
      </c>
      <c r="T68" s="32" t="n">
        <f aca="false">IF(NOT(AssignmentTable[[#This Row],[_Valid]]=1),0,IF(INDEX(tsk_Critical,AssignmentTable[[#This Row],[_TaskPos]])="Yes",1,0))</f>
        <v>0</v>
      </c>
      <c r="U6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69" customFormat="false" ht="15" hidden="false" customHeight="false" outlineLevel="0" collapsed="false">
      <c r="B69" s="46"/>
      <c r="C69" s="24" t="str">
        <f aca="false">IF(AssignmentTable[[#This Row],[_TaskPos]]&lt;=0,"",INDEX(tsk_Name,AssignmentTable[[#This Row],[_TaskPos]])&amp;"")</f>
        <v/>
      </c>
      <c r="D69" s="47"/>
      <c r="E69" s="93"/>
      <c r="F69" s="110" t="n">
        <f aca="false">IF(AssignmentTable[[#This Row],[_Valid]]=1,N(INDEX(tsk_Duration,AssignmentTable[[#This Row],[_TaskPos]]))*HoursPerDay*IF(AssignmentTable[[#This Row],[Units]]="",DefaultUnits,AssignmentTable[[#This Row],[Units]]),0)</f>
        <v>0</v>
      </c>
      <c r="G69" s="111" t="n">
        <f aca="false">IF(AssignmentTable[[#This Row],[Work]]=0,0,AssignmentTable[[#This Row],[Work]]*IFERROR(INDEX(res_Rate,MATCH(AssignmentTable[[#This Row],[Resource]],res_Name,0)),0))</f>
        <v>0</v>
      </c>
      <c r="H6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69" s="32" t="n">
        <f aca="false">IF(N(AssignmentTable[[#This Row],[Task UID]])=0,0,IFERROR(MATCH(AssignmentTable[[#This Row],[Task UID]],tsk_UID,0),-1))</f>
        <v>0</v>
      </c>
      <c r="J69" s="32" t="n">
        <f aca="false">IF(AND(AssignmentTable[[#This Row],[_TaskPos]]&gt;0,AssignmentTable[[#This Row],[Resource]]&lt;&gt;"",AssignmentTable[[#This Row],[Check]]=""),1,0)</f>
        <v>0</v>
      </c>
      <c r="K69" s="32" t="str">
        <f aca="false">IF(AssignmentTable[[#This Row],[_Valid]]=1,AssignmentTable[[#This Row],[Task UID]]*1000+COUNTIFS(AssignmentTable[[#Headers],[Task UID]]:AssignmentTable[[#This Row],[Task UID]],AssignmentTable[[#This Row],[Task UID]],AssignmentTable[[#Headers],[_Valid]]:AssignmentTable[[#This Row],[_Valid]],1),"")</f>
        <v/>
      </c>
      <c r="L69" s="32" t="str">
        <f aca="false">IF(AssignmentTable[[#This Row],[_Valid]]=1,AssignmentTable[[#This Row],[Resource]]&amp;IF(OR(AssignmentTable[[#This Row],[Units]]="",AssignmentTable[[#This Row],[Units]]=1),"","["&amp;ROUND(AssignmentTable[[#This Row],[Units]]*100,0)&amp;"%]"),"")</f>
        <v/>
      </c>
      <c r="M69" s="32" t="n">
        <f aca="false">IF(AssignmentTable[[#This Row],[_Valid]]=1,N(INDEX(tsk_StartWD,AssignmentTable[[#This Row],[_TaskPos]])),0)</f>
        <v>0</v>
      </c>
      <c r="N69" s="32" t="n">
        <f aca="false">IF(AssignmentTable[[#This Row],[_Valid]]=1,N(INDEX(tsk_FinishWD,AssignmentTable[[#This Row],[_TaskPos]])),0)</f>
        <v>0</v>
      </c>
      <c r="O69" s="32" t="n">
        <f aca="false">IF(OR(AssignmentTable[[#This Row],[Work]]=0,AssignmentTable[[#This Row],[_FinishWD]]=0),0,AssignmentTable[[#This Row],[Work]]/(AssignmentTable[[#This Row],[_FinishWD]]-AssignmentTable[[#This Row],[_StartWD]]+1))</f>
        <v>0</v>
      </c>
      <c r="P69" s="32" t="n">
        <f aca="false">AssignmentTable[[#This Row],[_WorkPerWD]]*MAX(0,AssignmentTable[[#This Row],[_StartWD]]-1)</f>
        <v>0</v>
      </c>
      <c r="Q69" s="32" t="n">
        <f aca="false">IF(AssignmentTable[[#This Row],[_Valid]]=1,AssignmentTable[[#This Row],[Work]]*N(INDEX(tsk_LeafProgress,AssignmentTable[[#This Row],[_TaskPos]])),0)</f>
        <v>0</v>
      </c>
      <c r="R69" s="32" t="n">
        <f aca="false">IF(NOT(AssignmentTable[[#This Row],[_Valid]]=1),0,IF(N(INDEX(tsk_LeafTotalCost,AssignmentTable[[#This Row],[_TaskPos]]))=0,0,N(INDEX(tsk_LeafAC,AssignmentTable[[#This Row],[_TaskPos]]))*AssignmentTable[[#This Row],[Cost]]/INDEX(tsk_LeafTotalCost,AssignmentTable[[#This Row],[_TaskPos]])))</f>
        <v>0</v>
      </c>
      <c r="S69" s="32" t="n">
        <f aca="false">IF(NOT(AssignmentTable[[#This Row],[_Valid]]=1),0,IF(N(INDEX(tsk_LateKey,AssignmentTable[[#This Row],[_TaskPos]]))&gt;0,1,0))</f>
        <v>0</v>
      </c>
      <c r="T69" s="32" t="n">
        <f aca="false">IF(NOT(AssignmentTable[[#This Row],[_Valid]]=1),0,IF(INDEX(tsk_Critical,AssignmentTable[[#This Row],[_TaskPos]])="Yes",1,0))</f>
        <v>0</v>
      </c>
      <c r="U6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0" customFormat="false" ht="15" hidden="false" customHeight="false" outlineLevel="0" collapsed="false">
      <c r="B70" s="46"/>
      <c r="C70" s="24" t="str">
        <f aca="false">IF(AssignmentTable[[#This Row],[_TaskPos]]&lt;=0,"",INDEX(tsk_Name,AssignmentTable[[#This Row],[_TaskPos]])&amp;"")</f>
        <v/>
      </c>
      <c r="D70" s="47"/>
      <c r="E70" s="93"/>
      <c r="F70" s="110" t="n">
        <f aca="false">IF(AssignmentTable[[#This Row],[_Valid]]=1,N(INDEX(tsk_Duration,AssignmentTable[[#This Row],[_TaskPos]]))*HoursPerDay*IF(AssignmentTable[[#This Row],[Units]]="",DefaultUnits,AssignmentTable[[#This Row],[Units]]),0)</f>
        <v>0</v>
      </c>
      <c r="G70" s="111" t="n">
        <f aca="false">IF(AssignmentTable[[#This Row],[Work]]=0,0,AssignmentTable[[#This Row],[Work]]*IFERROR(INDEX(res_Rate,MATCH(AssignmentTable[[#This Row],[Resource]],res_Name,0)),0))</f>
        <v>0</v>
      </c>
      <c r="H7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0" s="32" t="n">
        <f aca="false">IF(N(AssignmentTable[[#This Row],[Task UID]])=0,0,IFERROR(MATCH(AssignmentTable[[#This Row],[Task UID]],tsk_UID,0),-1))</f>
        <v>0</v>
      </c>
      <c r="J70" s="32" t="n">
        <f aca="false">IF(AND(AssignmentTable[[#This Row],[_TaskPos]]&gt;0,AssignmentTable[[#This Row],[Resource]]&lt;&gt;"",AssignmentTable[[#This Row],[Check]]=""),1,0)</f>
        <v>0</v>
      </c>
      <c r="K70" s="32" t="str">
        <f aca="false">IF(AssignmentTable[[#This Row],[_Valid]]=1,AssignmentTable[[#This Row],[Task UID]]*1000+COUNTIFS(AssignmentTable[[#Headers],[Task UID]]:AssignmentTable[[#This Row],[Task UID]],AssignmentTable[[#This Row],[Task UID]],AssignmentTable[[#Headers],[_Valid]]:AssignmentTable[[#This Row],[_Valid]],1),"")</f>
        <v/>
      </c>
      <c r="L70" s="32" t="str">
        <f aca="false">IF(AssignmentTable[[#This Row],[_Valid]]=1,AssignmentTable[[#This Row],[Resource]]&amp;IF(OR(AssignmentTable[[#This Row],[Units]]="",AssignmentTable[[#This Row],[Units]]=1),"","["&amp;ROUND(AssignmentTable[[#This Row],[Units]]*100,0)&amp;"%]"),"")</f>
        <v/>
      </c>
      <c r="M70" s="32" t="n">
        <f aca="false">IF(AssignmentTable[[#This Row],[_Valid]]=1,N(INDEX(tsk_StartWD,AssignmentTable[[#This Row],[_TaskPos]])),0)</f>
        <v>0</v>
      </c>
      <c r="N70" s="32" t="n">
        <f aca="false">IF(AssignmentTable[[#This Row],[_Valid]]=1,N(INDEX(tsk_FinishWD,AssignmentTable[[#This Row],[_TaskPos]])),0)</f>
        <v>0</v>
      </c>
      <c r="O70" s="32" t="n">
        <f aca="false">IF(OR(AssignmentTable[[#This Row],[Work]]=0,AssignmentTable[[#This Row],[_FinishWD]]=0),0,AssignmentTable[[#This Row],[Work]]/(AssignmentTable[[#This Row],[_FinishWD]]-AssignmentTable[[#This Row],[_StartWD]]+1))</f>
        <v>0</v>
      </c>
      <c r="P70" s="32" t="n">
        <f aca="false">AssignmentTable[[#This Row],[_WorkPerWD]]*MAX(0,AssignmentTable[[#This Row],[_StartWD]]-1)</f>
        <v>0</v>
      </c>
      <c r="Q70" s="32" t="n">
        <f aca="false">IF(AssignmentTable[[#This Row],[_Valid]]=1,AssignmentTable[[#This Row],[Work]]*N(INDEX(tsk_LeafProgress,AssignmentTable[[#This Row],[_TaskPos]])),0)</f>
        <v>0</v>
      </c>
      <c r="R70" s="32" t="n">
        <f aca="false">IF(NOT(AssignmentTable[[#This Row],[_Valid]]=1),0,IF(N(INDEX(tsk_LeafTotalCost,AssignmentTable[[#This Row],[_TaskPos]]))=0,0,N(INDEX(tsk_LeafAC,AssignmentTable[[#This Row],[_TaskPos]]))*AssignmentTable[[#This Row],[Cost]]/INDEX(tsk_LeafTotalCost,AssignmentTable[[#This Row],[_TaskPos]])))</f>
        <v>0</v>
      </c>
      <c r="S70" s="32" t="n">
        <f aca="false">IF(NOT(AssignmentTable[[#This Row],[_Valid]]=1),0,IF(N(INDEX(tsk_LateKey,AssignmentTable[[#This Row],[_TaskPos]]))&gt;0,1,0))</f>
        <v>0</v>
      </c>
      <c r="T70" s="32" t="n">
        <f aca="false">IF(NOT(AssignmentTable[[#This Row],[_Valid]]=1),0,IF(INDEX(tsk_Critical,AssignmentTable[[#This Row],[_TaskPos]])="Yes",1,0))</f>
        <v>0</v>
      </c>
      <c r="U7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1" customFormat="false" ht="15" hidden="false" customHeight="false" outlineLevel="0" collapsed="false">
      <c r="B71" s="46"/>
      <c r="C71" s="24" t="str">
        <f aca="false">IF(AssignmentTable[[#This Row],[_TaskPos]]&lt;=0,"",INDEX(tsk_Name,AssignmentTable[[#This Row],[_TaskPos]])&amp;"")</f>
        <v/>
      </c>
      <c r="D71" s="47"/>
      <c r="E71" s="93"/>
      <c r="F71" s="110" t="n">
        <f aca="false">IF(AssignmentTable[[#This Row],[_Valid]]=1,N(INDEX(tsk_Duration,AssignmentTable[[#This Row],[_TaskPos]]))*HoursPerDay*IF(AssignmentTable[[#This Row],[Units]]="",DefaultUnits,AssignmentTable[[#This Row],[Units]]),0)</f>
        <v>0</v>
      </c>
      <c r="G71" s="111" t="n">
        <f aca="false">IF(AssignmentTable[[#This Row],[Work]]=0,0,AssignmentTable[[#This Row],[Work]]*IFERROR(INDEX(res_Rate,MATCH(AssignmentTable[[#This Row],[Resource]],res_Name,0)),0))</f>
        <v>0</v>
      </c>
      <c r="H7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1" s="32" t="n">
        <f aca="false">IF(N(AssignmentTable[[#This Row],[Task UID]])=0,0,IFERROR(MATCH(AssignmentTable[[#This Row],[Task UID]],tsk_UID,0),-1))</f>
        <v>0</v>
      </c>
      <c r="J71" s="32" t="n">
        <f aca="false">IF(AND(AssignmentTable[[#This Row],[_TaskPos]]&gt;0,AssignmentTable[[#This Row],[Resource]]&lt;&gt;"",AssignmentTable[[#This Row],[Check]]=""),1,0)</f>
        <v>0</v>
      </c>
      <c r="K71" s="32" t="str">
        <f aca="false">IF(AssignmentTable[[#This Row],[_Valid]]=1,AssignmentTable[[#This Row],[Task UID]]*1000+COUNTIFS(AssignmentTable[[#Headers],[Task UID]]:AssignmentTable[[#This Row],[Task UID]],AssignmentTable[[#This Row],[Task UID]],AssignmentTable[[#Headers],[_Valid]]:AssignmentTable[[#This Row],[_Valid]],1),"")</f>
        <v/>
      </c>
      <c r="L71" s="32" t="str">
        <f aca="false">IF(AssignmentTable[[#This Row],[_Valid]]=1,AssignmentTable[[#This Row],[Resource]]&amp;IF(OR(AssignmentTable[[#This Row],[Units]]="",AssignmentTable[[#This Row],[Units]]=1),"","["&amp;ROUND(AssignmentTable[[#This Row],[Units]]*100,0)&amp;"%]"),"")</f>
        <v/>
      </c>
      <c r="M71" s="32" t="n">
        <f aca="false">IF(AssignmentTable[[#This Row],[_Valid]]=1,N(INDEX(tsk_StartWD,AssignmentTable[[#This Row],[_TaskPos]])),0)</f>
        <v>0</v>
      </c>
      <c r="N71" s="32" t="n">
        <f aca="false">IF(AssignmentTable[[#This Row],[_Valid]]=1,N(INDEX(tsk_FinishWD,AssignmentTable[[#This Row],[_TaskPos]])),0)</f>
        <v>0</v>
      </c>
      <c r="O71" s="32" t="n">
        <f aca="false">IF(OR(AssignmentTable[[#This Row],[Work]]=0,AssignmentTable[[#This Row],[_FinishWD]]=0),0,AssignmentTable[[#This Row],[Work]]/(AssignmentTable[[#This Row],[_FinishWD]]-AssignmentTable[[#This Row],[_StartWD]]+1))</f>
        <v>0</v>
      </c>
      <c r="P71" s="32" t="n">
        <f aca="false">AssignmentTable[[#This Row],[_WorkPerWD]]*MAX(0,AssignmentTable[[#This Row],[_StartWD]]-1)</f>
        <v>0</v>
      </c>
      <c r="Q71" s="32" t="n">
        <f aca="false">IF(AssignmentTable[[#This Row],[_Valid]]=1,AssignmentTable[[#This Row],[Work]]*N(INDEX(tsk_LeafProgress,AssignmentTable[[#This Row],[_TaskPos]])),0)</f>
        <v>0</v>
      </c>
      <c r="R71" s="32" t="n">
        <f aca="false">IF(NOT(AssignmentTable[[#This Row],[_Valid]]=1),0,IF(N(INDEX(tsk_LeafTotalCost,AssignmentTable[[#This Row],[_TaskPos]]))=0,0,N(INDEX(tsk_LeafAC,AssignmentTable[[#This Row],[_TaskPos]]))*AssignmentTable[[#This Row],[Cost]]/INDEX(tsk_LeafTotalCost,AssignmentTable[[#This Row],[_TaskPos]])))</f>
        <v>0</v>
      </c>
      <c r="S71" s="32" t="n">
        <f aca="false">IF(NOT(AssignmentTable[[#This Row],[_Valid]]=1),0,IF(N(INDEX(tsk_LateKey,AssignmentTable[[#This Row],[_TaskPos]]))&gt;0,1,0))</f>
        <v>0</v>
      </c>
      <c r="T71" s="32" t="n">
        <f aca="false">IF(NOT(AssignmentTable[[#This Row],[_Valid]]=1),0,IF(INDEX(tsk_Critical,AssignmentTable[[#This Row],[_TaskPos]])="Yes",1,0))</f>
        <v>0</v>
      </c>
      <c r="U7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2" customFormat="false" ht="15" hidden="false" customHeight="false" outlineLevel="0" collapsed="false">
      <c r="B72" s="46"/>
      <c r="C72" s="24" t="str">
        <f aca="false">IF(AssignmentTable[[#This Row],[_TaskPos]]&lt;=0,"",INDEX(tsk_Name,AssignmentTable[[#This Row],[_TaskPos]])&amp;"")</f>
        <v/>
      </c>
      <c r="D72" s="47"/>
      <c r="E72" s="93"/>
      <c r="F72" s="110" t="n">
        <f aca="false">IF(AssignmentTable[[#This Row],[_Valid]]=1,N(INDEX(tsk_Duration,AssignmentTable[[#This Row],[_TaskPos]]))*HoursPerDay*IF(AssignmentTable[[#This Row],[Units]]="",DefaultUnits,AssignmentTable[[#This Row],[Units]]),0)</f>
        <v>0</v>
      </c>
      <c r="G72" s="111" t="n">
        <f aca="false">IF(AssignmentTable[[#This Row],[Work]]=0,0,AssignmentTable[[#This Row],[Work]]*IFERROR(INDEX(res_Rate,MATCH(AssignmentTable[[#This Row],[Resource]],res_Name,0)),0))</f>
        <v>0</v>
      </c>
      <c r="H7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2" s="32" t="n">
        <f aca="false">IF(N(AssignmentTable[[#This Row],[Task UID]])=0,0,IFERROR(MATCH(AssignmentTable[[#This Row],[Task UID]],tsk_UID,0),-1))</f>
        <v>0</v>
      </c>
      <c r="J72" s="32" t="n">
        <f aca="false">IF(AND(AssignmentTable[[#This Row],[_TaskPos]]&gt;0,AssignmentTable[[#This Row],[Resource]]&lt;&gt;"",AssignmentTable[[#This Row],[Check]]=""),1,0)</f>
        <v>0</v>
      </c>
      <c r="K72" s="32" t="str">
        <f aca="false">IF(AssignmentTable[[#This Row],[_Valid]]=1,AssignmentTable[[#This Row],[Task UID]]*1000+COUNTIFS(AssignmentTable[[#Headers],[Task UID]]:AssignmentTable[[#This Row],[Task UID]],AssignmentTable[[#This Row],[Task UID]],AssignmentTable[[#Headers],[_Valid]]:AssignmentTable[[#This Row],[_Valid]],1),"")</f>
        <v/>
      </c>
      <c r="L72" s="32" t="str">
        <f aca="false">IF(AssignmentTable[[#This Row],[_Valid]]=1,AssignmentTable[[#This Row],[Resource]]&amp;IF(OR(AssignmentTable[[#This Row],[Units]]="",AssignmentTable[[#This Row],[Units]]=1),"","["&amp;ROUND(AssignmentTable[[#This Row],[Units]]*100,0)&amp;"%]"),"")</f>
        <v/>
      </c>
      <c r="M72" s="32" t="n">
        <f aca="false">IF(AssignmentTable[[#This Row],[_Valid]]=1,N(INDEX(tsk_StartWD,AssignmentTable[[#This Row],[_TaskPos]])),0)</f>
        <v>0</v>
      </c>
      <c r="N72" s="32" t="n">
        <f aca="false">IF(AssignmentTable[[#This Row],[_Valid]]=1,N(INDEX(tsk_FinishWD,AssignmentTable[[#This Row],[_TaskPos]])),0)</f>
        <v>0</v>
      </c>
      <c r="O72" s="32" t="n">
        <f aca="false">IF(OR(AssignmentTable[[#This Row],[Work]]=0,AssignmentTable[[#This Row],[_FinishWD]]=0),0,AssignmentTable[[#This Row],[Work]]/(AssignmentTable[[#This Row],[_FinishWD]]-AssignmentTable[[#This Row],[_StartWD]]+1))</f>
        <v>0</v>
      </c>
      <c r="P72" s="32" t="n">
        <f aca="false">AssignmentTable[[#This Row],[_WorkPerWD]]*MAX(0,AssignmentTable[[#This Row],[_StartWD]]-1)</f>
        <v>0</v>
      </c>
      <c r="Q72" s="32" t="n">
        <f aca="false">IF(AssignmentTable[[#This Row],[_Valid]]=1,AssignmentTable[[#This Row],[Work]]*N(INDEX(tsk_LeafProgress,AssignmentTable[[#This Row],[_TaskPos]])),0)</f>
        <v>0</v>
      </c>
      <c r="R72" s="32" t="n">
        <f aca="false">IF(NOT(AssignmentTable[[#This Row],[_Valid]]=1),0,IF(N(INDEX(tsk_LeafTotalCost,AssignmentTable[[#This Row],[_TaskPos]]))=0,0,N(INDEX(tsk_LeafAC,AssignmentTable[[#This Row],[_TaskPos]]))*AssignmentTable[[#This Row],[Cost]]/INDEX(tsk_LeafTotalCost,AssignmentTable[[#This Row],[_TaskPos]])))</f>
        <v>0</v>
      </c>
      <c r="S72" s="32" t="n">
        <f aca="false">IF(NOT(AssignmentTable[[#This Row],[_Valid]]=1),0,IF(N(INDEX(tsk_LateKey,AssignmentTable[[#This Row],[_TaskPos]]))&gt;0,1,0))</f>
        <v>0</v>
      </c>
      <c r="T72" s="32" t="n">
        <f aca="false">IF(NOT(AssignmentTable[[#This Row],[_Valid]]=1),0,IF(INDEX(tsk_Critical,AssignmentTable[[#This Row],[_TaskPos]])="Yes",1,0))</f>
        <v>0</v>
      </c>
      <c r="U7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3" customFormat="false" ht="15" hidden="false" customHeight="false" outlineLevel="0" collapsed="false">
      <c r="B73" s="46"/>
      <c r="C73" s="24" t="str">
        <f aca="false">IF(AssignmentTable[[#This Row],[_TaskPos]]&lt;=0,"",INDEX(tsk_Name,AssignmentTable[[#This Row],[_TaskPos]])&amp;"")</f>
        <v/>
      </c>
      <c r="D73" s="47"/>
      <c r="E73" s="93"/>
      <c r="F73" s="110" t="n">
        <f aca="false">IF(AssignmentTable[[#This Row],[_Valid]]=1,N(INDEX(tsk_Duration,AssignmentTable[[#This Row],[_TaskPos]]))*HoursPerDay*IF(AssignmentTable[[#This Row],[Units]]="",DefaultUnits,AssignmentTable[[#This Row],[Units]]),0)</f>
        <v>0</v>
      </c>
      <c r="G73" s="111" t="n">
        <f aca="false">IF(AssignmentTable[[#This Row],[Work]]=0,0,AssignmentTable[[#This Row],[Work]]*IFERROR(INDEX(res_Rate,MATCH(AssignmentTable[[#This Row],[Resource]],res_Name,0)),0))</f>
        <v>0</v>
      </c>
      <c r="H7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3" s="32" t="n">
        <f aca="false">IF(N(AssignmentTable[[#This Row],[Task UID]])=0,0,IFERROR(MATCH(AssignmentTable[[#This Row],[Task UID]],tsk_UID,0),-1))</f>
        <v>0</v>
      </c>
      <c r="J73" s="32" t="n">
        <f aca="false">IF(AND(AssignmentTable[[#This Row],[_TaskPos]]&gt;0,AssignmentTable[[#This Row],[Resource]]&lt;&gt;"",AssignmentTable[[#This Row],[Check]]=""),1,0)</f>
        <v>0</v>
      </c>
      <c r="K73" s="32" t="str">
        <f aca="false">IF(AssignmentTable[[#This Row],[_Valid]]=1,AssignmentTable[[#This Row],[Task UID]]*1000+COUNTIFS(AssignmentTable[[#Headers],[Task UID]]:AssignmentTable[[#This Row],[Task UID]],AssignmentTable[[#This Row],[Task UID]],AssignmentTable[[#Headers],[_Valid]]:AssignmentTable[[#This Row],[_Valid]],1),"")</f>
        <v/>
      </c>
      <c r="L73" s="32" t="str">
        <f aca="false">IF(AssignmentTable[[#This Row],[_Valid]]=1,AssignmentTable[[#This Row],[Resource]]&amp;IF(OR(AssignmentTable[[#This Row],[Units]]="",AssignmentTable[[#This Row],[Units]]=1),"","["&amp;ROUND(AssignmentTable[[#This Row],[Units]]*100,0)&amp;"%]"),"")</f>
        <v/>
      </c>
      <c r="M73" s="32" t="n">
        <f aca="false">IF(AssignmentTable[[#This Row],[_Valid]]=1,N(INDEX(tsk_StartWD,AssignmentTable[[#This Row],[_TaskPos]])),0)</f>
        <v>0</v>
      </c>
      <c r="N73" s="32" t="n">
        <f aca="false">IF(AssignmentTable[[#This Row],[_Valid]]=1,N(INDEX(tsk_FinishWD,AssignmentTable[[#This Row],[_TaskPos]])),0)</f>
        <v>0</v>
      </c>
      <c r="O73" s="32" t="n">
        <f aca="false">IF(OR(AssignmentTable[[#This Row],[Work]]=0,AssignmentTable[[#This Row],[_FinishWD]]=0),0,AssignmentTable[[#This Row],[Work]]/(AssignmentTable[[#This Row],[_FinishWD]]-AssignmentTable[[#This Row],[_StartWD]]+1))</f>
        <v>0</v>
      </c>
      <c r="P73" s="32" t="n">
        <f aca="false">AssignmentTable[[#This Row],[_WorkPerWD]]*MAX(0,AssignmentTable[[#This Row],[_StartWD]]-1)</f>
        <v>0</v>
      </c>
      <c r="Q73" s="32" t="n">
        <f aca="false">IF(AssignmentTable[[#This Row],[_Valid]]=1,AssignmentTable[[#This Row],[Work]]*N(INDEX(tsk_LeafProgress,AssignmentTable[[#This Row],[_TaskPos]])),0)</f>
        <v>0</v>
      </c>
      <c r="R73" s="32" t="n">
        <f aca="false">IF(NOT(AssignmentTable[[#This Row],[_Valid]]=1),0,IF(N(INDEX(tsk_LeafTotalCost,AssignmentTable[[#This Row],[_TaskPos]]))=0,0,N(INDEX(tsk_LeafAC,AssignmentTable[[#This Row],[_TaskPos]]))*AssignmentTable[[#This Row],[Cost]]/INDEX(tsk_LeafTotalCost,AssignmentTable[[#This Row],[_TaskPos]])))</f>
        <v>0</v>
      </c>
      <c r="S73" s="32" t="n">
        <f aca="false">IF(NOT(AssignmentTable[[#This Row],[_Valid]]=1),0,IF(N(INDEX(tsk_LateKey,AssignmentTable[[#This Row],[_TaskPos]]))&gt;0,1,0))</f>
        <v>0</v>
      </c>
      <c r="T73" s="32" t="n">
        <f aca="false">IF(NOT(AssignmentTable[[#This Row],[_Valid]]=1),0,IF(INDEX(tsk_Critical,AssignmentTable[[#This Row],[_TaskPos]])="Yes",1,0))</f>
        <v>0</v>
      </c>
      <c r="U7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4" customFormat="false" ht="15" hidden="false" customHeight="false" outlineLevel="0" collapsed="false">
      <c r="B74" s="46"/>
      <c r="C74" s="24" t="str">
        <f aca="false">IF(AssignmentTable[[#This Row],[_TaskPos]]&lt;=0,"",INDEX(tsk_Name,AssignmentTable[[#This Row],[_TaskPos]])&amp;"")</f>
        <v/>
      </c>
      <c r="D74" s="47"/>
      <c r="E74" s="93"/>
      <c r="F74" s="110" t="n">
        <f aca="false">IF(AssignmentTable[[#This Row],[_Valid]]=1,N(INDEX(tsk_Duration,AssignmentTable[[#This Row],[_TaskPos]]))*HoursPerDay*IF(AssignmentTable[[#This Row],[Units]]="",DefaultUnits,AssignmentTable[[#This Row],[Units]]),0)</f>
        <v>0</v>
      </c>
      <c r="G74" s="111" t="n">
        <f aca="false">IF(AssignmentTable[[#This Row],[Work]]=0,0,AssignmentTable[[#This Row],[Work]]*IFERROR(INDEX(res_Rate,MATCH(AssignmentTable[[#This Row],[Resource]],res_Name,0)),0))</f>
        <v>0</v>
      </c>
      <c r="H7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4" s="32" t="n">
        <f aca="false">IF(N(AssignmentTable[[#This Row],[Task UID]])=0,0,IFERROR(MATCH(AssignmentTable[[#This Row],[Task UID]],tsk_UID,0),-1))</f>
        <v>0</v>
      </c>
      <c r="J74" s="32" t="n">
        <f aca="false">IF(AND(AssignmentTable[[#This Row],[_TaskPos]]&gt;0,AssignmentTable[[#This Row],[Resource]]&lt;&gt;"",AssignmentTable[[#This Row],[Check]]=""),1,0)</f>
        <v>0</v>
      </c>
      <c r="K74" s="32" t="str">
        <f aca="false">IF(AssignmentTable[[#This Row],[_Valid]]=1,AssignmentTable[[#This Row],[Task UID]]*1000+COUNTIFS(AssignmentTable[[#Headers],[Task UID]]:AssignmentTable[[#This Row],[Task UID]],AssignmentTable[[#This Row],[Task UID]],AssignmentTable[[#Headers],[_Valid]]:AssignmentTable[[#This Row],[_Valid]],1),"")</f>
        <v/>
      </c>
      <c r="L74" s="32" t="str">
        <f aca="false">IF(AssignmentTable[[#This Row],[_Valid]]=1,AssignmentTable[[#This Row],[Resource]]&amp;IF(OR(AssignmentTable[[#This Row],[Units]]="",AssignmentTable[[#This Row],[Units]]=1),"","["&amp;ROUND(AssignmentTable[[#This Row],[Units]]*100,0)&amp;"%]"),"")</f>
        <v/>
      </c>
      <c r="M74" s="32" t="n">
        <f aca="false">IF(AssignmentTable[[#This Row],[_Valid]]=1,N(INDEX(tsk_StartWD,AssignmentTable[[#This Row],[_TaskPos]])),0)</f>
        <v>0</v>
      </c>
      <c r="N74" s="32" t="n">
        <f aca="false">IF(AssignmentTable[[#This Row],[_Valid]]=1,N(INDEX(tsk_FinishWD,AssignmentTable[[#This Row],[_TaskPos]])),0)</f>
        <v>0</v>
      </c>
      <c r="O74" s="32" t="n">
        <f aca="false">IF(OR(AssignmentTable[[#This Row],[Work]]=0,AssignmentTable[[#This Row],[_FinishWD]]=0),0,AssignmentTable[[#This Row],[Work]]/(AssignmentTable[[#This Row],[_FinishWD]]-AssignmentTable[[#This Row],[_StartWD]]+1))</f>
        <v>0</v>
      </c>
      <c r="P74" s="32" t="n">
        <f aca="false">AssignmentTable[[#This Row],[_WorkPerWD]]*MAX(0,AssignmentTable[[#This Row],[_StartWD]]-1)</f>
        <v>0</v>
      </c>
      <c r="Q74" s="32" t="n">
        <f aca="false">IF(AssignmentTable[[#This Row],[_Valid]]=1,AssignmentTable[[#This Row],[Work]]*N(INDEX(tsk_LeafProgress,AssignmentTable[[#This Row],[_TaskPos]])),0)</f>
        <v>0</v>
      </c>
      <c r="R74" s="32" t="n">
        <f aca="false">IF(NOT(AssignmentTable[[#This Row],[_Valid]]=1),0,IF(N(INDEX(tsk_LeafTotalCost,AssignmentTable[[#This Row],[_TaskPos]]))=0,0,N(INDEX(tsk_LeafAC,AssignmentTable[[#This Row],[_TaskPos]]))*AssignmentTable[[#This Row],[Cost]]/INDEX(tsk_LeafTotalCost,AssignmentTable[[#This Row],[_TaskPos]])))</f>
        <v>0</v>
      </c>
      <c r="S74" s="32" t="n">
        <f aca="false">IF(NOT(AssignmentTable[[#This Row],[_Valid]]=1),0,IF(N(INDEX(tsk_LateKey,AssignmentTable[[#This Row],[_TaskPos]]))&gt;0,1,0))</f>
        <v>0</v>
      </c>
      <c r="T74" s="32" t="n">
        <f aca="false">IF(NOT(AssignmentTable[[#This Row],[_Valid]]=1),0,IF(INDEX(tsk_Critical,AssignmentTable[[#This Row],[_TaskPos]])="Yes",1,0))</f>
        <v>0</v>
      </c>
      <c r="U7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5" customFormat="false" ht="15" hidden="false" customHeight="false" outlineLevel="0" collapsed="false">
      <c r="B75" s="46"/>
      <c r="C75" s="24" t="str">
        <f aca="false">IF(AssignmentTable[[#This Row],[_TaskPos]]&lt;=0,"",INDEX(tsk_Name,AssignmentTable[[#This Row],[_TaskPos]])&amp;"")</f>
        <v/>
      </c>
      <c r="D75" s="47"/>
      <c r="E75" s="93"/>
      <c r="F75" s="110" t="n">
        <f aca="false">IF(AssignmentTable[[#This Row],[_Valid]]=1,N(INDEX(tsk_Duration,AssignmentTable[[#This Row],[_TaskPos]]))*HoursPerDay*IF(AssignmentTable[[#This Row],[Units]]="",DefaultUnits,AssignmentTable[[#This Row],[Units]]),0)</f>
        <v>0</v>
      </c>
      <c r="G75" s="111" t="n">
        <f aca="false">IF(AssignmentTable[[#This Row],[Work]]=0,0,AssignmentTable[[#This Row],[Work]]*IFERROR(INDEX(res_Rate,MATCH(AssignmentTable[[#This Row],[Resource]],res_Name,0)),0))</f>
        <v>0</v>
      </c>
      <c r="H7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5" s="32" t="n">
        <f aca="false">IF(N(AssignmentTable[[#This Row],[Task UID]])=0,0,IFERROR(MATCH(AssignmentTable[[#This Row],[Task UID]],tsk_UID,0),-1))</f>
        <v>0</v>
      </c>
      <c r="J75" s="32" t="n">
        <f aca="false">IF(AND(AssignmentTable[[#This Row],[_TaskPos]]&gt;0,AssignmentTable[[#This Row],[Resource]]&lt;&gt;"",AssignmentTable[[#This Row],[Check]]=""),1,0)</f>
        <v>0</v>
      </c>
      <c r="K75" s="32" t="str">
        <f aca="false">IF(AssignmentTable[[#This Row],[_Valid]]=1,AssignmentTable[[#This Row],[Task UID]]*1000+COUNTIFS(AssignmentTable[[#Headers],[Task UID]]:AssignmentTable[[#This Row],[Task UID]],AssignmentTable[[#This Row],[Task UID]],AssignmentTable[[#Headers],[_Valid]]:AssignmentTable[[#This Row],[_Valid]],1),"")</f>
        <v/>
      </c>
      <c r="L75" s="32" t="str">
        <f aca="false">IF(AssignmentTable[[#This Row],[_Valid]]=1,AssignmentTable[[#This Row],[Resource]]&amp;IF(OR(AssignmentTable[[#This Row],[Units]]="",AssignmentTable[[#This Row],[Units]]=1),"","["&amp;ROUND(AssignmentTable[[#This Row],[Units]]*100,0)&amp;"%]"),"")</f>
        <v/>
      </c>
      <c r="M75" s="32" t="n">
        <f aca="false">IF(AssignmentTable[[#This Row],[_Valid]]=1,N(INDEX(tsk_StartWD,AssignmentTable[[#This Row],[_TaskPos]])),0)</f>
        <v>0</v>
      </c>
      <c r="N75" s="32" t="n">
        <f aca="false">IF(AssignmentTable[[#This Row],[_Valid]]=1,N(INDEX(tsk_FinishWD,AssignmentTable[[#This Row],[_TaskPos]])),0)</f>
        <v>0</v>
      </c>
      <c r="O75" s="32" t="n">
        <f aca="false">IF(OR(AssignmentTable[[#This Row],[Work]]=0,AssignmentTable[[#This Row],[_FinishWD]]=0),0,AssignmentTable[[#This Row],[Work]]/(AssignmentTable[[#This Row],[_FinishWD]]-AssignmentTable[[#This Row],[_StartWD]]+1))</f>
        <v>0</v>
      </c>
      <c r="P75" s="32" t="n">
        <f aca="false">AssignmentTable[[#This Row],[_WorkPerWD]]*MAX(0,AssignmentTable[[#This Row],[_StartWD]]-1)</f>
        <v>0</v>
      </c>
      <c r="Q75" s="32" t="n">
        <f aca="false">IF(AssignmentTable[[#This Row],[_Valid]]=1,AssignmentTable[[#This Row],[Work]]*N(INDEX(tsk_LeafProgress,AssignmentTable[[#This Row],[_TaskPos]])),0)</f>
        <v>0</v>
      </c>
      <c r="R75" s="32" t="n">
        <f aca="false">IF(NOT(AssignmentTable[[#This Row],[_Valid]]=1),0,IF(N(INDEX(tsk_LeafTotalCost,AssignmentTable[[#This Row],[_TaskPos]]))=0,0,N(INDEX(tsk_LeafAC,AssignmentTable[[#This Row],[_TaskPos]]))*AssignmentTable[[#This Row],[Cost]]/INDEX(tsk_LeafTotalCost,AssignmentTable[[#This Row],[_TaskPos]])))</f>
        <v>0</v>
      </c>
      <c r="S75" s="32" t="n">
        <f aca="false">IF(NOT(AssignmentTable[[#This Row],[_Valid]]=1),0,IF(N(INDEX(tsk_LateKey,AssignmentTable[[#This Row],[_TaskPos]]))&gt;0,1,0))</f>
        <v>0</v>
      </c>
      <c r="T75" s="32" t="n">
        <f aca="false">IF(NOT(AssignmentTable[[#This Row],[_Valid]]=1),0,IF(INDEX(tsk_Critical,AssignmentTable[[#This Row],[_TaskPos]])="Yes",1,0))</f>
        <v>0</v>
      </c>
      <c r="U7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6" customFormat="false" ht="15" hidden="false" customHeight="false" outlineLevel="0" collapsed="false">
      <c r="B76" s="46"/>
      <c r="C76" s="24" t="str">
        <f aca="false">IF(AssignmentTable[[#This Row],[_TaskPos]]&lt;=0,"",INDEX(tsk_Name,AssignmentTable[[#This Row],[_TaskPos]])&amp;"")</f>
        <v/>
      </c>
      <c r="D76" s="47"/>
      <c r="E76" s="93"/>
      <c r="F76" s="110" t="n">
        <f aca="false">IF(AssignmentTable[[#This Row],[_Valid]]=1,N(INDEX(tsk_Duration,AssignmentTable[[#This Row],[_TaskPos]]))*HoursPerDay*IF(AssignmentTable[[#This Row],[Units]]="",DefaultUnits,AssignmentTable[[#This Row],[Units]]),0)</f>
        <v>0</v>
      </c>
      <c r="G76" s="111" t="n">
        <f aca="false">IF(AssignmentTable[[#This Row],[Work]]=0,0,AssignmentTable[[#This Row],[Work]]*IFERROR(INDEX(res_Rate,MATCH(AssignmentTable[[#This Row],[Resource]],res_Name,0)),0))</f>
        <v>0</v>
      </c>
      <c r="H7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6" s="32" t="n">
        <f aca="false">IF(N(AssignmentTable[[#This Row],[Task UID]])=0,0,IFERROR(MATCH(AssignmentTable[[#This Row],[Task UID]],tsk_UID,0),-1))</f>
        <v>0</v>
      </c>
      <c r="J76" s="32" t="n">
        <f aca="false">IF(AND(AssignmentTable[[#This Row],[_TaskPos]]&gt;0,AssignmentTable[[#This Row],[Resource]]&lt;&gt;"",AssignmentTable[[#This Row],[Check]]=""),1,0)</f>
        <v>0</v>
      </c>
      <c r="K76" s="32" t="str">
        <f aca="false">IF(AssignmentTable[[#This Row],[_Valid]]=1,AssignmentTable[[#This Row],[Task UID]]*1000+COUNTIFS(AssignmentTable[[#Headers],[Task UID]]:AssignmentTable[[#This Row],[Task UID]],AssignmentTable[[#This Row],[Task UID]],AssignmentTable[[#Headers],[_Valid]]:AssignmentTable[[#This Row],[_Valid]],1),"")</f>
        <v/>
      </c>
      <c r="L76" s="32" t="str">
        <f aca="false">IF(AssignmentTable[[#This Row],[_Valid]]=1,AssignmentTable[[#This Row],[Resource]]&amp;IF(OR(AssignmentTable[[#This Row],[Units]]="",AssignmentTable[[#This Row],[Units]]=1),"","["&amp;ROUND(AssignmentTable[[#This Row],[Units]]*100,0)&amp;"%]"),"")</f>
        <v/>
      </c>
      <c r="M76" s="32" t="n">
        <f aca="false">IF(AssignmentTable[[#This Row],[_Valid]]=1,N(INDEX(tsk_StartWD,AssignmentTable[[#This Row],[_TaskPos]])),0)</f>
        <v>0</v>
      </c>
      <c r="N76" s="32" t="n">
        <f aca="false">IF(AssignmentTable[[#This Row],[_Valid]]=1,N(INDEX(tsk_FinishWD,AssignmentTable[[#This Row],[_TaskPos]])),0)</f>
        <v>0</v>
      </c>
      <c r="O76" s="32" t="n">
        <f aca="false">IF(OR(AssignmentTable[[#This Row],[Work]]=0,AssignmentTable[[#This Row],[_FinishWD]]=0),0,AssignmentTable[[#This Row],[Work]]/(AssignmentTable[[#This Row],[_FinishWD]]-AssignmentTable[[#This Row],[_StartWD]]+1))</f>
        <v>0</v>
      </c>
      <c r="P76" s="32" t="n">
        <f aca="false">AssignmentTable[[#This Row],[_WorkPerWD]]*MAX(0,AssignmentTable[[#This Row],[_StartWD]]-1)</f>
        <v>0</v>
      </c>
      <c r="Q76" s="32" t="n">
        <f aca="false">IF(AssignmentTable[[#This Row],[_Valid]]=1,AssignmentTable[[#This Row],[Work]]*N(INDEX(tsk_LeafProgress,AssignmentTable[[#This Row],[_TaskPos]])),0)</f>
        <v>0</v>
      </c>
      <c r="R76" s="32" t="n">
        <f aca="false">IF(NOT(AssignmentTable[[#This Row],[_Valid]]=1),0,IF(N(INDEX(tsk_LeafTotalCost,AssignmentTable[[#This Row],[_TaskPos]]))=0,0,N(INDEX(tsk_LeafAC,AssignmentTable[[#This Row],[_TaskPos]]))*AssignmentTable[[#This Row],[Cost]]/INDEX(tsk_LeafTotalCost,AssignmentTable[[#This Row],[_TaskPos]])))</f>
        <v>0</v>
      </c>
      <c r="S76" s="32" t="n">
        <f aca="false">IF(NOT(AssignmentTable[[#This Row],[_Valid]]=1),0,IF(N(INDEX(tsk_LateKey,AssignmentTable[[#This Row],[_TaskPos]]))&gt;0,1,0))</f>
        <v>0</v>
      </c>
      <c r="T76" s="32" t="n">
        <f aca="false">IF(NOT(AssignmentTable[[#This Row],[_Valid]]=1),0,IF(INDEX(tsk_Critical,AssignmentTable[[#This Row],[_TaskPos]])="Yes",1,0))</f>
        <v>0</v>
      </c>
      <c r="U7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7" customFormat="false" ht="15" hidden="false" customHeight="false" outlineLevel="0" collapsed="false">
      <c r="B77" s="46"/>
      <c r="C77" s="24" t="str">
        <f aca="false">IF(AssignmentTable[[#This Row],[_TaskPos]]&lt;=0,"",INDEX(tsk_Name,AssignmentTable[[#This Row],[_TaskPos]])&amp;"")</f>
        <v/>
      </c>
      <c r="D77" s="47"/>
      <c r="E77" s="93"/>
      <c r="F77" s="110" t="n">
        <f aca="false">IF(AssignmentTable[[#This Row],[_Valid]]=1,N(INDEX(tsk_Duration,AssignmentTable[[#This Row],[_TaskPos]]))*HoursPerDay*IF(AssignmentTable[[#This Row],[Units]]="",DefaultUnits,AssignmentTable[[#This Row],[Units]]),0)</f>
        <v>0</v>
      </c>
      <c r="G77" s="111" t="n">
        <f aca="false">IF(AssignmentTable[[#This Row],[Work]]=0,0,AssignmentTable[[#This Row],[Work]]*IFERROR(INDEX(res_Rate,MATCH(AssignmentTable[[#This Row],[Resource]],res_Name,0)),0))</f>
        <v>0</v>
      </c>
      <c r="H7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7" s="32" t="n">
        <f aca="false">IF(N(AssignmentTable[[#This Row],[Task UID]])=0,0,IFERROR(MATCH(AssignmentTable[[#This Row],[Task UID]],tsk_UID,0),-1))</f>
        <v>0</v>
      </c>
      <c r="J77" s="32" t="n">
        <f aca="false">IF(AND(AssignmentTable[[#This Row],[_TaskPos]]&gt;0,AssignmentTable[[#This Row],[Resource]]&lt;&gt;"",AssignmentTable[[#This Row],[Check]]=""),1,0)</f>
        <v>0</v>
      </c>
      <c r="K77" s="32" t="str">
        <f aca="false">IF(AssignmentTable[[#This Row],[_Valid]]=1,AssignmentTable[[#This Row],[Task UID]]*1000+COUNTIFS(AssignmentTable[[#Headers],[Task UID]]:AssignmentTable[[#This Row],[Task UID]],AssignmentTable[[#This Row],[Task UID]],AssignmentTable[[#Headers],[_Valid]]:AssignmentTable[[#This Row],[_Valid]],1),"")</f>
        <v/>
      </c>
      <c r="L77" s="32" t="str">
        <f aca="false">IF(AssignmentTable[[#This Row],[_Valid]]=1,AssignmentTable[[#This Row],[Resource]]&amp;IF(OR(AssignmentTable[[#This Row],[Units]]="",AssignmentTable[[#This Row],[Units]]=1),"","["&amp;ROUND(AssignmentTable[[#This Row],[Units]]*100,0)&amp;"%]"),"")</f>
        <v/>
      </c>
      <c r="M77" s="32" t="n">
        <f aca="false">IF(AssignmentTable[[#This Row],[_Valid]]=1,N(INDEX(tsk_StartWD,AssignmentTable[[#This Row],[_TaskPos]])),0)</f>
        <v>0</v>
      </c>
      <c r="N77" s="32" t="n">
        <f aca="false">IF(AssignmentTable[[#This Row],[_Valid]]=1,N(INDEX(tsk_FinishWD,AssignmentTable[[#This Row],[_TaskPos]])),0)</f>
        <v>0</v>
      </c>
      <c r="O77" s="32" t="n">
        <f aca="false">IF(OR(AssignmentTable[[#This Row],[Work]]=0,AssignmentTable[[#This Row],[_FinishWD]]=0),0,AssignmentTable[[#This Row],[Work]]/(AssignmentTable[[#This Row],[_FinishWD]]-AssignmentTable[[#This Row],[_StartWD]]+1))</f>
        <v>0</v>
      </c>
      <c r="P77" s="32" t="n">
        <f aca="false">AssignmentTable[[#This Row],[_WorkPerWD]]*MAX(0,AssignmentTable[[#This Row],[_StartWD]]-1)</f>
        <v>0</v>
      </c>
      <c r="Q77" s="32" t="n">
        <f aca="false">IF(AssignmentTable[[#This Row],[_Valid]]=1,AssignmentTable[[#This Row],[Work]]*N(INDEX(tsk_LeafProgress,AssignmentTable[[#This Row],[_TaskPos]])),0)</f>
        <v>0</v>
      </c>
      <c r="R77" s="32" t="n">
        <f aca="false">IF(NOT(AssignmentTable[[#This Row],[_Valid]]=1),0,IF(N(INDEX(tsk_LeafTotalCost,AssignmentTable[[#This Row],[_TaskPos]]))=0,0,N(INDEX(tsk_LeafAC,AssignmentTable[[#This Row],[_TaskPos]]))*AssignmentTable[[#This Row],[Cost]]/INDEX(tsk_LeafTotalCost,AssignmentTable[[#This Row],[_TaskPos]])))</f>
        <v>0</v>
      </c>
      <c r="S77" s="32" t="n">
        <f aca="false">IF(NOT(AssignmentTable[[#This Row],[_Valid]]=1),0,IF(N(INDEX(tsk_LateKey,AssignmentTable[[#This Row],[_TaskPos]]))&gt;0,1,0))</f>
        <v>0</v>
      </c>
      <c r="T77" s="32" t="n">
        <f aca="false">IF(NOT(AssignmentTable[[#This Row],[_Valid]]=1),0,IF(INDEX(tsk_Critical,AssignmentTable[[#This Row],[_TaskPos]])="Yes",1,0))</f>
        <v>0</v>
      </c>
      <c r="U7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8" customFormat="false" ht="15" hidden="false" customHeight="false" outlineLevel="0" collapsed="false">
      <c r="B78" s="46"/>
      <c r="C78" s="24" t="str">
        <f aca="false">IF(AssignmentTable[[#This Row],[_TaskPos]]&lt;=0,"",INDEX(tsk_Name,AssignmentTable[[#This Row],[_TaskPos]])&amp;"")</f>
        <v/>
      </c>
      <c r="D78" s="47"/>
      <c r="E78" s="93"/>
      <c r="F78" s="110" t="n">
        <f aca="false">IF(AssignmentTable[[#This Row],[_Valid]]=1,N(INDEX(tsk_Duration,AssignmentTable[[#This Row],[_TaskPos]]))*HoursPerDay*IF(AssignmentTable[[#This Row],[Units]]="",DefaultUnits,AssignmentTable[[#This Row],[Units]]),0)</f>
        <v>0</v>
      </c>
      <c r="G78" s="111" t="n">
        <f aca="false">IF(AssignmentTable[[#This Row],[Work]]=0,0,AssignmentTable[[#This Row],[Work]]*IFERROR(INDEX(res_Rate,MATCH(AssignmentTable[[#This Row],[Resource]],res_Name,0)),0))</f>
        <v>0</v>
      </c>
      <c r="H7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8" s="32" t="n">
        <f aca="false">IF(N(AssignmentTable[[#This Row],[Task UID]])=0,0,IFERROR(MATCH(AssignmentTable[[#This Row],[Task UID]],tsk_UID,0),-1))</f>
        <v>0</v>
      </c>
      <c r="J78" s="32" t="n">
        <f aca="false">IF(AND(AssignmentTable[[#This Row],[_TaskPos]]&gt;0,AssignmentTable[[#This Row],[Resource]]&lt;&gt;"",AssignmentTable[[#This Row],[Check]]=""),1,0)</f>
        <v>0</v>
      </c>
      <c r="K78" s="32" t="str">
        <f aca="false">IF(AssignmentTable[[#This Row],[_Valid]]=1,AssignmentTable[[#This Row],[Task UID]]*1000+COUNTIFS(AssignmentTable[[#Headers],[Task UID]]:AssignmentTable[[#This Row],[Task UID]],AssignmentTable[[#This Row],[Task UID]],AssignmentTable[[#Headers],[_Valid]]:AssignmentTable[[#This Row],[_Valid]],1),"")</f>
        <v/>
      </c>
      <c r="L78" s="32" t="str">
        <f aca="false">IF(AssignmentTable[[#This Row],[_Valid]]=1,AssignmentTable[[#This Row],[Resource]]&amp;IF(OR(AssignmentTable[[#This Row],[Units]]="",AssignmentTable[[#This Row],[Units]]=1),"","["&amp;ROUND(AssignmentTable[[#This Row],[Units]]*100,0)&amp;"%]"),"")</f>
        <v/>
      </c>
      <c r="M78" s="32" t="n">
        <f aca="false">IF(AssignmentTable[[#This Row],[_Valid]]=1,N(INDEX(tsk_StartWD,AssignmentTable[[#This Row],[_TaskPos]])),0)</f>
        <v>0</v>
      </c>
      <c r="N78" s="32" t="n">
        <f aca="false">IF(AssignmentTable[[#This Row],[_Valid]]=1,N(INDEX(tsk_FinishWD,AssignmentTable[[#This Row],[_TaskPos]])),0)</f>
        <v>0</v>
      </c>
      <c r="O78" s="32" t="n">
        <f aca="false">IF(OR(AssignmentTable[[#This Row],[Work]]=0,AssignmentTable[[#This Row],[_FinishWD]]=0),0,AssignmentTable[[#This Row],[Work]]/(AssignmentTable[[#This Row],[_FinishWD]]-AssignmentTable[[#This Row],[_StartWD]]+1))</f>
        <v>0</v>
      </c>
      <c r="P78" s="32" t="n">
        <f aca="false">AssignmentTable[[#This Row],[_WorkPerWD]]*MAX(0,AssignmentTable[[#This Row],[_StartWD]]-1)</f>
        <v>0</v>
      </c>
      <c r="Q78" s="32" t="n">
        <f aca="false">IF(AssignmentTable[[#This Row],[_Valid]]=1,AssignmentTable[[#This Row],[Work]]*N(INDEX(tsk_LeafProgress,AssignmentTable[[#This Row],[_TaskPos]])),0)</f>
        <v>0</v>
      </c>
      <c r="R78" s="32" t="n">
        <f aca="false">IF(NOT(AssignmentTable[[#This Row],[_Valid]]=1),0,IF(N(INDEX(tsk_LeafTotalCost,AssignmentTable[[#This Row],[_TaskPos]]))=0,0,N(INDEX(tsk_LeafAC,AssignmentTable[[#This Row],[_TaskPos]]))*AssignmentTable[[#This Row],[Cost]]/INDEX(tsk_LeafTotalCost,AssignmentTable[[#This Row],[_TaskPos]])))</f>
        <v>0</v>
      </c>
      <c r="S78" s="32" t="n">
        <f aca="false">IF(NOT(AssignmentTable[[#This Row],[_Valid]]=1),0,IF(N(INDEX(tsk_LateKey,AssignmentTable[[#This Row],[_TaskPos]]))&gt;0,1,0))</f>
        <v>0</v>
      </c>
      <c r="T78" s="32" t="n">
        <f aca="false">IF(NOT(AssignmentTable[[#This Row],[_Valid]]=1),0,IF(INDEX(tsk_Critical,AssignmentTable[[#This Row],[_TaskPos]])="Yes",1,0))</f>
        <v>0</v>
      </c>
      <c r="U7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79" customFormat="false" ht="15" hidden="false" customHeight="false" outlineLevel="0" collapsed="false">
      <c r="B79" s="46"/>
      <c r="C79" s="24" t="str">
        <f aca="false">IF(AssignmentTable[[#This Row],[_TaskPos]]&lt;=0,"",INDEX(tsk_Name,AssignmentTable[[#This Row],[_TaskPos]])&amp;"")</f>
        <v/>
      </c>
      <c r="D79" s="47"/>
      <c r="E79" s="93"/>
      <c r="F79" s="110" t="n">
        <f aca="false">IF(AssignmentTable[[#This Row],[_Valid]]=1,N(INDEX(tsk_Duration,AssignmentTable[[#This Row],[_TaskPos]]))*HoursPerDay*IF(AssignmentTable[[#This Row],[Units]]="",DefaultUnits,AssignmentTable[[#This Row],[Units]]),0)</f>
        <v>0</v>
      </c>
      <c r="G79" s="111" t="n">
        <f aca="false">IF(AssignmentTable[[#This Row],[Work]]=0,0,AssignmentTable[[#This Row],[Work]]*IFERROR(INDEX(res_Rate,MATCH(AssignmentTable[[#This Row],[Resource]],res_Name,0)),0))</f>
        <v>0</v>
      </c>
      <c r="H7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79" s="32" t="n">
        <f aca="false">IF(N(AssignmentTable[[#This Row],[Task UID]])=0,0,IFERROR(MATCH(AssignmentTable[[#This Row],[Task UID]],tsk_UID,0),-1))</f>
        <v>0</v>
      </c>
      <c r="J79" s="32" t="n">
        <f aca="false">IF(AND(AssignmentTable[[#This Row],[_TaskPos]]&gt;0,AssignmentTable[[#This Row],[Resource]]&lt;&gt;"",AssignmentTable[[#This Row],[Check]]=""),1,0)</f>
        <v>0</v>
      </c>
      <c r="K79" s="32" t="str">
        <f aca="false">IF(AssignmentTable[[#This Row],[_Valid]]=1,AssignmentTable[[#This Row],[Task UID]]*1000+COUNTIFS(AssignmentTable[[#Headers],[Task UID]]:AssignmentTable[[#This Row],[Task UID]],AssignmentTable[[#This Row],[Task UID]],AssignmentTable[[#Headers],[_Valid]]:AssignmentTable[[#This Row],[_Valid]],1),"")</f>
        <v/>
      </c>
      <c r="L79" s="32" t="str">
        <f aca="false">IF(AssignmentTable[[#This Row],[_Valid]]=1,AssignmentTable[[#This Row],[Resource]]&amp;IF(OR(AssignmentTable[[#This Row],[Units]]="",AssignmentTable[[#This Row],[Units]]=1),"","["&amp;ROUND(AssignmentTable[[#This Row],[Units]]*100,0)&amp;"%]"),"")</f>
        <v/>
      </c>
      <c r="M79" s="32" t="n">
        <f aca="false">IF(AssignmentTable[[#This Row],[_Valid]]=1,N(INDEX(tsk_StartWD,AssignmentTable[[#This Row],[_TaskPos]])),0)</f>
        <v>0</v>
      </c>
      <c r="N79" s="32" t="n">
        <f aca="false">IF(AssignmentTable[[#This Row],[_Valid]]=1,N(INDEX(tsk_FinishWD,AssignmentTable[[#This Row],[_TaskPos]])),0)</f>
        <v>0</v>
      </c>
      <c r="O79" s="32" t="n">
        <f aca="false">IF(OR(AssignmentTable[[#This Row],[Work]]=0,AssignmentTable[[#This Row],[_FinishWD]]=0),0,AssignmentTable[[#This Row],[Work]]/(AssignmentTable[[#This Row],[_FinishWD]]-AssignmentTable[[#This Row],[_StartWD]]+1))</f>
        <v>0</v>
      </c>
      <c r="P79" s="32" t="n">
        <f aca="false">AssignmentTable[[#This Row],[_WorkPerWD]]*MAX(0,AssignmentTable[[#This Row],[_StartWD]]-1)</f>
        <v>0</v>
      </c>
      <c r="Q79" s="32" t="n">
        <f aca="false">IF(AssignmentTable[[#This Row],[_Valid]]=1,AssignmentTable[[#This Row],[Work]]*N(INDEX(tsk_LeafProgress,AssignmentTable[[#This Row],[_TaskPos]])),0)</f>
        <v>0</v>
      </c>
      <c r="R79" s="32" t="n">
        <f aca="false">IF(NOT(AssignmentTable[[#This Row],[_Valid]]=1),0,IF(N(INDEX(tsk_LeafTotalCost,AssignmentTable[[#This Row],[_TaskPos]]))=0,0,N(INDEX(tsk_LeafAC,AssignmentTable[[#This Row],[_TaskPos]]))*AssignmentTable[[#This Row],[Cost]]/INDEX(tsk_LeafTotalCost,AssignmentTable[[#This Row],[_TaskPos]])))</f>
        <v>0</v>
      </c>
      <c r="S79" s="32" t="n">
        <f aca="false">IF(NOT(AssignmentTable[[#This Row],[_Valid]]=1),0,IF(N(INDEX(tsk_LateKey,AssignmentTable[[#This Row],[_TaskPos]]))&gt;0,1,0))</f>
        <v>0</v>
      </c>
      <c r="T79" s="32" t="n">
        <f aca="false">IF(NOT(AssignmentTable[[#This Row],[_Valid]]=1),0,IF(INDEX(tsk_Critical,AssignmentTable[[#This Row],[_TaskPos]])="Yes",1,0))</f>
        <v>0</v>
      </c>
      <c r="U7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0" customFormat="false" ht="15" hidden="false" customHeight="false" outlineLevel="0" collapsed="false">
      <c r="B80" s="46"/>
      <c r="C80" s="24" t="str">
        <f aca="false">IF(AssignmentTable[[#This Row],[_TaskPos]]&lt;=0,"",INDEX(tsk_Name,AssignmentTable[[#This Row],[_TaskPos]])&amp;"")</f>
        <v/>
      </c>
      <c r="D80" s="47"/>
      <c r="E80" s="93"/>
      <c r="F80" s="110" t="n">
        <f aca="false">IF(AssignmentTable[[#This Row],[_Valid]]=1,N(INDEX(tsk_Duration,AssignmentTable[[#This Row],[_TaskPos]]))*HoursPerDay*IF(AssignmentTable[[#This Row],[Units]]="",DefaultUnits,AssignmentTable[[#This Row],[Units]]),0)</f>
        <v>0</v>
      </c>
      <c r="G80" s="111" t="n">
        <f aca="false">IF(AssignmentTable[[#This Row],[Work]]=0,0,AssignmentTable[[#This Row],[Work]]*IFERROR(INDEX(res_Rate,MATCH(AssignmentTable[[#This Row],[Resource]],res_Name,0)),0))</f>
        <v>0</v>
      </c>
      <c r="H8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0" s="32" t="n">
        <f aca="false">IF(N(AssignmentTable[[#This Row],[Task UID]])=0,0,IFERROR(MATCH(AssignmentTable[[#This Row],[Task UID]],tsk_UID,0),-1))</f>
        <v>0</v>
      </c>
      <c r="J80" s="32" t="n">
        <f aca="false">IF(AND(AssignmentTable[[#This Row],[_TaskPos]]&gt;0,AssignmentTable[[#This Row],[Resource]]&lt;&gt;"",AssignmentTable[[#This Row],[Check]]=""),1,0)</f>
        <v>0</v>
      </c>
      <c r="K80" s="32" t="str">
        <f aca="false">IF(AssignmentTable[[#This Row],[_Valid]]=1,AssignmentTable[[#This Row],[Task UID]]*1000+COUNTIFS(AssignmentTable[[#Headers],[Task UID]]:AssignmentTable[[#This Row],[Task UID]],AssignmentTable[[#This Row],[Task UID]],AssignmentTable[[#Headers],[_Valid]]:AssignmentTable[[#This Row],[_Valid]],1),"")</f>
        <v/>
      </c>
      <c r="L80" s="32" t="str">
        <f aca="false">IF(AssignmentTable[[#This Row],[_Valid]]=1,AssignmentTable[[#This Row],[Resource]]&amp;IF(OR(AssignmentTable[[#This Row],[Units]]="",AssignmentTable[[#This Row],[Units]]=1),"","["&amp;ROUND(AssignmentTable[[#This Row],[Units]]*100,0)&amp;"%]"),"")</f>
        <v/>
      </c>
      <c r="M80" s="32" t="n">
        <f aca="false">IF(AssignmentTable[[#This Row],[_Valid]]=1,N(INDEX(tsk_StartWD,AssignmentTable[[#This Row],[_TaskPos]])),0)</f>
        <v>0</v>
      </c>
      <c r="N80" s="32" t="n">
        <f aca="false">IF(AssignmentTable[[#This Row],[_Valid]]=1,N(INDEX(tsk_FinishWD,AssignmentTable[[#This Row],[_TaskPos]])),0)</f>
        <v>0</v>
      </c>
      <c r="O80" s="32" t="n">
        <f aca="false">IF(OR(AssignmentTable[[#This Row],[Work]]=0,AssignmentTable[[#This Row],[_FinishWD]]=0),0,AssignmentTable[[#This Row],[Work]]/(AssignmentTable[[#This Row],[_FinishWD]]-AssignmentTable[[#This Row],[_StartWD]]+1))</f>
        <v>0</v>
      </c>
      <c r="P80" s="32" t="n">
        <f aca="false">AssignmentTable[[#This Row],[_WorkPerWD]]*MAX(0,AssignmentTable[[#This Row],[_StartWD]]-1)</f>
        <v>0</v>
      </c>
      <c r="Q80" s="32" t="n">
        <f aca="false">IF(AssignmentTable[[#This Row],[_Valid]]=1,AssignmentTable[[#This Row],[Work]]*N(INDEX(tsk_LeafProgress,AssignmentTable[[#This Row],[_TaskPos]])),0)</f>
        <v>0</v>
      </c>
      <c r="R80" s="32" t="n">
        <f aca="false">IF(NOT(AssignmentTable[[#This Row],[_Valid]]=1),0,IF(N(INDEX(tsk_LeafTotalCost,AssignmentTable[[#This Row],[_TaskPos]]))=0,0,N(INDEX(tsk_LeafAC,AssignmentTable[[#This Row],[_TaskPos]]))*AssignmentTable[[#This Row],[Cost]]/INDEX(tsk_LeafTotalCost,AssignmentTable[[#This Row],[_TaskPos]])))</f>
        <v>0</v>
      </c>
      <c r="S80" s="32" t="n">
        <f aca="false">IF(NOT(AssignmentTable[[#This Row],[_Valid]]=1),0,IF(N(INDEX(tsk_LateKey,AssignmentTable[[#This Row],[_TaskPos]]))&gt;0,1,0))</f>
        <v>0</v>
      </c>
      <c r="T80" s="32" t="n">
        <f aca="false">IF(NOT(AssignmentTable[[#This Row],[_Valid]]=1),0,IF(INDEX(tsk_Critical,AssignmentTable[[#This Row],[_TaskPos]])="Yes",1,0))</f>
        <v>0</v>
      </c>
      <c r="U8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1" customFormat="false" ht="15" hidden="false" customHeight="false" outlineLevel="0" collapsed="false">
      <c r="B81" s="46"/>
      <c r="C81" s="24" t="str">
        <f aca="false">IF(AssignmentTable[[#This Row],[_TaskPos]]&lt;=0,"",INDEX(tsk_Name,AssignmentTable[[#This Row],[_TaskPos]])&amp;"")</f>
        <v/>
      </c>
      <c r="D81" s="47"/>
      <c r="E81" s="93"/>
      <c r="F81" s="110" t="n">
        <f aca="false">IF(AssignmentTable[[#This Row],[_Valid]]=1,N(INDEX(tsk_Duration,AssignmentTable[[#This Row],[_TaskPos]]))*HoursPerDay*IF(AssignmentTable[[#This Row],[Units]]="",DefaultUnits,AssignmentTable[[#This Row],[Units]]),0)</f>
        <v>0</v>
      </c>
      <c r="G81" s="111" t="n">
        <f aca="false">IF(AssignmentTable[[#This Row],[Work]]=0,0,AssignmentTable[[#This Row],[Work]]*IFERROR(INDEX(res_Rate,MATCH(AssignmentTable[[#This Row],[Resource]],res_Name,0)),0))</f>
        <v>0</v>
      </c>
      <c r="H8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1" s="32" t="n">
        <f aca="false">IF(N(AssignmentTable[[#This Row],[Task UID]])=0,0,IFERROR(MATCH(AssignmentTable[[#This Row],[Task UID]],tsk_UID,0),-1))</f>
        <v>0</v>
      </c>
      <c r="J81" s="32" t="n">
        <f aca="false">IF(AND(AssignmentTable[[#This Row],[_TaskPos]]&gt;0,AssignmentTable[[#This Row],[Resource]]&lt;&gt;"",AssignmentTable[[#This Row],[Check]]=""),1,0)</f>
        <v>0</v>
      </c>
      <c r="K81" s="32" t="str">
        <f aca="false">IF(AssignmentTable[[#This Row],[_Valid]]=1,AssignmentTable[[#This Row],[Task UID]]*1000+COUNTIFS(AssignmentTable[[#Headers],[Task UID]]:AssignmentTable[[#This Row],[Task UID]],AssignmentTable[[#This Row],[Task UID]],AssignmentTable[[#Headers],[_Valid]]:AssignmentTable[[#This Row],[_Valid]],1),"")</f>
        <v/>
      </c>
      <c r="L81" s="32" t="str">
        <f aca="false">IF(AssignmentTable[[#This Row],[_Valid]]=1,AssignmentTable[[#This Row],[Resource]]&amp;IF(OR(AssignmentTable[[#This Row],[Units]]="",AssignmentTable[[#This Row],[Units]]=1),"","["&amp;ROUND(AssignmentTable[[#This Row],[Units]]*100,0)&amp;"%]"),"")</f>
        <v/>
      </c>
      <c r="M81" s="32" t="n">
        <f aca="false">IF(AssignmentTable[[#This Row],[_Valid]]=1,N(INDEX(tsk_StartWD,AssignmentTable[[#This Row],[_TaskPos]])),0)</f>
        <v>0</v>
      </c>
      <c r="N81" s="32" t="n">
        <f aca="false">IF(AssignmentTable[[#This Row],[_Valid]]=1,N(INDEX(tsk_FinishWD,AssignmentTable[[#This Row],[_TaskPos]])),0)</f>
        <v>0</v>
      </c>
      <c r="O81" s="32" t="n">
        <f aca="false">IF(OR(AssignmentTable[[#This Row],[Work]]=0,AssignmentTable[[#This Row],[_FinishWD]]=0),0,AssignmentTable[[#This Row],[Work]]/(AssignmentTable[[#This Row],[_FinishWD]]-AssignmentTable[[#This Row],[_StartWD]]+1))</f>
        <v>0</v>
      </c>
      <c r="P81" s="32" t="n">
        <f aca="false">AssignmentTable[[#This Row],[_WorkPerWD]]*MAX(0,AssignmentTable[[#This Row],[_StartWD]]-1)</f>
        <v>0</v>
      </c>
      <c r="Q81" s="32" t="n">
        <f aca="false">IF(AssignmentTable[[#This Row],[_Valid]]=1,AssignmentTable[[#This Row],[Work]]*N(INDEX(tsk_LeafProgress,AssignmentTable[[#This Row],[_TaskPos]])),0)</f>
        <v>0</v>
      </c>
      <c r="R81" s="32" t="n">
        <f aca="false">IF(NOT(AssignmentTable[[#This Row],[_Valid]]=1),0,IF(N(INDEX(tsk_LeafTotalCost,AssignmentTable[[#This Row],[_TaskPos]]))=0,0,N(INDEX(tsk_LeafAC,AssignmentTable[[#This Row],[_TaskPos]]))*AssignmentTable[[#This Row],[Cost]]/INDEX(tsk_LeafTotalCost,AssignmentTable[[#This Row],[_TaskPos]])))</f>
        <v>0</v>
      </c>
      <c r="S81" s="32" t="n">
        <f aca="false">IF(NOT(AssignmentTable[[#This Row],[_Valid]]=1),0,IF(N(INDEX(tsk_LateKey,AssignmentTable[[#This Row],[_TaskPos]]))&gt;0,1,0))</f>
        <v>0</v>
      </c>
      <c r="T81" s="32" t="n">
        <f aca="false">IF(NOT(AssignmentTable[[#This Row],[_Valid]]=1),0,IF(INDEX(tsk_Critical,AssignmentTable[[#This Row],[_TaskPos]])="Yes",1,0))</f>
        <v>0</v>
      </c>
      <c r="U8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2" customFormat="false" ht="15" hidden="false" customHeight="false" outlineLevel="0" collapsed="false">
      <c r="B82" s="46"/>
      <c r="C82" s="24" t="str">
        <f aca="false">IF(AssignmentTable[[#This Row],[_TaskPos]]&lt;=0,"",INDEX(tsk_Name,AssignmentTable[[#This Row],[_TaskPos]])&amp;"")</f>
        <v/>
      </c>
      <c r="D82" s="47"/>
      <c r="E82" s="93"/>
      <c r="F82" s="110" t="n">
        <f aca="false">IF(AssignmentTable[[#This Row],[_Valid]]=1,N(INDEX(tsk_Duration,AssignmentTable[[#This Row],[_TaskPos]]))*HoursPerDay*IF(AssignmentTable[[#This Row],[Units]]="",DefaultUnits,AssignmentTable[[#This Row],[Units]]),0)</f>
        <v>0</v>
      </c>
      <c r="G82" s="111" t="n">
        <f aca="false">IF(AssignmentTable[[#This Row],[Work]]=0,0,AssignmentTable[[#This Row],[Work]]*IFERROR(INDEX(res_Rate,MATCH(AssignmentTable[[#This Row],[Resource]],res_Name,0)),0))</f>
        <v>0</v>
      </c>
      <c r="H8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2" s="32" t="n">
        <f aca="false">IF(N(AssignmentTable[[#This Row],[Task UID]])=0,0,IFERROR(MATCH(AssignmentTable[[#This Row],[Task UID]],tsk_UID,0),-1))</f>
        <v>0</v>
      </c>
      <c r="J82" s="32" t="n">
        <f aca="false">IF(AND(AssignmentTable[[#This Row],[_TaskPos]]&gt;0,AssignmentTable[[#This Row],[Resource]]&lt;&gt;"",AssignmentTable[[#This Row],[Check]]=""),1,0)</f>
        <v>0</v>
      </c>
      <c r="K82" s="32" t="str">
        <f aca="false">IF(AssignmentTable[[#This Row],[_Valid]]=1,AssignmentTable[[#This Row],[Task UID]]*1000+COUNTIFS(AssignmentTable[[#Headers],[Task UID]]:AssignmentTable[[#This Row],[Task UID]],AssignmentTable[[#This Row],[Task UID]],AssignmentTable[[#Headers],[_Valid]]:AssignmentTable[[#This Row],[_Valid]],1),"")</f>
        <v/>
      </c>
      <c r="L82" s="32" t="str">
        <f aca="false">IF(AssignmentTable[[#This Row],[_Valid]]=1,AssignmentTable[[#This Row],[Resource]]&amp;IF(OR(AssignmentTable[[#This Row],[Units]]="",AssignmentTable[[#This Row],[Units]]=1),"","["&amp;ROUND(AssignmentTable[[#This Row],[Units]]*100,0)&amp;"%]"),"")</f>
        <v/>
      </c>
      <c r="M82" s="32" t="n">
        <f aca="false">IF(AssignmentTable[[#This Row],[_Valid]]=1,N(INDEX(tsk_StartWD,AssignmentTable[[#This Row],[_TaskPos]])),0)</f>
        <v>0</v>
      </c>
      <c r="N82" s="32" t="n">
        <f aca="false">IF(AssignmentTable[[#This Row],[_Valid]]=1,N(INDEX(tsk_FinishWD,AssignmentTable[[#This Row],[_TaskPos]])),0)</f>
        <v>0</v>
      </c>
      <c r="O82" s="32" t="n">
        <f aca="false">IF(OR(AssignmentTable[[#This Row],[Work]]=0,AssignmentTable[[#This Row],[_FinishWD]]=0),0,AssignmentTable[[#This Row],[Work]]/(AssignmentTable[[#This Row],[_FinishWD]]-AssignmentTable[[#This Row],[_StartWD]]+1))</f>
        <v>0</v>
      </c>
      <c r="P82" s="32" t="n">
        <f aca="false">AssignmentTable[[#This Row],[_WorkPerWD]]*MAX(0,AssignmentTable[[#This Row],[_StartWD]]-1)</f>
        <v>0</v>
      </c>
      <c r="Q82" s="32" t="n">
        <f aca="false">IF(AssignmentTable[[#This Row],[_Valid]]=1,AssignmentTable[[#This Row],[Work]]*N(INDEX(tsk_LeafProgress,AssignmentTable[[#This Row],[_TaskPos]])),0)</f>
        <v>0</v>
      </c>
      <c r="R82" s="32" t="n">
        <f aca="false">IF(NOT(AssignmentTable[[#This Row],[_Valid]]=1),0,IF(N(INDEX(tsk_LeafTotalCost,AssignmentTable[[#This Row],[_TaskPos]]))=0,0,N(INDEX(tsk_LeafAC,AssignmentTable[[#This Row],[_TaskPos]]))*AssignmentTable[[#This Row],[Cost]]/INDEX(tsk_LeafTotalCost,AssignmentTable[[#This Row],[_TaskPos]])))</f>
        <v>0</v>
      </c>
      <c r="S82" s="32" t="n">
        <f aca="false">IF(NOT(AssignmentTable[[#This Row],[_Valid]]=1),0,IF(N(INDEX(tsk_LateKey,AssignmentTable[[#This Row],[_TaskPos]]))&gt;0,1,0))</f>
        <v>0</v>
      </c>
      <c r="T82" s="32" t="n">
        <f aca="false">IF(NOT(AssignmentTable[[#This Row],[_Valid]]=1),0,IF(INDEX(tsk_Critical,AssignmentTable[[#This Row],[_TaskPos]])="Yes",1,0))</f>
        <v>0</v>
      </c>
      <c r="U8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3" customFormat="false" ht="15" hidden="false" customHeight="false" outlineLevel="0" collapsed="false">
      <c r="B83" s="46"/>
      <c r="C83" s="24" t="str">
        <f aca="false">IF(AssignmentTable[[#This Row],[_TaskPos]]&lt;=0,"",INDEX(tsk_Name,AssignmentTable[[#This Row],[_TaskPos]])&amp;"")</f>
        <v/>
      </c>
      <c r="D83" s="47"/>
      <c r="E83" s="93"/>
      <c r="F83" s="110" t="n">
        <f aca="false">IF(AssignmentTable[[#This Row],[_Valid]]=1,N(INDEX(tsk_Duration,AssignmentTable[[#This Row],[_TaskPos]]))*HoursPerDay*IF(AssignmentTable[[#This Row],[Units]]="",DefaultUnits,AssignmentTable[[#This Row],[Units]]),0)</f>
        <v>0</v>
      </c>
      <c r="G83" s="111" t="n">
        <f aca="false">IF(AssignmentTable[[#This Row],[Work]]=0,0,AssignmentTable[[#This Row],[Work]]*IFERROR(INDEX(res_Rate,MATCH(AssignmentTable[[#This Row],[Resource]],res_Name,0)),0))</f>
        <v>0</v>
      </c>
      <c r="H8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3" s="32" t="n">
        <f aca="false">IF(N(AssignmentTable[[#This Row],[Task UID]])=0,0,IFERROR(MATCH(AssignmentTable[[#This Row],[Task UID]],tsk_UID,0),-1))</f>
        <v>0</v>
      </c>
      <c r="J83" s="32" t="n">
        <f aca="false">IF(AND(AssignmentTable[[#This Row],[_TaskPos]]&gt;0,AssignmentTable[[#This Row],[Resource]]&lt;&gt;"",AssignmentTable[[#This Row],[Check]]=""),1,0)</f>
        <v>0</v>
      </c>
      <c r="K83" s="32" t="str">
        <f aca="false">IF(AssignmentTable[[#This Row],[_Valid]]=1,AssignmentTable[[#This Row],[Task UID]]*1000+COUNTIFS(AssignmentTable[[#Headers],[Task UID]]:AssignmentTable[[#This Row],[Task UID]],AssignmentTable[[#This Row],[Task UID]],AssignmentTable[[#Headers],[_Valid]]:AssignmentTable[[#This Row],[_Valid]],1),"")</f>
        <v/>
      </c>
      <c r="L83" s="32" t="str">
        <f aca="false">IF(AssignmentTable[[#This Row],[_Valid]]=1,AssignmentTable[[#This Row],[Resource]]&amp;IF(OR(AssignmentTable[[#This Row],[Units]]="",AssignmentTable[[#This Row],[Units]]=1),"","["&amp;ROUND(AssignmentTable[[#This Row],[Units]]*100,0)&amp;"%]"),"")</f>
        <v/>
      </c>
      <c r="M83" s="32" t="n">
        <f aca="false">IF(AssignmentTable[[#This Row],[_Valid]]=1,N(INDEX(tsk_StartWD,AssignmentTable[[#This Row],[_TaskPos]])),0)</f>
        <v>0</v>
      </c>
      <c r="N83" s="32" t="n">
        <f aca="false">IF(AssignmentTable[[#This Row],[_Valid]]=1,N(INDEX(tsk_FinishWD,AssignmentTable[[#This Row],[_TaskPos]])),0)</f>
        <v>0</v>
      </c>
      <c r="O83" s="32" t="n">
        <f aca="false">IF(OR(AssignmentTable[[#This Row],[Work]]=0,AssignmentTable[[#This Row],[_FinishWD]]=0),0,AssignmentTable[[#This Row],[Work]]/(AssignmentTable[[#This Row],[_FinishWD]]-AssignmentTable[[#This Row],[_StartWD]]+1))</f>
        <v>0</v>
      </c>
      <c r="P83" s="32" t="n">
        <f aca="false">AssignmentTable[[#This Row],[_WorkPerWD]]*MAX(0,AssignmentTable[[#This Row],[_StartWD]]-1)</f>
        <v>0</v>
      </c>
      <c r="Q83" s="32" t="n">
        <f aca="false">IF(AssignmentTable[[#This Row],[_Valid]]=1,AssignmentTable[[#This Row],[Work]]*N(INDEX(tsk_LeafProgress,AssignmentTable[[#This Row],[_TaskPos]])),0)</f>
        <v>0</v>
      </c>
      <c r="R83" s="32" t="n">
        <f aca="false">IF(NOT(AssignmentTable[[#This Row],[_Valid]]=1),0,IF(N(INDEX(tsk_LeafTotalCost,AssignmentTable[[#This Row],[_TaskPos]]))=0,0,N(INDEX(tsk_LeafAC,AssignmentTable[[#This Row],[_TaskPos]]))*AssignmentTable[[#This Row],[Cost]]/INDEX(tsk_LeafTotalCost,AssignmentTable[[#This Row],[_TaskPos]])))</f>
        <v>0</v>
      </c>
      <c r="S83" s="32" t="n">
        <f aca="false">IF(NOT(AssignmentTable[[#This Row],[_Valid]]=1),0,IF(N(INDEX(tsk_LateKey,AssignmentTable[[#This Row],[_TaskPos]]))&gt;0,1,0))</f>
        <v>0</v>
      </c>
      <c r="T83" s="32" t="n">
        <f aca="false">IF(NOT(AssignmentTable[[#This Row],[_Valid]]=1),0,IF(INDEX(tsk_Critical,AssignmentTable[[#This Row],[_TaskPos]])="Yes",1,0))</f>
        <v>0</v>
      </c>
      <c r="U8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4" customFormat="false" ht="15" hidden="false" customHeight="false" outlineLevel="0" collapsed="false">
      <c r="B84" s="46"/>
      <c r="C84" s="24" t="str">
        <f aca="false">IF(AssignmentTable[[#This Row],[_TaskPos]]&lt;=0,"",INDEX(tsk_Name,AssignmentTable[[#This Row],[_TaskPos]])&amp;"")</f>
        <v/>
      </c>
      <c r="D84" s="47"/>
      <c r="E84" s="93"/>
      <c r="F84" s="110" t="n">
        <f aca="false">IF(AssignmentTable[[#This Row],[_Valid]]=1,N(INDEX(tsk_Duration,AssignmentTable[[#This Row],[_TaskPos]]))*HoursPerDay*IF(AssignmentTable[[#This Row],[Units]]="",DefaultUnits,AssignmentTable[[#This Row],[Units]]),0)</f>
        <v>0</v>
      </c>
      <c r="G84" s="111" t="n">
        <f aca="false">IF(AssignmentTable[[#This Row],[Work]]=0,0,AssignmentTable[[#This Row],[Work]]*IFERROR(INDEX(res_Rate,MATCH(AssignmentTable[[#This Row],[Resource]],res_Name,0)),0))</f>
        <v>0</v>
      </c>
      <c r="H8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4" s="32" t="n">
        <f aca="false">IF(N(AssignmentTable[[#This Row],[Task UID]])=0,0,IFERROR(MATCH(AssignmentTable[[#This Row],[Task UID]],tsk_UID,0),-1))</f>
        <v>0</v>
      </c>
      <c r="J84" s="32" t="n">
        <f aca="false">IF(AND(AssignmentTable[[#This Row],[_TaskPos]]&gt;0,AssignmentTable[[#This Row],[Resource]]&lt;&gt;"",AssignmentTable[[#This Row],[Check]]=""),1,0)</f>
        <v>0</v>
      </c>
      <c r="K84" s="32" t="str">
        <f aca="false">IF(AssignmentTable[[#This Row],[_Valid]]=1,AssignmentTable[[#This Row],[Task UID]]*1000+COUNTIFS(AssignmentTable[[#Headers],[Task UID]]:AssignmentTable[[#This Row],[Task UID]],AssignmentTable[[#This Row],[Task UID]],AssignmentTable[[#Headers],[_Valid]]:AssignmentTable[[#This Row],[_Valid]],1),"")</f>
        <v/>
      </c>
      <c r="L84" s="32" t="str">
        <f aca="false">IF(AssignmentTable[[#This Row],[_Valid]]=1,AssignmentTable[[#This Row],[Resource]]&amp;IF(OR(AssignmentTable[[#This Row],[Units]]="",AssignmentTable[[#This Row],[Units]]=1),"","["&amp;ROUND(AssignmentTable[[#This Row],[Units]]*100,0)&amp;"%]"),"")</f>
        <v/>
      </c>
      <c r="M84" s="32" t="n">
        <f aca="false">IF(AssignmentTable[[#This Row],[_Valid]]=1,N(INDEX(tsk_StartWD,AssignmentTable[[#This Row],[_TaskPos]])),0)</f>
        <v>0</v>
      </c>
      <c r="N84" s="32" t="n">
        <f aca="false">IF(AssignmentTable[[#This Row],[_Valid]]=1,N(INDEX(tsk_FinishWD,AssignmentTable[[#This Row],[_TaskPos]])),0)</f>
        <v>0</v>
      </c>
      <c r="O84" s="32" t="n">
        <f aca="false">IF(OR(AssignmentTable[[#This Row],[Work]]=0,AssignmentTable[[#This Row],[_FinishWD]]=0),0,AssignmentTable[[#This Row],[Work]]/(AssignmentTable[[#This Row],[_FinishWD]]-AssignmentTable[[#This Row],[_StartWD]]+1))</f>
        <v>0</v>
      </c>
      <c r="P84" s="32" t="n">
        <f aca="false">AssignmentTable[[#This Row],[_WorkPerWD]]*MAX(0,AssignmentTable[[#This Row],[_StartWD]]-1)</f>
        <v>0</v>
      </c>
      <c r="Q84" s="32" t="n">
        <f aca="false">IF(AssignmentTable[[#This Row],[_Valid]]=1,AssignmentTable[[#This Row],[Work]]*N(INDEX(tsk_LeafProgress,AssignmentTable[[#This Row],[_TaskPos]])),0)</f>
        <v>0</v>
      </c>
      <c r="R84" s="32" t="n">
        <f aca="false">IF(NOT(AssignmentTable[[#This Row],[_Valid]]=1),0,IF(N(INDEX(tsk_LeafTotalCost,AssignmentTable[[#This Row],[_TaskPos]]))=0,0,N(INDEX(tsk_LeafAC,AssignmentTable[[#This Row],[_TaskPos]]))*AssignmentTable[[#This Row],[Cost]]/INDEX(tsk_LeafTotalCost,AssignmentTable[[#This Row],[_TaskPos]])))</f>
        <v>0</v>
      </c>
      <c r="S84" s="32" t="n">
        <f aca="false">IF(NOT(AssignmentTable[[#This Row],[_Valid]]=1),0,IF(N(INDEX(tsk_LateKey,AssignmentTable[[#This Row],[_TaskPos]]))&gt;0,1,0))</f>
        <v>0</v>
      </c>
      <c r="T84" s="32" t="n">
        <f aca="false">IF(NOT(AssignmentTable[[#This Row],[_Valid]]=1),0,IF(INDEX(tsk_Critical,AssignmentTable[[#This Row],[_TaskPos]])="Yes",1,0))</f>
        <v>0</v>
      </c>
      <c r="U8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5" customFormat="false" ht="15" hidden="false" customHeight="false" outlineLevel="0" collapsed="false">
      <c r="B85" s="46"/>
      <c r="C85" s="24" t="str">
        <f aca="false">IF(AssignmentTable[[#This Row],[_TaskPos]]&lt;=0,"",INDEX(tsk_Name,AssignmentTable[[#This Row],[_TaskPos]])&amp;"")</f>
        <v/>
      </c>
      <c r="D85" s="47"/>
      <c r="E85" s="93"/>
      <c r="F85" s="110" t="n">
        <f aca="false">IF(AssignmentTable[[#This Row],[_Valid]]=1,N(INDEX(tsk_Duration,AssignmentTable[[#This Row],[_TaskPos]]))*HoursPerDay*IF(AssignmentTable[[#This Row],[Units]]="",DefaultUnits,AssignmentTable[[#This Row],[Units]]),0)</f>
        <v>0</v>
      </c>
      <c r="G85" s="111" t="n">
        <f aca="false">IF(AssignmentTable[[#This Row],[Work]]=0,0,AssignmentTable[[#This Row],[Work]]*IFERROR(INDEX(res_Rate,MATCH(AssignmentTable[[#This Row],[Resource]],res_Name,0)),0))</f>
        <v>0</v>
      </c>
      <c r="H8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5" s="32" t="n">
        <f aca="false">IF(N(AssignmentTable[[#This Row],[Task UID]])=0,0,IFERROR(MATCH(AssignmentTable[[#This Row],[Task UID]],tsk_UID,0),-1))</f>
        <v>0</v>
      </c>
      <c r="J85" s="32" t="n">
        <f aca="false">IF(AND(AssignmentTable[[#This Row],[_TaskPos]]&gt;0,AssignmentTable[[#This Row],[Resource]]&lt;&gt;"",AssignmentTable[[#This Row],[Check]]=""),1,0)</f>
        <v>0</v>
      </c>
      <c r="K85" s="32" t="str">
        <f aca="false">IF(AssignmentTable[[#This Row],[_Valid]]=1,AssignmentTable[[#This Row],[Task UID]]*1000+COUNTIFS(AssignmentTable[[#Headers],[Task UID]]:AssignmentTable[[#This Row],[Task UID]],AssignmentTable[[#This Row],[Task UID]],AssignmentTable[[#Headers],[_Valid]]:AssignmentTable[[#This Row],[_Valid]],1),"")</f>
        <v/>
      </c>
      <c r="L85" s="32" t="str">
        <f aca="false">IF(AssignmentTable[[#This Row],[_Valid]]=1,AssignmentTable[[#This Row],[Resource]]&amp;IF(OR(AssignmentTable[[#This Row],[Units]]="",AssignmentTable[[#This Row],[Units]]=1),"","["&amp;ROUND(AssignmentTable[[#This Row],[Units]]*100,0)&amp;"%]"),"")</f>
        <v/>
      </c>
      <c r="M85" s="32" t="n">
        <f aca="false">IF(AssignmentTable[[#This Row],[_Valid]]=1,N(INDEX(tsk_StartWD,AssignmentTable[[#This Row],[_TaskPos]])),0)</f>
        <v>0</v>
      </c>
      <c r="N85" s="32" t="n">
        <f aca="false">IF(AssignmentTable[[#This Row],[_Valid]]=1,N(INDEX(tsk_FinishWD,AssignmentTable[[#This Row],[_TaskPos]])),0)</f>
        <v>0</v>
      </c>
      <c r="O85" s="32" t="n">
        <f aca="false">IF(OR(AssignmentTable[[#This Row],[Work]]=0,AssignmentTable[[#This Row],[_FinishWD]]=0),0,AssignmentTable[[#This Row],[Work]]/(AssignmentTable[[#This Row],[_FinishWD]]-AssignmentTable[[#This Row],[_StartWD]]+1))</f>
        <v>0</v>
      </c>
      <c r="P85" s="32" t="n">
        <f aca="false">AssignmentTable[[#This Row],[_WorkPerWD]]*MAX(0,AssignmentTable[[#This Row],[_StartWD]]-1)</f>
        <v>0</v>
      </c>
      <c r="Q85" s="32" t="n">
        <f aca="false">IF(AssignmentTable[[#This Row],[_Valid]]=1,AssignmentTable[[#This Row],[Work]]*N(INDEX(tsk_LeafProgress,AssignmentTable[[#This Row],[_TaskPos]])),0)</f>
        <v>0</v>
      </c>
      <c r="R85" s="32" t="n">
        <f aca="false">IF(NOT(AssignmentTable[[#This Row],[_Valid]]=1),0,IF(N(INDEX(tsk_LeafTotalCost,AssignmentTable[[#This Row],[_TaskPos]]))=0,0,N(INDEX(tsk_LeafAC,AssignmentTable[[#This Row],[_TaskPos]]))*AssignmentTable[[#This Row],[Cost]]/INDEX(tsk_LeafTotalCost,AssignmentTable[[#This Row],[_TaskPos]])))</f>
        <v>0</v>
      </c>
      <c r="S85" s="32" t="n">
        <f aca="false">IF(NOT(AssignmentTable[[#This Row],[_Valid]]=1),0,IF(N(INDEX(tsk_LateKey,AssignmentTable[[#This Row],[_TaskPos]]))&gt;0,1,0))</f>
        <v>0</v>
      </c>
      <c r="T85" s="32" t="n">
        <f aca="false">IF(NOT(AssignmentTable[[#This Row],[_Valid]]=1),0,IF(INDEX(tsk_Critical,AssignmentTable[[#This Row],[_TaskPos]])="Yes",1,0))</f>
        <v>0</v>
      </c>
      <c r="U8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6" customFormat="false" ht="15" hidden="false" customHeight="false" outlineLevel="0" collapsed="false">
      <c r="B86" s="46"/>
      <c r="C86" s="24" t="str">
        <f aca="false">IF(AssignmentTable[[#This Row],[_TaskPos]]&lt;=0,"",INDEX(tsk_Name,AssignmentTable[[#This Row],[_TaskPos]])&amp;"")</f>
        <v/>
      </c>
      <c r="D86" s="47"/>
      <c r="E86" s="93"/>
      <c r="F86" s="110" t="n">
        <f aca="false">IF(AssignmentTable[[#This Row],[_Valid]]=1,N(INDEX(tsk_Duration,AssignmentTable[[#This Row],[_TaskPos]]))*HoursPerDay*IF(AssignmentTable[[#This Row],[Units]]="",DefaultUnits,AssignmentTable[[#This Row],[Units]]),0)</f>
        <v>0</v>
      </c>
      <c r="G86" s="111" t="n">
        <f aca="false">IF(AssignmentTable[[#This Row],[Work]]=0,0,AssignmentTable[[#This Row],[Work]]*IFERROR(INDEX(res_Rate,MATCH(AssignmentTable[[#This Row],[Resource]],res_Name,0)),0))</f>
        <v>0</v>
      </c>
      <c r="H8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6" s="32" t="n">
        <f aca="false">IF(N(AssignmentTable[[#This Row],[Task UID]])=0,0,IFERROR(MATCH(AssignmentTable[[#This Row],[Task UID]],tsk_UID,0),-1))</f>
        <v>0</v>
      </c>
      <c r="J86" s="32" t="n">
        <f aca="false">IF(AND(AssignmentTable[[#This Row],[_TaskPos]]&gt;0,AssignmentTable[[#This Row],[Resource]]&lt;&gt;"",AssignmentTable[[#This Row],[Check]]=""),1,0)</f>
        <v>0</v>
      </c>
      <c r="K86" s="32" t="str">
        <f aca="false">IF(AssignmentTable[[#This Row],[_Valid]]=1,AssignmentTable[[#This Row],[Task UID]]*1000+COUNTIFS(AssignmentTable[[#Headers],[Task UID]]:AssignmentTable[[#This Row],[Task UID]],AssignmentTable[[#This Row],[Task UID]],AssignmentTable[[#Headers],[_Valid]]:AssignmentTable[[#This Row],[_Valid]],1),"")</f>
        <v/>
      </c>
      <c r="L86" s="32" t="str">
        <f aca="false">IF(AssignmentTable[[#This Row],[_Valid]]=1,AssignmentTable[[#This Row],[Resource]]&amp;IF(OR(AssignmentTable[[#This Row],[Units]]="",AssignmentTable[[#This Row],[Units]]=1),"","["&amp;ROUND(AssignmentTable[[#This Row],[Units]]*100,0)&amp;"%]"),"")</f>
        <v/>
      </c>
      <c r="M86" s="32" t="n">
        <f aca="false">IF(AssignmentTable[[#This Row],[_Valid]]=1,N(INDEX(tsk_StartWD,AssignmentTable[[#This Row],[_TaskPos]])),0)</f>
        <v>0</v>
      </c>
      <c r="N86" s="32" t="n">
        <f aca="false">IF(AssignmentTable[[#This Row],[_Valid]]=1,N(INDEX(tsk_FinishWD,AssignmentTable[[#This Row],[_TaskPos]])),0)</f>
        <v>0</v>
      </c>
      <c r="O86" s="32" t="n">
        <f aca="false">IF(OR(AssignmentTable[[#This Row],[Work]]=0,AssignmentTable[[#This Row],[_FinishWD]]=0),0,AssignmentTable[[#This Row],[Work]]/(AssignmentTable[[#This Row],[_FinishWD]]-AssignmentTable[[#This Row],[_StartWD]]+1))</f>
        <v>0</v>
      </c>
      <c r="P86" s="32" t="n">
        <f aca="false">AssignmentTable[[#This Row],[_WorkPerWD]]*MAX(0,AssignmentTable[[#This Row],[_StartWD]]-1)</f>
        <v>0</v>
      </c>
      <c r="Q86" s="32" t="n">
        <f aca="false">IF(AssignmentTable[[#This Row],[_Valid]]=1,AssignmentTable[[#This Row],[Work]]*N(INDEX(tsk_LeafProgress,AssignmentTable[[#This Row],[_TaskPos]])),0)</f>
        <v>0</v>
      </c>
      <c r="R86" s="32" t="n">
        <f aca="false">IF(NOT(AssignmentTable[[#This Row],[_Valid]]=1),0,IF(N(INDEX(tsk_LeafTotalCost,AssignmentTable[[#This Row],[_TaskPos]]))=0,0,N(INDEX(tsk_LeafAC,AssignmentTable[[#This Row],[_TaskPos]]))*AssignmentTable[[#This Row],[Cost]]/INDEX(tsk_LeafTotalCost,AssignmentTable[[#This Row],[_TaskPos]])))</f>
        <v>0</v>
      </c>
      <c r="S86" s="32" t="n">
        <f aca="false">IF(NOT(AssignmentTable[[#This Row],[_Valid]]=1),0,IF(N(INDEX(tsk_LateKey,AssignmentTable[[#This Row],[_TaskPos]]))&gt;0,1,0))</f>
        <v>0</v>
      </c>
      <c r="T86" s="32" t="n">
        <f aca="false">IF(NOT(AssignmentTable[[#This Row],[_Valid]]=1),0,IF(INDEX(tsk_Critical,AssignmentTable[[#This Row],[_TaskPos]])="Yes",1,0))</f>
        <v>0</v>
      </c>
      <c r="U8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7" customFormat="false" ht="15" hidden="false" customHeight="false" outlineLevel="0" collapsed="false">
      <c r="B87" s="46"/>
      <c r="C87" s="24" t="str">
        <f aca="false">IF(AssignmentTable[[#This Row],[_TaskPos]]&lt;=0,"",INDEX(tsk_Name,AssignmentTable[[#This Row],[_TaskPos]])&amp;"")</f>
        <v/>
      </c>
      <c r="D87" s="47"/>
      <c r="E87" s="93"/>
      <c r="F87" s="110" t="n">
        <f aca="false">IF(AssignmentTable[[#This Row],[_Valid]]=1,N(INDEX(tsk_Duration,AssignmentTable[[#This Row],[_TaskPos]]))*HoursPerDay*IF(AssignmentTable[[#This Row],[Units]]="",DefaultUnits,AssignmentTable[[#This Row],[Units]]),0)</f>
        <v>0</v>
      </c>
      <c r="G87" s="111" t="n">
        <f aca="false">IF(AssignmentTable[[#This Row],[Work]]=0,0,AssignmentTable[[#This Row],[Work]]*IFERROR(INDEX(res_Rate,MATCH(AssignmentTable[[#This Row],[Resource]],res_Name,0)),0))</f>
        <v>0</v>
      </c>
      <c r="H8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7" s="32" t="n">
        <f aca="false">IF(N(AssignmentTable[[#This Row],[Task UID]])=0,0,IFERROR(MATCH(AssignmentTable[[#This Row],[Task UID]],tsk_UID,0),-1))</f>
        <v>0</v>
      </c>
      <c r="J87" s="32" t="n">
        <f aca="false">IF(AND(AssignmentTable[[#This Row],[_TaskPos]]&gt;0,AssignmentTable[[#This Row],[Resource]]&lt;&gt;"",AssignmentTable[[#This Row],[Check]]=""),1,0)</f>
        <v>0</v>
      </c>
      <c r="K87" s="32" t="str">
        <f aca="false">IF(AssignmentTable[[#This Row],[_Valid]]=1,AssignmentTable[[#This Row],[Task UID]]*1000+COUNTIFS(AssignmentTable[[#Headers],[Task UID]]:AssignmentTable[[#This Row],[Task UID]],AssignmentTable[[#This Row],[Task UID]],AssignmentTable[[#Headers],[_Valid]]:AssignmentTable[[#This Row],[_Valid]],1),"")</f>
        <v/>
      </c>
      <c r="L87" s="32" t="str">
        <f aca="false">IF(AssignmentTable[[#This Row],[_Valid]]=1,AssignmentTable[[#This Row],[Resource]]&amp;IF(OR(AssignmentTable[[#This Row],[Units]]="",AssignmentTable[[#This Row],[Units]]=1),"","["&amp;ROUND(AssignmentTable[[#This Row],[Units]]*100,0)&amp;"%]"),"")</f>
        <v/>
      </c>
      <c r="M87" s="32" t="n">
        <f aca="false">IF(AssignmentTable[[#This Row],[_Valid]]=1,N(INDEX(tsk_StartWD,AssignmentTable[[#This Row],[_TaskPos]])),0)</f>
        <v>0</v>
      </c>
      <c r="N87" s="32" t="n">
        <f aca="false">IF(AssignmentTable[[#This Row],[_Valid]]=1,N(INDEX(tsk_FinishWD,AssignmentTable[[#This Row],[_TaskPos]])),0)</f>
        <v>0</v>
      </c>
      <c r="O87" s="32" t="n">
        <f aca="false">IF(OR(AssignmentTable[[#This Row],[Work]]=0,AssignmentTable[[#This Row],[_FinishWD]]=0),0,AssignmentTable[[#This Row],[Work]]/(AssignmentTable[[#This Row],[_FinishWD]]-AssignmentTable[[#This Row],[_StartWD]]+1))</f>
        <v>0</v>
      </c>
      <c r="P87" s="32" t="n">
        <f aca="false">AssignmentTable[[#This Row],[_WorkPerWD]]*MAX(0,AssignmentTable[[#This Row],[_StartWD]]-1)</f>
        <v>0</v>
      </c>
      <c r="Q87" s="32" t="n">
        <f aca="false">IF(AssignmentTable[[#This Row],[_Valid]]=1,AssignmentTable[[#This Row],[Work]]*N(INDEX(tsk_LeafProgress,AssignmentTable[[#This Row],[_TaskPos]])),0)</f>
        <v>0</v>
      </c>
      <c r="R87" s="32" t="n">
        <f aca="false">IF(NOT(AssignmentTable[[#This Row],[_Valid]]=1),0,IF(N(INDEX(tsk_LeafTotalCost,AssignmentTable[[#This Row],[_TaskPos]]))=0,0,N(INDEX(tsk_LeafAC,AssignmentTable[[#This Row],[_TaskPos]]))*AssignmentTable[[#This Row],[Cost]]/INDEX(tsk_LeafTotalCost,AssignmentTable[[#This Row],[_TaskPos]])))</f>
        <v>0</v>
      </c>
      <c r="S87" s="32" t="n">
        <f aca="false">IF(NOT(AssignmentTable[[#This Row],[_Valid]]=1),0,IF(N(INDEX(tsk_LateKey,AssignmentTable[[#This Row],[_TaskPos]]))&gt;0,1,0))</f>
        <v>0</v>
      </c>
      <c r="T87" s="32" t="n">
        <f aca="false">IF(NOT(AssignmentTable[[#This Row],[_Valid]]=1),0,IF(INDEX(tsk_Critical,AssignmentTable[[#This Row],[_TaskPos]])="Yes",1,0))</f>
        <v>0</v>
      </c>
      <c r="U8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8" customFormat="false" ht="15" hidden="false" customHeight="false" outlineLevel="0" collapsed="false">
      <c r="B88" s="46"/>
      <c r="C88" s="24" t="str">
        <f aca="false">IF(AssignmentTable[[#This Row],[_TaskPos]]&lt;=0,"",INDEX(tsk_Name,AssignmentTable[[#This Row],[_TaskPos]])&amp;"")</f>
        <v/>
      </c>
      <c r="D88" s="47"/>
      <c r="E88" s="93"/>
      <c r="F88" s="110" t="n">
        <f aca="false">IF(AssignmentTable[[#This Row],[_Valid]]=1,N(INDEX(tsk_Duration,AssignmentTable[[#This Row],[_TaskPos]]))*HoursPerDay*IF(AssignmentTable[[#This Row],[Units]]="",DefaultUnits,AssignmentTable[[#This Row],[Units]]),0)</f>
        <v>0</v>
      </c>
      <c r="G88" s="111" t="n">
        <f aca="false">IF(AssignmentTable[[#This Row],[Work]]=0,0,AssignmentTable[[#This Row],[Work]]*IFERROR(INDEX(res_Rate,MATCH(AssignmentTable[[#This Row],[Resource]],res_Name,0)),0))</f>
        <v>0</v>
      </c>
      <c r="H8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8" s="32" t="n">
        <f aca="false">IF(N(AssignmentTable[[#This Row],[Task UID]])=0,0,IFERROR(MATCH(AssignmentTable[[#This Row],[Task UID]],tsk_UID,0),-1))</f>
        <v>0</v>
      </c>
      <c r="J88" s="32" t="n">
        <f aca="false">IF(AND(AssignmentTable[[#This Row],[_TaskPos]]&gt;0,AssignmentTable[[#This Row],[Resource]]&lt;&gt;"",AssignmentTable[[#This Row],[Check]]=""),1,0)</f>
        <v>0</v>
      </c>
      <c r="K88" s="32" t="str">
        <f aca="false">IF(AssignmentTable[[#This Row],[_Valid]]=1,AssignmentTable[[#This Row],[Task UID]]*1000+COUNTIFS(AssignmentTable[[#Headers],[Task UID]]:AssignmentTable[[#This Row],[Task UID]],AssignmentTable[[#This Row],[Task UID]],AssignmentTable[[#Headers],[_Valid]]:AssignmentTable[[#This Row],[_Valid]],1),"")</f>
        <v/>
      </c>
      <c r="L88" s="32" t="str">
        <f aca="false">IF(AssignmentTable[[#This Row],[_Valid]]=1,AssignmentTable[[#This Row],[Resource]]&amp;IF(OR(AssignmentTable[[#This Row],[Units]]="",AssignmentTable[[#This Row],[Units]]=1),"","["&amp;ROUND(AssignmentTable[[#This Row],[Units]]*100,0)&amp;"%]"),"")</f>
        <v/>
      </c>
      <c r="M88" s="32" t="n">
        <f aca="false">IF(AssignmentTable[[#This Row],[_Valid]]=1,N(INDEX(tsk_StartWD,AssignmentTable[[#This Row],[_TaskPos]])),0)</f>
        <v>0</v>
      </c>
      <c r="N88" s="32" t="n">
        <f aca="false">IF(AssignmentTable[[#This Row],[_Valid]]=1,N(INDEX(tsk_FinishWD,AssignmentTable[[#This Row],[_TaskPos]])),0)</f>
        <v>0</v>
      </c>
      <c r="O88" s="32" t="n">
        <f aca="false">IF(OR(AssignmentTable[[#This Row],[Work]]=0,AssignmentTable[[#This Row],[_FinishWD]]=0),0,AssignmentTable[[#This Row],[Work]]/(AssignmentTable[[#This Row],[_FinishWD]]-AssignmentTable[[#This Row],[_StartWD]]+1))</f>
        <v>0</v>
      </c>
      <c r="P88" s="32" t="n">
        <f aca="false">AssignmentTable[[#This Row],[_WorkPerWD]]*MAX(0,AssignmentTable[[#This Row],[_StartWD]]-1)</f>
        <v>0</v>
      </c>
      <c r="Q88" s="32" t="n">
        <f aca="false">IF(AssignmentTable[[#This Row],[_Valid]]=1,AssignmentTable[[#This Row],[Work]]*N(INDEX(tsk_LeafProgress,AssignmentTable[[#This Row],[_TaskPos]])),0)</f>
        <v>0</v>
      </c>
      <c r="R88" s="32" t="n">
        <f aca="false">IF(NOT(AssignmentTable[[#This Row],[_Valid]]=1),0,IF(N(INDEX(tsk_LeafTotalCost,AssignmentTable[[#This Row],[_TaskPos]]))=0,0,N(INDEX(tsk_LeafAC,AssignmentTable[[#This Row],[_TaskPos]]))*AssignmentTable[[#This Row],[Cost]]/INDEX(tsk_LeafTotalCost,AssignmentTable[[#This Row],[_TaskPos]])))</f>
        <v>0</v>
      </c>
      <c r="S88" s="32" t="n">
        <f aca="false">IF(NOT(AssignmentTable[[#This Row],[_Valid]]=1),0,IF(N(INDEX(tsk_LateKey,AssignmentTable[[#This Row],[_TaskPos]]))&gt;0,1,0))</f>
        <v>0</v>
      </c>
      <c r="T88" s="32" t="n">
        <f aca="false">IF(NOT(AssignmentTable[[#This Row],[_Valid]]=1),0,IF(INDEX(tsk_Critical,AssignmentTable[[#This Row],[_TaskPos]])="Yes",1,0))</f>
        <v>0</v>
      </c>
      <c r="U8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89" customFormat="false" ht="15" hidden="false" customHeight="false" outlineLevel="0" collapsed="false">
      <c r="B89" s="46"/>
      <c r="C89" s="24" t="str">
        <f aca="false">IF(AssignmentTable[[#This Row],[_TaskPos]]&lt;=0,"",INDEX(tsk_Name,AssignmentTable[[#This Row],[_TaskPos]])&amp;"")</f>
        <v/>
      </c>
      <c r="D89" s="47"/>
      <c r="E89" s="93"/>
      <c r="F89" s="110" t="n">
        <f aca="false">IF(AssignmentTable[[#This Row],[_Valid]]=1,N(INDEX(tsk_Duration,AssignmentTable[[#This Row],[_TaskPos]]))*HoursPerDay*IF(AssignmentTable[[#This Row],[Units]]="",DefaultUnits,AssignmentTable[[#This Row],[Units]]),0)</f>
        <v>0</v>
      </c>
      <c r="G89" s="111" t="n">
        <f aca="false">IF(AssignmentTable[[#This Row],[Work]]=0,0,AssignmentTable[[#This Row],[Work]]*IFERROR(INDEX(res_Rate,MATCH(AssignmentTable[[#This Row],[Resource]],res_Name,0)),0))</f>
        <v>0</v>
      </c>
      <c r="H8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89" s="32" t="n">
        <f aca="false">IF(N(AssignmentTable[[#This Row],[Task UID]])=0,0,IFERROR(MATCH(AssignmentTable[[#This Row],[Task UID]],tsk_UID,0),-1))</f>
        <v>0</v>
      </c>
      <c r="J89" s="32" t="n">
        <f aca="false">IF(AND(AssignmentTable[[#This Row],[_TaskPos]]&gt;0,AssignmentTable[[#This Row],[Resource]]&lt;&gt;"",AssignmentTable[[#This Row],[Check]]=""),1,0)</f>
        <v>0</v>
      </c>
      <c r="K89" s="32" t="str">
        <f aca="false">IF(AssignmentTable[[#This Row],[_Valid]]=1,AssignmentTable[[#This Row],[Task UID]]*1000+COUNTIFS(AssignmentTable[[#Headers],[Task UID]]:AssignmentTable[[#This Row],[Task UID]],AssignmentTable[[#This Row],[Task UID]],AssignmentTable[[#Headers],[_Valid]]:AssignmentTable[[#This Row],[_Valid]],1),"")</f>
        <v/>
      </c>
      <c r="L89" s="32" t="str">
        <f aca="false">IF(AssignmentTable[[#This Row],[_Valid]]=1,AssignmentTable[[#This Row],[Resource]]&amp;IF(OR(AssignmentTable[[#This Row],[Units]]="",AssignmentTable[[#This Row],[Units]]=1),"","["&amp;ROUND(AssignmentTable[[#This Row],[Units]]*100,0)&amp;"%]"),"")</f>
        <v/>
      </c>
      <c r="M89" s="32" t="n">
        <f aca="false">IF(AssignmentTable[[#This Row],[_Valid]]=1,N(INDEX(tsk_StartWD,AssignmentTable[[#This Row],[_TaskPos]])),0)</f>
        <v>0</v>
      </c>
      <c r="N89" s="32" t="n">
        <f aca="false">IF(AssignmentTable[[#This Row],[_Valid]]=1,N(INDEX(tsk_FinishWD,AssignmentTable[[#This Row],[_TaskPos]])),0)</f>
        <v>0</v>
      </c>
      <c r="O89" s="32" t="n">
        <f aca="false">IF(OR(AssignmentTable[[#This Row],[Work]]=0,AssignmentTable[[#This Row],[_FinishWD]]=0),0,AssignmentTable[[#This Row],[Work]]/(AssignmentTable[[#This Row],[_FinishWD]]-AssignmentTable[[#This Row],[_StartWD]]+1))</f>
        <v>0</v>
      </c>
      <c r="P89" s="32" t="n">
        <f aca="false">AssignmentTable[[#This Row],[_WorkPerWD]]*MAX(0,AssignmentTable[[#This Row],[_StartWD]]-1)</f>
        <v>0</v>
      </c>
      <c r="Q89" s="32" t="n">
        <f aca="false">IF(AssignmentTable[[#This Row],[_Valid]]=1,AssignmentTable[[#This Row],[Work]]*N(INDEX(tsk_LeafProgress,AssignmentTable[[#This Row],[_TaskPos]])),0)</f>
        <v>0</v>
      </c>
      <c r="R89" s="32" t="n">
        <f aca="false">IF(NOT(AssignmentTable[[#This Row],[_Valid]]=1),0,IF(N(INDEX(tsk_LeafTotalCost,AssignmentTable[[#This Row],[_TaskPos]]))=0,0,N(INDEX(tsk_LeafAC,AssignmentTable[[#This Row],[_TaskPos]]))*AssignmentTable[[#This Row],[Cost]]/INDEX(tsk_LeafTotalCost,AssignmentTable[[#This Row],[_TaskPos]])))</f>
        <v>0</v>
      </c>
      <c r="S89" s="32" t="n">
        <f aca="false">IF(NOT(AssignmentTable[[#This Row],[_Valid]]=1),0,IF(N(INDEX(tsk_LateKey,AssignmentTable[[#This Row],[_TaskPos]]))&gt;0,1,0))</f>
        <v>0</v>
      </c>
      <c r="T89" s="32" t="n">
        <f aca="false">IF(NOT(AssignmentTable[[#This Row],[_Valid]]=1),0,IF(INDEX(tsk_Critical,AssignmentTable[[#This Row],[_TaskPos]])="Yes",1,0))</f>
        <v>0</v>
      </c>
      <c r="U8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0" customFormat="false" ht="15" hidden="false" customHeight="false" outlineLevel="0" collapsed="false">
      <c r="B90" s="46"/>
      <c r="C90" s="24" t="str">
        <f aca="false">IF(AssignmentTable[[#This Row],[_TaskPos]]&lt;=0,"",INDEX(tsk_Name,AssignmentTable[[#This Row],[_TaskPos]])&amp;"")</f>
        <v/>
      </c>
      <c r="D90" s="47"/>
      <c r="E90" s="93"/>
      <c r="F90" s="110" t="n">
        <f aca="false">IF(AssignmentTable[[#This Row],[_Valid]]=1,N(INDEX(tsk_Duration,AssignmentTable[[#This Row],[_TaskPos]]))*HoursPerDay*IF(AssignmentTable[[#This Row],[Units]]="",DefaultUnits,AssignmentTable[[#This Row],[Units]]),0)</f>
        <v>0</v>
      </c>
      <c r="G90" s="111" t="n">
        <f aca="false">IF(AssignmentTable[[#This Row],[Work]]=0,0,AssignmentTable[[#This Row],[Work]]*IFERROR(INDEX(res_Rate,MATCH(AssignmentTable[[#This Row],[Resource]],res_Name,0)),0))</f>
        <v>0</v>
      </c>
      <c r="H9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0" s="32" t="n">
        <f aca="false">IF(N(AssignmentTable[[#This Row],[Task UID]])=0,0,IFERROR(MATCH(AssignmentTable[[#This Row],[Task UID]],tsk_UID,0),-1))</f>
        <v>0</v>
      </c>
      <c r="J90" s="32" t="n">
        <f aca="false">IF(AND(AssignmentTable[[#This Row],[_TaskPos]]&gt;0,AssignmentTable[[#This Row],[Resource]]&lt;&gt;"",AssignmentTable[[#This Row],[Check]]=""),1,0)</f>
        <v>0</v>
      </c>
      <c r="K90" s="32" t="str">
        <f aca="false">IF(AssignmentTable[[#This Row],[_Valid]]=1,AssignmentTable[[#This Row],[Task UID]]*1000+COUNTIFS(AssignmentTable[[#Headers],[Task UID]]:AssignmentTable[[#This Row],[Task UID]],AssignmentTable[[#This Row],[Task UID]],AssignmentTable[[#Headers],[_Valid]]:AssignmentTable[[#This Row],[_Valid]],1),"")</f>
        <v/>
      </c>
      <c r="L90" s="32" t="str">
        <f aca="false">IF(AssignmentTable[[#This Row],[_Valid]]=1,AssignmentTable[[#This Row],[Resource]]&amp;IF(OR(AssignmentTable[[#This Row],[Units]]="",AssignmentTable[[#This Row],[Units]]=1),"","["&amp;ROUND(AssignmentTable[[#This Row],[Units]]*100,0)&amp;"%]"),"")</f>
        <v/>
      </c>
      <c r="M90" s="32" t="n">
        <f aca="false">IF(AssignmentTable[[#This Row],[_Valid]]=1,N(INDEX(tsk_StartWD,AssignmentTable[[#This Row],[_TaskPos]])),0)</f>
        <v>0</v>
      </c>
      <c r="N90" s="32" t="n">
        <f aca="false">IF(AssignmentTable[[#This Row],[_Valid]]=1,N(INDEX(tsk_FinishWD,AssignmentTable[[#This Row],[_TaskPos]])),0)</f>
        <v>0</v>
      </c>
      <c r="O90" s="32" t="n">
        <f aca="false">IF(OR(AssignmentTable[[#This Row],[Work]]=0,AssignmentTable[[#This Row],[_FinishWD]]=0),0,AssignmentTable[[#This Row],[Work]]/(AssignmentTable[[#This Row],[_FinishWD]]-AssignmentTable[[#This Row],[_StartWD]]+1))</f>
        <v>0</v>
      </c>
      <c r="P90" s="32" t="n">
        <f aca="false">AssignmentTable[[#This Row],[_WorkPerWD]]*MAX(0,AssignmentTable[[#This Row],[_StartWD]]-1)</f>
        <v>0</v>
      </c>
      <c r="Q90" s="32" t="n">
        <f aca="false">IF(AssignmentTable[[#This Row],[_Valid]]=1,AssignmentTable[[#This Row],[Work]]*N(INDEX(tsk_LeafProgress,AssignmentTable[[#This Row],[_TaskPos]])),0)</f>
        <v>0</v>
      </c>
      <c r="R90" s="32" t="n">
        <f aca="false">IF(NOT(AssignmentTable[[#This Row],[_Valid]]=1),0,IF(N(INDEX(tsk_LeafTotalCost,AssignmentTable[[#This Row],[_TaskPos]]))=0,0,N(INDEX(tsk_LeafAC,AssignmentTable[[#This Row],[_TaskPos]]))*AssignmentTable[[#This Row],[Cost]]/INDEX(tsk_LeafTotalCost,AssignmentTable[[#This Row],[_TaskPos]])))</f>
        <v>0</v>
      </c>
      <c r="S90" s="32" t="n">
        <f aca="false">IF(NOT(AssignmentTable[[#This Row],[_Valid]]=1),0,IF(N(INDEX(tsk_LateKey,AssignmentTable[[#This Row],[_TaskPos]]))&gt;0,1,0))</f>
        <v>0</v>
      </c>
      <c r="T90" s="32" t="n">
        <f aca="false">IF(NOT(AssignmentTable[[#This Row],[_Valid]]=1),0,IF(INDEX(tsk_Critical,AssignmentTable[[#This Row],[_TaskPos]])="Yes",1,0))</f>
        <v>0</v>
      </c>
      <c r="U9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1" customFormat="false" ht="15" hidden="false" customHeight="false" outlineLevel="0" collapsed="false">
      <c r="B91" s="46"/>
      <c r="C91" s="24" t="str">
        <f aca="false">IF(AssignmentTable[[#This Row],[_TaskPos]]&lt;=0,"",INDEX(tsk_Name,AssignmentTable[[#This Row],[_TaskPos]])&amp;"")</f>
        <v/>
      </c>
      <c r="D91" s="47"/>
      <c r="E91" s="93"/>
      <c r="F91" s="110" t="n">
        <f aca="false">IF(AssignmentTable[[#This Row],[_Valid]]=1,N(INDEX(tsk_Duration,AssignmentTable[[#This Row],[_TaskPos]]))*HoursPerDay*IF(AssignmentTable[[#This Row],[Units]]="",DefaultUnits,AssignmentTable[[#This Row],[Units]]),0)</f>
        <v>0</v>
      </c>
      <c r="G91" s="111" t="n">
        <f aca="false">IF(AssignmentTable[[#This Row],[Work]]=0,0,AssignmentTable[[#This Row],[Work]]*IFERROR(INDEX(res_Rate,MATCH(AssignmentTable[[#This Row],[Resource]],res_Name,0)),0))</f>
        <v>0</v>
      </c>
      <c r="H9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1" s="32" t="n">
        <f aca="false">IF(N(AssignmentTable[[#This Row],[Task UID]])=0,0,IFERROR(MATCH(AssignmentTable[[#This Row],[Task UID]],tsk_UID,0),-1))</f>
        <v>0</v>
      </c>
      <c r="J91" s="32" t="n">
        <f aca="false">IF(AND(AssignmentTable[[#This Row],[_TaskPos]]&gt;0,AssignmentTable[[#This Row],[Resource]]&lt;&gt;"",AssignmentTable[[#This Row],[Check]]=""),1,0)</f>
        <v>0</v>
      </c>
      <c r="K91" s="32" t="str">
        <f aca="false">IF(AssignmentTable[[#This Row],[_Valid]]=1,AssignmentTable[[#This Row],[Task UID]]*1000+COUNTIFS(AssignmentTable[[#Headers],[Task UID]]:AssignmentTable[[#This Row],[Task UID]],AssignmentTable[[#This Row],[Task UID]],AssignmentTable[[#Headers],[_Valid]]:AssignmentTable[[#This Row],[_Valid]],1),"")</f>
        <v/>
      </c>
      <c r="L91" s="32" t="str">
        <f aca="false">IF(AssignmentTable[[#This Row],[_Valid]]=1,AssignmentTable[[#This Row],[Resource]]&amp;IF(OR(AssignmentTable[[#This Row],[Units]]="",AssignmentTable[[#This Row],[Units]]=1),"","["&amp;ROUND(AssignmentTable[[#This Row],[Units]]*100,0)&amp;"%]"),"")</f>
        <v/>
      </c>
      <c r="M91" s="32" t="n">
        <f aca="false">IF(AssignmentTable[[#This Row],[_Valid]]=1,N(INDEX(tsk_StartWD,AssignmentTable[[#This Row],[_TaskPos]])),0)</f>
        <v>0</v>
      </c>
      <c r="N91" s="32" t="n">
        <f aca="false">IF(AssignmentTable[[#This Row],[_Valid]]=1,N(INDEX(tsk_FinishWD,AssignmentTable[[#This Row],[_TaskPos]])),0)</f>
        <v>0</v>
      </c>
      <c r="O91" s="32" t="n">
        <f aca="false">IF(OR(AssignmentTable[[#This Row],[Work]]=0,AssignmentTable[[#This Row],[_FinishWD]]=0),0,AssignmentTable[[#This Row],[Work]]/(AssignmentTable[[#This Row],[_FinishWD]]-AssignmentTable[[#This Row],[_StartWD]]+1))</f>
        <v>0</v>
      </c>
      <c r="P91" s="32" t="n">
        <f aca="false">AssignmentTable[[#This Row],[_WorkPerWD]]*MAX(0,AssignmentTable[[#This Row],[_StartWD]]-1)</f>
        <v>0</v>
      </c>
      <c r="Q91" s="32" t="n">
        <f aca="false">IF(AssignmentTable[[#This Row],[_Valid]]=1,AssignmentTable[[#This Row],[Work]]*N(INDEX(tsk_LeafProgress,AssignmentTable[[#This Row],[_TaskPos]])),0)</f>
        <v>0</v>
      </c>
      <c r="R91" s="32" t="n">
        <f aca="false">IF(NOT(AssignmentTable[[#This Row],[_Valid]]=1),0,IF(N(INDEX(tsk_LeafTotalCost,AssignmentTable[[#This Row],[_TaskPos]]))=0,0,N(INDEX(tsk_LeafAC,AssignmentTable[[#This Row],[_TaskPos]]))*AssignmentTable[[#This Row],[Cost]]/INDEX(tsk_LeafTotalCost,AssignmentTable[[#This Row],[_TaskPos]])))</f>
        <v>0</v>
      </c>
      <c r="S91" s="32" t="n">
        <f aca="false">IF(NOT(AssignmentTable[[#This Row],[_Valid]]=1),0,IF(N(INDEX(tsk_LateKey,AssignmentTable[[#This Row],[_TaskPos]]))&gt;0,1,0))</f>
        <v>0</v>
      </c>
      <c r="T91" s="32" t="n">
        <f aca="false">IF(NOT(AssignmentTable[[#This Row],[_Valid]]=1),0,IF(INDEX(tsk_Critical,AssignmentTable[[#This Row],[_TaskPos]])="Yes",1,0))</f>
        <v>0</v>
      </c>
      <c r="U9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2" customFormat="false" ht="15" hidden="false" customHeight="false" outlineLevel="0" collapsed="false">
      <c r="B92" s="46"/>
      <c r="C92" s="24" t="str">
        <f aca="false">IF(AssignmentTable[[#This Row],[_TaskPos]]&lt;=0,"",INDEX(tsk_Name,AssignmentTable[[#This Row],[_TaskPos]])&amp;"")</f>
        <v/>
      </c>
      <c r="D92" s="47"/>
      <c r="E92" s="93"/>
      <c r="F92" s="110" t="n">
        <f aca="false">IF(AssignmentTable[[#This Row],[_Valid]]=1,N(INDEX(tsk_Duration,AssignmentTable[[#This Row],[_TaskPos]]))*HoursPerDay*IF(AssignmentTable[[#This Row],[Units]]="",DefaultUnits,AssignmentTable[[#This Row],[Units]]),0)</f>
        <v>0</v>
      </c>
      <c r="G92" s="111" t="n">
        <f aca="false">IF(AssignmentTable[[#This Row],[Work]]=0,0,AssignmentTable[[#This Row],[Work]]*IFERROR(INDEX(res_Rate,MATCH(AssignmentTable[[#This Row],[Resource]],res_Name,0)),0))</f>
        <v>0</v>
      </c>
      <c r="H9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2" s="32" t="n">
        <f aca="false">IF(N(AssignmentTable[[#This Row],[Task UID]])=0,0,IFERROR(MATCH(AssignmentTable[[#This Row],[Task UID]],tsk_UID,0),-1))</f>
        <v>0</v>
      </c>
      <c r="J92" s="32" t="n">
        <f aca="false">IF(AND(AssignmentTable[[#This Row],[_TaskPos]]&gt;0,AssignmentTable[[#This Row],[Resource]]&lt;&gt;"",AssignmentTable[[#This Row],[Check]]=""),1,0)</f>
        <v>0</v>
      </c>
      <c r="K92" s="32" t="str">
        <f aca="false">IF(AssignmentTable[[#This Row],[_Valid]]=1,AssignmentTable[[#This Row],[Task UID]]*1000+COUNTIFS(AssignmentTable[[#Headers],[Task UID]]:AssignmentTable[[#This Row],[Task UID]],AssignmentTable[[#This Row],[Task UID]],AssignmentTable[[#Headers],[_Valid]]:AssignmentTable[[#This Row],[_Valid]],1),"")</f>
        <v/>
      </c>
      <c r="L92" s="32" t="str">
        <f aca="false">IF(AssignmentTable[[#This Row],[_Valid]]=1,AssignmentTable[[#This Row],[Resource]]&amp;IF(OR(AssignmentTable[[#This Row],[Units]]="",AssignmentTable[[#This Row],[Units]]=1),"","["&amp;ROUND(AssignmentTable[[#This Row],[Units]]*100,0)&amp;"%]"),"")</f>
        <v/>
      </c>
      <c r="M92" s="32" t="n">
        <f aca="false">IF(AssignmentTable[[#This Row],[_Valid]]=1,N(INDEX(tsk_StartWD,AssignmentTable[[#This Row],[_TaskPos]])),0)</f>
        <v>0</v>
      </c>
      <c r="N92" s="32" t="n">
        <f aca="false">IF(AssignmentTable[[#This Row],[_Valid]]=1,N(INDEX(tsk_FinishWD,AssignmentTable[[#This Row],[_TaskPos]])),0)</f>
        <v>0</v>
      </c>
      <c r="O92" s="32" t="n">
        <f aca="false">IF(OR(AssignmentTable[[#This Row],[Work]]=0,AssignmentTable[[#This Row],[_FinishWD]]=0),0,AssignmentTable[[#This Row],[Work]]/(AssignmentTable[[#This Row],[_FinishWD]]-AssignmentTable[[#This Row],[_StartWD]]+1))</f>
        <v>0</v>
      </c>
      <c r="P92" s="32" t="n">
        <f aca="false">AssignmentTable[[#This Row],[_WorkPerWD]]*MAX(0,AssignmentTable[[#This Row],[_StartWD]]-1)</f>
        <v>0</v>
      </c>
      <c r="Q92" s="32" t="n">
        <f aca="false">IF(AssignmentTable[[#This Row],[_Valid]]=1,AssignmentTable[[#This Row],[Work]]*N(INDEX(tsk_LeafProgress,AssignmentTable[[#This Row],[_TaskPos]])),0)</f>
        <v>0</v>
      </c>
      <c r="R92" s="32" t="n">
        <f aca="false">IF(NOT(AssignmentTable[[#This Row],[_Valid]]=1),0,IF(N(INDEX(tsk_LeafTotalCost,AssignmentTable[[#This Row],[_TaskPos]]))=0,0,N(INDEX(tsk_LeafAC,AssignmentTable[[#This Row],[_TaskPos]]))*AssignmentTable[[#This Row],[Cost]]/INDEX(tsk_LeafTotalCost,AssignmentTable[[#This Row],[_TaskPos]])))</f>
        <v>0</v>
      </c>
      <c r="S92" s="32" t="n">
        <f aca="false">IF(NOT(AssignmentTable[[#This Row],[_Valid]]=1),0,IF(N(INDEX(tsk_LateKey,AssignmentTable[[#This Row],[_TaskPos]]))&gt;0,1,0))</f>
        <v>0</v>
      </c>
      <c r="T92" s="32" t="n">
        <f aca="false">IF(NOT(AssignmentTable[[#This Row],[_Valid]]=1),0,IF(INDEX(tsk_Critical,AssignmentTable[[#This Row],[_TaskPos]])="Yes",1,0))</f>
        <v>0</v>
      </c>
      <c r="U9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3" customFormat="false" ht="15" hidden="false" customHeight="false" outlineLevel="0" collapsed="false">
      <c r="B93" s="46"/>
      <c r="C93" s="24" t="str">
        <f aca="false">IF(AssignmentTable[[#This Row],[_TaskPos]]&lt;=0,"",INDEX(tsk_Name,AssignmentTable[[#This Row],[_TaskPos]])&amp;"")</f>
        <v/>
      </c>
      <c r="D93" s="47"/>
      <c r="E93" s="93"/>
      <c r="F93" s="110" t="n">
        <f aca="false">IF(AssignmentTable[[#This Row],[_Valid]]=1,N(INDEX(tsk_Duration,AssignmentTable[[#This Row],[_TaskPos]]))*HoursPerDay*IF(AssignmentTable[[#This Row],[Units]]="",DefaultUnits,AssignmentTable[[#This Row],[Units]]),0)</f>
        <v>0</v>
      </c>
      <c r="G93" s="111" t="n">
        <f aca="false">IF(AssignmentTable[[#This Row],[Work]]=0,0,AssignmentTable[[#This Row],[Work]]*IFERROR(INDEX(res_Rate,MATCH(AssignmentTable[[#This Row],[Resource]],res_Name,0)),0))</f>
        <v>0</v>
      </c>
      <c r="H9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3" s="32" t="n">
        <f aca="false">IF(N(AssignmentTable[[#This Row],[Task UID]])=0,0,IFERROR(MATCH(AssignmentTable[[#This Row],[Task UID]],tsk_UID,0),-1))</f>
        <v>0</v>
      </c>
      <c r="J93" s="32" t="n">
        <f aca="false">IF(AND(AssignmentTable[[#This Row],[_TaskPos]]&gt;0,AssignmentTable[[#This Row],[Resource]]&lt;&gt;"",AssignmentTable[[#This Row],[Check]]=""),1,0)</f>
        <v>0</v>
      </c>
      <c r="K93" s="32" t="str">
        <f aca="false">IF(AssignmentTable[[#This Row],[_Valid]]=1,AssignmentTable[[#This Row],[Task UID]]*1000+COUNTIFS(AssignmentTable[[#Headers],[Task UID]]:AssignmentTable[[#This Row],[Task UID]],AssignmentTable[[#This Row],[Task UID]],AssignmentTable[[#Headers],[_Valid]]:AssignmentTable[[#This Row],[_Valid]],1),"")</f>
        <v/>
      </c>
      <c r="L93" s="32" t="str">
        <f aca="false">IF(AssignmentTable[[#This Row],[_Valid]]=1,AssignmentTable[[#This Row],[Resource]]&amp;IF(OR(AssignmentTable[[#This Row],[Units]]="",AssignmentTable[[#This Row],[Units]]=1),"","["&amp;ROUND(AssignmentTable[[#This Row],[Units]]*100,0)&amp;"%]"),"")</f>
        <v/>
      </c>
      <c r="M93" s="32" t="n">
        <f aca="false">IF(AssignmentTable[[#This Row],[_Valid]]=1,N(INDEX(tsk_StartWD,AssignmentTable[[#This Row],[_TaskPos]])),0)</f>
        <v>0</v>
      </c>
      <c r="N93" s="32" t="n">
        <f aca="false">IF(AssignmentTable[[#This Row],[_Valid]]=1,N(INDEX(tsk_FinishWD,AssignmentTable[[#This Row],[_TaskPos]])),0)</f>
        <v>0</v>
      </c>
      <c r="O93" s="32" t="n">
        <f aca="false">IF(OR(AssignmentTable[[#This Row],[Work]]=0,AssignmentTable[[#This Row],[_FinishWD]]=0),0,AssignmentTable[[#This Row],[Work]]/(AssignmentTable[[#This Row],[_FinishWD]]-AssignmentTable[[#This Row],[_StartWD]]+1))</f>
        <v>0</v>
      </c>
      <c r="P93" s="32" t="n">
        <f aca="false">AssignmentTable[[#This Row],[_WorkPerWD]]*MAX(0,AssignmentTable[[#This Row],[_StartWD]]-1)</f>
        <v>0</v>
      </c>
      <c r="Q93" s="32" t="n">
        <f aca="false">IF(AssignmentTable[[#This Row],[_Valid]]=1,AssignmentTable[[#This Row],[Work]]*N(INDEX(tsk_LeafProgress,AssignmentTable[[#This Row],[_TaskPos]])),0)</f>
        <v>0</v>
      </c>
      <c r="R93" s="32" t="n">
        <f aca="false">IF(NOT(AssignmentTable[[#This Row],[_Valid]]=1),0,IF(N(INDEX(tsk_LeafTotalCost,AssignmentTable[[#This Row],[_TaskPos]]))=0,0,N(INDEX(tsk_LeafAC,AssignmentTable[[#This Row],[_TaskPos]]))*AssignmentTable[[#This Row],[Cost]]/INDEX(tsk_LeafTotalCost,AssignmentTable[[#This Row],[_TaskPos]])))</f>
        <v>0</v>
      </c>
      <c r="S93" s="32" t="n">
        <f aca="false">IF(NOT(AssignmentTable[[#This Row],[_Valid]]=1),0,IF(N(INDEX(tsk_LateKey,AssignmentTable[[#This Row],[_TaskPos]]))&gt;0,1,0))</f>
        <v>0</v>
      </c>
      <c r="T93" s="32" t="n">
        <f aca="false">IF(NOT(AssignmentTable[[#This Row],[_Valid]]=1),0,IF(INDEX(tsk_Critical,AssignmentTable[[#This Row],[_TaskPos]])="Yes",1,0))</f>
        <v>0</v>
      </c>
      <c r="U9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4" customFormat="false" ht="15" hidden="false" customHeight="false" outlineLevel="0" collapsed="false">
      <c r="B94" s="46"/>
      <c r="C94" s="24" t="str">
        <f aca="false">IF(AssignmentTable[[#This Row],[_TaskPos]]&lt;=0,"",INDEX(tsk_Name,AssignmentTable[[#This Row],[_TaskPos]])&amp;"")</f>
        <v/>
      </c>
      <c r="D94" s="47"/>
      <c r="E94" s="93"/>
      <c r="F94" s="110" t="n">
        <f aca="false">IF(AssignmentTable[[#This Row],[_Valid]]=1,N(INDEX(tsk_Duration,AssignmentTable[[#This Row],[_TaskPos]]))*HoursPerDay*IF(AssignmentTable[[#This Row],[Units]]="",DefaultUnits,AssignmentTable[[#This Row],[Units]]),0)</f>
        <v>0</v>
      </c>
      <c r="G94" s="111" t="n">
        <f aca="false">IF(AssignmentTable[[#This Row],[Work]]=0,0,AssignmentTable[[#This Row],[Work]]*IFERROR(INDEX(res_Rate,MATCH(AssignmentTable[[#This Row],[Resource]],res_Name,0)),0))</f>
        <v>0</v>
      </c>
      <c r="H9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4" s="32" t="n">
        <f aca="false">IF(N(AssignmentTable[[#This Row],[Task UID]])=0,0,IFERROR(MATCH(AssignmentTable[[#This Row],[Task UID]],tsk_UID,0),-1))</f>
        <v>0</v>
      </c>
      <c r="J94" s="32" t="n">
        <f aca="false">IF(AND(AssignmentTable[[#This Row],[_TaskPos]]&gt;0,AssignmentTable[[#This Row],[Resource]]&lt;&gt;"",AssignmentTable[[#This Row],[Check]]=""),1,0)</f>
        <v>0</v>
      </c>
      <c r="K94" s="32" t="str">
        <f aca="false">IF(AssignmentTable[[#This Row],[_Valid]]=1,AssignmentTable[[#This Row],[Task UID]]*1000+COUNTIFS(AssignmentTable[[#Headers],[Task UID]]:AssignmentTable[[#This Row],[Task UID]],AssignmentTable[[#This Row],[Task UID]],AssignmentTable[[#Headers],[_Valid]]:AssignmentTable[[#This Row],[_Valid]],1),"")</f>
        <v/>
      </c>
      <c r="L94" s="32" t="str">
        <f aca="false">IF(AssignmentTable[[#This Row],[_Valid]]=1,AssignmentTable[[#This Row],[Resource]]&amp;IF(OR(AssignmentTable[[#This Row],[Units]]="",AssignmentTable[[#This Row],[Units]]=1),"","["&amp;ROUND(AssignmentTable[[#This Row],[Units]]*100,0)&amp;"%]"),"")</f>
        <v/>
      </c>
      <c r="M94" s="32" t="n">
        <f aca="false">IF(AssignmentTable[[#This Row],[_Valid]]=1,N(INDEX(tsk_StartWD,AssignmentTable[[#This Row],[_TaskPos]])),0)</f>
        <v>0</v>
      </c>
      <c r="N94" s="32" t="n">
        <f aca="false">IF(AssignmentTable[[#This Row],[_Valid]]=1,N(INDEX(tsk_FinishWD,AssignmentTable[[#This Row],[_TaskPos]])),0)</f>
        <v>0</v>
      </c>
      <c r="O94" s="32" t="n">
        <f aca="false">IF(OR(AssignmentTable[[#This Row],[Work]]=0,AssignmentTable[[#This Row],[_FinishWD]]=0),0,AssignmentTable[[#This Row],[Work]]/(AssignmentTable[[#This Row],[_FinishWD]]-AssignmentTable[[#This Row],[_StartWD]]+1))</f>
        <v>0</v>
      </c>
      <c r="P94" s="32" t="n">
        <f aca="false">AssignmentTable[[#This Row],[_WorkPerWD]]*MAX(0,AssignmentTable[[#This Row],[_StartWD]]-1)</f>
        <v>0</v>
      </c>
      <c r="Q94" s="32" t="n">
        <f aca="false">IF(AssignmentTable[[#This Row],[_Valid]]=1,AssignmentTable[[#This Row],[Work]]*N(INDEX(tsk_LeafProgress,AssignmentTable[[#This Row],[_TaskPos]])),0)</f>
        <v>0</v>
      </c>
      <c r="R94" s="32" t="n">
        <f aca="false">IF(NOT(AssignmentTable[[#This Row],[_Valid]]=1),0,IF(N(INDEX(tsk_LeafTotalCost,AssignmentTable[[#This Row],[_TaskPos]]))=0,0,N(INDEX(tsk_LeafAC,AssignmentTable[[#This Row],[_TaskPos]]))*AssignmentTable[[#This Row],[Cost]]/INDEX(tsk_LeafTotalCost,AssignmentTable[[#This Row],[_TaskPos]])))</f>
        <v>0</v>
      </c>
      <c r="S94" s="32" t="n">
        <f aca="false">IF(NOT(AssignmentTable[[#This Row],[_Valid]]=1),0,IF(N(INDEX(tsk_LateKey,AssignmentTable[[#This Row],[_TaskPos]]))&gt;0,1,0))</f>
        <v>0</v>
      </c>
      <c r="T94" s="32" t="n">
        <f aca="false">IF(NOT(AssignmentTable[[#This Row],[_Valid]]=1),0,IF(INDEX(tsk_Critical,AssignmentTable[[#This Row],[_TaskPos]])="Yes",1,0))</f>
        <v>0</v>
      </c>
      <c r="U9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5" customFormat="false" ht="15" hidden="false" customHeight="false" outlineLevel="0" collapsed="false">
      <c r="B95" s="46"/>
      <c r="C95" s="24" t="str">
        <f aca="false">IF(AssignmentTable[[#This Row],[_TaskPos]]&lt;=0,"",INDEX(tsk_Name,AssignmentTable[[#This Row],[_TaskPos]])&amp;"")</f>
        <v/>
      </c>
      <c r="D95" s="47"/>
      <c r="E95" s="93"/>
      <c r="F95" s="110" t="n">
        <f aca="false">IF(AssignmentTable[[#This Row],[_Valid]]=1,N(INDEX(tsk_Duration,AssignmentTable[[#This Row],[_TaskPos]]))*HoursPerDay*IF(AssignmentTable[[#This Row],[Units]]="",DefaultUnits,AssignmentTable[[#This Row],[Units]]),0)</f>
        <v>0</v>
      </c>
      <c r="G95" s="111" t="n">
        <f aca="false">IF(AssignmentTable[[#This Row],[Work]]=0,0,AssignmentTable[[#This Row],[Work]]*IFERROR(INDEX(res_Rate,MATCH(AssignmentTable[[#This Row],[Resource]],res_Name,0)),0))</f>
        <v>0</v>
      </c>
      <c r="H9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5" s="32" t="n">
        <f aca="false">IF(N(AssignmentTable[[#This Row],[Task UID]])=0,0,IFERROR(MATCH(AssignmentTable[[#This Row],[Task UID]],tsk_UID,0),-1))</f>
        <v>0</v>
      </c>
      <c r="J95" s="32" t="n">
        <f aca="false">IF(AND(AssignmentTable[[#This Row],[_TaskPos]]&gt;0,AssignmentTable[[#This Row],[Resource]]&lt;&gt;"",AssignmentTable[[#This Row],[Check]]=""),1,0)</f>
        <v>0</v>
      </c>
      <c r="K95" s="32" t="str">
        <f aca="false">IF(AssignmentTable[[#This Row],[_Valid]]=1,AssignmentTable[[#This Row],[Task UID]]*1000+COUNTIFS(AssignmentTable[[#Headers],[Task UID]]:AssignmentTable[[#This Row],[Task UID]],AssignmentTable[[#This Row],[Task UID]],AssignmentTable[[#Headers],[_Valid]]:AssignmentTable[[#This Row],[_Valid]],1),"")</f>
        <v/>
      </c>
      <c r="L95" s="32" t="str">
        <f aca="false">IF(AssignmentTable[[#This Row],[_Valid]]=1,AssignmentTable[[#This Row],[Resource]]&amp;IF(OR(AssignmentTable[[#This Row],[Units]]="",AssignmentTable[[#This Row],[Units]]=1),"","["&amp;ROUND(AssignmentTable[[#This Row],[Units]]*100,0)&amp;"%]"),"")</f>
        <v/>
      </c>
      <c r="M95" s="32" t="n">
        <f aca="false">IF(AssignmentTable[[#This Row],[_Valid]]=1,N(INDEX(tsk_StartWD,AssignmentTable[[#This Row],[_TaskPos]])),0)</f>
        <v>0</v>
      </c>
      <c r="N95" s="32" t="n">
        <f aca="false">IF(AssignmentTable[[#This Row],[_Valid]]=1,N(INDEX(tsk_FinishWD,AssignmentTable[[#This Row],[_TaskPos]])),0)</f>
        <v>0</v>
      </c>
      <c r="O95" s="32" t="n">
        <f aca="false">IF(OR(AssignmentTable[[#This Row],[Work]]=0,AssignmentTable[[#This Row],[_FinishWD]]=0),0,AssignmentTable[[#This Row],[Work]]/(AssignmentTable[[#This Row],[_FinishWD]]-AssignmentTable[[#This Row],[_StartWD]]+1))</f>
        <v>0</v>
      </c>
      <c r="P95" s="32" t="n">
        <f aca="false">AssignmentTable[[#This Row],[_WorkPerWD]]*MAX(0,AssignmentTable[[#This Row],[_StartWD]]-1)</f>
        <v>0</v>
      </c>
      <c r="Q95" s="32" t="n">
        <f aca="false">IF(AssignmentTable[[#This Row],[_Valid]]=1,AssignmentTable[[#This Row],[Work]]*N(INDEX(tsk_LeafProgress,AssignmentTable[[#This Row],[_TaskPos]])),0)</f>
        <v>0</v>
      </c>
      <c r="R95" s="32" t="n">
        <f aca="false">IF(NOT(AssignmentTable[[#This Row],[_Valid]]=1),0,IF(N(INDEX(tsk_LeafTotalCost,AssignmentTable[[#This Row],[_TaskPos]]))=0,0,N(INDEX(tsk_LeafAC,AssignmentTable[[#This Row],[_TaskPos]]))*AssignmentTable[[#This Row],[Cost]]/INDEX(tsk_LeafTotalCost,AssignmentTable[[#This Row],[_TaskPos]])))</f>
        <v>0</v>
      </c>
      <c r="S95" s="32" t="n">
        <f aca="false">IF(NOT(AssignmentTable[[#This Row],[_Valid]]=1),0,IF(N(INDEX(tsk_LateKey,AssignmentTable[[#This Row],[_TaskPos]]))&gt;0,1,0))</f>
        <v>0</v>
      </c>
      <c r="T95" s="32" t="n">
        <f aca="false">IF(NOT(AssignmentTable[[#This Row],[_Valid]]=1),0,IF(INDEX(tsk_Critical,AssignmentTable[[#This Row],[_TaskPos]])="Yes",1,0))</f>
        <v>0</v>
      </c>
      <c r="U9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6" customFormat="false" ht="15" hidden="false" customHeight="false" outlineLevel="0" collapsed="false">
      <c r="B96" s="46"/>
      <c r="C96" s="24" t="str">
        <f aca="false">IF(AssignmentTable[[#This Row],[_TaskPos]]&lt;=0,"",INDEX(tsk_Name,AssignmentTable[[#This Row],[_TaskPos]])&amp;"")</f>
        <v/>
      </c>
      <c r="D96" s="47"/>
      <c r="E96" s="93"/>
      <c r="F96" s="110" t="n">
        <f aca="false">IF(AssignmentTable[[#This Row],[_Valid]]=1,N(INDEX(tsk_Duration,AssignmentTable[[#This Row],[_TaskPos]]))*HoursPerDay*IF(AssignmentTable[[#This Row],[Units]]="",DefaultUnits,AssignmentTable[[#This Row],[Units]]),0)</f>
        <v>0</v>
      </c>
      <c r="G96" s="111" t="n">
        <f aca="false">IF(AssignmentTable[[#This Row],[Work]]=0,0,AssignmentTable[[#This Row],[Work]]*IFERROR(INDEX(res_Rate,MATCH(AssignmentTable[[#This Row],[Resource]],res_Name,0)),0))</f>
        <v>0</v>
      </c>
      <c r="H96"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6" s="32" t="n">
        <f aca="false">IF(N(AssignmentTable[[#This Row],[Task UID]])=0,0,IFERROR(MATCH(AssignmentTable[[#This Row],[Task UID]],tsk_UID,0),-1))</f>
        <v>0</v>
      </c>
      <c r="J96" s="32" t="n">
        <f aca="false">IF(AND(AssignmentTable[[#This Row],[_TaskPos]]&gt;0,AssignmentTable[[#This Row],[Resource]]&lt;&gt;"",AssignmentTable[[#This Row],[Check]]=""),1,0)</f>
        <v>0</v>
      </c>
      <c r="K96" s="32" t="str">
        <f aca="false">IF(AssignmentTable[[#This Row],[_Valid]]=1,AssignmentTable[[#This Row],[Task UID]]*1000+COUNTIFS(AssignmentTable[[#Headers],[Task UID]]:AssignmentTable[[#This Row],[Task UID]],AssignmentTable[[#This Row],[Task UID]],AssignmentTable[[#Headers],[_Valid]]:AssignmentTable[[#This Row],[_Valid]],1),"")</f>
        <v/>
      </c>
      <c r="L96" s="32" t="str">
        <f aca="false">IF(AssignmentTable[[#This Row],[_Valid]]=1,AssignmentTable[[#This Row],[Resource]]&amp;IF(OR(AssignmentTable[[#This Row],[Units]]="",AssignmentTable[[#This Row],[Units]]=1),"","["&amp;ROUND(AssignmentTable[[#This Row],[Units]]*100,0)&amp;"%]"),"")</f>
        <v/>
      </c>
      <c r="M96" s="32" t="n">
        <f aca="false">IF(AssignmentTable[[#This Row],[_Valid]]=1,N(INDEX(tsk_StartWD,AssignmentTable[[#This Row],[_TaskPos]])),0)</f>
        <v>0</v>
      </c>
      <c r="N96" s="32" t="n">
        <f aca="false">IF(AssignmentTable[[#This Row],[_Valid]]=1,N(INDEX(tsk_FinishWD,AssignmentTable[[#This Row],[_TaskPos]])),0)</f>
        <v>0</v>
      </c>
      <c r="O96" s="32" t="n">
        <f aca="false">IF(OR(AssignmentTable[[#This Row],[Work]]=0,AssignmentTable[[#This Row],[_FinishWD]]=0),0,AssignmentTable[[#This Row],[Work]]/(AssignmentTable[[#This Row],[_FinishWD]]-AssignmentTable[[#This Row],[_StartWD]]+1))</f>
        <v>0</v>
      </c>
      <c r="P96" s="32" t="n">
        <f aca="false">AssignmentTable[[#This Row],[_WorkPerWD]]*MAX(0,AssignmentTable[[#This Row],[_StartWD]]-1)</f>
        <v>0</v>
      </c>
      <c r="Q96" s="32" t="n">
        <f aca="false">IF(AssignmentTable[[#This Row],[_Valid]]=1,AssignmentTable[[#This Row],[Work]]*N(INDEX(tsk_LeafProgress,AssignmentTable[[#This Row],[_TaskPos]])),0)</f>
        <v>0</v>
      </c>
      <c r="R96" s="32" t="n">
        <f aca="false">IF(NOT(AssignmentTable[[#This Row],[_Valid]]=1),0,IF(N(INDEX(tsk_LeafTotalCost,AssignmentTable[[#This Row],[_TaskPos]]))=0,0,N(INDEX(tsk_LeafAC,AssignmentTable[[#This Row],[_TaskPos]]))*AssignmentTable[[#This Row],[Cost]]/INDEX(tsk_LeafTotalCost,AssignmentTable[[#This Row],[_TaskPos]])))</f>
        <v>0</v>
      </c>
      <c r="S96" s="32" t="n">
        <f aca="false">IF(NOT(AssignmentTable[[#This Row],[_Valid]]=1),0,IF(N(INDEX(tsk_LateKey,AssignmentTable[[#This Row],[_TaskPos]]))&gt;0,1,0))</f>
        <v>0</v>
      </c>
      <c r="T96" s="32" t="n">
        <f aca="false">IF(NOT(AssignmentTable[[#This Row],[_Valid]]=1),0,IF(INDEX(tsk_Critical,AssignmentTable[[#This Row],[_TaskPos]])="Yes",1,0))</f>
        <v>0</v>
      </c>
      <c r="U96"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7" customFormat="false" ht="15" hidden="false" customHeight="false" outlineLevel="0" collapsed="false">
      <c r="B97" s="46"/>
      <c r="C97" s="24" t="str">
        <f aca="false">IF(AssignmentTable[[#This Row],[_TaskPos]]&lt;=0,"",INDEX(tsk_Name,AssignmentTable[[#This Row],[_TaskPos]])&amp;"")</f>
        <v/>
      </c>
      <c r="D97" s="47"/>
      <c r="E97" s="93"/>
      <c r="F97" s="110" t="n">
        <f aca="false">IF(AssignmentTable[[#This Row],[_Valid]]=1,N(INDEX(tsk_Duration,AssignmentTable[[#This Row],[_TaskPos]]))*HoursPerDay*IF(AssignmentTable[[#This Row],[Units]]="",DefaultUnits,AssignmentTable[[#This Row],[Units]]),0)</f>
        <v>0</v>
      </c>
      <c r="G97" s="111" t="n">
        <f aca="false">IF(AssignmentTable[[#This Row],[Work]]=0,0,AssignmentTable[[#This Row],[Work]]*IFERROR(INDEX(res_Rate,MATCH(AssignmentTable[[#This Row],[Resource]],res_Name,0)),0))</f>
        <v>0</v>
      </c>
      <c r="H97"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7" s="32" t="n">
        <f aca="false">IF(N(AssignmentTable[[#This Row],[Task UID]])=0,0,IFERROR(MATCH(AssignmentTable[[#This Row],[Task UID]],tsk_UID,0),-1))</f>
        <v>0</v>
      </c>
      <c r="J97" s="32" t="n">
        <f aca="false">IF(AND(AssignmentTable[[#This Row],[_TaskPos]]&gt;0,AssignmentTable[[#This Row],[Resource]]&lt;&gt;"",AssignmentTable[[#This Row],[Check]]=""),1,0)</f>
        <v>0</v>
      </c>
      <c r="K97" s="32" t="str">
        <f aca="false">IF(AssignmentTable[[#This Row],[_Valid]]=1,AssignmentTable[[#This Row],[Task UID]]*1000+COUNTIFS(AssignmentTable[[#Headers],[Task UID]]:AssignmentTable[[#This Row],[Task UID]],AssignmentTable[[#This Row],[Task UID]],AssignmentTable[[#Headers],[_Valid]]:AssignmentTable[[#This Row],[_Valid]],1),"")</f>
        <v/>
      </c>
      <c r="L97" s="32" t="str">
        <f aca="false">IF(AssignmentTable[[#This Row],[_Valid]]=1,AssignmentTable[[#This Row],[Resource]]&amp;IF(OR(AssignmentTable[[#This Row],[Units]]="",AssignmentTable[[#This Row],[Units]]=1),"","["&amp;ROUND(AssignmentTable[[#This Row],[Units]]*100,0)&amp;"%]"),"")</f>
        <v/>
      </c>
      <c r="M97" s="32" t="n">
        <f aca="false">IF(AssignmentTable[[#This Row],[_Valid]]=1,N(INDEX(tsk_StartWD,AssignmentTable[[#This Row],[_TaskPos]])),0)</f>
        <v>0</v>
      </c>
      <c r="N97" s="32" t="n">
        <f aca="false">IF(AssignmentTable[[#This Row],[_Valid]]=1,N(INDEX(tsk_FinishWD,AssignmentTable[[#This Row],[_TaskPos]])),0)</f>
        <v>0</v>
      </c>
      <c r="O97" s="32" t="n">
        <f aca="false">IF(OR(AssignmentTable[[#This Row],[Work]]=0,AssignmentTable[[#This Row],[_FinishWD]]=0),0,AssignmentTable[[#This Row],[Work]]/(AssignmentTable[[#This Row],[_FinishWD]]-AssignmentTable[[#This Row],[_StartWD]]+1))</f>
        <v>0</v>
      </c>
      <c r="P97" s="32" t="n">
        <f aca="false">AssignmentTable[[#This Row],[_WorkPerWD]]*MAX(0,AssignmentTable[[#This Row],[_StartWD]]-1)</f>
        <v>0</v>
      </c>
      <c r="Q97" s="32" t="n">
        <f aca="false">IF(AssignmentTable[[#This Row],[_Valid]]=1,AssignmentTable[[#This Row],[Work]]*N(INDEX(tsk_LeafProgress,AssignmentTable[[#This Row],[_TaskPos]])),0)</f>
        <v>0</v>
      </c>
      <c r="R97" s="32" t="n">
        <f aca="false">IF(NOT(AssignmentTable[[#This Row],[_Valid]]=1),0,IF(N(INDEX(tsk_LeafTotalCost,AssignmentTable[[#This Row],[_TaskPos]]))=0,0,N(INDEX(tsk_LeafAC,AssignmentTable[[#This Row],[_TaskPos]]))*AssignmentTable[[#This Row],[Cost]]/INDEX(tsk_LeafTotalCost,AssignmentTable[[#This Row],[_TaskPos]])))</f>
        <v>0</v>
      </c>
      <c r="S97" s="32" t="n">
        <f aca="false">IF(NOT(AssignmentTable[[#This Row],[_Valid]]=1),0,IF(N(INDEX(tsk_LateKey,AssignmentTable[[#This Row],[_TaskPos]]))&gt;0,1,0))</f>
        <v>0</v>
      </c>
      <c r="T97" s="32" t="n">
        <f aca="false">IF(NOT(AssignmentTable[[#This Row],[_Valid]]=1),0,IF(INDEX(tsk_Critical,AssignmentTable[[#This Row],[_TaskPos]])="Yes",1,0))</f>
        <v>0</v>
      </c>
      <c r="U97"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8" customFormat="false" ht="15" hidden="false" customHeight="false" outlineLevel="0" collapsed="false">
      <c r="B98" s="46"/>
      <c r="C98" s="24" t="str">
        <f aca="false">IF(AssignmentTable[[#This Row],[_TaskPos]]&lt;=0,"",INDEX(tsk_Name,AssignmentTable[[#This Row],[_TaskPos]])&amp;"")</f>
        <v/>
      </c>
      <c r="D98" s="47"/>
      <c r="E98" s="93"/>
      <c r="F98" s="110" t="n">
        <f aca="false">IF(AssignmentTable[[#This Row],[_Valid]]=1,N(INDEX(tsk_Duration,AssignmentTable[[#This Row],[_TaskPos]]))*HoursPerDay*IF(AssignmentTable[[#This Row],[Units]]="",DefaultUnits,AssignmentTable[[#This Row],[Units]]),0)</f>
        <v>0</v>
      </c>
      <c r="G98" s="111" t="n">
        <f aca="false">IF(AssignmentTable[[#This Row],[Work]]=0,0,AssignmentTable[[#This Row],[Work]]*IFERROR(INDEX(res_Rate,MATCH(AssignmentTable[[#This Row],[Resource]],res_Name,0)),0))</f>
        <v>0</v>
      </c>
      <c r="H98"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8" s="32" t="n">
        <f aca="false">IF(N(AssignmentTable[[#This Row],[Task UID]])=0,0,IFERROR(MATCH(AssignmentTable[[#This Row],[Task UID]],tsk_UID,0),-1))</f>
        <v>0</v>
      </c>
      <c r="J98" s="32" t="n">
        <f aca="false">IF(AND(AssignmentTable[[#This Row],[_TaskPos]]&gt;0,AssignmentTable[[#This Row],[Resource]]&lt;&gt;"",AssignmentTable[[#This Row],[Check]]=""),1,0)</f>
        <v>0</v>
      </c>
      <c r="K98" s="32" t="str">
        <f aca="false">IF(AssignmentTable[[#This Row],[_Valid]]=1,AssignmentTable[[#This Row],[Task UID]]*1000+COUNTIFS(AssignmentTable[[#Headers],[Task UID]]:AssignmentTable[[#This Row],[Task UID]],AssignmentTable[[#This Row],[Task UID]],AssignmentTable[[#Headers],[_Valid]]:AssignmentTable[[#This Row],[_Valid]],1),"")</f>
        <v/>
      </c>
      <c r="L98" s="32" t="str">
        <f aca="false">IF(AssignmentTable[[#This Row],[_Valid]]=1,AssignmentTable[[#This Row],[Resource]]&amp;IF(OR(AssignmentTable[[#This Row],[Units]]="",AssignmentTable[[#This Row],[Units]]=1),"","["&amp;ROUND(AssignmentTable[[#This Row],[Units]]*100,0)&amp;"%]"),"")</f>
        <v/>
      </c>
      <c r="M98" s="32" t="n">
        <f aca="false">IF(AssignmentTable[[#This Row],[_Valid]]=1,N(INDEX(tsk_StartWD,AssignmentTable[[#This Row],[_TaskPos]])),0)</f>
        <v>0</v>
      </c>
      <c r="N98" s="32" t="n">
        <f aca="false">IF(AssignmentTable[[#This Row],[_Valid]]=1,N(INDEX(tsk_FinishWD,AssignmentTable[[#This Row],[_TaskPos]])),0)</f>
        <v>0</v>
      </c>
      <c r="O98" s="32" t="n">
        <f aca="false">IF(OR(AssignmentTable[[#This Row],[Work]]=0,AssignmentTable[[#This Row],[_FinishWD]]=0),0,AssignmentTable[[#This Row],[Work]]/(AssignmentTable[[#This Row],[_FinishWD]]-AssignmentTable[[#This Row],[_StartWD]]+1))</f>
        <v>0</v>
      </c>
      <c r="P98" s="32" t="n">
        <f aca="false">AssignmentTable[[#This Row],[_WorkPerWD]]*MAX(0,AssignmentTable[[#This Row],[_StartWD]]-1)</f>
        <v>0</v>
      </c>
      <c r="Q98" s="32" t="n">
        <f aca="false">IF(AssignmentTable[[#This Row],[_Valid]]=1,AssignmentTable[[#This Row],[Work]]*N(INDEX(tsk_LeafProgress,AssignmentTable[[#This Row],[_TaskPos]])),0)</f>
        <v>0</v>
      </c>
      <c r="R98" s="32" t="n">
        <f aca="false">IF(NOT(AssignmentTable[[#This Row],[_Valid]]=1),0,IF(N(INDEX(tsk_LeafTotalCost,AssignmentTable[[#This Row],[_TaskPos]]))=0,0,N(INDEX(tsk_LeafAC,AssignmentTable[[#This Row],[_TaskPos]]))*AssignmentTable[[#This Row],[Cost]]/INDEX(tsk_LeafTotalCost,AssignmentTable[[#This Row],[_TaskPos]])))</f>
        <v>0</v>
      </c>
      <c r="S98" s="32" t="n">
        <f aca="false">IF(NOT(AssignmentTable[[#This Row],[_Valid]]=1),0,IF(N(INDEX(tsk_LateKey,AssignmentTable[[#This Row],[_TaskPos]]))&gt;0,1,0))</f>
        <v>0</v>
      </c>
      <c r="T98" s="32" t="n">
        <f aca="false">IF(NOT(AssignmentTable[[#This Row],[_Valid]]=1),0,IF(INDEX(tsk_Critical,AssignmentTable[[#This Row],[_TaskPos]])="Yes",1,0))</f>
        <v>0</v>
      </c>
      <c r="U98"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99" customFormat="false" ht="15" hidden="false" customHeight="false" outlineLevel="0" collapsed="false">
      <c r="B99" s="46"/>
      <c r="C99" s="24" t="str">
        <f aca="false">IF(AssignmentTable[[#This Row],[_TaskPos]]&lt;=0,"",INDEX(tsk_Name,AssignmentTable[[#This Row],[_TaskPos]])&amp;"")</f>
        <v/>
      </c>
      <c r="D99" s="47"/>
      <c r="E99" s="93"/>
      <c r="F99" s="110" t="n">
        <f aca="false">IF(AssignmentTable[[#This Row],[_Valid]]=1,N(INDEX(tsk_Duration,AssignmentTable[[#This Row],[_TaskPos]]))*HoursPerDay*IF(AssignmentTable[[#This Row],[Units]]="",DefaultUnits,AssignmentTable[[#This Row],[Units]]),0)</f>
        <v>0</v>
      </c>
      <c r="G99" s="111" t="n">
        <f aca="false">IF(AssignmentTable[[#This Row],[Work]]=0,0,AssignmentTable[[#This Row],[Work]]*IFERROR(INDEX(res_Rate,MATCH(AssignmentTable[[#This Row],[Resource]],res_Name,0)),0))</f>
        <v>0</v>
      </c>
      <c r="H99"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99" s="32" t="n">
        <f aca="false">IF(N(AssignmentTable[[#This Row],[Task UID]])=0,0,IFERROR(MATCH(AssignmentTable[[#This Row],[Task UID]],tsk_UID,0),-1))</f>
        <v>0</v>
      </c>
      <c r="J99" s="32" t="n">
        <f aca="false">IF(AND(AssignmentTable[[#This Row],[_TaskPos]]&gt;0,AssignmentTable[[#This Row],[Resource]]&lt;&gt;"",AssignmentTable[[#This Row],[Check]]=""),1,0)</f>
        <v>0</v>
      </c>
      <c r="K99" s="32" t="str">
        <f aca="false">IF(AssignmentTable[[#This Row],[_Valid]]=1,AssignmentTable[[#This Row],[Task UID]]*1000+COUNTIFS(AssignmentTable[[#Headers],[Task UID]]:AssignmentTable[[#This Row],[Task UID]],AssignmentTable[[#This Row],[Task UID]],AssignmentTable[[#Headers],[_Valid]]:AssignmentTable[[#This Row],[_Valid]],1),"")</f>
        <v/>
      </c>
      <c r="L99" s="32" t="str">
        <f aca="false">IF(AssignmentTable[[#This Row],[_Valid]]=1,AssignmentTable[[#This Row],[Resource]]&amp;IF(OR(AssignmentTable[[#This Row],[Units]]="",AssignmentTable[[#This Row],[Units]]=1),"","["&amp;ROUND(AssignmentTable[[#This Row],[Units]]*100,0)&amp;"%]"),"")</f>
        <v/>
      </c>
      <c r="M99" s="32" t="n">
        <f aca="false">IF(AssignmentTable[[#This Row],[_Valid]]=1,N(INDEX(tsk_StartWD,AssignmentTable[[#This Row],[_TaskPos]])),0)</f>
        <v>0</v>
      </c>
      <c r="N99" s="32" t="n">
        <f aca="false">IF(AssignmentTable[[#This Row],[_Valid]]=1,N(INDEX(tsk_FinishWD,AssignmentTable[[#This Row],[_TaskPos]])),0)</f>
        <v>0</v>
      </c>
      <c r="O99" s="32" t="n">
        <f aca="false">IF(OR(AssignmentTable[[#This Row],[Work]]=0,AssignmentTable[[#This Row],[_FinishWD]]=0),0,AssignmentTable[[#This Row],[Work]]/(AssignmentTable[[#This Row],[_FinishWD]]-AssignmentTable[[#This Row],[_StartWD]]+1))</f>
        <v>0</v>
      </c>
      <c r="P99" s="32" t="n">
        <f aca="false">AssignmentTable[[#This Row],[_WorkPerWD]]*MAX(0,AssignmentTable[[#This Row],[_StartWD]]-1)</f>
        <v>0</v>
      </c>
      <c r="Q99" s="32" t="n">
        <f aca="false">IF(AssignmentTable[[#This Row],[_Valid]]=1,AssignmentTable[[#This Row],[Work]]*N(INDEX(tsk_LeafProgress,AssignmentTable[[#This Row],[_TaskPos]])),0)</f>
        <v>0</v>
      </c>
      <c r="R99" s="32" t="n">
        <f aca="false">IF(NOT(AssignmentTable[[#This Row],[_Valid]]=1),0,IF(N(INDEX(tsk_LeafTotalCost,AssignmentTable[[#This Row],[_TaskPos]]))=0,0,N(INDEX(tsk_LeafAC,AssignmentTable[[#This Row],[_TaskPos]]))*AssignmentTable[[#This Row],[Cost]]/INDEX(tsk_LeafTotalCost,AssignmentTable[[#This Row],[_TaskPos]])))</f>
        <v>0</v>
      </c>
      <c r="S99" s="32" t="n">
        <f aca="false">IF(NOT(AssignmentTable[[#This Row],[_Valid]]=1),0,IF(N(INDEX(tsk_LateKey,AssignmentTable[[#This Row],[_TaskPos]]))&gt;0,1,0))</f>
        <v>0</v>
      </c>
      <c r="T99" s="32" t="n">
        <f aca="false">IF(NOT(AssignmentTable[[#This Row],[_Valid]]=1),0,IF(INDEX(tsk_Critical,AssignmentTable[[#This Row],[_TaskPos]])="Yes",1,0))</f>
        <v>0</v>
      </c>
      <c r="U99"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0" customFormat="false" ht="15" hidden="false" customHeight="false" outlineLevel="0" collapsed="false">
      <c r="B100" s="46"/>
      <c r="C100" s="24" t="str">
        <f aca="false">IF(AssignmentTable[[#This Row],[_TaskPos]]&lt;=0,"",INDEX(tsk_Name,AssignmentTable[[#This Row],[_TaskPos]])&amp;"")</f>
        <v/>
      </c>
      <c r="D100" s="47"/>
      <c r="E100" s="93"/>
      <c r="F100" s="110" t="n">
        <f aca="false">IF(AssignmentTable[[#This Row],[_Valid]]=1,N(INDEX(tsk_Duration,AssignmentTable[[#This Row],[_TaskPos]]))*HoursPerDay*IF(AssignmentTable[[#This Row],[Units]]="",DefaultUnits,AssignmentTable[[#This Row],[Units]]),0)</f>
        <v>0</v>
      </c>
      <c r="G100" s="111" t="n">
        <f aca="false">IF(AssignmentTable[[#This Row],[Work]]=0,0,AssignmentTable[[#This Row],[Work]]*IFERROR(INDEX(res_Rate,MATCH(AssignmentTable[[#This Row],[Resource]],res_Name,0)),0))</f>
        <v>0</v>
      </c>
      <c r="H100"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0" s="32" t="n">
        <f aca="false">IF(N(AssignmentTable[[#This Row],[Task UID]])=0,0,IFERROR(MATCH(AssignmentTable[[#This Row],[Task UID]],tsk_UID,0),-1))</f>
        <v>0</v>
      </c>
      <c r="J100" s="32" t="n">
        <f aca="false">IF(AND(AssignmentTable[[#This Row],[_TaskPos]]&gt;0,AssignmentTable[[#This Row],[Resource]]&lt;&gt;"",AssignmentTable[[#This Row],[Check]]=""),1,0)</f>
        <v>0</v>
      </c>
      <c r="K100" s="32" t="str">
        <f aca="false">IF(AssignmentTable[[#This Row],[_Valid]]=1,AssignmentTable[[#This Row],[Task UID]]*1000+COUNTIFS(AssignmentTable[[#Headers],[Task UID]]:AssignmentTable[[#This Row],[Task UID]],AssignmentTable[[#This Row],[Task UID]],AssignmentTable[[#Headers],[_Valid]]:AssignmentTable[[#This Row],[_Valid]],1),"")</f>
        <v/>
      </c>
      <c r="L100" s="32" t="str">
        <f aca="false">IF(AssignmentTable[[#This Row],[_Valid]]=1,AssignmentTable[[#This Row],[Resource]]&amp;IF(OR(AssignmentTable[[#This Row],[Units]]="",AssignmentTable[[#This Row],[Units]]=1),"","["&amp;ROUND(AssignmentTable[[#This Row],[Units]]*100,0)&amp;"%]"),"")</f>
        <v/>
      </c>
      <c r="M100" s="32" t="n">
        <f aca="false">IF(AssignmentTable[[#This Row],[_Valid]]=1,N(INDEX(tsk_StartWD,AssignmentTable[[#This Row],[_TaskPos]])),0)</f>
        <v>0</v>
      </c>
      <c r="N100" s="32" t="n">
        <f aca="false">IF(AssignmentTable[[#This Row],[_Valid]]=1,N(INDEX(tsk_FinishWD,AssignmentTable[[#This Row],[_TaskPos]])),0)</f>
        <v>0</v>
      </c>
      <c r="O100" s="32" t="n">
        <f aca="false">IF(OR(AssignmentTable[[#This Row],[Work]]=0,AssignmentTable[[#This Row],[_FinishWD]]=0),0,AssignmentTable[[#This Row],[Work]]/(AssignmentTable[[#This Row],[_FinishWD]]-AssignmentTable[[#This Row],[_StartWD]]+1))</f>
        <v>0</v>
      </c>
      <c r="P100" s="32" t="n">
        <f aca="false">AssignmentTable[[#This Row],[_WorkPerWD]]*MAX(0,AssignmentTable[[#This Row],[_StartWD]]-1)</f>
        <v>0</v>
      </c>
      <c r="Q100" s="32" t="n">
        <f aca="false">IF(AssignmentTable[[#This Row],[_Valid]]=1,AssignmentTable[[#This Row],[Work]]*N(INDEX(tsk_LeafProgress,AssignmentTable[[#This Row],[_TaskPos]])),0)</f>
        <v>0</v>
      </c>
      <c r="R100" s="32" t="n">
        <f aca="false">IF(NOT(AssignmentTable[[#This Row],[_Valid]]=1),0,IF(N(INDEX(tsk_LeafTotalCost,AssignmentTable[[#This Row],[_TaskPos]]))=0,0,N(INDEX(tsk_LeafAC,AssignmentTable[[#This Row],[_TaskPos]]))*AssignmentTable[[#This Row],[Cost]]/INDEX(tsk_LeafTotalCost,AssignmentTable[[#This Row],[_TaskPos]])))</f>
        <v>0</v>
      </c>
      <c r="S100" s="32" t="n">
        <f aca="false">IF(NOT(AssignmentTable[[#This Row],[_Valid]]=1),0,IF(N(INDEX(tsk_LateKey,AssignmentTable[[#This Row],[_TaskPos]]))&gt;0,1,0))</f>
        <v>0</v>
      </c>
      <c r="T100" s="32" t="n">
        <f aca="false">IF(NOT(AssignmentTable[[#This Row],[_Valid]]=1),0,IF(INDEX(tsk_Critical,AssignmentTable[[#This Row],[_TaskPos]])="Yes",1,0))</f>
        <v>0</v>
      </c>
      <c r="U100"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1" customFormat="false" ht="15" hidden="false" customHeight="false" outlineLevel="0" collapsed="false">
      <c r="B101" s="46"/>
      <c r="C101" s="24" t="str">
        <f aca="false">IF(AssignmentTable[[#This Row],[_TaskPos]]&lt;=0,"",INDEX(tsk_Name,AssignmentTable[[#This Row],[_TaskPos]])&amp;"")</f>
        <v/>
      </c>
      <c r="D101" s="47"/>
      <c r="E101" s="93"/>
      <c r="F101" s="110" t="n">
        <f aca="false">IF(AssignmentTable[[#This Row],[_Valid]]=1,N(INDEX(tsk_Duration,AssignmentTable[[#This Row],[_TaskPos]]))*HoursPerDay*IF(AssignmentTable[[#This Row],[Units]]="",DefaultUnits,AssignmentTable[[#This Row],[Units]]),0)</f>
        <v>0</v>
      </c>
      <c r="G101" s="111" t="n">
        <f aca="false">IF(AssignmentTable[[#This Row],[Work]]=0,0,AssignmentTable[[#This Row],[Work]]*IFERROR(INDEX(res_Rate,MATCH(AssignmentTable[[#This Row],[Resource]],res_Name,0)),0))</f>
        <v>0</v>
      </c>
      <c r="H101"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1" s="32" t="n">
        <f aca="false">IF(N(AssignmentTable[[#This Row],[Task UID]])=0,0,IFERROR(MATCH(AssignmentTable[[#This Row],[Task UID]],tsk_UID,0),-1))</f>
        <v>0</v>
      </c>
      <c r="J101" s="32" t="n">
        <f aca="false">IF(AND(AssignmentTable[[#This Row],[_TaskPos]]&gt;0,AssignmentTable[[#This Row],[Resource]]&lt;&gt;"",AssignmentTable[[#This Row],[Check]]=""),1,0)</f>
        <v>0</v>
      </c>
      <c r="K101" s="32" t="str">
        <f aca="false">IF(AssignmentTable[[#This Row],[_Valid]]=1,AssignmentTable[[#This Row],[Task UID]]*1000+COUNTIFS(AssignmentTable[[#Headers],[Task UID]]:AssignmentTable[[#This Row],[Task UID]],AssignmentTable[[#This Row],[Task UID]],AssignmentTable[[#Headers],[_Valid]]:AssignmentTable[[#This Row],[_Valid]],1),"")</f>
        <v/>
      </c>
      <c r="L101" s="32" t="str">
        <f aca="false">IF(AssignmentTable[[#This Row],[_Valid]]=1,AssignmentTable[[#This Row],[Resource]]&amp;IF(OR(AssignmentTable[[#This Row],[Units]]="",AssignmentTable[[#This Row],[Units]]=1),"","["&amp;ROUND(AssignmentTable[[#This Row],[Units]]*100,0)&amp;"%]"),"")</f>
        <v/>
      </c>
      <c r="M101" s="32" t="n">
        <f aca="false">IF(AssignmentTable[[#This Row],[_Valid]]=1,N(INDEX(tsk_StartWD,AssignmentTable[[#This Row],[_TaskPos]])),0)</f>
        <v>0</v>
      </c>
      <c r="N101" s="32" t="n">
        <f aca="false">IF(AssignmentTable[[#This Row],[_Valid]]=1,N(INDEX(tsk_FinishWD,AssignmentTable[[#This Row],[_TaskPos]])),0)</f>
        <v>0</v>
      </c>
      <c r="O101" s="32" t="n">
        <f aca="false">IF(OR(AssignmentTable[[#This Row],[Work]]=0,AssignmentTable[[#This Row],[_FinishWD]]=0),0,AssignmentTable[[#This Row],[Work]]/(AssignmentTable[[#This Row],[_FinishWD]]-AssignmentTable[[#This Row],[_StartWD]]+1))</f>
        <v>0</v>
      </c>
      <c r="P101" s="32" t="n">
        <f aca="false">AssignmentTable[[#This Row],[_WorkPerWD]]*MAX(0,AssignmentTable[[#This Row],[_StartWD]]-1)</f>
        <v>0</v>
      </c>
      <c r="Q101" s="32" t="n">
        <f aca="false">IF(AssignmentTable[[#This Row],[_Valid]]=1,AssignmentTable[[#This Row],[Work]]*N(INDEX(tsk_LeafProgress,AssignmentTable[[#This Row],[_TaskPos]])),0)</f>
        <v>0</v>
      </c>
      <c r="R101" s="32" t="n">
        <f aca="false">IF(NOT(AssignmentTable[[#This Row],[_Valid]]=1),0,IF(N(INDEX(tsk_LeafTotalCost,AssignmentTable[[#This Row],[_TaskPos]]))=0,0,N(INDEX(tsk_LeafAC,AssignmentTable[[#This Row],[_TaskPos]]))*AssignmentTable[[#This Row],[Cost]]/INDEX(tsk_LeafTotalCost,AssignmentTable[[#This Row],[_TaskPos]])))</f>
        <v>0</v>
      </c>
      <c r="S101" s="32" t="n">
        <f aca="false">IF(NOT(AssignmentTable[[#This Row],[_Valid]]=1),0,IF(N(INDEX(tsk_LateKey,AssignmentTable[[#This Row],[_TaskPos]]))&gt;0,1,0))</f>
        <v>0</v>
      </c>
      <c r="T101" s="32" t="n">
        <f aca="false">IF(NOT(AssignmentTable[[#This Row],[_Valid]]=1),0,IF(INDEX(tsk_Critical,AssignmentTable[[#This Row],[_TaskPos]])="Yes",1,0))</f>
        <v>0</v>
      </c>
      <c r="U101"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2" customFormat="false" ht="15" hidden="false" customHeight="false" outlineLevel="0" collapsed="false">
      <c r="B102" s="46"/>
      <c r="C102" s="24" t="str">
        <f aca="false">IF(AssignmentTable[[#This Row],[_TaskPos]]&lt;=0,"",INDEX(tsk_Name,AssignmentTable[[#This Row],[_TaskPos]])&amp;"")</f>
        <v/>
      </c>
      <c r="D102" s="47"/>
      <c r="E102" s="93"/>
      <c r="F102" s="110" t="n">
        <f aca="false">IF(AssignmentTable[[#This Row],[_Valid]]=1,N(INDEX(tsk_Duration,AssignmentTable[[#This Row],[_TaskPos]]))*HoursPerDay*IF(AssignmentTable[[#This Row],[Units]]="",DefaultUnits,AssignmentTable[[#This Row],[Units]]),0)</f>
        <v>0</v>
      </c>
      <c r="G102" s="111" t="n">
        <f aca="false">IF(AssignmentTable[[#This Row],[Work]]=0,0,AssignmentTable[[#This Row],[Work]]*IFERROR(INDEX(res_Rate,MATCH(AssignmentTable[[#This Row],[Resource]],res_Name,0)),0))</f>
        <v>0</v>
      </c>
      <c r="H102"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2" s="32" t="n">
        <f aca="false">IF(N(AssignmentTable[[#This Row],[Task UID]])=0,0,IFERROR(MATCH(AssignmentTable[[#This Row],[Task UID]],tsk_UID,0),-1))</f>
        <v>0</v>
      </c>
      <c r="J102" s="32" t="n">
        <f aca="false">IF(AND(AssignmentTable[[#This Row],[_TaskPos]]&gt;0,AssignmentTable[[#This Row],[Resource]]&lt;&gt;"",AssignmentTable[[#This Row],[Check]]=""),1,0)</f>
        <v>0</v>
      </c>
      <c r="K102" s="32" t="str">
        <f aca="false">IF(AssignmentTable[[#This Row],[_Valid]]=1,AssignmentTable[[#This Row],[Task UID]]*1000+COUNTIFS(AssignmentTable[[#Headers],[Task UID]]:AssignmentTable[[#This Row],[Task UID]],AssignmentTable[[#This Row],[Task UID]],AssignmentTable[[#Headers],[_Valid]]:AssignmentTable[[#This Row],[_Valid]],1),"")</f>
        <v/>
      </c>
      <c r="L102" s="32" t="str">
        <f aca="false">IF(AssignmentTable[[#This Row],[_Valid]]=1,AssignmentTable[[#This Row],[Resource]]&amp;IF(OR(AssignmentTable[[#This Row],[Units]]="",AssignmentTable[[#This Row],[Units]]=1),"","["&amp;ROUND(AssignmentTable[[#This Row],[Units]]*100,0)&amp;"%]"),"")</f>
        <v/>
      </c>
      <c r="M102" s="32" t="n">
        <f aca="false">IF(AssignmentTable[[#This Row],[_Valid]]=1,N(INDEX(tsk_StartWD,AssignmentTable[[#This Row],[_TaskPos]])),0)</f>
        <v>0</v>
      </c>
      <c r="N102" s="32" t="n">
        <f aca="false">IF(AssignmentTable[[#This Row],[_Valid]]=1,N(INDEX(tsk_FinishWD,AssignmentTable[[#This Row],[_TaskPos]])),0)</f>
        <v>0</v>
      </c>
      <c r="O102" s="32" t="n">
        <f aca="false">IF(OR(AssignmentTable[[#This Row],[Work]]=0,AssignmentTable[[#This Row],[_FinishWD]]=0),0,AssignmentTable[[#This Row],[Work]]/(AssignmentTable[[#This Row],[_FinishWD]]-AssignmentTable[[#This Row],[_StartWD]]+1))</f>
        <v>0</v>
      </c>
      <c r="P102" s="32" t="n">
        <f aca="false">AssignmentTable[[#This Row],[_WorkPerWD]]*MAX(0,AssignmentTable[[#This Row],[_StartWD]]-1)</f>
        <v>0</v>
      </c>
      <c r="Q102" s="32" t="n">
        <f aca="false">IF(AssignmentTable[[#This Row],[_Valid]]=1,AssignmentTable[[#This Row],[Work]]*N(INDEX(tsk_LeafProgress,AssignmentTable[[#This Row],[_TaskPos]])),0)</f>
        <v>0</v>
      </c>
      <c r="R102" s="32" t="n">
        <f aca="false">IF(NOT(AssignmentTable[[#This Row],[_Valid]]=1),0,IF(N(INDEX(tsk_LeafTotalCost,AssignmentTable[[#This Row],[_TaskPos]]))=0,0,N(INDEX(tsk_LeafAC,AssignmentTable[[#This Row],[_TaskPos]]))*AssignmentTable[[#This Row],[Cost]]/INDEX(tsk_LeafTotalCost,AssignmentTable[[#This Row],[_TaskPos]])))</f>
        <v>0</v>
      </c>
      <c r="S102" s="32" t="n">
        <f aca="false">IF(NOT(AssignmentTable[[#This Row],[_Valid]]=1),0,IF(N(INDEX(tsk_LateKey,AssignmentTable[[#This Row],[_TaskPos]]))&gt;0,1,0))</f>
        <v>0</v>
      </c>
      <c r="T102" s="32" t="n">
        <f aca="false">IF(NOT(AssignmentTable[[#This Row],[_Valid]]=1),0,IF(INDEX(tsk_Critical,AssignmentTable[[#This Row],[_TaskPos]])="Yes",1,0))</f>
        <v>0</v>
      </c>
      <c r="U102"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3" customFormat="false" ht="15" hidden="false" customHeight="false" outlineLevel="0" collapsed="false">
      <c r="B103" s="46"/>
      <c r="C103" s="24" t="str">
        <f aca="false">IF(AssignmentTable[[#This Row],[_TaskPos]]&lt;=0,"",INDEX(tsk_Name,AssignmentTable[[#This Row],[_TaskPos]])&amp;"")</f>
        <v/>
      </c>
      <c r="D103" s="47"/>
      <c r="E103" s="93"/>
      <c r="F103" s="110" t="n">
        <f aca="false">IF(AssignmentTable[[#This Row],[_Valid]]=1,N(INDEX(tsk_Duration,AssignmentTable[[#This Row],[_TaskPos]]))*HoursPerDay*IF(AssignmentTable[[#This Row],[Units]]="",DefaultUnits,AssignmentTable[[#This Row],[Units]]),0)</f>
        <v>0</v>
      </c>
      <c r="G103" s="111" t="n">
        <f aca="false">IF(AssignmentTable[[#This Row],[Work]]=0,0,AssignmentTable[[#This Row],[Work]]*IFERROR(INDEX(res_Rate,MATCH(AssignmentTable[[#This Row],[Resource]],res_Name,0)),0))</f>
        <v>0</v>
      </c>
      <c r="H103"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3" s="32" t="n">
        <f aca="false">IF(N(AssignmentTable[[#This Row],[Task UID]])=0,0,IFERROR(MATCH(AssignmentTable[[#This Row],[Task UID]],tsk_UID,0),-1))</f>
        <v>0</v>
      </c>
      <c r="J103" s="32" t="n">
        <f aca="false">IF(AND(AssignmentTable[[#This Row],[_TaskPos]]&gt;0,AssignmentTable[[#This Row],[Resource]]&lt;&gt;"",AssignmentTable[[#This Row],[Check]]=""),1,0)</f>
        <v>0</v>
      </c>
      <c r="K103" s="32" t="str">
        <f aca="false">IF(AssignmentTable[[#This Row],[_Valid]]=1,AssignmentTable[[#This Row],[Task UID]]*1000+COUNTIFS(AssignmentTable[[#Headers],[Task UID]]:AssignmentTable[[#This Row],[Task UID]],AssignmentTable[[#This Row],[Task UID]],AssignmentTable[[#Headers],[_Valid]]:AssignmentTable[[#This Row],[_Valid]],1),"")</f>
        <v/>
      </c>
      <c r="L103" s="32" t="str">
        <f aca="false">IF(AssignmentTable[[#This Row],[_Valid]]=1,AssignmentTable[[#This Row],[Resource]]&amp;IF(OR(AssignmentTable[[#This Row],[Units]]="",AssignmentTable[[#This Row],[Units]]=1),"","["&amp;ROUND(AssignmentTable[[#This Row],[Units]]*100,0)&amp;"%]"),"")</f>
        <v/>
      </c>
      <c r="M103" s="32" t="n">
        <f aca="false">IF(AssignmentTable[[#This Row],[_Valid]]=1,N(INDEX(tsk_StartWD,AssignmentTable[[#This Row],[_TaskPos]])),0)</f>
        <v>0</v>
      </c>
      <c r="N103" s="32" t="n">
        <f aca="false">IF(AssignmentTable[[#This Row],[_Valid]]=1,N(INDEX(tsk_FinishWD,AssignmentTable[[#This Row],[_TaskPos]])),0)</f>
        <v>0</v>
      </c>
      <c r="O103" s="32" t="n">
        <f aca="false">IF(OR(AssignmentTable[[#This Row],[Work]]=0,AssignmentTable[[#This Row],[_FinishWD]]=0),0,AssignmentTable[[#This Row],[Work]]/(AssignmentTable[[#This Row],[_FinishWD]]-AssignmentTable[[#This Row],[_StartWD]]+1))</f>
        <v>0</v>
      </c>
      <c r="P103" s="32" t="n">
        <f aca="false">AssignmentTable[[#This Row],[_WorkPerWD]]*MAX(0,AssignmentTable[[#This Row],[_StartWD]]-1)</f>
        <v>0</v>
      </c>
      <c r="Q103" s="32" t="n">
        <f aca="false">IF(AssignmentTable[[#This Row],[_Valid]]=1,AssignmentTable[[#This Row],[Work]]*N(INDEX(tsk_LeafProgress,AssignmentTable[[#This Row],[_TaskPos]])),0)</f>
        <v>0</v>
      </c>
      <c r="R103" s="32" t="n">
        <f aca="false">IF(NOT(AssignmentTable[[#This Row],[_Valid]]=1),0,IF(N(INDEX(tsk_LeafTotalCost,AssignmentTable[[#This Row],[_TaskPos]]))=0,0,N(INDEX(tsk_LeafAC,AssignmentTable[[#This Row],[_TaskPos]]))*AssignmentTable[[#This Row],[Cost]]/INDEX(tsk_LeafTotalCost,AssignmentTable[[#This Row],[_TaskPos]])))</f>
        <v>0</v>
      </c>
      <c r="S103" s="32" t="n">
        <f aca="false">IF(NOT(AssignmentTable[[#This Row],[_Valid]]=1),0,IF(N(INDEX(tsk_LateKey,AssignmentTable[[#This Row],[_TaskPos]]))&gt;0,1,0))</f>
        <v>0</v>
      </c>
      <c r="T103" s="32" t="n">
        <f aca="false">IF(NOT(AssignmentTable[[#This Row],[_Valid]]=1),0,IF(INDEX(tsk_Critical,AssignmentTable[[#This Row],[_TaskPos]])="Yes",1,0))</f>
        <v>0</v>
      </c>
      <c r="U103"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4" customFormat="false" ht="15" hidden="false" customHeight="false" outlineLevel="0" collapsed="false">
      <c r="B104" s="46"/>
      <c r="C104" s="24" t="str">
        <f aca="false">IF(AssignmentTable[[#This Row],[_TaskPos]]&lt;=0,"",INDEX(tsk_Name,AssignmentTable[[#This Row],[_TaskPos]])&amp;"")</f>
        <v/>
      </c>
      <c r="D104" s="47"/>
      <c r="E104" s="93"/>
      <c r="F104" s="110" t="n">
        <f aca="false">IF(AssignmentTable[[#This Row],[_Valid]]=1,N(INDEX(tsk_Duration,AssignmentTable[[#This Row],[_TaskPos]]))*HoursPerDay*IF(AssignmentTable[[#This Row],[Units]]="",DefaultUnits,AssignmentTable[[#This Row],[Units]]),0)</f>
        <v>0</v>
      </c>
      <c r="G104" s="111" t="n">
        <f aca="false">IF(AssignmentTable[[#This Row],[Work]]=0,0,AssignmentTable[[#This Row],[Work]]*IFERROR(INDEX(res_Rate,MATCH(AssignmentTable[[#This Row],[Resource]],res_Name,0)),0))</f>
        <v>0</v>
      </c>
      <c r="H104"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4" s="32" t="n">
        <f aca="false">IF(N(AssignmentTable[[#This Row],[Task UID]])=0,0,IFERROR(MATCH(AssignmentTable[[#This Row],[Task UID]],tsk_UID,0),-1))</f>
        <v>0</v>
      </c>
      <c r="J104" s="32" t="n">
        <f aca="false">IF(AND(AssignmentTable[[#This Row],[_TaskPos]]&gt;0,AssignmentTable[[#This Row],[Resource]]&lt;&gt;"",AssignmentTable[[#This Row],[Check]]=""),1,0)</f>
        <v>0</v>
      </c>
      <c r="K104" s="32" t="str">
        <f aca="false">IF(AssignmentTable[[#This Row],[_Valid]]=1,AssignmentTable[[#This Row],[Task UID]]*1000+COUNTIFS(AssignmentTable[[#Headers],[Task UID]]:AssignmentTable[[#This Row],[Task UID]],AssignmentTable[[#This Row],[Task UID]],AssignmentTable[[#Headers],[_Valid]]:AssignmentTable[[#This Row],[_Valid]],1),"")</f>
        <v/>
      </c>
      <c r="L104" s="32" t="str">
        <f aca="false">IF(AssignmentTable[[#This Row],[_Valid]]=1,AssignmentTable[[#This Row],[Resource]]&amp;IF(OR(AssignmentTable[[#This Row],[Units]]="",AssignmentTable[[#This Row],[Units]]=1),"","["&amp;ROUND(AssignmentTable[[#This Row],[Units]]*100,0)&amp;"%]"),"")</f>
        <v/>
      </c>
      <c r="M104" s="32" t="n">
        <f aca="false">IF(AssignmentTable[[#This Row],[_Valid]]=1,N(INDEX(tsk_StartWD,AssignmentTable[[#This Row],[_TaskPos]])),0)</f>
        <v>0</v>
      </c>
      <c r="N104" s="32" t="n">
        <f aca="false">IF(AssignmentTable[[#This Row],[_Valid]]=1,N(INDEX(tsk_FinishWD,AssignmentTable[[#This Row],[_TaskPos]])),0)</f>
        <v>0</v>
      </c>
      <c r="O104" s="32" t="n">
        <f aca="false">IF(OR(AssignmentTable[[#This Row],[Work]]=0,AssignmentTable[[#This Row],[_FinishWD]]=0),0,AssignmentTable[[#This Row],[Work]]/(AssignmentTable[[#This Row],[_FinishWD]]-AssignmentTable[[#This Row],[_StartWD]]+1))</f>
        <v>0</v>
      </c>
      <c r="P104" s="32" t="n">
        <f aca="false">AssignmentTable[[#This Row],[_WorkPerWD]]*MAX(0,AssignmentTable[[#This Row],[_StartWD]]-1)</f>
        <v>0</v>
      </c>
      <c r="Q104" s="32" t="n">
        <f aca="false">IF(AssignmentTable[[#This Row],[_Valid]]=1,AssignmentTable[[#This Row],[Work]]*N(INDEX(tsk_LeafProgress,AssignmentTable[[#This Row],[_TaskPos]])),0)</f>
        <v>0</v>
      </c>
      <c r="R104" s="32" t="n">
        <f aca="false">IF(NOT(AssignmentTable[[#This Row],[_Valid]]=1),0,IF(N(INDEX(tsk_LeafTotalCost,AssignmentTable[[#This Row],[_TaskPos]]))=0,0,N(INDEX(tsk_LeafAC,AssignmentTable[[#This Row],[_TaskPos]]))*AssignmentTable[[#This Row],[Cost]]/INDEX(tsk_LeafTotalCost,AssignmentTable[[#This Row],[_TaskPos]])))</f>
        <v>0</v>
      </c>
      <c r="S104" s="32" t="n">
        <f aca="false">IF(NOT(AssignmentTable[[#This Row],[_Valid]]=1),0,IF(N(INDEX(tsk_LateKey,AssignmentTable[[#This Row],[_TaskPos]]))&gt;0,1,0))</f>
        <v>0</v>
      </c>
      <c r="T104" s="32" t="n">
        <f aca="false">IF(NOT(AssignmentTable[[#This Row],[_Valid]]=1),0,IF(INDEX(tsk_Critical,AssignmentTable[[#This Row],[_TaskPos]])="Yes",1,0))</f>
        <v>0</v>
      </c>
      <c r="U104"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row r="105" customFormat="false" ht="15" hidden="false" customHeight="false" outlineLevel="0" collapsed="false">
      <c r="B105" s="46"/>
      <c r="C105" s="24" t="str">
        <f aca="false">IF(AssignmentTable[[#This Row],[_TaskPos]]&lt;=0,"",INDEX(tsk_Name,AssignmentTable[[#This Row],[_TaskPos]])&amp;"")</f>
        <v/>
      </c>
      <c r="D105" s="47"/>
      <c r="E105" s="93"/>
      <c r="F105" s="110" t="n">
        <f aca="false">IF(AssignmentTable[[#This Row],[_Valid]]=1,N(INDEX(tsk_Duration,AssignmentTable[[#This Row],[_TaskPos]]))*HoursPerDay*IF(AssignmentTable[[#This Row],[Units]]="",DefaultUnits,AssignmentTable[[#This Row],[Units]]),0)</f>
        <v>0</v>
      </c>
      <c r="G105" s="111" t="n">
        <f aca="false">IF(AssignmentTable[[#This Row],[Work]]=0,0,AssignmentTable[[#This Row],[Work]]*IFERROR(INDEX(res_Rate,MATCH(AssignmentTable[[#This Row],[Resource]],res_Name,0)),0))</f>
        <v>0</v>
      </c>
      <c r="H105" s="24" t="str">
        <f aca="false">IF(AND(N(AssignmentTable[[#This Row],[Task UID]])=0,AssignmentTable[[#This Row],[Resource]]=""),"",IF(N(AssignmentTable[[#This Row],[Task UID]])=0,"Enter the Task UID",IF(AssignmentTable[[#This Row],[_TaskPos]]&lt;0,"UID "&amp;AssignmentTable[[#This Row],[Task UID]]&amp;" not found",IF(INDEX(tsk_Name,AssignmentTable[[#This Row],[_TaskPos]])="","UID "&amp;AssignmentTable[[#This Row],[Task UID]]&amp;" is an empty row",IF(INDEX(tsk_IsSummary,AssignmentTable[[#This Row],[_TaskPos]]),"UID "&amp;AssignmentTable[[#This Row],[Task UID]]&amp;" is a summary: assign one of its tasks",IF(AssignmentTable[[#This Row],[Resource]]="","Enter a resource",IF(ISNA(MATCH(AssignmentTable[[#This Row],[Resource]],res_Name,0)),AssignmentTable[[#This Row],[Resource]]&amp;" is not on Resources",IF(AssignmentTable[[#This Row],[Resource]]=INDEX(tsk_Resource,AssignmentTable[[#This Row],[_TaskPos]]),"Already the task's Resource (Tasks)",IF(COUNTIFS(AssignmentTable[[#Headers],[Task UID]]:AssignmentTable[[#This Row],[Task UID]],AssignmentTable[[#This Row],[Task UID]],AssignmentTable[[#Headers],[Resource]]:AssignmentTable[[#This Row],[Resource]],AssignmentTable[[#This Row],[Resource]])&gt;1,"Listed twice","")))))))))</f>
        <v/>
      </c>
      <c r="I105" s="32" t="n">
        <f aca="false">IF(N(AssignmentTable[[#This Row],[Task UID]])=0,0,IFERROR(MATCH(AssignmentTable[[#This Row],[Task UID]],tsk_UID,0),-1))</f>
        <v>0</v>
      </c>
      <c r="J105" s="32" t="n">
        <f aca="false">IF(AND(AssignmentTable[[#This Row],[_TaskPos]]&gt;0,AssignmentTable[[#This Row],[Resource]]&lt;&gt;"",AssignmentTable[[#This Row],[Check]]=""),1,0)</f>
        <v>0</v>
      </c>
      <c r="K105" s="32" t="str">
        <f aca="false">IF(AssignmentTable[[#This Row],[_Valid]]=1,AssignmentTable[[#This Row],[Task UID]]*1000+COUNTIFS(AssignmentTable[[#Headers],[Task UID]]:AssignmentTable[[#This Row],[Task UID]],AssignmentTable[[#This Row],[Task UID]],AssignmentTable[[#Headers],[_Valid]]:AssignmentTable[[#This Row],[_Valid]],1),"")</f>
        <v/>
      </c>
      <c r="L105" s="32" t="str">
        <f aca="false">IF(AssignmentTable[[#This Row],[_Valid]]=1,AssignmentTable[[#This Row],[Resource]]&amp;IF(OR(AssignmentTable[[#This Row],[Units]]="",AssignmentTable[[#This Row],[Units]]=1),"","["&amp;ROUND(AssignmentTable[[#This Row],[Units]]*100,0)&amp;"%]"),"")</f>
        <v/>
      </c>
      <c r="M105" s="32" t="n">
        <f aca="false">IF(AssignmentTable[[#This Row],[_Valid]]=1,N(INDEX(tsk_StartWD,AssignmentTable[[#This Row],[_TaskPos]])),0)</f>
        <v>0</v>
      </c>
      <c r="N105" s="32" t="n">
        <f aca="false">IF(AssignmentTable[[#This Row],[_Valid]]=1,N(INDEX(tsk_FinishWD,AssignmentTable[[#This Row],[_TaskPos]])),0)</f>
        <v>0</v>
      </c>
      <c r="O105" s="32" t="n">
        <f aca="false">IF(OR(AssignmentTable[[#This Row],[Work]]=0,AssignmentTable[[#This Row],[_FinishWD]]=0),0,AssignmentTable[[#This Row],[Work]]/(AssignmentTable[[#This Row],[_FinishWD]]-AssignmentTable[[#This Row],[_StartWD]]+1))</f>
        <v>0</v>
      </c>
      <c r="P105" s="32" t="n">
        <f aca="false">AssignmentTable[[#This Row],[_WorkPerWD]]*MAX(0,AssignmentTable[[#This Row],[_StartWD]]-1)</f>
        <v>0</v>
      </c>
      <c r="Q105" s="32" t="n">
        <f aca="false">IF(AssignmentTable[[#This Row],[_Valid]]=1,AssignmentTable[[#This Row],[Work]]*N(INDEX(tsk_LeafProgress,AssignmentTable[[#This Row],[_TaskPos]])),0)</f>
        <v>0</v>
      </c>
      <c r="R105" s="32" t="n">
        <f aca="false">IF(NOT(AssignmentTable[[#This Row],[_Valid]]=1),0,IF(N(INDEX(tsk_LeafTotalCost,AssignmentTable[[#This Row],[_TaskPos]]))=0,0,N(INDEX(tsk_LeafAC,AssignmentTable[[#This Row],[_TaskPos]]))*AssignmentTable[[#This Row],[Cost]]/INDEX(tsk_LeafTotalCost,AssignmentTable[[#This Row],[_TaskPos]])))</f>
        <v>0</v>
      </c>
      <c r="S105" s="32" t="n">
        <f aca="false">IF(NOT(AssignmentTable[[#This Row],[_Valid]]=1),0,IF(N(INDEX(tsk_LateKey,AssignmentTable[[#This Row],[_TaskPos]]))&gt;0,1,0))</f>
        <v>0</v>
      </c>
      <c r="T105" s="32" t="n">
        <f aca="false">IF(NOT(AssignmentTable[[#This Row],[_Valid]]=1),0,IF(INDEX(tsk_Critical,AssignmentTable[[#This Row],[_TaskPos]])="Yes",1,0))</f>
        <v>0</v>
      </c>
      <c r="U105" s="32" t="str">
        <f aca="false">IF(NOT(AssignmentTable[[#This Row],[_Valid]]=1),"",IF(N(INDEX(tsk_LeafProgress,AssignmentTable[[#This Row],[_TaskPos]]))&gt;=1,"",IF(IFERROR(IF(MAX(1,(INT((INDEX(tsk_FcStart,AssignmentTable[[#This Row],[_TaskPos]])-ResourceWeekStart)/7)+1))&gt;MIN(COLUMNS(rw_Util),(INT((INDEX(tsk_FcFinish,AssignmentTable[[#This Row],[_TaskPos]])-ResourceWeekStart)/7)+1)),FALSE(),COUNTIF(INDEX(rw_Util,MATCH(AssignmentTable[[#This Row],[Resource]],res_Name,0),MAX(1,(INT((INDEX(tsk_FcStart,AssignmentTable[[#This Row],[_TaskPos]])-ResourceWeekStart)/7)+1))):INDEX(rw_Util,MATCH(AssignmentTable[[#This Row],[Resource]],res_Name,0),MIN(COLUMNS(rw_Util),(INT((INDEX(tsk_FcFinish,AssignmentTable[[#This Row],[_TaskPos]])-ResourceWeekStart)/7)+1))),"&gt;1")&gt;0),FALSE()),"Yes","")))</f>
        <v/>
      </c>
    </row>
  </sheetData>
  <conditionalFormatting sqref="H6:H105">
    <cfRule type="expression" priority="2" aboveAverage="0" equalAverage="0" bottom="0" percent="0" rank="0" text="" dxfId="49">
      <formula>$H6&lt;&gt;""</formula>
    </cfRule>
  </conditionalFormatting>
  <conditionalFormatting sqref="D6:D105">
    <cfRule type="expression" priority="3" aboveAverage="0" equalAverage="0" bottom="0" percent="0" rank="0" text="" dxfId="15">
      <formula>$U6="Yes"</formula>
    </cfRule>
  </conditionalFormatting>
  <dataValidations count="3">
    <dataValidation allowBlank="false" errorStyle="stop" operator="between" showDropDown="false" showErrorMessage="false" showInputMessage="false" sqref="D6:D105" type="list">
      <formula1>res_Name</formula1>
      <formula2>0</formula2>
    </dataValidation>
    <dataValidation allowBlank="false" errorStyle="stop" operator="greaterThanOrEqual" showDropDown="false" showErrorMessage="false" showInputMessage="false" sqref="B6:B105" type="whole">
      <formula1>1</formula1>
      <formula2>0</formula2>
    </dataValidation>
    <dataValidation allowBlank="false" errorStyle="stop" operator="between" showDropDown="false" showErrorMessage="false" showInputMessage="false" sqref="E6:E105" type="decimal">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0" width="5"/>
    <col collapsed="false" customWidth="true" hidden="false" outlineLevel="0" max="2" min="2" style="0" width="16"/>
    <col collapsed="false" customWidth="true" hidden="false" outlineLevel="0" max="3" min="3" style="0" width="14"/>
    <col collapsed="false" customWidth="true" hidden="false" outlineLevel="0" max="18" min="4" style="0" width="10"/>
    <col collapsed="false" customWidth="true" hidden="true" outlineLevel="1" max="22" min="19" style="0" width="10"/>
    <col collapsed="false" customWidth="true" hidden="false" outlineLevel="0" max="29" min="23" style="0" width="10"/>
  </cols>
  <sheetData>
    <row r="1" customFormat="false" ht="19.7" hidden="false" customHeight="false" outlineLevel="0" collapsed="false">
      <c r="A1" s="26" t="str">
        <f aca="false">ProjectName&amp;"  -  Sprint &amp; Capacity Planning"</f>
        <v>Customer Portal Implementation  -  Sprint &amp; Capacity Planning</v>
      </c>
    </row>
    <row r="2" customFormat="false" ht="15" hidden="false" customHeight="false" outlineLevel="0" collapsed="false">
      <c r="A2" s="8" t="s">
        <v>750</v>
      </c>
    </row>
    <row r="5" customFormat="false" ht="23.85" hidden="false" customHeight="false" outlineLevel="0" collapsed="false">
      <c r="A5" s="9" t="s">
        <v>420</v>
      </c>
      <c r="B5" s="9" t="s">
        <v>545</v>
      </c>
      <c r="C5" s="9" t="s">
        <v>136</v>
      </c>
      <c r="D5" s="9" t="s">
        <v>751</v>
      </c>
      <c r="E5" s="9" t="s">
        <v>752</v>
      </c>
      <c r="F5" s="44" t="s">
        <v>753</v>
      </c>
      <c r="G5" s="9" t="s">
        <v>754</v>
      </c>
      <c r="H5" s="9" t="s">
        <v>755</v>
      </c>
      <c r="I5" s="9" t="s">
        <v>65</v>
      </c>
      <c r="J5" s="9" t="s">
        <v>756</v>
      </c>
      <c r="K5" s="9" t="s">
        <v>99</v>
      </c>
      <c r="L5" s="44" t="s">
        <v>757</v>
      </c>
      <c r="M5" s="9" t="s">
        <v>758</v>
      </c>
      <c r="N5" s="9" t="s">
        <v>759</v>
      </c>
      <c r="O5" s="9" t="s">
        <v>760</v>
      </c>
      <c r="P5" s="9" t="s">
        <v>761</v>
      </c>
      <c r="Q5" s="9" t="s">
        <v>762</v>
      </c>
      <c r="R5" s="9" t="s">
        <v>763</v>
      </c>
      <c r="S5" s="31" t="s">
        <v>281</v>
      </c>
      <c r="T5" s="31" t="s">
        <v>764</v>
      </c>
      <c r="U5" s="31" t="s">
        <v>765</v>
      </c>
      <c r="V5" s="31" t="s">
        <v>766</v>
      </c>
    </row>
    <row r="6" customFormat="false" ht="15" hidden="false" customHeight="false" outlineLevel="0" collapsed="false">
      <c r="A6" s="45" t="n">
        <f aca="false">ROW()-ROW(SprintTable[[#Headers],[No]])</f>
        <v>1</v>
      </c>
      <c r="B6" s="24" t="str">
        <f aca="false">IF(SprintTable[[#This Row],[No]]&lt;=SprintCount,SprintPrefix&amp;SprintTable[[#This Row],[No]],"")</f>
        <v>Sprint 1</v>
      </c>
      <c r="C6" s="25" t="n">
        <f aca="false">Sprint1Start+(SprintTable[[#This Row],[No]]-1)*SprintLength</f>
        <v>46272</v>
      </c>
      <c r="D6" s="25" t="n">
        <f aca="false">SprintTable[[#This Row],[Start]]+SprintLength-1</f>
        <v>46285</v>
      </c>
      <c r="E6" s="45" t="n">
        <f aca="false">NETWORKDAYS.INTL(SprintTable[[#This Row],[Start]],SprintTable[[#This Row],[End]],WorkWeek,Holidays)</f>
        <v>10</v>
      </c>
      <c r="F6" s="47" t="s">
        <v>767</v>
      </c>
      <c r="G6" s="45" t="n">
        <f aca="false">IF(SprintTable[[#This Row],[Sprint]]="","",COUNTIF(tsk_Sprint,SprintTable[[#This Row],[Sprint]]))</f>
        <v>5</v>
      </c>
      <c r="H6"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78.4444444444445</v>
      </c>
      <c r="I6"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6" s="109" t="n">
        <f aca="false">IF(OR(SprintTable[[#This Row],[Sprint]]="",N(SprintTable[[#This Row],[Capacity]])=0),"",SprintTable[[#This Row],[Planned Work]]/SprintTable[[#This Row],[Capacity]])</f>
        <v>0.163425925925926</v>
      </c>
      <c r="K6" s="45" t="str">
        <f aca="false">IF(SprintTable[[#This Row],[Sprint]]="","",IF(StatusDate&gt;SprintTable[[#This Row],[End]],"Closed",IF(StatusDate&gt;=SprintTable[[#This Row],[Start]],"Active","Future")))</f>
        <v>Closed</v>
      </c>
      <c r="L6" s="96"/>
      <c r="M6" s="66" t="n">
        <f aca="false">IF(SprintTable[[#This Row],[Sprint]]="","",SUMIFS(tsk_LeafPoints,tsk_Sprint,SprintTable[[#This Row],[Sprint]]))</f>
        <v>18</v>
      </c>
      <c r="N6" s="66" t="n">
        <f aca="false">IF(OR(SprintTable[[#This Row],[Sprint]]="",SprintTable[[#This Row],[Status]]="Future"),"",SUMIFS(tsk_LeafPoints,tsk_DoneDate,"&gt;="&amp;SprintTable[[#This Row],[Start]],tsk_DoneDate,"&lt;="&amp;SprintTable[[#This Row],[End]]))</f>
        <v>5</v>
      </c>
      <c r="O6" s="135" t="n">
        <f aca="false">IF(OR(SprintTable[[#This Row],[Sprint]]="",SprintTable[[#This Row],[Status]]&lt;&gt;"Closed"),"",AVERAGE(INDEX(SprintTable[Done Points],MAX(1,SprintTable[[#This Row],[No]]-2)):INDEX(SprintTable[Done Points],SprintTable[[#This Row],[No]])))</f>
        <v>5</v>
      </c>
      <c r="P6" s="66" t="n">
        <f aca="false">IF(OR(SprintTable[[#This Row],[Sprint]]="",SprintTable[[#This Row],[Status]]="Future"),"",TotalPoints-SUMIFS(tsk_LeafPoints,tsk_DoneDate,"&lt;="&amp;MIN(SprintTable[[#This Row],[End]],StatusDate)))</f>
        <v>77</v>
      </c>
      <c r="Q6" s="66" t="n">
        <f aca="false">IF(SprintTable[[#This Row],[Sprint]]="","",TotalPoints-SUMIFS(tsk_LeafPoints,tsk_FcFinish,"&lt;="&amp;SprintTable[[#This Row],[End]]))</f>
        <v>77</v>
      </c>
      <c r="R6" s="66" t="n">
        <f aca="false">IF(SprintTable[[#This Row],[Sprint]]="","",TotalPoints*MAX(0,1-SprintTable[[#This Row],[No]]/SprintCount))</f>
        <v>75.1666666666667</v>
      </c>
      <c r="S6" s="87" t="n">
        <f aca="false">IF(SprintTable[[#This Row],[Remaining Points]]="",NA(),SprintTable[[#This Row],[Remaining Points]])</f>
        <v>77</v>
      </c>
      <c r="T6" s="32" t="n">
        <f aca="false">IFERROR(MATCH(MID("JanFebMarAprMayJunJulAugSepOctNovDec",MONTH(DATE(YEAR(SprintTable[[#This Row],[Start]]),MONTH(SprintTable[[#This Row],[Start]])+0,1))*3-2,3)&amp;"-"&amp;RIGHT(YEAR(DATE(YEAR(SprintTable[[#This Row],[Start]]),MONTH(SprintTable[[#This Row],[Start]])+0,1)),2),LeaveTable[#Headers],0),0)</f>
        <v>10</v>
      </c>
      <c r="U6" s="32" t="n">
        <f aca="false">IFERROR(MATCH(MID("JanFebMarAprMayJunJulAugSepOctNovDec",MONTH(DATE(YEAR(SprintTable[[#This Row],[Start]]),MONTH(SprintTable[[#This Row],[Start]])+1,1))*3-2,3)&amp;"-"&amp;RIGHT(YEAR(DATE(YEAR(SprintTable[[#This Row],[Start]]),MONTH(SprintTable[[#This Row],[Start]])+1,1)),2),LeaveTable[#Headers],0),0)</f>
        <v>11</v>
      </c>
      <c r="V6" s="32" t="n">
        <f aca="false">IFERROR(MATCH(MID("JanFebMarAprMayJunJulAugSepOctNovDec",MONTH(DATE(YEAR(SprintTable[[#This Row],[Start]]),MONTH(SprintTable[[#This Row],[Start]])+2,1))*3-2,3)&amp;"-"&amp;RIGHT(YEAR(DATE(YEAR(SprintTable[[#This Row],[Start]]),MONTH(SprintTable[[#This Row],[Start]])+2,1)),2),LeaveTable[#Headers],0),0)</f>
        <v>12</v>
      </c>
    </row>
    <row r="7" customFormat="false" ht="15" hidden="false" customHeight="false" outlineLevel="0" collapsed="false">
      <c r="A7" s="45" t="n">
        <f aca="false">ROW()-ROW(SprintTable[[#Headers],[No]])</f>
        <v>2</v>
      </c>
      <c r="B7" s="24" t="str">
        <f aca="false">IF(SprintTable[[#This Row],[No]]&lt;=SprintCount,SprintPrefix&amp;SprintTable[[#This Row],[No]],"")</f>
        <v>Sprint 2</v>
      </c>
      <c r="C7" s="25" t="n">
        <f aca="false">Sprint1Start+(SprintTable[[#This Row],[No]]-1)*SprintLength</f>
        <v>46286</v>
      </c>
      <c r="D7" s="25" t="n">
        <f aca="false">SprintTable[[#This Row],[Start]]+SprintLength-1</f>
        <v>46299</v>
      </c>
      <c r="E7" s="45" t="n">
        <f aca="false">NETWORKDAYS.INTL(SprintTable[[#This Row],[Start]],SprintTable[[#This Row],[End]],WorkWeek,Holidays)</f>
        <v>10</v>
      </c>
      <c r="F7" s="47" t="s">
        <v>768</v>
      </c>
      <c r="G7" s="45" t="n">
        <f aca="false">IF(SprintTable[[#This Row],[Sprint]]="","",COUNTIF(tsk_Sprint,SprintTable[[#This Row],[Sprint]]))</f>
        <v>1</v>
      </c>
      <c r="H7"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119.84126984127</v>
      </c>
      <c r="I7"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7" s="109" t="n">
        <f aca="false">IF(OR(SprintTable[[#This Row],[Sprint]]="",N(SprintTable[[#This Row],[Capacity]])=0),"",SprintTable[[#This Row],[Planned Work]]/SprintTable[[#This Row],[Capacity]])</f>
        <v>0.249669312169312</v>
      </c>
      <c r="K7" s="45" t="str">
        <f aca="false">IF(SprintTable[[#This Row],[Sprint]]="","",IF(StatusDate&gt;SprintTable[[#This Row],[End]],"Closed",IF(StatusDate&gt;=SprintTable[[#This Row],[Start]],"Active","Future")))</f>
        <v>Closed</v>
      </c>
      <c r="L7" s="96"/>
      <c r="M7" s="66" t="n">
        <f aca="false">IF(SprintTable[[#This Row],[Sprint]]="","",SUMIFS(tsk_LeafPoints,tsk_Sprint,SprintTable[[#This Row],[Sprint]]))</f>
        <v>5</v>
      </c>
      <c r="N7" s="66" t="n">
        <f aca="false">IF(OR(SprintTable[[#This Row],[Sprint]]="",SprintTable[[#This Row],[Status]]="Future"),"",SUMIFS(tsk_LeafPoints,tsk_DoneDate,"&gt;="&amp;SprintTable[[#This Row],[Start]],tsk_DoneDate,"&lt;="&amp;SprintTable[[#This Row],[End]]))</f>
        <v>13</v>
      </c>
      <c r="O7" s="135" t="n">
        <f aca="false">IF(OR(SprintTable[[#This Row],[Sprint]]="",SprintTable[[#This Row],[Status]]&lt;&gt;"Closed"),"",AVERAGE(INDEX(SprintTable[Done Points],MAX(1,SprintTable[[#This Row],[No]]-2)):INDEX(SprintTable[Done Points],SprintTable[[#This Row],[No]])))</f>
        <v>9</v>
      </c>
      <c r="P7" s="66" t="n">
        <f aca="false">IF(OR(SprintTable[[#This Row],[Sprint]]="",SprintTable[[#This Row],[Status]]="Future"),"",TotalPoints-SUMIFS(tsk_LeafPoints,tsk_DoneDate,"&lt;="&amp;MIN(SprintTable[[#This Row],[End]],StatusDate)))</f>
        <v>64</v>
      </c>
      <c r="Q7" s="66" t="n">
        <f aca="false">IF(SprintTable[[#This Row],[Sprint]]="","",TotalPoints-SUMIFS(tsk_LeafPoints,tsk_FcFinish,"&lt;="&amp;SprintTable[[#This Row],[End]]))</f>
        <v>64</v>
      </c>
      <c r="R7" s="66" t="n">
        <f aca="false">IF(SprintTable[[#This Row],[Sprint]]="","",TotalPoints*MAX(0,1-SprintTable[[#This Row],[No]]/SprintCount))</f>
        <v>68.3333333333333</v>
      </c>
      <c r="S7" s="87" t="n">
        <f aca="false">IF(SprintTable[[#This Row],[Remaining Points]]="",NA(),SprintTable[[#This Row],[Remaining Points]])</f>
        <v>64</v>
      </c>
      <c r="T7" s="32" t="n">
        <f aca="false">IFERROR(MATCH(MID("JanFebMarAprMayJunJulAugSepOctNovDec",MONTH(DATE(YEAR(SprintTable[[#This Row],[Start]]),MONTH(SprintTable[[#This Row],[Start]])+0,1))*3-2,3)&amp;"-"&amp;RIGHT(YEAR(DATE(YEAR(SprintTable[[#This Row],[Start]]),MONTH(SprintTable[[#This Row],[Start]])+0,1)),2),LeaveTable[#Headers],0),0)</f>
        <v>10</v>
      </c>
      <c r="U7" s="32" t="n">
        <f aca="false">IFERROR(MATCH(MID("JanFebMarAprMayJunJulAugSepOctNovDec",MONTH(DATE(YEAR(SprintTable[[#This Row],[Start]]),MONTH(SprintTable[[#This Row],[Start]])+1,1))*3-2,3)&amp;"-"&amp;RIGHT(YEAR(DATE(YEAR(SprintTable[[#This Row],[Start]]),MONTH(SprintTable[[#This Row],[Start]])+1,1)),2),LeaveTable[#Headers],0),0)</f>
        <v>11</v>
      </c>
      <c r="V7" s="32" t="n">
        <f aca="false">IFERROR(MATCH(MID("JanFebMarAprMayJunJulAugSepOctNovDec",MONTH(DATE(YEAR(SprintTable[[#This Row],[Start]]),MONTH(SprintTable[[#This Row],[Start]])+2,1))*3-2,3)&amp;"-"&amp;RIGHT(YEAR(DATE(YEAR(SprintTable[[#This Row],[Start]]),MONTH(SprintTable[[#This Row],[Start]])+2,1)),2),LeaveTable[#Headers],0),0)</f>
        <v>12</v>
      </c>
    </row>
    <row r="8" customFormat="false" ht="15" hidden="false" customHeight="false" outlineLevel="0" collapsed="false">
      <c r="A8" s="45" t="n">
        <f aca="false">ROW()-ROW(SprintTable[[#Headers],[No]])</f>
        <v>3</v>
      </c>
      <c r="B8" s="24" t="str">
        <f aca="false">IF(SprintTable[[#This Row],[No]]&lt;=SprintCount,SprintPrefix&amp;SprintTable[[#This Row],[No]],"")</f>
        <v>Sprint 3</v>
      </c>
      <c r="C8" s="25" t="n">
        <f aca="false">Sprint1Start+(SprintTable[[#This Row],[No]]-1)*SprintLength</f>
        <v>46300</v>
      </c>
      <c r="D8" s="25" t="n">
        <f aca="false">SprintTable[[#This Row],[Start]]+SprintLength-1</f>
        <v>46313</v>
      </c>
      <c r="E8" s="45" t="n">
        <f aca="false">NETWORKDAYS.INTL(SprintTable[[#This Row],[Start]],SprintTable[[#This Row],[End]],WorkWeek,Holidays)</f>
        <v>10</v>
      </c>
      <c r="F8" s="47" t="s">
        <v>769</v>
      </c>
      <c r="G8" s="45" t="n">
        <f aca="false">IF(SprintTable[[#This Row],[Sprint]]="","",COUNTIF(tsk_Sprint,SprintTable[[#This Row],[Sprint]]))</f>
        <v>4</v>
      </c>
      <c r="H8"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115.047619047619</v>
      </c>
      <c r="I8"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8" s="109" t="n">
        <f aca="false">IF(OR(SprintTable[[#This Row],[Sprint]]="",N(SprintTable[[#This Row],[Capacity]])=0),"",SprintTable[[#This Row],[Planned Work]]/SprintTable[[#This Row],[Capacity]])</f>
        <v>0.23968253968254</v>
      </c>
      <c r="K8" s="45" t="str">
        <f aca="false">IF(SprintTable[[#This Row],[Sprint]]="","",IF(StatusDate&gt;SprintTable[[#This Row],[End]],"Closed",IF(StatusDate&gt;=SprintTable[[#This Row],[Start]],"Active","Future")))</f>
        <v>Closed</v>
      </c>
      <c r="L8" s="96"/>
      <c r="M8" s="66" t="n">
        <f aca="false">IF(SprintTable[[#This Row],[Sprint]]="","",SUMIFS(tsk_LeafPoints,tsk_Sprint,SprintTable[[#This Row],[Sprint]]))</f>
        <v>18</v>
      </c>
      <c r="N8" s="66" t="n">
        <f aca="false">IF(OR(SprintTable[[#This Row],[Sprint]]="",SprintTable[[#This Row],[Status]]="Future"),"",SUMIFS(tsk_LeafPoints,tsk_DoneDate,"&gt;="&amp;SprintTable[[#This Row],[Start]],tsk_DoneDate,"&lt;="&amp;SprintTable[[#This Row],[End]]))</f>
        <v>15</v>
      </c>
      <c r="O8" s="135" t="n">
        <f aca="false">IF(OR(SprintTable[[#This Row],[Sprint]]="",SprintTable[[#This Row],[Status]]&lt;&gt;"Closed"),"",AVERAGE(INDEX(SprintTable[Done Points],MAX(1,SprintTable[[#This Row],[No]]-2)):INDEX(SprintTable[Done Points],SprintTable[[#This Row],[No]])))</f>
        <v>11</v>
      </c>
      <c r="P8" s="66" t="n">
        <f aca="false">IF(OR(SprintTable[[#This Row],[Sprint]]="",SprintTable[[#This Row],[Status]]="Future"),"",TotalPoints-SUMIFS(tsk_LeafPoints,tsk_DoneDate,"&lt;="&amp;MIN(SprintTable[[#This Row],[End]],StatusDate)))</f>
        <v>49</v>
      </c>
      <c r="Q8" s="66" t="n">
        <f aca="false">IF(SprintTable[[#This Row],[Sprint]]="","",TotalPoints-SUMIFS(tsk_LeafPoints,tsk_FcFinish,"&lt;="&amp;SprintTable[[#This Row],[End]]))</f>
        <v>49</v>
      </c>
      <c r="R8" s="66" t="n">
        <f aca="false">IF(SprintTable[[#This Row],[Sprint]]="","",TotalPoints*MAX(0,1-SprintTable[[#This Row],[No]]/SprintCount))</f>
        <v>61.5</v>
      </c>
      <c r="S8" s="87" t="n">
        <f aca="false">IF(SprintTable[[#This Row],[Remaining Points]]="",NA(),SprintTable[[#This Row],[Remaining Points]])</f>
        <v>49</v>
      </c>
      <c r="T8" s="32" t="n">
        <f aca="false">IFERROR(MATCH(MID("JanFebMarAprMayJunJulAugSepOctNovDec",MONTH(DATE(YEAR(SprintTable[[#This Row],[Start]]),MONTH(SprintTable[[#This Row],[Start]])+0,1))*3-2,3)&amp;"-"&amp;RIGHT(YEAR(DATE(YEAR(SprintTable[[#This Row],[Start]]),MONTH(SprintTable[[#This Row],[Start]])+0,1)),2),LeaveTable[#Headers],0),0)</f>
        <v>11</v>
      </c>
      <c r="U8" s="32" t="n">
        <f aca="false">IFERROR(MATCH(MID("JanFebMarAprMayJunJulAugSepOctNovDec",MONTH(DATE(YEAR(SprintTable[[#This Row],[Start]]),MONTH(SprintTable[[#This Row],[Start]])+1,1))*3-2,3)&amp;"-"&amp;RIGHT(YEAR(DATE(YEAR(SprintTable[[#This Row],[Start]]),MONTH(SprintTable[[#This Row],[Start]])+1,1)),2),LeaveTable[#Headers],0),0)</f>
        <v>12</v>
      </c>
      <c r="V8" s="32" t="n">
        <f aca="false">IFERROR(MATCH(MID("JanFebMarAprMayJunJulAugSepOctNovDec",MONTH(DATE(YEAR(SprintTable[[#This Row],[Start]]),MONTH(SprintTable[[#This Row],[Start]])+2,1))*3-2,3)&amp;"-"&amp;RIGHT(YEAR(DATE(YEAR(SprintTable[[#This Row],[Start]]),MONTH(SprintTable[[#This Row],[Start]])+2,1)),2),LeaveTable[#Headers],0),0)</f>
        <v>13</v>
      </c>
    </row>
    <row r="9" customFormat="false" ht="15" hidden="false" customHeight="false" outlineLevel="0" collapsed="false">
      <c r="A9" s="45" t="n">
        <f aca="false">ROW()-ROW(SprintTable[[#Headers],[No]])</f>
        <v>4</v>
      </c>
      <c r="B9" s="24" t="str">
        <f aca="false">IF(SprintTable[[#This Row],[No]]&lt;=SprintCount,SprintPrefix&amp;SprintTable[[#This Row],[No]],"")</f>
        <v>Sprint 4</v>
      </c>
      <c r="C9" s="25" t="n">
        <f aca="false">Sprint1Start+(SprintTable[[#This Row],[No]]-1)*SprintLength</f>
        <v>46314</v>
      </c>
      <c r="D9" s="25" t="n">
        <f aca="false">SprintTable[[#This Row],[Start]]+SprintLength-1</f>
        <v>46327</v>
      </c>
      <c r="E9" s="45" t="n">
        <f aca="false">NETWORKDAYS.INTL(SprintTable[[#This Row],[Start]],SprintTable[[#This Row],[End]],WorkWeek,Holidays)</f>
        <v>10</v>
      </c>
      <c r="F9" s="47" t="s">
        <v>770</v>
      </c>
      <c r="G9" s="45" t="n">
        <f aca="false">IF(SprintTable[[#This Row],[Sprint]]="","",COUNTIF(tsk_Sprint,SprintTable[[#This Row],[Sprint]]))</f>
        <v>1</v>
      </c>
      <c r="H9"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169.52380952381</v>
      </c>
      <c r="I9"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472</v>
      </c>
      <c r="J9" s="109" t="n">
        <f aca="false">IF(OR(SprintTable[[#This Row],[Sprint]]="",N(SprintTable[[#This Row],[Capacity]])=0),"",SprintTable[[#This Row],[Planned Work]]/SprintTable[[#This Row],[Capacity]])</f>
        <v>0.359160613397902</v>
      </c>
      <c r="K9" s="45" t="str">
        <f aca="false">IF(SprintTable[[#This Row],[Sprint]]="","",IF(StatusDate&gt;SprintTable[[#This Row],[End]],"Closed",IF(StatusDate&gt;=SprintTable[[#This Row],[Start]],"Active","Future")))</f>
        <v>Active</v>
      </c>
      <c r="L9" s="96"/>
      <c r="M9" s="66" t="n">
        <f aca="false">IF(SprintTable[[#This Row],[Sprint]]="","",SUMIFS(tsk_LeafPoints,tsk_Sprint,SprintTable[[#This Row],[Sprint]]))</f>
        <v>8</v>
      </c>
      <c r="N9" s="66" t="n">
        <f aca="false">IF(OR(SprintTable[[#This Row],[Sprint]]="",SprintTable[[#This Row],[Status]]="Future"),"",SUMIFS(tsk_LeafPoints,tsk_DoneDate,"&gt;="&amp;SprintTable[[#This Row],[Start]],tsk_DoneDate,"&lt;="&amp;SprintTable[[#This Row],[End]]))</f>
        <v>0</v>
      </c>
      <c r="O9" s="135" t="str">
        <f aca="false">IF(OR(SprintTable[[#This Row],[Sprint]]="",SprintTable[[#This Row],[Status]]&lt;&gt;"Closed"),"",AVERAGE(INDEX(SprintTable[Done Points],MAX(1,SprintTable[[#This Row],[No]]-2)):INDEX(SprintTable[Done Points],SprintTable[[#This Row],[No]])))</f>
        <v/>
      </c>
      <c r="P9" s="66" t="n">
        <f aca="false">IF(OR(SprintTable[[#This Row],[Sprint]]="",SprintTable[[#This Row],[Status]]="Future"),"",TotalPoints-SUMIFS(tsk_LeafPoints,tsk_DoneDate,"&lt;="&amp;MIN(SprintTable[[#This Row],[End]],StatusDate)))</f>
        <v>49</v>
      </c>
      <c r="Q9" s="66" t="n">
        <f aca="false">IF(SprintTable[[#This Row],[Sprint]]="","",TotalPoints-SUMIFS(tsk_LeafPoints,tsk_FcFinish,"&lt;="&amp;SprintTable[[#This Row],[End]]))</f>
        <v>41</v>
      </c>
      <c r="R9" s="66" t="n">
        <f aca="false">IF(SprintTable[[#This Row],[Sprint]]="","",TotalPoints*MAX(0,1-SprintTable[[#This Row],[No]]/SprintCount))</f>
        <v>54.6666666666667</v>
      </c>
      <c r="S9" s="87" t="n">
        <f aca="false">IF(SprintTable[[#This Row],[Remaining Points]]="",NA(),SprintTable[[#This Row],[Remaining Points]])</f>
        <v>49</v>
      </c>
      <c r="T9" s="32" t="n">
        <f aca="false">IFERROR(MATCH(MID("JanFebMarAprMayJunJulAugSepOctNovDec",MONTH(DATE(YEAR(SprintTable[[#This Row],[Start]]),MONTH(SprintTable[[#This Row],[Start]])+0,1))*3-2,3)&amp;"-"&amp;RIGHT(YEAR(DATE(YEAR(SprintTable[[#This Row],[Start]]),MONTH(SprintTable[[#This Row],[Start]])+0,1)),2),LeaveTable[#Headers],0),0)</f>
        <v>11</v>
      </c>
      <c r="U9" s="32" t="n">
        <f aca="false">IFERROR(MATCH(MID("JanFebMarAprMayJunJulAugSepOctNovDec",MONTH(DATE(YEAR(SprintTable[[#This Row],[Start]]),MONTH(SprintTable[[#This Row],[Start]])+1,1))*3-2,3)&amp;"-"&amp;RIGHT(YEAR(DATE(YEAR(SprintTable[[#This Row],[Start]]),MONTH(SprintTable[[#This Row],[Start]])+1,1)),2),LeaveTable[#Headers],0),0)</f>
        <v>12</v>
      </c>
      <c r="V9" s="32" t="n">
        <f aca="false">IFERROR(MATCH(MID("JanFebMarAprMayJunJulAugSepOctNovDec",MONTH(DATE(YEAR(SprintTable[[#This Row],[Start]]),MONTH(SprintTable[[#This Row],[Start]])+2,1))*3-2,3)&amp;"-"&amp;RIGHT(YEAR(DATE(YEAR(SprintTable[[#This Row],[Start]]),MONTH(SprintTable[[#This Row],[Start]])+2,1)),2),LeaveTable[#Headers],0),0)</f>
        <v>13</v>
      </c>
    </row>
    <row r="10" customFormat="false" ht="15" hidden="false" customHeight="false" outlineLevel="0" collapsed="false">
      <c r="A10" s="45" t="n">
        <f aca="false">ROW()-ROW(SprintTable[[#Headers],[No]])</f>
        <v>5</v>
      </c>
      <c r="B10" s="24" t="str">
        <f aca="false">IF(SprintTable[[#This Row],[No]]&lt;=SprintCount,SprintPrefix&amp;SprintTable[[#This Row],[No]],"")</f>
        <v>Sprint 5</v>
      </c>
      <c r="C10" s="25" t="n">
        <f aca="false">Sprint1Start+(SprintTable[[#This Row],[No]]-1)*SprintLength</f>
        <v>46328</v>
      </c>
      <c r="D10" s="25" t="n">
        <f aca="false">SprintTable[[#This Row],[Start]]+SprintLength-1</f>
        <v>46341</v>
      </c>
      <c r="E10" s="45" t="n">
        <f aca="false">NETWORKDAYS.INTL(SprintTable[[#This Row],[Start]],SprintTable[[#This Row],[End]],WorkWeek,Holidays)</f>
        <v>10</v>
      </c>
      <c r="F10" s="47" t="s">
        <v>771</v>
      </c>
      <c r="G10" s="45" t="n">
        <f aca="false">IF(SprintTable[[#This Row],[Sprint]]="","",COUNTIF(tsk_Sprint,SprintTable[[#This Row],[Sprint]]))</f>
        <v>5</v>
      </c>
      <c r="H10"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157.142857142857</v>
      </c>
      <c r="I10"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476</v>
      </c>
      <c r="J10" s="109" t="n">
        <f aca="false">IF(OR(SprintTable[[#This Row],[Sprint]]="",N(SprintTable[[#This Row],[Capacity]])=0),"",SprintTable[[#This Row],[Planned Work]]/SprintTable[[#This Row],[Capacity]])</f>
        <v>0.330132052821129</v>
      </c>
      <c r="K10" s="45" t="str">
        <f aca="false">IF(SprintTable[[#This Row],[Sprint]]="","",IF(StatusDate&gt;SprintTable[[#This Row],[End]],"Closed",IF(StatusDate&gt;=SprintTable[[#This Row],[Start]],"Active","Future")))</f>
        <v>Future</v>
      </c>
      <c r="L10" s="96"/>
      <c r="M10" s="66" t="n">
        <f aca="false">IF(SprintTable[[#This Row],[Sprint]]="","",SUMIFS(tsk_LeafPoints,tsk_Sprint,SprintTable[[#This Row],[Sprint]]))</f>
        <v>19</v>
      </c>
      <c r="N10" s="66" t="str">
        <f aca="false">IF(OR(SprintTable[[#This Row],[Sprint]]="",SprintTable[[#This Row],[Status]]="Future"),"",SUMIFS(tsk_LeafPoints,tsk_DoneDate,"&gt;="&amp;SprintTable[[#This Row],[Start]],tsk_DoneDate,"&lt;="&amp;SprintTable[[#This Row],[End]]))</f>
        <v/>
      </c>
      <c r="O10" s="135" t="str">
        <f aca="false">IF(OR(SprintTable[[#This Row],[Sprint]]="",SprintTable[[#This Row],[Status]]&lt;&gt;"Closed"),"",AVERAGE(INDEX(SprintTable[Done Points],MAX(1,SprintTable[[#This Row],[No]]-2)):INDEX(SprintTable[Done Points],SprintTable[[#This Row],[No]])))</f>
        <v/>
      </c>
      <c r="P10" s="66" t="str">
        <f aca="false">IF(OR(SprintTable[[#This Row],[Sprint]]="",SprintTable[[#This Row],[Status]]="Future"),"",TotalPoints-SUMIFS(tsk_LeafPoints,tsk_DoneDate,"&lt;="&amp;MIN(SprintTable[[#This Row],[End]],StatusDate)))</f>
        <v/>
      </c>
      <c r="Q10" s="66" t="n">
        <f aca="false">IF(SprintTable[[#This Row],[Sprint]]="","",TotalPoints-SUMIFS(tsk_LeafPoints,tsk_FcFinish,"&lt;="&amp;SprintTable[[#This Row],[End]]))</f>
        <v>25</v>
      </c>
      <c r="R10" s="66" t="n">
        <f aca="false">IF(SprintTable[[#This Row],[Sprint]]="","",TotalPoints*MAX(0,1-SprintTable[[#This Row],[No]]/SprintCount))</f>
        <v>47.8333333333333</v>
      </c>
      <c r="S10" s="32" t="e">
        <f aca="false">IF(SprintTable[[#This Row],[Remaining Points]]="",NA(),SprintTable[[#This Row],[Remaining Points]])</f>
        <v>#N/A</v>
      </c>
      <c r="T10" s="32" t="n">
        <f aca="false">IFERROR(MATCH(MID("JanFebMarAprMayJunJulAugSepOctNovDec",MONTH(DATE(YEAR(SprintTable[[#This Row],[Start]]),MONTH(SprintTable[[#This Row],[Start]])+0,1))*3-2,3)&amp;"-"&amp;RIGHT(YEAR(DATE(YEAR(SprintTable[[#This Row],[Start]]),MONTH(SprintTable[[#This Row],[Start]])+0,1)),2),LeaveTable[#Headers],0),0)</f>
        <v>12</v>
      </c>
      <c r="U10" s="32" t="n">
        <f aca="false">IFERROR(MATCH(MID("JanFebMarAprMayJunJulAugSepOctNovDec",MONTH(DATE(YEAR(SprintTable[[#This Row],[Start]]),MONTH(SprintTable[[#This Row],[Start]])+1,1))*3-2,3)&amp;"-"&amp;RIGHT(YEAR(DATE(YEAR(SprintTable[[#This Row],[Start]]),MONTH(SprintTable[[#This Row],[Start]])+1,1)),2),LeaveTable[#Headers],0),0)</f>
        <v>13</v>
      </c>
      <c r="V10" s="32" t="n">
        <f aca="false">IFERROR(MATCH(MID("JanFebMarAprMayJunJulAugSepOctNovDec",MONTH(DATE(YEAR(SprintTable[[#This Row],[Start]]),MONTH(SprintTable[[#This Row],[Start]])+2,1))*3-2,3)&amp;"-"&amp;RIGHT(YEAR(DATE(YEAR(SprintTable[[#This Row],[Start]]),MONTH(SprintTable[[#This Row],[Start]])+2,1)),2),LeaveTable[#Headers],0),0)</f>
        <v>14</v>
      </c>
    </row>
    <row r="11" customFormat="false" ht="15" hidden="false" customHeight="false" outlineLevel="0" collapsed="false">
      <c r="A11" s="45" t="n">
        <f aca="false">ROW()-ROW(SprintTable[[#Headers],[No]])</f>
        <v>6</v>
      </c>
      <c r="B11" s="24" t="str">
        <f aca="false">IF(SprintTable[[#This Row],[No]]&lt;=SprintCount,SprintPrefix&amp;SprintTable[[#This Row],[No]],"")</f>
        <v>Sprint 6</v>
      </c>
      <c r="C11" s="25" t="n">
        <f aca="false">Sprint1Start+(SprintTable[[#This Row],[No]]-1)*SprintLength</f>
        <v>46342</v>
      </c>
      <c r="D11" s="25" t="n">
        <f aca="false">SprintTable[[#This Row],[Start]]+SprintLength-1</f>
        <v>46355</v>
      </c>
      <c r="E11" s="45" t="n">
        <f aca="false">NETWORKDAYS.INTL(SprintTable[[#This Row],[Start]],SprintTable[[#This Row],[End]],WorkWeek,Holidays)</f>
        <v>10</v>
      </c>
      <c r="F11" s="47" t="s">
        <v>772</v>
      </c>
      <c r="G11" s="45" t="n">
        <f aca="false">IF(SprintTable[[#This Row],[Sprint]]="","",COUNTIF(tsk_Sprint,SprintTable[[#This Row],[Sprint]]))</f>
        <v>1</v>
      </c>
      <c r="H11"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68</v>
      </c>
      <c r="I11"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404</v>
      </c>
      <c r="J11" s="109" t="n">
        <f aca="false">IF(OR(SprintTable[[#This Row],[Sprint]]="",N(SprintTable[[#This Row],[Capacity]])=0),"",SprintTable[[#This Row],[Planned Work]]/SprintTable[[#This Row],[Capacity]])</f>
        <v>0.168316831683168</v>
      </c>
      <c r="K11" s="45" t="str">
        <f aca="false">IF(SprintTable[[#This Row],[Sprint]]="","",IF(StatusDate&gt;SprintTable[[#This Row],[End]],"Closed",IF(StatusDate&gt;=SprintTable[[#This Row],[Start]],"Active","Future")))</f>
        <v>Future</v>
      </c>
      <c r="L11" s="96"/>
      <c r="M11" s="66" t="n">
        <f aca="false">IF(SprintTable[[#This Row],[Sprint]]="","",SUMIFS(tsk_LeafPoints,tsk_Sprint,SprintTable[[#This Row],[Sprint]]))</f>
        <v>1</v>
      </c>
      <c r="N11" s="66" t="str">
        <f aca="false">IF(OR(SprintTable[[#This Row],[Sprint]]="",SprintTable[[#This Row],[Status]]="Future"),"",SUMIFS(tsk_LeafPoints,tsk_DoneDate,"&gt;="&amp;SprintTable[[#This Row],[Start]],tsk_DoneDate,"&lt;="&amp;SprintTable[[#This Row],[End]]))</f>
        <v/>
      </c>
      <c r="O11" s="135" t="str">
        <f aca="false">IF(OR(SprintTable[[#This Row],[Sprint]]="",SprintTable[[#This Row],[Status]]&lt;&gt;"Closed"),"",AVERAGE(INDEX(SprintTable[Done Points],MAX(1,SprintTable[[#This Row],[No]]-2)):INDEX(SprintTable[Done Points],SprintTable[[#This Row],[No]])))</f>
        <v/>
      </c>
      <c r="P11" s="66" t="str">
        <f aca="false">IF(OR(SprintTable[[#This Row],[Sprint]]="",SprintTable[[#This Row],[Status]]="Future"),"",TotalPoints-SUMIFS(tsk_LeafPoints,tsk_DoneDate,"&lt;="&amp;MIN(SprintTable[[#This Row],[End]],StatusDate)))</f>
        <v/>
      </c>
      <c r="Q11" s="66" t="n">
        <f aca="false">IF(SprintTable[[#This Row],[Sprint]]="","",TotalPoints-SUMIFS(tsk_LeafPoints,tsk_FcFinish,"&lt;="&amp;SprintTable[[#This Row],[End]]))</f>
        <v>13</v>
      </c>
      <c r="R11" s="66" t="n">
        <f aca="false">IF(SprintTable[[#This Row],[Sprint]]="","",TotalPoints*MAX(0,1-SprintTable[[#This Row],[No]]/SprintCount))</f>
        <v>41</v>
      </c>
      <c r="S11" s="32" t="e">
        <f aca="false">IF(SprintTable[[#This Row],[Remaining Points]]="",NA(),SprintTable[[#This Row],[Remaining Points]])</f>
        <v>#N/A</v>
      </c>
      <c r="T11" s="32" t="n">
        <f aca="false">IFERROR(MATCH(MID("JanFebMarAprMayJunJulAugSepOctNovDec",MONTH(DATE(YEAR(SprintTable[[#This Row],[Start]]),MONTH(SprintTable[[#This Row],[Start]])+0,1))*3-2,3)&amp;"-"&amp;RIGHT(YEAR(DATE(YEAR(SprintTable[[#This Row],[Start]]),MONTH(SprintTable[[#This Row],[Start]])+0,1)),2),LeaveTable[#Headers],0),0)</f>
        <v>12</v>
      </c>
      <c r="U11" s="32" t="n">
        <f aca="false">IFERROR(MATCH(MID("JanFebMarAprMayJunJulAugSepOctNovDec",MONTH(DATE(YEAR(SprintTable[[#This Row],[Start]]),MONTH(SprintTable[[#This Row],[Start]])+1,1))*3-2,3)&amp;"-"&amp;RIGHT(YEAR(DATE(YEAR(SprintTable[[#This Row],[Start]]),MONTH(SprintTable[[#This Row],[Start]])+1,1)),2),LeaveTable[#Headers],0),0)</f>
        <v>13</v>
      </c>
      <c r="V11" s="32" t="n">
        <f aca="false">IFERROR(MATCH(MID("JanFebMarAprMayJunJulAugSepOctNovDec",MONTH(DATE(YEAR(SprintTable[[#This Row],[Start]]),MONTH(SprintTable[[#This Row],[Start]])+2,1))*3-2,3)&amp;"-"&amp;RIGHT(YEAR(DATE(YEAR(SprintTable[[#This Row],[Start]]),MONTH(SprintTable[[#This Row],[Start]])+2,1)),2),LeaveTable[#Headers],0),0)</f>
        <v>14</v>
      </c>
    </row>
    <row r="12" customFormat="false" ht="15" hidden="false" customHeight="false" outlineLevel="0" collapsed="false">
      <c r="A12" s="45" t="n">
        <f aca="false">ROW()-ROW(SprintTable[[#Headers],[No]])</f>
        <v>7</v>
      </c>
      <c r="B12" s="24" t="str">
        <f aca="false">IF(SprintTable[[#This Row],[No]]&lt;=SprintCount,SprintPrefix&amp;SprintTable[[#This Row],[No]],"")</f>
        <v>Sprint 7</v>
      </c>
      <c r="C12" s="25" t="n">
        <f aca="false">Sprint1Start+(SprintTable[[#This Row],[No]]-1)*SprintLength</f>
        <v>46356</v>
      </c>
      <c r="D12" s="25" t="n">
        <f aca="false">SprintTable[[#This Row],[Start]]+SprintLength-1</f>
        <v>46369</v>
      </c>
      <c r="E12" s="45" t="n">
        <f aca="false">NETWORKDAYS.INTL(SprintTable[[#This Row],[Start]],SprintTable[[#This Row],[End]],WorkWeek,Holidays)</f>
        <v>10</v>
      </c>
      <c r="F12" s="47" t="s">
        <v>773</v>
      </c>
      <c r="G12" s="45" t="n">
        <f aca="false">IF(SprintTable[[#This Row],[Sprint]]="","",COUNTIF(tsk_Sprint,SprintTable[[#This Row],[Sprint]]))</f>
        <v>1</v>
      </c>
      <c r="H12"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80</v>
      </c>
      <c r="I12"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12" s="109" t="n">
        <f aca="false">IF(OR(SprintTable[[#This Row],[Sprint]]="",N(SprintTable[[#This Row],[Capacity]])=0),"",SprintTable[[#This Row],[Planned Work]]/SprintTable[[#This Row],[Capacity]])</f>
        <v>0.166666666666667</v>
      </c>
      <c r="K12" s="45" t="str">
        <f aca="false">IF(SprintTable[[#This Row],[Sprint]]="","",IF(StatusDate&gt;SprintTable[[#This Row],[End]],"Closed",IF(StatusDate&gt;=SprintTable[[#This Row],[Start]],"Active","Future")))</f>
        <v>Future</v>
      </c>
      <c r="L12" s="96"/>
      <c r="M12" s="66" t="n">
        <f aca="false">IF(SprintTable[[#This Row],[Sprint]]="","",SUMIFS(tsk_LeafPoints,tsk_Sprint,SprintTable[[#This Row],[Sprint]]))</f>
        <v>5</v>
      </c>
      <c r="N12" s="66" t="str">
        <f aca="false">IF(OR(SprintTable[[#This Row],[Sprint]]="",SprintTable[[#This Row],[Status]]="Future"),"",SUMIFS(tsk_LeafPoints,tsk_DoneDate,"&gt;="&amp;SprintTable[[#This Row],[Start]],tsk_DoneDate,"&lt;="&amp;SprintTable[[#This Row],[End]]))</f>
        <v/>
      </c>
      <c r="O12" s="135" t="str">
        <f aca="false">IF(OR(SprintTable[[#This Row],[Sprint]]="",SprintTable[[#This Row],[Status]]&lt;&gt;"Closed"),"",AVERAGE(INDEX(SprintTable[Done Points],MAX(1,SprintTable[[#This Row],[No]]-2)):INDEX(SprintTable[Done Points],SprintTable[[#This Row],[No]])))</f>
        <v/>
      </c>
      <c r="P12" s="66" t="str">
        <f aca="false">IF(OR(SprintTable[[#This Row],[Sprint]]="",SprintTable[[#This Row],[Status]]="Future"),"",TotalPoints-SUMIFS(tsk_LeafPoints,tsk_DoneDate,"&lt;="&amp;MIN(SprintTable[[#This Row],[End]],StatusDate)))</f>
        <v/>
      </c>
      <c r="Q12" s="66" t="n">
        <f aca="false">IF(SprintTable[[#This Row],[Sprint]]="","",TotalPoints-SUMIFS(tsk_LeafPoints,tsk_FcFinish,"&lt;="&amp;SprintTable[[#This Row],[End]]))</f>
        <v>13</v>
      </c>
      <c r="R12" s="66" t="n">
        <f aca="false">IF(SprintTable[[#This Row],[Sprint]]="","",TotalPoints*MAX(0,1-SprintTable[[#This Row],[No]]/SprintCount))</f>
        <v>34.1666666666667</v>
      </c>
      <c r="S12" s="32" t="e">
        <f aca="false">IF(SprintTable[[#This Row],[Remaining Points]]="",NA(),SprintTable[[#This Row],[Remaining Points]])</f>
        <v>#N/A</v>
      </c>
      <c r="T12" s="32" t="n">
        <f aca="false">IFERROR(MATCH(MID("JanFebMarAprMayJunJulAugSepOctNovDec",MONTH(DATE(YEAR(SprintTable[[#This Row],[Start]]),MONTH(SprintTable[[#This Row],[Start]])+0,1))*3-2,3)&amp;"-"&amp;RIGHT(YEAR(DATE(YEAR(SprintTable[[#This Row],[Start]]),MONTH(SprintTable[[#This Row],[Start]])+0,1)),2),LeaveTable[#Headers],0),0)</f>
        <v>12</v>
      </c>
      <c r="U12" s="32" t="n">
        <f aca="false">IFERROR(MATCH(MID("JanFebMarAprMayJunJulAugSepOctNovDec",MONTH(DATE(YEAR(SprintTable[[#This Row],[Start]]),MONTH(SprintTable[[#This Row],[Start]])+1,1))*3-2,3)&amp;"-"&amp;RIGHT(YEAR(DATE(YEAR(SprintTable[[#This Row],[Start]]),MONTH(SprintTable[[#This Row],[Start]])+1,1)),2),LeaveTable[#Headers],0),0)</f>
        <v>13</v>
      </c>
      <c r="V12" s="32" t="n">
        <f aca="false">IFERROR(MATCH(MID("JanFebMarAprMayJunJulAugSepOctNovDec",MONTH(DATE(YEAR(SprintTable[[#This Row],[Start]]),MONTH(SprintTable[[#This Row],[Start]])+2,1))*3-2,3)&amp;"-"&amp;RIGHT(YEAR(DATE(YEAR(SprintTable[[#This Row],[Start]]),MONTH(SprintTable[[#This Row],[Start]])+2,1)),2),LeaveTable[#Headers],0),0)</f>
        <v>14</v>
      </c>
    </row>
    <row r="13" customFormat="false" ht="15" hidden="false" customHeight="false" outlineLevel="0" collapsed="false">
      <c r="A13" s="45" t="n">
        <f aca="false">ROW()-ROW(SprintTable[[#Headers],[No]])</f>
        <v>8</v>
      </c>
      <c r="B13" s="24" t="str">
        <f aca="false">IF(SprintTable[[#This Row],[No]]&lt;=SprintCount,SprintPrefix&amp;SprintTable[[#This Row],[No]],"")</f>
        <v>Sprint 8</v>
      </c>
      <c r="C13" s="25" t="n">
        <f aca="false">Sprint1Start+(SprintTable[[#This Row],[No]]-1)*SprintLength</f>
        <v>46370</v>
      </c>
      <c r="D13" s="25" t="n">
        <f aca="false">SprintTable[[#This Row],[Start]]+SprintLength-1</f>
        <v>46383</v>
      </c>
      <c r="E13" s="45" t="n">
        <f aca="false">NETWORKDAYS.INTL(SprintTable[[#This Row],[Start]],SprintTable[[#This Row],[End]],WorkWeek,Holidays)</f>
        <v>8</v>
      </c>
      <c r="F13" s="47" t="s">
        <v>774</v>
      </c>
      <c r="G13" s="45" t="n">
        <f aca="false">IF(SprintTable[[#This Row],[Sprint]]="","",COUNTIF(tsk_Sprint,SprintTable[[#This Row],[Sprint]]))</f>
        <v>3</v>
      </c>
      <c r="H13"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48</v>
      </c>
      <c r="I13"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364</v>
      </c>
      <c r="J13" s="109" t="n">
        <f aca="false">IF(OR(SprintTable[[#This Row],[Sprint]]="",N(SprintTable[[#This Row],[Capacity]])=0),"",SprintTable[[#This Row],[Planned Work]]/SprintTable[[#This Row],[Capacity]])</f>
        <v>0.131868131868132</v>
      </c>
      <c r="K13" s="45" t="str">
        <f aca="false">IF(SprintTable[[#This Row],[Sprint]]="","",IF(StatusDate&gt;SprintTable[[#This Row],[End]],"Closed",IF(StatusDate&gt;=SprintTable[[#This Row],[Start]],"Active","Future")))</f>
        <v>Future</v>
      </c>
      <c r="L13" s="96"/>
      <c r="M13" s="66" t="n">
        <f aca="false">IF(SprintTable[[#This Row],[Sprint]]="","",SUMIFS(tsk_LeafPoints,tsk_Sprint,SprintTable[[#This Row],[Sprint]]))</f>
        <v>6</v>
      </c>
      <c r="N13" s="66" t="str">
        <f aca="false">IF(OR(SprintTable[[#This Row],[Sprint]]="",SprintTable[[#This Row],[Status]]="Future"),"",SUMIFS(tsk_LeafPoints,tsk_DoneDate,"&gt;="&amp;SprintTable[[#This Row],[Start]],tsk_DoneDate,"&lt;="&amp;SprintTable[[#This Row],[End]]))</f>
        <v/>
      </c>
      <c r="O13" s="135" t="str">
        <f aca="false">IF(OR(SprintTable[[#This Row],[Sprint]]="",SprintTable[[#This Row],[Status]]&lt;&gt;"Closed"),"",AVERAGE(INDEX(SprintTable[Done Points],MAX(1,SprintTable[[#This Row],[No]]-2)):INDEX(SprintTable[Done Points],SprintTable[[#This Row],[No]])))</f>
        <v/>
      </c>
      <c r="P13" s="66" t="str">
        <f aca="false">IF(OR(SprintTable[[#This Row],[Sprint]]="",SprintTable[[#This Row],[Status]]="Future"),"",TotalPoints-SUMIFS(tsk_LeafPoints,tsk_DoneDate,"&lt;="&amp;MIN(SprintTable[[#This Row],[End]],StatusDate)))</f>
        <v/>
      </c>
      <c r="Q13" s="66" t="n">
        <f aca="false">IF(SprintTable[[#This Row],[Sprint]]="","",TotalPoints-SUMIFS(tsk_LeafPoints,tsk_FcFinish,"&lt;="&amp;SprintTable[[#This Row],[End]]))</f>
        <v>7</v>
      </c>
      <c r="R13" s="66" t="n">
        <f aca="false">IF(SprintTable[[#This Row],[Sprint]]="","",TotalPoints*MAX(0,1-SprintTable[[#This Row],[No]]/SprintCount))</f>
        <v>27.3333333333333</v>
      </c>
      <c r="S13" s="32" t="e">
        <f aca="false">IF(SprintTable[[#This Row],[Remaining Points]]="",NA(),SprintTable[[#This Row],[Remaining Points]])</f>
        <v>#N/A</v>
      </c>
      <c r="T13" s="32" t="n">
        <f aca="false">IFERROR(MATCH(MID("JanFebMarAprMayJunJulAugSepOctNovDec",MONTH(DATE(YEAR(SprintTable[[#This Row],[Start]]),MONTH(SprintTable[[#This Row],[Start]])+0,1))*3-2,3)&amp;"-"&amp;RIGHT(YEAR(DATE(YEAR(SprintTable[[#This Row],[Start]]),MONTH(SprintTable[[#This Row],[Start]])+0,1)),2),LeaveTable[#Headers],0),0)</f>
        <v>13</v>
      </c>
      <c r="U13" s="32" t="n">
        <f aca="false">IFERROR(MATCH(MID("JanFebMarAprMayJunJulAugSepOctNovDec",MONTH(DATE(YEAR(SprintTable[[#This Row],[Start]]),MONTH(SprintTable[[#This Row],[Start]])+1,1))*3-2,3)&amp;"-"&amp;RIGHT(YEAR(DATE(YEAR(SprintTable[[#This Row],[Start]]),MONTH(SprintTable[[#This Row],[Start]])+1,1)),2),LeaveTable[#Headers],0),0)</f>
        <v>14</v>
      </c>
      <c r="V13" s="32" t="n">
        <f aca="false">IFERROR(MATCH(MID("JanFebMarAprMayJunJulAugSepOctNovDec",MONTH(DATE(YEAR(SprintTable[[#This Row],[Start]]),MONTH(SprintTable[[#This Row],[Start]])+2,1))*3-2,3)&amp;"-"&amp;RIGHT(YEAR(DATE(YEAR(SprintTable[[#This Row],[Start]]),MONTH(SprintTable[[#This Row],[Start]])+2,1)),2),LeaveTable[#Headers],0),0)</f>
        <v>15</v>
      </c>
    </row>
    <row r="14" customFormat="false" ht="15" hidden="false" customHeight="false" outlineLevel="0" collapsed="false">
      <c r="A14" s="45" t="n">
        <f aca="false">ROW()-ROW(SprintTable[[#Headers],[No]])</f>
        <v>9</v>
      </c>
      <c r="B14" s="24" t="str">
        <f aca="false">IF(SprintTable[[#This Row],[No]]&lt;=SprintCount,SprintPrefix&amp;SprintTable[[#This Row],[No]],"")</f>
        <v>Sprint 9</v>
      </c>
      <c r="C14" s="25" t="n">
        <f aca="false">Sprint1Start+(SprintTable[[#This Row],[No]]-1)*SprintLength</f>
        <v>46384</v>
      </c>
      <c r="D14" s="25" t="n">
        <f aca="false">SprintTable[[#This Row],[Start]]+SprintLength-1</f>
        <v>46397</v>
      </c>
      <c r="E14" s="45" t="n">
        <f aca="false">NETWORKDAYS.INTL(SprintTable[[#This Row],[Start]],SprintTable[[#This Row],[End]],WorkWeek,Holidays)</f>
        <v>8</v>
      </c>
      <c r="F14" s="47" t="s">
        <v>775</v>
      </c>
      <c r="G14" s="45" t="n">
        <f aca="false">IF(SprintTable[[#This Row],[Sprint]]="","",COUNTIF(tsk_Sprint,SprintTable[[#This Row],[Sprint]]))</f>
        <v>2</v>
      </c>
      <c r="H14"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32</v>
      </c>
      <c r="I14"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360</v>
      </c>
      <c r="J14" s="109" t="n">
        <f aca="false">IF(OR(SprintTable[[#This Row],[Sprint]]="",N(SprintTable[[#This Row],[Capacity]])=0),"",SprintTable[[#This Row],[Planned Work]]/SprintTable[[#This Row],[Capacity]])</f>
        <v>0.0888888888888889</v>
      </c>
      <c r="K14" s="45" t="str">
        <f aca="false">IF(SprintTable[[#This Row],[Sprint]]="","",IF(StatusDate&gt;SprintTable[[#This Row],[End]],"Closed",IF(StatusDate&gt;=SprintTable[[#This Row],[Start]],"Active","Future")))</f>
        <v>Future</v>
      </c>
      <c r="L14" s="96"/>
      <c r="M14" s="66" t="n">
        <f aca="false">IF(SprintTable[[#This Row],[Sprint]]="","",SUMIFS(tsk_LeafPoints,tsk_Sprint,SprintTable[[#This Row],[Sprint]]))</f>
        <v>2</v>
      </c>
      <c r="N14" s="66" t="str">
        <f aca="false">IF(OR(SprintTable[[#This Row],[Sprint]]="",SprintTable[[#This Row],[Status]]="Future"),"",SUMIFS(tsk_LeafPoints,tsk_DoneDate,"&gt;="&amp;SprintTable[[#This Row],[Start]],tsk_DoneDate,"&lt;="&amp;SprintTable[[#This Row],[End]]))</f>
        <v/>
      </c>
      <c r="O14" s="135" t="str">
        <f aca="false">IF(OR(SprintTable[[#This Row],[Sprint]]="",SprintTable[[#This Row],[Status]]&lt;&gt;"Closed"),"",AVERAGE(INDEX(SprintTable[Done Points],MAX(1,SprintTable[[#This Row],[No]]-2)):INDEX(SprintTable[Done Points],SprintTable[[#This Row],[No]])))</f>
        <v/>
      </c>
      <c r="P14" s="66" t="str">
        <f aca="false">IF(OR(SprintTable[[#This Row],[Sprint]]="",SprintTable[[#This Row],[Status]]="Future"),"",TotalPoints-SUMIFS(tsk_LeafPoints,tsk_DoneDate,"&lt;="&amp;MIN(SprintTable[[#This Row],[End]],StatusDate)))</f>
        <v/>
      </c>
      <c r="Q14" s="66" t="n">
        <f aca="false">IF(SprintTable[[#This Row],[Sprint]]="","",TotalPoints-SUMIFS(tsk_LeafPoints,tsk_FcFinish,"&lt;="&amp;SprintTable[[#This Row],[End]]))</f>
        <v>0</v>
      </c>
      <c r="R14" s="66" t="n">
        <f aca="false">IF(SprintTable[[#This Row],[Sprint]]="","",TotalPoints*MAX(0,1-SprintTable[[#This Row],[No]]/SprintCount))</f>
        <v>20.5</v>
      </c>
      <c r="S14" s="32" t="e">
        <f aca="false">IF(SprintTable[[#This Row],[Remaining Points]]="",NA(),SprintTable[[#This Row],[Remaining Points]])</f>
        <v>#N/A</v>
      </c>
      <c r="T14" s="32" t="n">
        <f aca="false">IFERROR(MATCH(MID("JanFebMarAprMayJunJulAugSepOctNovDec",MONTH(DATE(YEAR(SprintTable[[#This Row],[Start]]),MONTH(SprintTable[[#This Row],[Start]])+0,1))*3-2,3)&amp;"-"&amp;RIGHT(YEAR(DATE(YEAR(SprintTable[[#This Row],[Start]]),MONTH(SprintTable[[#This Row],[Start]])+0,1)),2),LeaveTable[#Headers],0),0)</f>
        <v>13</v>
      </c>
      <c r="U14" s="32" t="n">
        <f aca="false">IFERROR(MATCH(MID("JanFebMarAprMayJunJulAugSepOctNovDec",MONTH(DATE(YEAR(SprintTable[[#This Row],[Start]]),MONTH(SprintTable[[#This Row],[Start]])+1,1))*3-2,3)&amp;"-"&amp;RIGHT(YEAR(DATE(YEAR(SprintTable[[#This Row],[Start]]),MONTH(SprintTable[[#This Row],[Start]])+1,1)),2),LeaveTable[#Headers],0),0)</f>
        <v>14</v>
      </c>
      <c r="V14" s="32" t="n">
        <f aca="false">IFERROR(MATCH(MID("JanFebMarAprMayJunJulAugSepOctNovDec",MONTH(DATE(YEAR(SprintTable[[#This Row],[Start]]),MONTH(SprintTable[[#This Row],[Start]])+2,1))*3-2,3)&amp;"-"&amp;RIGHT(YEAR(DATE(YEAR(SprintTable[[#This Row],[Start]]),MONTH(SprintTable[[#This Row],[Start]])+2,1)),2),LeaveTable[#Headers],0),0)</f>
        <v>15</v>
      </c>
    </row>
    <row r="15" customFormat="false" ht="15" hidden="false" customHeight="false" outlineLevel="0" collapsed="false">
      <c r="A15" s="45" t="n">
        <f aca="false">ROW()-ROW(SprintTable[[#Headers],[No]])</f>
        <v>10</v>
      </c>
      <c r="B15" s="24" t="str">
        <f aca="false">IF(SprintTable[[#This Row],[No]]&lt;=SprintCount,SprintPrefix&amp;SprintTable[[#This Row],[No]],"")</f>
        <v>Sprint 10</v>
      </c>
      <c r="C15" s="25" t="n">
        <f aca="false">Sprint1Start+(SprintTable[[#This Row],[No]]-1)*SprintLength</f>
        <v>46398</v>
      </c>
      <c r="D15" s="25" t="n">
        <f aca="false">SprintTable[[#This Row],[Start]]+SprintLength-1</f>
        <v>46411</v>
      </c>
      <c r="E15" s="45" t="n">
        <f aca="false">NETWORKDAYS.INTL(SprintTable[[#This Row],[Start]],SprintTable[[#This Row],[End]],WorkWeek,Holidays)</f>
        <v>10</v>
      </c>
      <c r="F15" s="47" t="s">
        <v>776</v>
      </c>
      <c r="G15" s="45" t="n">
        <f aca="false">IF(SprintTable[[#This Row],[Sprint]]="","",COUNTIF(tsk_Sprint,SprintTable[[#This Row],[Sprint]]))</f>
        <v>0</v>
      </c>
      <c r="H15"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0</v>
      </c>
      <c r="I15"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15" s="109" t="n">
        <f aca="false">IF(OR(SprintTable[[#This Row],[Sprint]]="",N(SprintTable[[#This Row],[Capacity]])=0),"",SprintTable[[#This Row],[Planned Work]]/SprintTable[[#This Row],[Capacity]])</f>
        <v>0</v>
      </c>
      <c r="K15" s="45" t="str">
        <f aca="false">IF(SprintTable[[#This Row],[Sprint]]="","",IF(StatusDate&gt;SprintTable[[#This Row],[End]],"Closed",IF(StatusDate&gt;=SprintTable[[#This Row],[Start]],"Active","Future")))</f>
        <v>Future</v>
      </c>
      <c r="L15" s="96"/>
      <c r="M15" s="66" t="n">
        <f aca="false">IF(SprintTable[[#This Row],[Sprint]]="","",SUMIFS(tsk_LeafPoints,tsk_Sprint,SprintTable[[#This Row],[Sprint]]))</f>
        <v>0</v>
      </c>
      <c r="N15" s="66" t="str">
        <f aca="false">IF(OR(SprintTable[[#This Row],[Sprint]]="",SprintTable[[#This Row],[Status]]="Future"),"",SUMIFS(tsk_LeafPoints,tsk_DoneDate,"&gt;="&amp;SprintTable[[#This Row],[Start]],tsk_DoneDate,"&lt;="&amp;SprintTable[[#This Row],[End]]))</f>
        <v/>
      </c>
      <c r="O15" s="135" t="str">
        <f aca="false">IF(OR(SprintTable[[#This Row],[Sprint]]="",SprintTable[[#This Row],[Status]]&lt;&gt;"Closed"),"",AVERAGE(INDEX(SprintTable[Done Points],MAX(1,SprintTable[[#This Row],[No]]-2)):INDEX(SprintTable[Done Points],SprintTable[[#This Row],[No]])))</f>
        <v/>
      </c>
      <c r="P15" s="66" t="str">
        <f aca="false">IF(OR(SprintTable[[#This Row],[Sprint]]="",SprintTable[[#This Row],[Status]]="Future"),"",TotalPoints-SUMIFS(tsk_LeafPoints,tsk_DoneDate,"&lt;="&amp;MIN(SprintTable[[#This Row],[End]],StatusDate)))</f>
        <v/>
      </c>
      <c r="Q15" s="66" t="n">
        <f aca="false">IF(SprintTable[[#This Row],[Sprint]]="","",TotalPoints-SUMIFS(tsk_LeafPoints,tsk_FcFinish,"&lt;="&amp;SprintTable[[#This Row],[End]]))</f>
        <v>0</v>
      </c>
      <c r="R15" s="66" t="n">
        <f aca="false">IF(SprintTable[[#This Row],[Sprint]]="","",TotalPoints*MAX(0,1-SprintTable[[#This Row],[No]]/SprintCount))</f>
        <v>13.6666666666667</v>
      </c>
      <c r="S15" s="32" t="e">
        <f aca="false">IF(SprintTable[[#This Row],[Remaining Points]]="",NA(),SprintTable[[#This Row],[Remaining Points]])</f>
        <v>#N/A</v>
      </c>
      <c r="T15" s="32" t="n">
        <f aca="false">IFERROR(MATCH(MID("JanFebMarAprMayJunJulAugSepOctNovDec",MONTH(DATE(YEAR(SprintTable[[#This Row],[Start]]),MONTH(SprintTable[[#This Row],[Start]])+0,1))*3-2,3)&amp;"-"&amp;RIGHT(YEAR(DATE(YEAR(SprintTable[[#This Row],[Start]]),MONTH(SprintTable[[#This Row],[Start]])+0,1)),2),LeaveTable[#Headers],0),0)</f>
        <v>14</v>
      </c>
      <c r="U15" s="32" t="n">
        <f aca="false">IFERROR(MATCH(MID("JanFebMarAprMayJunJulAugSepOctNovDec",MONTH(DATE(YEAR(SprintTable[[#This Row],[Start]]),MONTH(SprintTable[[#This Row],[Start]])+1,1))*3-2,3)&amp;"-"&amp;RIGHT(YEAR(DATE(YEAR(SprintTable[[#This Row],[Start]]),MONTH(SprintTable[[#This Row],[Start]])+1,1)),2),LeaveTable[#Headers],0),0)</f>
        <v>15</v>
      </c>
      <c r="V15" s="32" t="n">
        <f aca="false">IFERROR(MATCH(MID("JanFebMarAprMayJunJulAugSepOctNovDec",MONTH(DATE(YEAR(SprintTable[[#This Row],[Start]]),MONTH(SprintTable[[#This Row],[Start]])+2,1))*3-2,3)&amp;"-"&amp;RIGHT(YEAR(DATE(YEAR(SprintTable[[#This Row],[Start]]),MONTH(SprintTable[[#This Row],[Start]])+2,1)),2),LeaveTable[#Headers],0),0)</f>
        <v>16</v>
      </c>
    </row>
    <row r="16" customFormat="false" ht="15" hidden="false" customHeight="false" outlineLevel="0" collapsed="false">
      <c r="A16" s="45" t="n">
        <f aca="false">ROW()-ROW(SprintTable[[#Headers],[No]])</f>
        <v>11</v>
      </c>
      <c r="B16" s="24" t="str">
        <f aca="false">IF(SprintTable[[#This Row],[No]]&lt;=SprintCount,SprintPrefix&amp;SprintTable[[#This Row],[No]],"")</f>
        <v>Sprint 11</v>
      </c>
      <c r="C16" s="25" t="n">
        <f aca="false">Sprint1Start+(SprintTable[[#This Row],[No]]-1)*SprintLength</f>
        <v>46412</v>
      </c>
      <c r="D16" s="25" t="n">
        <f aca="false">SprintTable[[#This Row],[Start]]+SprintLength-1</f>
        <v>46425</v>
      </c>
      <c r="E16" s="45" t="n">
        <f aca="false">NETWORKDAYS.INTL(SprintTable[[#This Row],[Start]],SprintTable[[#This Row],[End]],WorkWeek,Holidays)</f>
        <v>10</v>
      </c>
      <c r="F16" s="47" t="s">
        <v>777</v>
      </c>
      <c r="G16" s="45" t="n">
        <f aca="false">IF(SprintTable[[#This Row],[Sprint]]="","",COUNTIF(tsk_Sprint,SprintTable[[#This Row],[Sprint]]))</f>
        <v>0</v>
      </c>
      <c r="H16"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0</v>
      </c>
      <c r="I16"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16" s="109" t="n">
        <f aca="false">IF(OR(SprintTable[[#This Row],[Sprint]]="",N(SprintTable[[#This Row],[Capacity]])=0),"",SprintTable[[#This Row],[Planned Work]]/SprintTable[[#This Row],[Capacity]])</f>
        <v>0</v>
      </c>
      <c r="K16" s="45" t="str">
        <f aca="false">IF(SprintTable[[#This Row],[Sprint]]="","",IF(StatusDate&gt;SprintTable[[#This Row],[End]],"Closed",IF(StatusDate&gt;=SprintTable[[#This Row],[Start]],"Active","Future")))</f>
        <v>Future</v>
      </c>
      <c r="L16" s="96"/>
      <c r="M16" s="66" t="n">
        <f aca="false">IF(SprintTable[[#This Row],[Sprint]]="","",SUMIFS(tsk_LeafPoints,tsk_Sprint,SprintTable[[#This Row],[Sprint]]))</f>
        <v>0</v>
      </c>
      <c r="N16" s="66" t="str">
        <f aca="false">IF(OR(SprintTable[[#This Row],[Sprint]]="",SprintTable[[#This Row],[Status]]="Future"),"",SUMIFS(tsk_LeafPoints,tsk_DoneDate,"&gt;="&amp;SprintTable[[#This Row],[Start]],tsk_DoneDate,"&lt;="&amp;SprintTable[[#This Row],[End]]))</f>
        <v/>
      </c>
      <c r="O16" s="135" t="str">
        <f aca="false">IF(OR(SprintTable[[#This Row],[Sprint]]="",SprintTable[[#This Row],[Status]]&lt;&gt;"Closed"),"",AVERAGE(INDEX(SprintTable[Done Points],MAX(1,SprintTable[[#This Row],[No]]-2)):INDEX(SprintTable[Done Points],SprintTable[[#This Row],[No]])))</f>
        <v/>
      </c>
      <c r="P16" s="66" t="str">
        <f aca="false">IF(OR(SprintTable[[#This Row],[Sprint]]="",SprintTable[[#This Row],[Status]]="Future"),"",TotalPoints-SUMIFS(tsk_LeafPoints,tsk_DoneDate,"&lt;="&amp;MIN(SprintTable[[#This Row],[End]],StatusDate)))</f>
        <v/>
      </c>
      <c r="Q16" s="66" t="n">
        <f aca="false">IF(SprintTable[[#This Row],[Sprint]]="","",TotalPoints-SUMIFS(tsk_LeafPoints,tsk_FcFinish,"&lt;="&amp;SprintTable[[#This Row],[End]]))</f>
        <v>0</v>
      </c>
      <c r="R16" s="66" t="n">
        <f aca="false">IF(SprintTable[[#This Row],[Sprint]]="","",TotalPoints*MAX(0,1-SprintTable[[#This Row],[No]]/SprintCount))</f>
        <v>6.83333333333334</v>
      </c>
      <c r="S16" s="32" t="e">
        <f aca="false">IF(SprintTable[[#This Row],[Remaining Points]]="",NA(),SprintTable[[#This Row],[Remaining Points]])</f>
        <v>#N/A</v>
      </c>
      <c r="T16" s="32" t="n">
        <f aca="false">IFERROR(MATCH(MID("JanFebMarAprMayJunJulAugSepOctNovDec",MONTH(DATE(YEAR(SprintTable[[#This Row],[Start]]),MONTH(SprintTable[[#This Row],[Start]])+0,1))*3-2,3)&amp;"-"&amp;RIGHT(YEAR(DATE(YEAR(SprintTable[[#This Row],[Start]]),MONTH(SprintTable[[#This Row],[Start]])+0,1)),2),LeaveTable[#Headers],0),0)</f>
        <v>14</v>
      </c>
      <c r="U16" s="32" t="n">
        <f aca="false">IFERROR(MATCH(MID("JanFebMarAprMayJunJulAugSepOctNovDec",MONTH(DATE(YEAR(SprintTable[[#This Row],[Start]]),MONTH(SprintTable[[#This Row],[Start]])+1,1))*3-2,3)&amp;"-"&amp;RIGHT(YEAR(DATE(YEAR(SprintTable[[#This Row],[Start]]),MONTH(SprintTable[[#This Row],[Start]])+1,1)),2),LeaveTable[#Headers],0),0)</f>
        <v>15</v>
      </c>
      <c r="V16" s="32" t="n">
        <f aca="false">IFERROR(MATCH(MID("JanFebMarAprMayJunJulAugSepOctNovDec",MONTH(DATE(YEAR(SprintTable[[#This Row],[Start]]),MONTH(SprintTable[[#This Row],[Start]])+2,1))*3-2,3)&amp;"-"&amp;RIGHT(YEAR(DATE(YEAR(SprintTable[[#This Row],[Start]]),MONTH(SprintTable[[#This Row],[Start]])+2,1)),2),LeaveTable[#Headers],0),0)</f>
        <v>16</v>
      </c>
    </row>
    <row r="17" customFormat="false" ht="15" hidden="false" customHeight="false" outlineLevel="0" collapsed="false">
      <c r="A17" s="45" t="n">
        <f aca="false">ROW()-ROW(SprintTable[[#Headers],[No]])</f>
        <v>12</v>
      </c>
      <c r="B17" s="24" t="str">
        <f aca="false">IF(SprintTable[[#This Row],[No]]&lt;=SprintCount,SprintPrefix&amp;SprintTable[[#This Row],[No]],"")</f>
        <v>Sprint 12</v>
      </c>
      <c r="C17" s="25" t="n">
        <f aca="false">Sprint1Start+(SprintTable[[#This Row],[No]]-1)*SprintLength</f>
        <v>46426</v>
      </c>
      <c r="D17" s="25" t="n">
        <f aca="false">SprintTable[[#This Row],[Start]]+SprintLength-1</f>
        <v>46439</v>
      </c>
      <c r="E17" s="45" t="n">
        <f aca="false">NETWORKDAYS.INTL(SprintTable[[#This Row],[Start]],SprintTable[[#This Row],[End]],WorkWeek,Holidays)</f>
        <v>10</v>
      </c>
      <c r="F17" s="47" t="s">
        <v>778</v>
      </c>
      <c r="G17" s="45" t="n">
        <f aca="false">IF(SprintTable[[#This Row],[Sprint]]="","",COUNTIF(tsk_Sprint,SprintTable[[#This Row],[Sprint]]))</f>
        <v>0</v>
      </c>
      <c r="H17" s="110" t="n">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0</v>
      </c>
      <c r="I17" s="110" t="n">
        <f aca="false">IF(SprintTable[[#This Row],[Sprint]]="","",SUMIFS(res_MaxUnits,res_Type,"Work")*HoursPerDay*SprintTable[[#This Row],[Working Days]]-(HoursPerDay*SUMPRODUCT((INDEX(res_Type,1):INDEX(res_Type,ROWS(spr_LeaveGrid))="Work")*INDEX(res_MaxUnits,1):INDEX(res_MaxUnits,ROWS(spr_LeaveGrid))*INDEX(spr_LeaveGrid,0,SprintTable[[#This Row],[No]]))))</f>
        <v>480</v>
      </c>
      <c r="J17" s="109" t="n">
        <f aca="false">IF(OR(SprintTable[[#This Row],[Sprint]]="",N(SprintTable[[#This Row],[Capacity]])=0),"",SprintTable[[#This Row],[Planned Work]]/SprintTable[[#This Row],[Capacity]])</f>
        <v>0</v>
      </c>
      <c r="K17" s="45" t="str">
        <f aca="false">IF(SprintTable[[#This Row],[Sprint]]="","",IF(StatusDate&gt;SprintTable[[#This Row],[End]],"Closed",IF(StatusDate&gt;=SprintTable[[#This Row],[Start]],"Active","Future")))</f>
        <v>Future</v>
      </c>
      <c r="L17" s="96"/>
      <c r="M17" s="66" t="n">
        <f aca="false">IF(SprintTable[[#This Row],[Sprint]]="","",SUMIFS(tsk_LeafPoints,tsk_Sprint,SprintTable[[#This Row],[Sprint]]))</f>
        <v>0</v>
      </c>
      <c r="N17" s="66" t="str">
        <f aca="false">IF(OR(SprintTable[[#This Row],[Sprint]]="",SprintTable[[#This Row],[Status]]="Future"),"",SUMIFS(tsk_LeafPoints,tsk_DoneDate,"&gt;="&amp;SprintTable[[#This Row],[Start]],tsk_DoneDate,"&lt;="&amp;SprintTable[[#This Row],[End]]))</f>
        <v/>
      </c>
      <c r="O17" s="135" t="str">
        <f aca="false">IF(OR(SprintTable[[#This Row],[Sprint]]="",SprintTable[[#This Row],[Status]]&lt;&gt;"Closed"),"",AVERAGE(INDEX(SprintTable[Done Points],MAX(1,SprintTable[[#This Row],[No]]-2)):INDEX(SprintTable[Done Points],SprintTable[[#This Row],[No]])))</f>
        <v/>
      </c>
      <c r="P17" s="66" t="str">
        <f aca="false">IF(OR(SprintTable[[#This Row],[Sprint]]="",SprintTable[[#This Row],[Status]]="Future"),"",TotalPoints-SUMIFS(tsk_LeafPoints,tsk_DoneDate,"&lt;="&amp;MIN(SprintTable[[#This Row],[End]],StatusDate)))</f>
        <v/>
      </c>
      <c r="Q17" s="66" t="n">
        <f aca="false">IF(SprintTable[[#This Row],[Sprint]]="","",TotalPoints-SUMIFS(tsk_LeafPoints,tsk_FcFinish,"&lt;="&amp;SprintTable[[#This Row],[End]]))</f>
        <v>0</v>
      </c>
      <c r="R17" s="66" t="n">
        <f aca="false">IF(SprintTable[[#This Row],[Sprint]]="","",TotalPoints*MAX(0,1-SprintTable[[#This Row],[No]]/SprintCount))</f>
        <v>0</v>
      </c>
      <c r="S17" s="32" t="e">
        <f aca="false">IF(SprintTable[[#This Row],[Remaining Points]]="",NA(),SprintTable[[#This Row],[Remaining Points]])</f>
        <v>#N/A</v>
      </c>
      <c r="T17" s="32" t="n">
        <f aca="false">IFERROR(MATCH(MID("JanFebMarAprMayJunJulAugSepOctNovDec",MONTH(DATE(YEAR(SprintTable[[#This Row],[Start]]),MONTH(SprintTable[[#This Row],[Start]])+0,1))*3-2,3)&amp;"-"&amp;RIGHT(YEAR(DATE(YEAR(SprintTable[[#This Row],[Start]]),MONTH(SprintTable[[#This Row],[Start]])+0,1)),2),LeaveTable[#Headers],0),0)</f>
        <v>15</v>
      </c>
      <c r="U17" s="32" t="n">
        <f aca="false">IFERROR(MATCH(MID("JanFebMarAprMayJunJulAugSepOctNovDec",MONTH(DATE(YEAR(SprintTable[[#This Row],[Start]]),MONTH(SprintTable[[#This Row],[Start]])+1,1))*3-2,3)&amp;"-"&amp;RIGHT(YEAR(DATE(YEAR(SprintTable[[#This Row],[Start]]),MONTH(SprintTable[[#This Row],[Start]])+1,1)),2),LeaveTable[#Headers],0),0)</f>
        <v>16</v>
      </c>
      <c r="V17" s="32" t="n">
        <f aca="false">IFERROR(MATCH(MID("JanFebMarAprMayJunJulAugSepOctNovDec",MONTH(DATE(YEAR(SprintTable[[#This Row],[Start]]),MONTH(SprintTable[[#This Row],[Start]])+2,1))*3-2,3)&amp;"-"&amp;RIGHT(YEAR(DATE(YEAR(SprintTable[[#This Row],[Start]]),MONTH(SprintTable[[#This Row],[Start]])+2,1)),2),LeaveTable[#Headers],0),0)</f>
        <v>17</v>
      </c>
    </row>
    <row r="18" customFormat="false" ht="15" hidden="false" customHeight="false" outlineLevel="0" collapsed="false">
      <c r="A18" s="45" t="n">
        <f aca="false">ROW()-ROW(SprintTable[[#Headers],[No]])</f>
        <v>13</v>
      </c>
      <c r="B18" s="24" t="str">
        <f aca="false">IF(SprintTable[[#This Row],[No]]&lt;=SprintCount,SprintPrefix&amp;SprintTable[[#This Row],[No]],"")</f>
        <v/>
      </c>
      <c r="C18" s="25" t="n">
        <f aca="false">Sprint1Start+(SprintTable[[#This Row],[No]]-1)*SprintLength</f>
        <v>46440</v>
      </c>
      <c r="D18" s="25" t="n">
        <f aca="false">SprintTable[[#This Row],[Start]]+SprintLength-1</f>
        <v>46453</v>
      </c>
      <c r="E18" s="45" t="n">
        <f aca="false">NETWORKDAYS.INTL(SprintTable[[#This Row],[Start]],SprintTable[[#This Row],[End]],WorkWeek,Holidays)</f>
        <v>10</v>
      </c>
      <c r="F18" s="47"/>
      <c r="G18" s="45" t="str">
        <f aca="false">IF(SprintTable[[#This Row],[Sprint]]="","",COUNTIF(tsk_Sprint,SprintTable[[#This Row],[Sprint]]))</f>
        <v/>
      </c>
      <c r="H18"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18"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18" s="109" t="str">
        <f aca="false">IF(OR(SprintTable[[#This Row],[Sprint]]="",N(SprintTable[[#This Row],[Capacity]])=0),"",SprintTable[[#This Row],[Planned Work]]/SprintTable[[#This Row],[Capacity]])</f>
        <v/>
      </c>
      <c r="K18" s="45" t="str">
        <f aca="false">IF(SprintTable[[#This Row],[Sprint]]="","",IF(StatusDate&gt;SprintTable[[#This Row],[End]],"Closed",IF(StatusDate&gt;=SprintTable[[#This Row],[Start]],"Active","Future")))</f>
        <v/>
      </c>
      <c r="L18" s="96"/>
      <c r="M18" s="66" t="str">
        <f aca="false">IF(SprintTable[[#This Row],[Sprint]]="","",SUMIFS(tsk_LeafPoints,tsk_Sprint,SprintTable[[#This Row],[Sprint]]))</f>
        <v/>
      </c>
      <c r="N18" s="66" t="str">
        <f aca="false">IF(OR(SprintTable[[#This Row],[Sprint]]="",SprintTable[[#This Row],[Status]]="Future"),"",SUMIFS(tsk_LeafPoints,tsk_DoneDate,"&gt;="&amp;SprintTable[[#This Row],[Start]],tsk_DoneDate,"&lt;="&amp;SprintTable[[#This Row],[End]]))</f>
        <v/>
      </c>
      <c r="O18" s="135" t="str">
        <f aca="false">IF(OR(SprintTable[[#This Row],[Sprint]]="",SprintTable[[#This Row],[Status]]&lt;&gt;"Closed"),"",AVERAGE(INDEX(SprintTable[Done Points],MAX(1,SprintTable[[#This Row],[No]]-2)):INDEX(SprintTable[Done Points],SprintTable[[#This Row],[No]])))</f>
        <v/>
      </c>
      <c r="P18" s="66" t="str">
        <f aca="false">IF(OR(SprintTable[[#This Row],[Sprint]]="",SprintTable[[#This Row],[Status]]="Future"),"",TotalPoints-SUMIFS(tsk_LeafPoints,tsk_DoneDate,"&lt;="&amp;MIN(SprintTable[[#This Row],[End]],StatusDate)))</f>
        <v/>
      </c>
      <c r="Q18" s="66" t="str">
        <f aca="false">IF(SprintTable[[#This Row],[Sprint]]="","",TotalPoints-SUMIFS(tsk_LeafPoints,tsk_FcFinish,"&lt;="&amp;SprintTable[[#This Row],[End]]))</f>
        <v/>
      </c>
      <c r="R18" s="66" t="str">
        <f aca="false">IF(SprintTable[[#This Row],[Sprint]]="","",TotalPoints*MAX(0,1-SprintTable[[#This Row],[No]]/SprintCount))</f>
        <v/>
      </c>
      <c r="S18" s="32" t="e">
        <f aca="false">IF(SprintTable[[#This Row],[Remaining Points]]="",NA(),SprintTable[[#This Row],[Remaining Points]])</f>
        <v>#N/A</v>
      </c>
      <c r="T18" s="32" t="n">
        <f aca="false">IFERROR(MATCH(MID("JanFebMarAprMayJunJulAugSepOctNovDec",MONTH(DATE(YEAR(SprintTable[[#This Row],[Start]]),MONTH(SprintTable[[#This Row],[Start]])+0,1))*3-2,3)&amp;"-"&amp;RIGHT(YEAR(DATE(YEAR(SprintTable[[#This Row],[Start]]),MONTH(SprintTable[[#This Row],[Start]])+0,1)),2),LeaveTable[#Headers],0),0)</f>
        <v>15</v>
      </c>
      <c r="U18" s="32" t="n">
        <f aca="false">IFERROR(MATCH(MID("JanFebMarAprMayJunJulAugSepOctNovDec",MONTH(DATE(YEAR(SprintTable[[#This Row],[Start]]),MONTH(SprintTable[[#This Row],[Start]])+1,1))*3-2,3)&amp;"-"&amp;RIGHT(YEAR(DATE(YEAR(SprintTable[[#This Row],[Start]]),MONTH(SprintTable[[#This Row],[Start]])+1,1)),2),LeaveTable[#Headers],0),0)</f>
        <v>16</v>
      </c>
      <c r="V18" s="32" t="n">
        <f aca="false">IFERROR(MATCH(MID("JanFebMarAprMayJunJulAugSepOctNovDec",MONTH(DATE(YEAR(SprintTable[[#This Row],[Start]]),MONTH(SprintTable[[#This Row],[Start]])+2,1))*3-2,3)&amp;"-"&amp;RIGHT(YEAR(DATE(YEAR(SprintTable[[#This Row],[Start]]),MONTH(SprintTable[[#This Row],[Start]])+2,1)),2),LeaveTable[#Headers],0),0)</f>
        <v>17</v>
      </c>
    </row>
    <row r="19" customFormat="false" ht="15" hidden="false" customHeight="false" outlineLevel="0" collapsed="false">
      <c r="A19" s="45" t="n">
        <f aca="false">ROW()-ROW(SprintTable[[#Headers],[No]])</f>
        <v>14</v>
      </c>
      <c r="B19" s="24" t="str">
        <f aca="false">IF(SprintTable[[#This Row],[No]]&lt;=SprintCount,SprintPrefix&amp;SprintTable[[#This Row],[No]],"")</f>
        <v/>
      </c>
      <c r="C19" s="25" t="n">
        <f aca="false">Sprint1Start+(SprintTable[[#This Row],[No]]-1)*SprintLength</f>
        <v>46454</v>
      </c>
      <c r="D19" s="25" t="n">
        <f aca="false">SprintTable[[#This Row],[Start]]+SprintLength-1</f>
        <v>46467</v>
      </c>
      <c r="E19" s="45" t="n">
        <f aca="false">NETWORKDAYS.INTL(SprintTable[[#This Row],[Start]],SprintTable[[#This Row],[End]],WorkWeek,Holidays)</f>
        <v>10</v>
      </c>
      <c r="F19" s="47"/>
      <c r="G19" s="45" t="str">
        <f aca="false">IF(SprintTable[[#This Row],[Sprint]]="","",COUNTIF(tsk_Sprint,SprintTable[[#This Row],[Sprint]]))</f>
        <v/>
      </c>
      <c r="H19"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19"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19" s="109" t="str">
        <f aca="false">IF(OR(SprintTable[[#This Row],[Sprint]]="",N(SprintTable[[#This Row],[Capacity]])=0),"",SprintTable[[#This Row],[Planned Work]]/SprintTable[[#This Row],[Capacity]])</f>
        <v/>
      </c>
      <c r="K19" s="45" t="str">
        <f aca="false">IF(SprintTable[[#This Row],[Sprint]]="","",IF(StatusDate&gt;SprintTable[[#This Row],[End]],"Closed",IF(StatusDate&gt;=SprintTable[[#This Row],[Start]],"Active","Future")))</f>
        <v/>
      </c>
      <c r="L19" s="96"/>
      <c r="M19" s="66" t="str">
        <f aca="false">IF(SprintTable[[#This Row],[Sprint]]="","",SUMIFS(tsk_LeafPoints,tsk_Sprint,SprintTable[[#This Row],[Sprint]]))</f>
        <v/>
      </c>
      <c r="N19" s="66" t="str">
        <f aca="false">IF(OR(SprintTable[[#This Row],[Sprint]]="",SprintTable[[#This Row],[Status]]="Future"),"",SUMIFS(tsk_LeafPoints,tsk_DoneDate,"&gt;="&amp;SprintTable[[#This Row],[Start]],tsk_DoneDate,"&lt;="&amp;SprintTable[[#This Row],[End]]))</f>
        <v/>
      </c>
      <c r="O19" s="135" t="str">
        <f aca="false">IF(OR(SprintTable[[#This Row],[Sprint]]="",SprintTable[[#This Row],[Status]]&lt;&gt;"Closed"),"",AVERAGE(INDEX(SprintTable[Done Points],MAX(1,SprintTable[[#This Row],[No]]-2)):INDEX(SprintTable[Done Points],SprintTable[[#This Row],[No]])))</f>
        <v/>
      </c>
      <c r="P19" s="66" t="str">
        <f aca="false">IF(OR(SprintTable[[#This Row],[Sprint]]="",SprintTable[[#This Row],[Status]]="Future"),"",TotalPoints-SUMIFS(tsk_LeafPoints,tsk_DoneDate,"&lt;="&amp;MIN(SprintTable[[#This Row],[End]],StatusDate)))</f>
        <v/>
      </c>
      <c r="Q19" s="66" t="str">
        <f aca="false">IF(SprintTable[[#This Row],[Sprint]]="","",TotalPoints-SUMIFS(tsk_LeafPoints,tsk_FcFinish,"&lt;="&amp;SprintTable[[#This Row],[End]]))</f>
        <v/>
      </c>
      <c r="R19" s="66" t="str">
        <f aca="false">IF(SprintTable[[#This Row],[Sprint]]="","",TotalPoints*MAX(0,1-SprintTable[[#This Row],[No]]/SprintCount))</f>
        <v/>
      </c>
      <c r="S19" s="32" t="e">
        <f aca="false">IF(SprintTable[[#This Row],[Remaining Points]]="",NA(),SprintTable[[#This Row],[Remaining Points]])</f>
        <v>#N/A</v>
      </c>
      <c r="T19" s="32" t="n">
        <f aca="false">IFERROR(MATCH(MID("JanFebMarAprMayJunJulAugSepOctNovDec",MONTH(DATE(YEAR(SprintTable[[#This Row],[Start]]),MONTH(SprintTable[[#This Row],[Start]])+0,1))*3-2,3)&amp;"-"&amp;RIGHT(YEAR(DATE(YEAR(SprintTable[[#This Row],[Start]]),MONTH(SprintTable[[#This Row],[Start]])+0,1)),2),LeaveTable[#Headers],0),0)</f>
        <v>16</v>
      </c>
      <c r="U19" s="32" t="n">
        <f aca="false">IFERROR(MATCH(MID("JanFebMarAprMayJunJulAugSepOctNovDec",MONTH(DATE(YEAR(SprintTable[[#This Row],[Start]]),MONTH(SprintTable[[#This Row],[Start]])+1,1))*3-2,3)&amp;"-"&amp;RIGHT(YEAR(DATE(YEAR(SprintTable[[#This Row],[Start]]),MONTH(SprintTable[[#This Row],[Start]])+1,1)),2),LeaveTable[#Headers],0),0)</f>
        <v>17</v>
      </c>
      <c r="V19" s="32" t="n">
        <f aca="false">IFERROR(MATCH(MID("JanFebMarAprMayJunJulAugSepOctNovDec",MONTH(DATE(YEAR(SprintTable[[#This Row],[Start]]),MONTH(SprintTable[[#This Row],[Start]])+2,1))*3-2,3)&amp;"-"&amp;RIGHT(YEAR(DATE(YEAR(SprintTable[[#This Row],[Start]]),MONTH(SprintTable[[#This Row],[Start]])+2,1)),2),LeaveTable[#Headers],0),0)</f>
        <v>18</v>
      </c>
    </row>
    <row r="20" customFormat="false" ht="15" hidden="false" customHeight="false" outlineLevel="0" collapsed="false">
      <c r="A20" s="45" t="n">
        <f aca="false">ROW()-ROW(SprintTable[[#Headers],[No]])</f>
        <v>15</v>
      </c>
      <c r="B20" s="24" t="str">
        <f aca="false">IF(SprintTable[[#This Row],[No]]&lt;=SprintCount,SprintPrefix&amp;SprintTable[[#This Row],[No]],"")</f>
        <v/>
      </c>
      <c r="C20" s="25" t="n">
        <f aca="false">Sprint1Start+(SprintTable[[#This Row],[No]]-1)*SprintLength</f>
        <v>46468</v>
      </c>
      <c r="D20" s="25" t="n">
        <f aca="false">SprintTable[[#This Row],[Start]]+SprintLength-1</f>
        <v>46481</v>
      </c>
      <c r="E20" s="45" t="n">
        <f aca="false">NETWORKDAYS.INTL(SprintTable[[#This Row],[Start]],SprintTable[[#This Row],[End]],WorkWeek,Holidays)</f>
        <v>10</v>
      </c>
      <c r="F20" s="47"/>
      <c r="G20" s="45" t="str">
        <f aca="false">IF(SprintTable[[#This Row],[Sprint]]="","",COUNTIF(tsk_Sprint,SprintTable[[#This Row],[Sprint]]))</f>
        <v/>
      </c>
      <c r="H20"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0"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0" s="109" t="str">
        <f aca="false">IF(OR(SprintTable[[#This Row],[Sprint]]="",N(SprintTable[[#This Row],[Capacity]])=0),"",SprintTable[[#This Row],[Planned Work]]/SprintTable[[#This Row],[Capacity]])</f>
        <v/>
      </c>
      <c r="K20" s="45" t="str">
        <f aca="false">IF(SprintTable[[#This Row],[Sprint]]="","",IF(StatusDate&gt;SprintTable[[#This Row],[End]],"Closed",IF(StatusDate&gt;=SprintTable[[#This Row],[Start]],"Active","Future")))</f>
        <v/>
      </c>
      <c r="L20" s="96"/>
      <c r="M20" s="66" t="str">
        <f aca="false">IF(SprintTable[[#This Row],[Sprint]]="","",SUMIFS(tsk_LeafPoints,tsk_Sprint,SprintTable[[#This Row],[Sprint]]))</f>
        <v/>
      </c>
      <c r="N20" s="66" t="str">
        <f aca="false">IF(OR(SprintTable[[#This Row],[Sprint]]="",SprintTable[[#This Row],[Status]]="Future"),"",SUMIFS(tsk_LeafPoints,tsk_DoneDate,"&gt;="&amp;SprintTable[[#This Row],[Start]],tsk_DoneDate,"&lt;="&amp;SprintTable[[#This Row],[End]]))</f>
        <v/>
      </c>
      <c r="O20" s="135" t="str">
        <f aca="false">IF(OR(SprintTable[[#This Row],[Sprint]]="",SprintTable[[#This Row],[Status]]&lt;&gt;"Closed"),"",AVERAGE(INDEX(SprintTable[Done Points],MAX(1,SprintTable[[#This Row],[No]]-2)):INDEX(SprintTable[Done Points],SprintTable[[#This Row],[No]])))</f>
        <v/>
      </c>
      <c r="P20" s="66" t="str">
        <f aca="false">IF(OR(SprintTable[[#This Row],[Sprint]]="",SprintTable[[#This Row],[Status]]="Future"),"",TotalPoints-SUMIFS(tsk_LeafPoints,tsk_DoneDate,"&lt;="&amp;MIN(SprintTable[[#This Row],[End]],StatusDate)))</f>
        <v/>
      </c>
      <c r="Q20" s="66" t="str">
        <f aca="false">IF(SprintTable[[#This Row],[Sprint]]="","",TotalPoints-SUMIFS(tsk_LeafPoints,tsk_FcFinish,"&lt;="&amp;SprintTable[[#This Row],[End]]))</f>
        <v/>
      </c>
      <c r="R20" s="66" t="str">
        <f aca="false">IF(SprintTable[[#This Row],[Sprint]]="","",TotalPoints*MAX(0,1-SprintTable[[#This Row],[No]]/SprintCount))</f>
        <v/>
      </c>
      <c r="S20" s="32" t="e">
        <f aca="false">IF(SprintTable[[#This Row],[Remaining Points]]="",NA(),SprintTable[[#This Row],[Remaining Points]])</f>
        <v>#N/A</v>
      </c>
      <c r="T20" s="32" t="n">
        <f aca="false">IFERROR(MATCH(MID("JanFebMarAprMayJunJulAugSepOctNovDec",MONTH(DATE(YEAR(SprintTable[[#This Row],[Start]]),MONTH(SprintTable[[#This Row],[Start]])+0,1))*3-2,3)&amp;"-"&amp;RIGHT(YEAR(DATE(YEAR(SprintTable[[#This Row],[Start]]),MONTH(SprintTable[[#This Row],[Start]])+0,1)),2),LeaveTable[#Headers],0),0)</f>
        <v>16</v>
      </c>
      <c r="U20" s="32" t="n">
        <f aca="false">IFERROR(MATCH(MID("JanFebMarAprMayJunJulAugSepOctNovDec",MONTH(DATE(YEAR(SprintTable[[#This Row],[Start]]),MONTH(SprintTable[[#This Row],[Start]])+1,1))*3-2,3)&amp;"-"&amp;RIGHT(YEAR(DATE(YEAR(SprintTable[[#This Row],[Start]]),MONTH(SprintTable[[#This Row],[Start]])+1,1)),2),LeaveTable[#Headers],0),0)</f>
        <v>17</v>
      </c>
      <c r="V20" s="32" t="n">
        <f aca="false">IFERROR(MATCH(MID("JanFebMarAprMayJunJulAugSepOctNovDec",MONTH(DATE(YEAR(SprintTable[[#This Row],[Start]]),MONTH(SprintTable[[#This Row],[Start]])+2,1))*3-2,3)&amp;"-"&amp;RIGHT(YEAR(DATE(YEAR(SprintTable[[#This Row],[Start]]),MONTH(SprintTable[[#This Row],[Start]])+2,1)),2),LeaveTable[#Headers],0),0)</f>
        <v>18</v>
      </c>
    </row>
    <row r="21" customFormat="false" ht="15" hidden="false" customHeight="false" outlineLevel="0" collapsed="false">
      <c r="A21" s="45" t="n">
        <f aca="false">ROW()-ROW(SprintTable[[#Headers],[No]])</f>
        <v>16</v>
      </c>
      <c r="B21" s="24" t="str">
        <f aca="false">IF(SprintTable[[#This Row],[No]]&lt;=SprintCount,SprintPrefix&amp;SprintTable[[#This Row],[No]],"")</f>
        <v/>
      </c>
      <c r="C21" s="25" t="n">
        <f aca="false">Sprint1Start+(SprintTable[[#This Row],[No]]-1)*SprintLength</f>
        <v>46482</v>
      </c>
      <c r="D21" s="25" t="n">
        <f aca="false">SprintTable[[#This Row],[Start]]+SprintLength-1</f>
        <v>46495</v>
      </c>
      <c r="E21" s="45" t="n">
        <f aca="false">NETWORKDAYS.INTL(SprintTable[[#This Row],[Start]],SprintTable[[#This Row],[End]],WorkWeek,Holidays)</f>
        <v>10</v>
      </c>
      <c r="F21" s="47"/>
      <c r="G21" s="45" t="str">
        <f aca="false">IF(SprintTable[[#This Row],[Sprint]]="","",COUNTIF(tsk_Sprint,SprintTable[[#This Row],[Sprint]]))</f>
        <v/>
      </c>
      <c r="H21"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1"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1" s="109" t="str">
        <f aca="false">IF(OR(SprintTable[[#This Row],[Sprint]]="",N(SprintTable[[#This Row],[Capacity]])=0),"",SprintTable[[#This Row],[Planned Work]]/SprintTable[[#This Row],[Capacity]])</f>
        <v/>
      </c>
      <c r="K21" s="45" t="str">
        <f aca="false">IF(SprintTable[[#This Row],[Sprint]]="","",IF(StatusDate&gt;SprintTable[[#This Row],[End]],"Closed",IF(StatusDate&gt;=SprintTable[[#This Row],[Start]],"Active","Future")))</f>
        <v/>
      </c>
      <c r="L21" s="96"/>
      <c r="M21" s="66" t="str">
        <f aca="false">IF(SprintTable[[#This Row],[Sprint]]="","",SUMIFS(tsk_LeafPoints,tsk_Sprint,SprintTable[[#This Row],[Sprint]]))</f>
        <v/>
      </c>
      <c r="N21" s="66" t="str">
        <f aca="false">IF(OR(SprintTable[[#This Row],[Sprint]]="",SprintTable[[#This Row],[Status]]="Future"),"",SUMIFS(tsk_LeafPoints,tsk_DoneDate,"&gt;="&amp;SprintTable[[#This Row],[Start]],tsk_DoneDate,"&lt;="&amp;SprintTable[[#This Row],[End]]))</f>
        <v/>
      </c>
      <c r="O21" s="135" t="str">
        <f aca="false">IF(OR(SprintTable[[#This Row],[Sprint]]="",SprintTable[[#This Row],[Status]]&lt;&gt;"Closed"),"",AVERAGE(INDEX(SprintTable[Done Points],MAX(1,SprintTable[[#This Row],[No]]-2)):INDEX(SprintTable[Done Points],SprintTable[[#This Row],[No]])))</f>
        <v/>
      </c>
      <c r="P21" s="66" t="str">
        <f aca="false">IF(OR(SprintTable[[#This Row],[Sprint]]="",SprintTable[[#This Row],[Status]]="Future"),"",TotalPoints-SUMIFS(tsk_LeafPoints,tsk_DoneDate,"&lt;="&amp;MIN(SprintTable[[#This Row],[End]],StatusDate)))</f>
        <v/>
      </c>
      <c r="Q21" s="66" t="str">
        <f aca="false">IF(SprintTable[[#This Row],[Sprint]]="","",TotalPoints-SUMIFS(tsk_LeafPoints,tsk_FcFinish,"&lt;="&amp;SprintTable[[#This Row],[End]]))</f>
        <v/>
      </c>
      <c r="R21" s="66" t="str">
        <f aca="false">IF(SprintTable[[#This Row],[Sprint]]="","",TotalPoints*MAX(0,1-SprintTable[[#This Row],[No]]/SprintCount))</f>
        <v/>
      </c>
      <c r="S21" s="32" t="e">
        <f aca="false">IF(SprintTable[[#This Row],[Remaining Points]]="",NA(),SprintTable[[#This Row],[Remaining Points]])</f>
        <v>#N/A</v>
      </c>
      <c r="T21" s="32" t="n">
        <f aca="false">IFERROR(MATCH(MID("JanFebMarAprMayJunJulAugSepOctNovDec",MONTH(DATE(YEAR(SprintTable[[#This Row],[Start]]),MONTH(SprintTable[[#This Row],[Start]])+0,1))*3-2,3)&amp;"-"&amp;RIGHT(YEAR(DATE(YEAR(SprintTable[[#This Row],[Start]]),MONTH(SprintTable[[#This Row],[Start]])+0,1)),2),LeaveTable[#Headers],0),0)</f>
        <v>17</v>
      </c>
      <c r="U21" s="32" t="n">
        <f aca="false">IFERROR(MATCH(MID("JanFebMarAprMayJunJulAugSepOctNovDec",MONTH(DATE(YEAR(SprintTable[[#This Row],[Start]]),MONTH(SprintTable[[#This Row],[Start]])+1,1))*3-2,3)&amp;"-"&amp;RIGHT(YEAR(DATE(YEAR(SprintTable[[#This Row],[Start]]),MONTH(SprintTable[[#This Row],[Start]])+1,1)),2),LeaveTable[#Headers],0),0)</f>
        <v>18</v>
      </c>
      <c r="V21" s="32" t="n">
        <f aca="false">IFERROR(MATCH(MID("JanFebMarAprMayJunJulAugSepOctNovDec",MONTH(DATE(YEAR(SprintTable[[#This Row],[Start]]),MONTH(SprintTable[[#This Row],[Start]])+2,1))*3-2,3)&amp;"-"&amp;RIGHT(YEAR(DATE(YEAR(SprintTable[[#This Row],[Start]]),MONTH(SprintTable[[#This Row],[Start]])+2,1)),2),LeaveTable[#Headers],0),0)</f>
        <v>19</v>
      </c>
    </row>
    <row r="22" customFormat="false" ht="15" hidden="false" customHeight="false" outlineLevel="0" collapsed="false">
      <c r="A22" s="45" t="n">
        <f aca="false">ROW()-ROW(SprintTable[[#Headers],[No]])</f>
        <v>17</v>
      </c>
      <c r="B22" s="24" t="str">
        <f aca="false">IF(SprintTable[[#This Row],[No]]&lt;=SprintCount,SprintPrefix&amp;SprintTable[[#This Row],[No]],"")</f>
        <v/>
      </c>
      <c r="C22" s="25" t="n">
        <f aca="false">Sprint1Start+(SprintTable[[#This Row],[No]]-1)*SprintLength</f>
        <v>46496</v>
      </c>
      <c r="D22" s="25" t="n">
        <f aca="false">SprintTable[[#This Row],[Start]]+SprintLength-1</f>
        <v>46509</v>
      </c>
      <c r="E22" s="45" t="n">
        <f aca="false">NETWORKDAYS.INTL(SprintTable[[#This Row],[Start]],SprintTable[[#This Row],[End]],WorkWeek,Holidays)</f>
        <v>10</v>
      </c>
      <c r="F22" s="47"/>
      <c r="G22" s="45" t="str">
        <f aca="false">IF(SprintTable[[#This Row],[Sprint]]="","",COUNTIF(tsk_Sprint,SprintTable[[#This Row],[Sprint]]))</f>
        <v/>
      </c>
      <c r="H22"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2"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2" s="109" t="str">
        <f aca="false">IF(OR(SprintTable[[#This Row],[Sprint]]="",N(SprintTable[[#This Row],[Capacity]])=0),"",SprintTable[[#This Row],[Planned Work]]/SprintTable[[#This Row],[Capacity]])</f>
        <v/>
      </c>
      <c r="K22" s="45" t="str">
        <f aca="false">IF(SprintTable[[#This Row],[Sprint]]="","",IF(StatusDate&gt;SprintTable[[#This Row],[End]],"Closed",IF(StatusDate&gt;=SprintTable[[#This Row],[Start]],"Active","Future")))</f>
        <v/>
      </c>
      <c r="L22" s="96"/>
      <c r="M22" s="66" t="str">
        <f aca="false">IF(SprintTable[[#This Row],[Sprint]]="","",SUMIFS(tsk_LeafPoints,tsk_Sprint,SprintTable[[#This Row],[Sprint]]))</f>
        <v/>
      </c>
      <c r="N22" s="66" t="str">
        <f aca="false">IF(OR(SprintTable[[#This Row],[Sprint]]="",SprintTable[[#This Row],[Status]]="Future"),"",SUMIFS(tsk_LeafPoints,tsk_DoneDate,"&gt;="&amp;SprintTable[[#This Row],[Start]],tsk_DoneDate,"&lt;="&amp;SprintTable[[#This Row],[End]]))</f>
        <v/>
      </c>
      <c r="O22" s="135" t="str">
        <f aca="false">IF(OR(SprintTable[[#This Row],[Sprint]]="",SprintTable[[#This Row],[Status]]&lt;&gt;"Closed"),"",AVERAGE(INDEX(SprintTable[Done Points],MAX(1,SprintTable[[#This Row],[No]]-2)):INDEX(SprintTable[Done Points],SprintTable[[#This Row],[No]])))</f>
        <v/>
      </c>
      <c r="P22" s="66" t="str">
        <f aca="false">IF(OR(SprintTable[[#This Row],[Sprint]]="",SprintTable[[#This Row],[Status]]="Future"),"",TotalPoints-SUMIFS(tsk_LeafPoints,tsk_DoneDate,"&lt;="&amp;MIN(SprintTable[[#This Row],[End]],StatusDate)))</f>
        <v/>
      </c>
      <c r="Q22" s="66" t="str">
        <f aca="false">IF(SprintTable[[#This Row],[Sprint]]="","",TotalPoints-SUMIFS(tsk_LeafPoints,tsk_FcFinish,"&lt;="&amp;SprintTable[[#This Row],[End]]))</f>
        <v/>
      </c>
      <c r="R22" s="66" t="str">
        <f aca="false">IF(SprintTable[[#This Row],[Sprint]]="","",TotalPoints*MAX(0,1-SprintTable[[#This Row],[No]]/SprintCount))</f>
        <v/>
      </c>
      <c r="S22" s="32" t="e">
        <f aca="false">IF(SprintTable[[#This Row],[Remaining Points]]="",NA(),SprintTable[[#This Row],[Remaining Points]])</f>
        <v>#N/A</v>
      </c>
      <c r="T22" s="32" t="n">
        <f aca="false">IFERROR(MATCH(MID("JanFebMarAprMayJunJulAugSepOctNovDec",MONTH(DATE(YEAR(SprintTable[[#This Row],[Start]]),MONTH(SprintTable[[#This Row],[Start]])+0,1))*3-2,3)&amp;"-"&amp;RIGHT(YEAR(DATE(YEAR(SprintTable[[#This Row],[Start]]),MONTH(SprintTable[[#This Row],[Start]])+0,1)),2),LeaveTable[#Headers],0),0)</f>
        <v>17</v>
      </c>
      <c r="U22" s="32" t="n">
        <f aca="false">IFERROR(MATCH(MID("JanFebMarAprMayJunJulAugSepOctNovDec",MONTH(DATE(YEAR(SprintTable[[#This Row],[Start]]),MONTH(SprintTable[[#This Row],[Start]])+1,1))*3-2,3)&amp;"-"&amp;RIGHT(YEAR(DATE(YEAR(SprintTable[[#This Row],[Start]]),MONTH(SprintTable[[#This Row],[Start]])+1,1)),2),LeaveTable[#Headers],0),0)</f>
        <v>18</v>
      </c>
      <c r="V22" s="32" t="n">
        <f aca="false">IFERROR(MATCH(MID("JanFebMarAprMayJunJulAugSepOctNovDec",MONTH(DATE(YEAR(SprintTable[[#This Row],[Start]]),MONTH(SprintTable[[#This Row],[Start]])+2,1))*3-2,3)&amp;"-"&amp;RIGHT(YEAR(DATE(YEAR(SprintTable[[#This Row],[Start]]),MONTH(SprintTable[[#This Row],[Start]])+2,1)),2),LeaveTable[#Headers],0),0)</f>
        <v>19</v>
      </c>
    </row>
    <row r="23" customFormat="false" ht="15" hidden="false" customHeight="false" outlineLevel="0" collapsed="false">
      <c r="A23" s="45" t="n">
        <f aca="false">ROW()-ROW(SprintTable[[#Headers],[No]])</f>
        <v>18</v>
      </c>
      <c r="B23" s="24" t="str">
        <f aca="false">IF(SprintTable[[#This Row],[No]]&lt;=SprintCount,SprintPrefix&amp;SprintTable[[#This Row],[No]],"")</f>
        <v/>
      </c>
      <c r="C23" s="25" t="n">
        <f aca="false">Sprint1Start+(SprintTable[[#This Row],[No]]-1)*SprintLength</f>
        <v>46510</v>
      </c>
      <c r="D23" s="25" t="n">
        <f aca="false">SprintTable[[#This Row],[Start]]+SprintLength-1</f>
        <v>46523</v>
      </c>
      <c r="E23" s="45" t="n">
        <f aca="false">NETWORKDAYS.INTL(SprintTable[[#This Row],[Start]],SprintTable[[#This Row],[End]],WorkWeek,Holidays)</f>
        <v>10</v>
      </c>
      <c r="F23" s="47"/>
      <c r="G23" s="45" t="str">
        <f aca="false">IF(SprintTable[[#This Row],[Sprint]]="","",COUNTIF(tsk_Sprint,SprintTable[[#This Row],[Sprint]]))</f>
        <v/>
      </c>
      <c r="H23"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3"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3" s="109" t="str">
        <f aca="false">IF(OR(SprintTable[[#This Row],[Sprint]]="",N(SprintTable[[#This Row],[Capacity]])=0),"",SprintTable[[#This Row],[Planned Work]]/SprintTable[[#This Row],[Capacity]])</f>
        <v/>
      </c>
      <c r="K23" s="45" t="str">
        <f aca="false">IF(SprintTable[[#This Row],[Sprint]]="","",IF(StatusDate&gt;SprintTable[[#This Row],[End]],"Closed",IF(StatusDate&gt;=SprintTable[[#This Row],[Start]],"Active","Future")))</f>
        <v/>
      </c>
      <c r="L23" s="96"/>
      <c r="M23" s="66" t="str">
        <f aca="false">IF(SprintTable[[#This Row],[Sprint]]="","",SUMIFS(tsk_LeafPoints,tsk_Sprint,SprintTable[[#This Row],[Sprint]]))</f>
        <v/>
      </c>
      <c r="N23" s="66" t="str">
        <f aca="false">IF(OR(SprintTable[[#This Row],[Sprint]]="",SprintTable[[#This Row],[Status]]="Future"),"",SUMIFS(tsk_LeafPoints,tsk_DoneDate,"&gt;="&amp;SprintTable[[#This Row],[Start]],tsk_DoneDate,"&lt;="&amp;SprintTable[[#This Row],[End]]))</f>
        <v/>
      </c>
      <c r="O23" s="135" t="str">
        <f aca="false">IF(OR(SprintTable[[#This Row],[Sprint]]="",SprintTable[[#This Row],[Status]]&lt;&gt;"Closed"),"",AVERAGE(INDEX(SprintTable[Done Points],MAX(1,SprintTable[[#This Row],[No]]-2)):INDEX(SprintTable[Done Points],SprintTable[[#This Row],[No]])))</f>
        <v/>
      </c>
      <c r="P23" s="66" t="str">
        <f aca="false">IF(OR(SprintTable[[#This Row],[Sprint]]="",SprintTable[[#This Row],[Status]]="Future"),"",TotalPoints-SUMIFS(tsk_LeafPoints,tsk_DoneDate,"&lt;="&amp;MIN(SprintTable[[#This Row],[End]],StatusDate)))</f>
        <v/>
      </c>
      <c r="Q23" s="66" t="str">
        <f aca="false">IF(SprintTable[[#This Row],[Sprint]]="","",TotalPoints-SUMIFS(tsk_LeafPoints,tsk_FcFinish,"&lt;="&amp;SprintTable[[#This Row],[End]]))</f>
        <v/>
      </c>
      <c r="R23" s="66" t="str">
        <f aca="false">IF(SprintTable[[#This Row],[Sprint]]="","",TotalPoints*MAX(0,1-SprintTable[[#This Row],[No]]/SprintCount))</f>
        <v/>
      </c>
      <c r="S23" s="32" t="e">
        <f aca="false">IF(SprintTable[[#This Row],[Remaining Points]]="",NA(),SprintTable[[#This Row],[Remaining Points]])</f>
        <v>#N/A</v>
      </c>
      <c r="T23" s="32" t="n">
        <f aca="false">IFERROR(MATCH(MID("JanFebMarAprMayJunJulAugSepOctNovDec",MONTH(DATE(YEAR(SprintTable[[#This Row],[Start]]),MONTH(SprintTable[[#This Row],[Start]])+0,1))*3-2,3)&amp;"-"&amp;RIGHT(YEAR(DATE(YEAR(SprintTable[[#This Row],[Start]]),MONTH(SprintTable[[#This Row],[Start]])+0,1)),2),LeaveTable[#Headers],0),0)</f>
        <v>18</v>
      </c>
      <c r="U23" s="32" t="n">
        <f aca="false">IFERROR(MATCH(MID("JanFebMarAprMayJunJulAugSepOctNovDec",MONTH(DATE(YEAR(SprintTable[[#This Row],[Start]]),MONTH(SprintTable[[#This Row],[Start]])+1,1))*3-2,3)&amp;"-"&amp;RIGHT(YEAR(DATE(YEAR(SprintTable[[#This Row],[Start]]),MONTH(SprintTable[[#This Row],[Start]])+1,1)),2),LeaveTable[#Headers],0),0)</f>
        <v>19</v>
      </c>
      <c r="V23" s="32" t="n">
        <f aca="false">IFERROR(MATCH(MID("JanFebMarAprMayJunJulAugSepOctNovDec",MONTH(DATE(YEAR(SprintTable[[#This Row],[Start]]),MONTH(SprintTable[[#This Row],[Start]])+2,1))*3-2,3)&amp;"-"&amp;RIGHT(YEAR(DATE(YEAR(SprintTable[[#This Row],[Start]]),MONTH(SprintTable[[#This Row],[Start]])+2,1)),2),LeaveTable[#Headers],0),0)</f>
        <v>20</v>
      </c>
    </row>
    <row r="24" customFormat="false" ht="15" hidden="false" customHeight="false" outlineLevel="0" collapsed="false">
      <c r="A24" s="45" t="n">
        <f aca="false">ROW()-ROW(SprintTable[[#Headers],[No]])</f>
        <v>19</v>
      </c>
      <c r="B24" s="24" t="str">
        <f aca="false">IF(SprintTable[[#This Row],[No]]&lt;=SprintCount,SprintPrefix&amp;SprintTable[[#This Row],[No]],"")</f>
        <v/>
      </c>
      <c r="C24" s="25" t="n">
        <f aca="false">Sprint1Start+(SprintTable[[#This Row],[No]]-1)*SprintLength</f>
        <v>46524</v>
      </c>
      <c r="D24" s="25" t="n">
        <f aca="false">SprintTable[[#This Row],[Start]]+SprintLength-1</f>
        <v>46537</v>
      </c>
      <c r="E24" s="45" t="n">
        <f aca="false">NETWORKDAYS.INTL(SprintTable[[#This Row],[Start]],SprintTable[[#This Row],[End]],WorkWeek,Holidays)</f>
        <v>10</v>
      </c>
      <c r="F24" s="47"/>
      <c r="G24" s="45" t="str">
        <f aca="false">IF(SprintTable[[#This Row],[Sprint]]="","",COUNTIF(tsk_Sprint,SprintTable[[#This Row],[Sprint]]))</f>
        <v/>
      </c>
      <c r="H24"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4"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4" s="109" t="str">
        <f aca="false">IF(OR(SprintTable[[#This Row],[Sprint]]="",N(SprintTable[[#This Row],[Capacity]])=0),"",SprintTable[[#This Row],[Planned Work]]/SprintTable[[#This Row],[Capacity]])</f>
        <v/>
      </c>
      <c r="K24" s="45" t="str">
        <f aca="false">IF(SprintTable[[#This Row],[Sprint]]="","",IF(StatusDate&gt;SprintTable[[#This Row],[End]],"Closed",IF(StatusDate&gt;=SprintTable[[#This Row],[Start]],"Active","Future")))</f>
        <v/>
      </c>
      <c r="L24" s="96"/>
      <c r="M24" s="66" t="str">
        <f aca="false">IF(SprintTable[[#This Row],[Sprint]]="","",SUMIFS(tsk_LeafPoints,tsk_Sprint,SprintTable[[#This Row],[Sprint]]))</f>
        <v/>
      </c>
      <c r="N24" s="66" t="str">
        <f aca="false">IF(OR(SprintTable[[#This Row],[Sprint]]="",SprintTable[[#This Row],[Status]]="Future"),"",SUMIFS(tsk_LeafPoints,tsk_DoneDate,"&gt;="&amp;SprintTable[[#This Row],[Start]],tsk_DoneDate,"&lt;="&amp;SprintTable[[#This Row],[End]]))</f>
        <v/>
      </c>
      <c r="O24" s="135" t="str">
        <f aca="false">IF(OR(SprintTable[[#This Row],[Sprint]]="",SprintTable[[#This Row],[Status]]&lt;&gt;"Closed"),"",AVERAGE(INDEX(SprintTable[Done Points],MAX(1,SprintTable[[#This Row],[No]]-2)):INDEX(SprintTable[Done Points],SprintTable[[#This Row],[No]])))</f>
        <v/>
      </c>
      <c r="P24" s="66" t="str">
        <f aca="false">IF(OR(SprintTable[[#This Row],[Sprint]]="",SprintTable[[#This Row],[Status]]="Future"),"",TotalPoints-SUMIFS(tsk_LeafPoints,tsk_DoneDate,"&lt;="&amp;MIN(SprintTable[[#This Row],[End]],StatusDate)))</f>
        <v/>
      </c>
      <c r="Q24" s="66" t="str">
        <f aca="false">IF(SprintTable[[#This Row],[Sprint]]="","",TotalPoints-SUMIFS(tsk_LeafPoints,tsk_FcFinish,"&lt;="&amp;SprintTable[[#This Row],[End]]))</f>
        <v/>
      </c>
      <c r="R24" s="66" t="str">
        <f aca="false">IF(SprintTable[[#This Row],[Sprint]]="","",TotalPoints*MAX(0,1-SprintTable[[#This Row],[No]]/SprintCount))</f>
        <v/>
      </c>
      <c r="S24" s="32" t="e">
        <f aca="false">IF(SprintTable[[#This Row],[Remaining Points]]="",NA(),SprintTable[[#This Row],[Remaining Points]])</f>
        <v>#N/A</v>
      </c>
      <c r="T24" s="32" t="n">
        <f aca="false">IFERROR(MATCH(MID("JanFebMarAprMayJunJulAugSepOctNovDec",MONTH(DATE(YEAR(SprintTable[[#This Row],[Start]]),MONTH(SprintTable[[#This Row],[Start]])+0,1))*3-2,3)&amp;"-"&amp;RIGHT(YEAR(DATE(YEAR(SprintTable[[#This Row],[Start]]),MONTH(SprintTable[[#This Row],[Start]])+0,1)),2),LeaveTable[#Headers],0),0)</f>
        <v>18</v>
      </c>
      <c r="U24" s="32" t="n">
        <f aca="false">IFERROR(MATCH(MID("JanFebMarAprMayJunJulAugSepOctNovDec",MONTH(DATE(YEAR(SprintTable[[#This Row],[Start]]),MONTH(SprintTable[[#This Row],[Start]])+1,1))*3-2,3)&amp;"-"&amp;RIGHT(YEAR(DATE(YEAR(SprintTable[[#This Row],[Start]]),MONTH(SprintTable[[#This Row],[Start]])+1,1)),2),LeaveTable[#Headers],0),0)</f>
        <v>19</v>
      </c>
      <c r="V24" s="32" t="n">
        <f aca="false">IFERROR(MATCH(MID("JanFebMarAprMayJunJulAugSepOctNovDec",MONTH(DATE(YEAR(SprintTable[[#This Row],[Start]]),MONTH(SprintTable[[#This Row],[Start]])+2,1))*3-2,3)&amp;"-"&amp;RIGHT(YEAR(DATE(YEAR(SprintTable[[#This Row],[Start]]),MONTH(SprintTable[[#This Row],[Start]])+2,1)),2),LeaveTable[#Headers],0),0)</f>
        <v>20</v>
      </c>
    </row>
    <row r="25" customFormat="false" ht="15" hidden="false" customHeight="false" outlineLevel="0" collapsed="false">
      <c r="A25" s="45" t="n">
        <f aca="false">ROW()-ROW(SprintTable[[#Headers],[No]])</f>
        <v>20</v>
      </c>
      <c r="B25" s="24" t="str">
        <f aca="false">IF(SprintTable[[#This Row],[No]]&lt;=SprintCount,SprintPrefix&amp;SprintTable[[#This Row],[No]],"")</f>
        <v/>
      </c>
      <c r="C25" s="25" t="n">
        <f aca="false">Sprint1Start+(SprintTable[[#This Row],[No]]-1)*SprintLength</f>
        <v>46538</v>
      </c>
      <c r="D25" s="25" t="n">
        <f aca="false">SprintTable[[#This Row],[Start]]+SprintLength-1</f>
        <v>46551</v>
      </c>
      <c r="E25" s="45" t="n">
        <f aca="false">NETWORKDAYS.INTL(SprintTable[[#This Row],[Start]],SprintTable[[#This Row],[End]],WorkWeek,Holidays)</f>
        <v>10</v>
      </c>
      <c r="F25" s="47"/>
      <c r="G25" s="45" t="str">
        <f aca="false">IF(SprintTable[[#This Row],[Sprint]]="","",COUNTIF(tsk_Sprint,SprintTable[[#This Row],[Sprint]]))</f>
        <v/>
      </c>
      <c r="H25"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5"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5" s="109" t="str">
        <f aca="false">IF(OR(SprintTable[[#This Row],[Sprint]]="",N(SprintTable[[#This Row],[Capacity]])=0),"",SprintTable[[#This Row],[Planned Work]]/SprintTable[[#This Row],[Capacity]])</f>
        <v/>
      </c>
      <c r="K25" s="45" t="str">
        <f aca="false">IF(SprintTable[[#This Row],[Sprint]]="","",IF(StatusDate&gt;SprintTable[[#This Row],[End]],"Closed",IF(StatusDate&gt;=SprintTable[[#This Row],[Start]],"Active","Future")))</f>
        <v/>
      </c>
      <c r="L25" s="96"/>
      <c r="M25" s="66" t="str">
        <f aca="false">IF(SprintTable[[#This Row],[Sprint]]="","",SUMIFS(tsk_LeafPoints,tsk_Sprint,SprintTable[[#This Row],[Sprint]]))</f>
        <v/>
      </c>
      <c r="N25" s="66" t="str">
        <f aca="false">IF(OR(SprintTable[[#This Row],[Sprint]]="",SprintTable[[#This Row],[Status]]="Future"),"",SUMIFS(tsk_LeafPoints,tsk_DoneDate,"&gt;="&amp;SprintTable[[#This Row],[Start]],tsk_DoneDate,"&lt;="&amp;SprintTable[[#This Row],[End]]))</f>
        <v/>
      </c>
      <c r="O25" s="135" t="str">
        <f aca="false">IF(OR(SprintTable[[#This Row],[Sprint]]="",SprintTable[[#This Row],[Status]]&lt;&gt;"Closed"),"",AVERAGE(INDEX(SprintTable[Done Points],MAX(1,SprintTable[[#This Row],[No]]-2)):INDEX(SprintTable[Done Points],SprintTable[[#This Row],[No]])))</f>
        <v/>
      </c>
      <c r="P25" s="66" t="str">
        <f aca="false">IF(OR(SprintTable[[#This Row],[Sprint]]="",SprintTable[[#This Row],[Status]]="Future"),"",TotalPoints-SUMIFS(tsk_LeafPoints,tsk_DoneDate,"&lt;="&amp;MIN(SprintTable[[#This Row],[End]],StatusDate)))</f>
        <v/>
      </c>
      <c r="Q25" s="66" t="str">
        <f aca="false">IF(SprintTable[[#This Row],[Sprint]]="","",TotalPoints-SUMIFS(tsk_LeafPoints,tsk_FcFinish,"&lt;="&amp;SprintTable[[#This Row],[End]]))</f>
        <v/>
      </c>
      <c r="R25" s="66" t="str">
        <f aca="false">IF(SprintTable[[#This Row],[Sprint]]="","",TotalPoints*MAX(0,1-SprintTable[[#This Row],[No]]/SprintCount))</f>
        <v/>
      </c>
      <c r="S25" s="32" t="e">
        <f aca="false">IF(SprintTable[[#This Row],[Remaining Points]]="",NA(),SprintTable[[#This Row],[Remaining Points]])</f>
        <v>#N/A</v>
      </c>
      <c r="T25" s="32" t="n">
        <f aca="false">IFERROR(MATCH(MID("JanFebMarAprMayJunJulAugSepOctNovDec",MONTH(DATE(YEAR(SprintTable[[#This Row],[Start]]),MONTH(SprintTable[[#This Row],[Start]])+0,1))*3-2,3)&amp;"-"&amp;RIGHT(YEAR(DATE(YEAR(SprintTable[[#This Row],[Start]]),MONTH(SprintTable[[#This Row],[Start]])+0,1)),2),LeaveTable[#Headers],0),0)</f>
        <v>18</v>
      </c>
      <c r="U25" s="32" t="n">
        <f aca="false">IFERROR(MATCH(MID("JanFebMarAprMayJunJulAugSepOctNovDec",MONTH(DATE(YEAR(SprintTable[[#This Row],[Start]]),MONTH(SprintTable[[#This Row],[Start]])+1,1))*3-2,3)&amp;"-"&amp;RIGHT(YEAR(DATE(YEAR(SprintTable[[#This Row],[Start]]),MONTH(SprintTable[[#This Row],[Start]])+1,1)),2),LeaveTable[#Headers],0),0)</f>
        <v>19</v>
      </c>
      <c r="V25" s="32" t="n">
        <f aca="false">IFERROR(MATCH(MID("JanFebMarAprMayJunJulAugSepOctNovDec",MONTH(DATE(YEAR(SprintTable[[#This Row],[Start]]),MONTH(SprintTable[[#This Row],[Start]])+2,1))*3-2,3)&amp;"-"&amp;RIGHT(YEAR(DATE(YEAR(SprintTable[[#This Row],[Start]]),MONTH(SprintTable[[#This Row],[Start]])+2,1)),2),LeaveTable[#Headers],0),0)</f>
        <v>20</v>
      </c>
    </row>
    <row r="26" customFormat="false" ht="15" hidden="false" customHeight="false" outlineLevel="0" collapsed="false">
      <c r="A26" s="45" t="n">
        <f aca="false">ROW()-ROW(SprintTable[[#Headers],[No]])</f>
        <v>21</v>
      </c>
      <c r="B26" s="24" t="str">
        <f aca="false">IF(SprintTable[[#This Row],[No]]&lt;=SprintCount,SprintPrefix&amp;SprintTable[[#This Row],[No]],"")</f>
        <v/>
      </c>
      <c r="C26" s="25" t="n">
        <f aca="false">Sprint1Start+(SprintTable[[#This Row],[No]]-1)*SprintLength</f>
        <v>46552</v>
      </c>
      <c r="D26" s="25" t="n">
        <f aca="false">SprintTable[[#This Row],[Start]]+SprintLength-1</f>
        <v>46565</v>
      </c>
      <c r="E26" s="45" t="n">
        <f aca="false">NETWORKDAYS.INTL(SprintTable[[#This Row],[Start]],SprintTable[[#This Row],[End]],WorkWeek,Holidays)</f>
        <v>10</v>
      </c>
      <c r="F26" s="47"/>
      <c r="G26" s="45" t="str">
        <f aca="false">IF(SprintTable[[#This Row],[Sprint]]="","",COUNTIF(tsk_Sprint,SprintTable[[#This Row],[Sprint]]))</f>
        <v/>
      </c>
      <c r="H26"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6"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6" s="109" t="str">
        <f aca="false">IF(OR(SprintTable[[#This Row],[Sprint]]="",N(SprintTable[[#This Row],[Capacity]])=0),"",SprintTable[[#This Row],[Planned Work]]/SprintTable[[#This Row],[Capacity]])</f>
        <v/>
      </c>
      <c r="K26" s="45" t="str">
        <f aca="false">IF(SprintTable[[#This Row],[Sprint]]="","",IF(StatusDate&gt;SprintTable[[#This Row],[End]],"Closed",IF(StatusDate&gt;=SprintTable[[#This Row],[Start]],"Active","Future")))</f>
        <v/>
      </c>
      <c r="L26" s="96"/>
      <c r="M26" s="66" t="str">
        <f aca="false">IF(SprintTable[[#This Row],[Sprint]]="","",SUMIFS(tsk_LeafPoints,tsk_Sprint,SprintTable[[#This Row],[Sprint]]))</f>
        <v/>
      </c>
      <c r="N26" s="66" t="str">
        <f aca="false">IF(OR(SprintTable[[#This Row],[Sprint]]="",SprintTable[[#This Row],[Status]]="Future"),"",SUMIFS(tsk_LeafPoints,tsk_DoneDate,"&gt;="&amp;SprintTable[[#This Row],[Start]],tsk_DoneDate,"&lt;="&amp;SprintTable[[#This Row],[End]]))</f>
        <v/>
      </c>
      <c r="O26" s="135" t="str">
        <f aca="false">IF(OR(SprintTable[[#This Row],[Sprint]]="",SprintTable[[#This Row],[Status]]&lt;&gt;"Closed"),"",AVERAGE(INDEX(SprintTable[Done Points],MAX(1,SprintTable[[#This Row],[No]]-2)):INDEX(SprintTable[Done Points],SprintTable[[#This Row],[No]])))</f>
        <v/>
      </c>
      <c r="P26" s="66" t="str">
        <f aca="false">IF(OR(SprintTable[[#This Row],[Sprint]]="",SprintTable[[#This Row],[Status]]="Future"),"",TotalPoints-SUMIFS(tsk_LeafPoints,tsk_DoneDate,"&lt;="&amp;MIN(SprintTable[[#This Row],[End]],StatusDate)))</f>
        <v/>
      </c>
      <c r="Q26" s="66" t="str">
        <f aca="false">IF(SprintTable[[#This Row],[Sprint]]="","",TotalPoints-SUMIFS(tsk_LeafPoints,tsk_FcFinish,"&lt;="&amp;SprintTable[[#This Row],[End]]))</f>
        <v/>
      </c>
      <c r="R26" s="66" t="str">
        <f aca="false">IF(SprintTable[[#This Row],[Sprint]]="","",TotalPoints*MAX(0,1-SprintTable[[#This Row],[No]]/SprintCount))</f>
        <v/>
      </c>
      <c r="S26" s="32" t="e">
        <f aca="false">IF(SprintTable[[#This Row],[Remaining Points]]="",NA(),SprintTable[[#This Row],[Remaining Points]])</f>
        <v>#N/A</v>
      </c>
      <c r="T26" s="32" t="n">
        <f aca="false">IFERROR(MATCH(MID("JanFebMarAprMayJunJulAugSepOctNovDec",MONTH(DATE(YEAR(SprintTable[[#This Row],[Start]]),MONTH(SprintTable[[#This Row],[Start]])+0,1))*3-2,3)&amp;"-"&amp;RIGHT(YEAR(DATE(YEAR(SprintTable[[#This Row],[Start]]),MONTH(SprintTable[[#This Row],[Start]])+0,1)),2),LeaveTable[#Headers],0),0)</f>
        <v>19</v>
      </c>
      <c r="U26" s="32" t="n">
        <f aca="false">IFERROR(MATCH(MID("JanFebMarAprMayJunJulAugSepOctNovDec",MONTH(DATE(YEAR(SprintTable[[#This Row],[Start]]),MONTH(SprintTable[[#This Row],[Start]])+1,1))*3-2,3)&amp;"-"&amp;RIGHT(YEAR(DATE(YEAR(SprintTable[[#This Row],[Start]]),MONTH(SprintTable[[#This Row],[Start]])+1,1)),2),LeaveTable[#Headers],0),0)</f>
        <v>20</v>
      </c>
      <c r="V26" s="32" t="n">
        <f aca="false">IFERROR(MATCH(MID("JanFebMarAprMayJunJulAugSepOctNovDec",MONTH(DATE(YEAR(SprintTable[[#This Row],[Start]]),MONTH(SprintTable[[#This Row],[Start]])+2,1))*3-2,3)&amp;"-"&amp;RIGHT(YEAR(DATE(YEAR(SprintTable[[#This Row],[Start]]),MONTH(SprintTable[[#This Row],[Start]])+2,1)),2),LeaveTable[#Headers],0),0)</f>
        <v>21</v>
      </c>
    </row>
    <row r="27" customFormat="false" ht="15" hidden="false" customHeight="false" outlineLevel="0" collapsed="false">
      <c r="A27" s="45" t="n">
        <f aca="false">ROW()-ROW(SprintTable[[#Headers],[No]])</f>
        <v>22</v>
      </c>
      <c r="B27" s="24" t="str">
        <f aca="false">IF(SprintTable[[#This Row],[No]]&lt;=SprintCount,SprintPrefix&amp;SprintTable[[#This Row],[No]],"")</f>
        <v/>
      </c>
      <c r="C27" s="25" t="n">
        <f aca="false">Sprint1Start+(SprintTable[[#This Row],[No]]-1)*SprintLength</f>
        <v>46566</v>
      </c>
      <c r="D27" s="25" t="n">
        <f aca="false">SprintTable[[#This Row],[Start]]+SprintLength-1</f>
        <v>46579</v>
      </c>
      <c r="E27" s="45" t="n">
        <f aca="false">NETWORKDAYS.INTL(SprintTable[[#This Row],[Start]],SprintTable[[#This Row],[End]],WorkWeek,Holidays)</f>
        <v>10</v>
      </c>
      <c r="F27" s="47"/>
      <c r="G27" s="45" t="str">
        <f aca="false">IF(SprintTable[[#This Row],[Sprint]]="","",COUNTIF(tsk_Sprint,SprintTable[[#This Row],[Sprint]]))</f>
        <v/>
      </c>
      <c r="H27"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7"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7" s="109" t="str">
        <f aca="false">IF(OR(SprintTable[[#This Row],[Sprint]]="",N(SprintTable[[#This Row],[Capacity]])=0),"",SprintTable[[#This Row],[Planned Work]]/SprintTable[[#This Row],[Capacity]])</f>
        <v/>
      </c>
      <c r="K27" s="45" t="str">
        <f aca="false">IF(SprintTable[[#This Row],[Sprint]]="","",IF(StatusDate&gt;SprintTable[[#This Row],[End]],"Closed",IF(StatusDate&gt;=SprintTable[[#This Row],[Start]],"Active","Future")))</f>
        <v/>
      </c>
      <c r="L27" s="96"/>
      <c r="M27" s="66" t="str">
        <f aca="false">IF(SprintTable[[#This Row],[Sprint]]="","",SUMIFS(tsk_LeafPoints,tsk_Sprint,SprintTable[[#This Row],[Sprint]]))</f>
        <v/>
      </c>
      <c r="N27" s="66" t="str">
        <f aca="false">IF(OR(SprintTable[[#This Row],[Sprint]]="",SprintTable[[#This Row],[Status]]="Future"),"",SUMIFS(tsk_LeafPoints,tsk_DoneDate,"&gt;="&amp;SprintTable[[#This Row],[Start]],tsk_DoneDate,"&lt;="&amp;SprintTable[[#This Row],[End]]))</f>
        <v/>
      </c>
      <c r="O27" s="135" t="str">
        <f aca="false">IF(OR(SprintTable[[#This Row],[Sprint]]="",SprintTable[[#This Row],[Status]]&lt;&gt;"Closed"),"",AVERAGE(INDEX(SprintTable[Done Points],MAX(1,SprintTable[[#This Row],[No]]-2)):INDEX(SprintTable[Done Points],SprintTable[[#This Row],[No]])))</f>
        <v/>
      </c>
      <c r="P27" s="66" t="str">
        <f aca="false">IF(OR(SprintTable[[#This Row],[Sprint]]="",SprintTable[[#This Row],[Status]]="Future"),"",TotalPoints-SUMIFS(tsk_LeafPoints,tsk_DoneDate,"&lt;="&amp;MIN(SprintTable[[#This Row],[End]],StatusDate)))</f>
        <v/>
      </c>
      <c r="Q27" s="66" t="str">
        <f aca="false">IF(SprintTable[[#This Row],[Sprint]]="","",TotalPoints-SUMIFS(tsk_LeafPoints,tsk_FcFinish,"&lt;="&amp;SprintTable[[#This Row],[End]]))</f>
        <v/>
      </c>
      <c r="R27" s="66" t="str">
        <f aca="false">IF(SprintTable[[#This Row],[Sprint]]="","",TotalPoints*MAX(0,1-SprintTable[[#This Row],[No]]/SprintCount))</f>
        <v/>
      </c>
      <c r="S27" s="32" t="e">
        <f aca="false">IF(SprintTable[[#This Row],[Remaining Points]]="",NA(),SprintTable[[#This Row],[Remaining Points]])</f>
        <v>#N/A</v>
      </c>
      <c r="T27" s="32" t="n">
        <f aca="false">IFERROR(MATCH(MID("JanFebMarAprMayJunJulAugSepOctNovDec",MONTH(DATE(YEAR(SprintTable[[#This Row],[Start]]),MONTH(SprintTable[[#This Row],[Start]])+0,1))*3-2,3)&amp;"-"&amp;RIGHT(YEAR(DATE(YEAR(SprintTable[[#This Row],[Start]]),MONTH(SprintTable[[#This Row],[Start]])+0,1)),2),LeaveTable[#Headers],0),0)</f>
        <v>19</v>
      </c>
      <c r="U27" s="32" t="n">
        <f aca="false">IFERROR(MATCH(MID("JanFebMarAprMayJunJulAugSepOctNovDec",MONTH(DATE(YEAR(SprintTable[[#This Row],[Start]]),MONTH(SprintTable[[#This Row],[Start]])+1,1))*3-2,3)&amp;"-"&amp;RIGHT(YEAR(DATE(YEAR(SprintTable[[#This Row],[Start]]),MONTH(SprintTable[[#This Row],[Start]])+1,1)),2),LeaveTable[#Headers],0),0)</f>
        <v>20</v>
      </c>
      <c r="V27" s="32" t="n">
        <f aca="false">IFERROR(MATCH(MID("JanFebMarAprMayJunJulAugSepOctNovDec",MONTH(DATE(YEAR(SprintTable[[#This Row],[Start]]),MONTH(SprintTable[[#This Row],[Start]])+2,1))*3-2,3)&amp;"-"&amp;RIGHT(YEAR(DATE(YEAR(SprintTable[[#This Row],[Start]]),MONTH(SprintTable[[#This Row],[Start]])+2,1)),2),LeaveTable[#Headers],0),0)</f>
        <v>21</v>
      </c>
    </row>
    <row r="28" customFormat="false" ht="15" hidden="false" customHeight="false" outlineLevel="0" collapsed="false">
      <c r="A28" s="45" t="n">
        <f aca="false">ROW()-ROW(SprintTable[[#Headers],[No]])</f>
        <v>23</v>
      </c>
      <c r="B28" s="24" t="str">
        <f aca="false">IF(SprintTable[[#This Row],[No]]&lt;=SprintCount,SprintPrefix&amp;SprintTable[[#This Row],[No]],"")</f>
        <v/>
      </c>
      <c r="C28" s="25" t="n">
        <f aca="false">Sprint1Start+(SprintTable[[#This Row],[No]]-1)*SprintLength</f>
        <v>46580</v>
      </c>
      <c r="D28" s="25" t="n">
        <f aca="false">SprintTable[[#This Row],[Start]]+SprintLength-1</f>
        <v>46593</v>
      </c>
      <c r="E28" s="45" t="n">
        <f aca="false">NETWORKDAYS.INTL(SprintTable[[#This Row],[Start]],SprintTable[[#This Row],[End]],WorkWeek,Holidays)</f>
        <v>10</v>
      </c>
      <c r="F28" s="47"/>
      <c r="G28" s="45" t="str">
        <f aca="false">IF(SprintTable[[#This Row],[Sprint]]="","",COUNTIF(tsk_Sprint,SprintTable[[#This Row],[Sprint]]))</f>
        <v/>
      </c>
      <c r="H28"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8"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8" s="109" t="str">
        <f aca="false">IF(OR(SprintTable[[#This Row],[Sprint]]="",N(SprintTable[[#This Row],[Capacity]])=0),"",SprintTable[[#This Row],[Planned Work]]/SprintTable[[#This Row],[Capacity]])</f>
        <v/>
      </c>
      <c r="K28" s="45" t="str">
        <f aca="false">IF(SprintTable[[#This Row],[Sprint]]="","",IF(StatusDate&gt;SprintTable[[#This Row],[End]],"Closed",IF(StatusDate&gt;=SprintTable[[#This Row],[Start]],"Active","Future")))</f>
        <v/>
      </c>
      <c r="L28" s="96"/>
      <c r="M28" s="66" t="str">
        <f aca="false">IF(SprintTable[[#This Row],[Sprint]]="","",SUMIFS(tsk_LeafPoints,tsk_Sprint,SprintTable[[#This Row],[Sprint]]))</f>
        <v/>
      </c>
      <c r="N28" s="66" t="str">
        <f aca="false">IF(OR(SprintTable[[#This Row],[Sprint]]="",SprintTable[[#This Row],[Status]]="Future"),"",SUMIFS(tsk_LeafPoints,tsk_DoneDate,"&gt;="&amp;SprintTable[[#This Row],[Start]],tsk_DoneDate,"&lt;="&amp;SprintTable[[#This Row],[End]]))</f>
        <v/>
      </c>
      <c r="O28" s="135" t="str">
        <f aca="false">IF(OR(SprintTable[[#This Row],[Sprint]]="",SprintTable[[#This Row],[Status]]&lt;&gt;"Closed"),"",AVERAGE(INDEX(SprintTable[Done Points],MAX(1,SprintTable[[#This Row],[No]]-2)):INDEX(SprintTable[Done Points],SprintTable[[#This Row],[No]])))</f>
        <v/>
      </c>
      <c r="P28" s="66" t="str">
        <f aca="false">IF(OR(SprintTable[[#This Row],[Sprint]]="",SprintTable[[#This Row],[Status]]="Future"),"",TotalPoints-SUMIFS(tsk_LeafPoints,tsk_DoneDate,"&lt;="&amp;MIN(SprintTable[[#This Row],[End]],StatusDate)))</f>
        <v/>
      </c>
      <c r="Q28" s="66" t="str">
        <f aca="false">IF(SprintTable[[#This Row],[Sprint]]="","",TotalPoints-SUMIFS(tsk_LeafPoints,tsk_FcFinish,"&lt;="&amp;SprintTable[[#This Row],[End]]))</f>
        <v/>
      </c>
      <c r="R28" s="66" t="str">
        <f aca="false">IF(SprintTable[[#This Row],[Sprint]]="","",TotalPoints*MAX(0,1-SprintTable[[#This Row],[No]]/SprintCount))</f>
        <v/>
      </c>
      <c r="S28" s="32" t="e">
        <f aca="false">IF(SprintTable[[#This Row],[Remaining Points]]="",NA(),SprintTable[[#This Row],[Remaining Points]])</f>
        <v>#N/A</v>
      </c>
      <c r="T28" s="32" t="n">
        <f aca="false">IFERROR(MATCH(MID("JanFebMarAprMayJunJulAugSepOctNovDec",MONTH(DATE(YEAR(SprintTable[[#This Row],[Start]]),MONTH(SprintTable[[#This Row],[Start]])+0,1))*3-2,3)&amp;"-"&amp;RIGHT(YEAR(DATE(YEAR(SprintTable[[#This Row],[Start]]),MONTH(SprintTable[[#This Row],[Start]])+0,1)),2),LeaveTable[#Headers],0),0)</f>
        <v>20</v>
      </c>
      <c r="U28" s="32" t="n">
        <f aca="false">IFERROR(MATCH(MID("JanFebMarAprMayJunJulAugSepOctNovDec",MONTH(DATE(YEAR(SprintTable[[#This Row],[Start]]),MONTH(SprintTable[[#This Row],[Start]])+1,1))*3-2,3)&amp;"-"&amp;RIGHT(YEAR(DATE(YEAR(SprintTable[[#This Row],[Start]]),MONTH(SprintTable[[#This Row],[Start]])+1,1)),2),LeaveTable[#Headers],0),0)</f>
        <v>21</v>
      </c>
      <c r="V28" s="32" t="n">
        <f aca="false">IFERROR(MATCH(MID("JanFebMarAprMayJunJulAugSepOctNovDec",MONTH(DATE(YEAR(SprintTable[[#This Row],[Start]]),MONTH(SprintTable[[#This Row],[Start]])+2,1))*3-2,3)&amp;"-"&amp;RIGHT(YEAR(DATE(YEAR(SprintTable[[#This Row],[Start]]),MONTH(SprintTable[[#This Row],[Start]])+2,1)),2),LeaveTable[#Headers],0),0)</f>
        <v>22</v>
      </c>
    </row>
    <row r="29" customFormat="false" ht="15" hidden="false" customHeight="false" outlineLevel="0" collapsed="false">
      <c r="A29" s="45" t="n">
        <f aca="false">ROW()-ROW(SprintTable[[#Headers],[No]])</f>
        <v>24</v>
      </c>
      <c r="B29" s="24" t="str">
        <f aca="false">IF(SprintTable[[#This Row],[No]]&lt;=SprintCount,SprintPrefix&amp;SprintTable[[#This Row],[No]],"")</f>
        <v/>
      </c>
      <c r="C29" s="25" t="n">
        <f aca="false">Sprint1Start+(SprintTable[[#This Row],[No]]-1)*SprintLength</f>
        <v>46594</v>
      </c>
      <c r="D29" s="25" t="n">
        <f aca="false">SprintTable[[#This Row],[Start]]+SprintLength-1</f>
        <v>46607</v>
      </c>
      <c r="E29" s="45" t="n">
        <f aca="false">NETWORKDAYS.INTL(SprintTable[[#This Row],[Start]],SprintTable[[#This Row],[End]],WorkWeek,Holidays)</f>
        <v>10</v>
      </c>
      <c r="F29" s="47"/>
      <c r="G29" s="45" t="str">
        <f aca="false">IF(SprintTable[[#This Row],[Sprint]]="","",COUNTIF(tsk_Sprint,SprintTable[[#This Row],[Sprint]]))</f>
        <v/>
      </c>
      <c r="H29"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29"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29" s="109" t="str">
        <f aca="false">IF(OR(SprintTable[[#This Row],[Sprint]]="",N(SprintTable[[#This Row],[Capacity]])=0),"",SprintTable[[#This Row],[Planned Work]]/SprintTable[[#This Row],[Capacity]])</f>
        <v/>
      </c>
      <c r="K29" s="45" t="str">
        <f aca="false">IF(SprintTable[[#This Row],[Sprint]]="","",IF(StatusDate&gt;SprintTable[[#This Row],[End]],"Closed",IF(StatusDate&gt;=SprintTable[[#This Row],[Start]],"Active","Future")))</f>
        <v/>
      </c>
      <c r="L29" s="96"/>
      <c r="M29" s="66" t="str">
        <f aca="false">IF(SprintTable[[#This Row],[Sprint]]="","",SUMIFS(tsk_LeafPoints,tsk_Sprint,SprintTable[[#This Row],[Sprint]]))</f>
        <v/>
      </c>
      <c r="N29" s="66" t="str">
        <f aca="false">IF(OR(SprintTable[[#This Row],[Sprint]]="",SprintTable[[#This Row],[Status]]="Future"),"",SUMIFS(tsk_LeafPoints,tsk_DoneDate,"&gt;="&amp;SprintTable[[#This Row],[Start]],tsk_DoneDate,"&lt;="&amp;SprintTable[[#This Row],[End]]))</f>
        <v/>
      </c>
      <c r="O29" s="135" t="str">
        <f aca="false">IF(OR(SprintTable[[#This Row],[Sprint]]="",SprintTable[[#This Row],[Status]]&lt;&gt;"Closed"),"",AVERAGE(INDEX(SprintTable[Done Points],MAX(1,SprintTable[[#This Row],[No]]-2)):INDEX(SprintTable[Done Points],SprintTable[[#This Row],[No]])))</f>
        <v/>
      </c>
      <c r="P29" s="66" t="str">
        <f aca="false">IF(OR(SprintTable[[#This Row],[Sprint]]="",SprintTable[[#This Row],[Status]]="Future"),"",TotalPoints-SUMIFS(tsk_LeafPoints,tsk_DoneDate,"&lt;="&amp;MIN(SprintTable[[#This Row],[End]],StatusDate)))</f>
        <v/>
      </c>
      <c r="Q29" s="66" t="str">
        <f aca="false">IF(SprintTable[[#This Row],[Sprint]]="","",TotalPoints-SUMIFS(tsk_LeafPoints,tsk_FcFinish,"&lt;="&amp;SprintTable[[#This Row],[End]]))</f>
        <v/>
      </c>
      <c r="R29" s="66" t="str">
        <f aca="false">IF(SprintTable[[#This Row],[Sprint]]="","",TotalPoints*MAX(0,1-SprintTable[[#This Row],[No]]/SprintCount))</f>
        <v/>
      </c>
      <c r="S29" s="32" t="e">
        <f aca="false">IF(SprintTable[[#This Row],[Remaining Points]]="",NA(),SprintTable[[#This Row],[Remaining Points]])</f>
        <v>#N/A</v>
      </c>
      <c r="T29" s="32" t="n">
        <f aca="false">IFERROR(MATCH(MID("JanFebMarAprMayJunJulAugSepOctNovDec",MONTH(DATE(YEAR(SprintTable[[#This Row],[Start]]),MONTH(SprintTable[[#This Row],[Start]])+0,1))*3-2,3)&amp;"-"&amp;RIGHT(YEAR(DATE(YEAR(SprintTable[[#This Row],[Start]]),MONTH(SprintTable[[#This Row],[Start]])+0,1)),2),LeaveTable[#Headers],0),0)</f>
        <v>20</v>
      </c>
      <c r="U29" s="32" t="n">
        <f aca="false">IFERROR(MATCH(MID("JanFebMarAprMayJunJulAugSepOctNovDec",MONTH(DATE(YEAR(SprintTable[[#This Row],[Start]]),MONTH(SprintTable[[#This Row],[Start]])+1,1))*3-2,3)&amp;"-"&amp;RIGHT(YEAR(DATE(YEAR(SprintTable[[#This Row],[Start]]),MONTH(SprintTable[[#This Row],[Start]])+1,1)),2),LeaveTable[#Headers],0),0)</f>
        <v>21</v>
      </c>
      <c r="V29" s="32" t="n">
        <f aca="false">IFERROR(MATCH(MID("JanFebMarAprMayJunJulAugSepOctNovDec",MONTH(DATE(YEAR(SprintTable[[#This Row],[Start]]),MONTH(SprintTable[[#This Row],[Start]])+2,1))*3-2,3)&amp;"-"&amp;RIGHT(YEAR(DATE(YEAR(SprintTable[[#This Row],[Start]]),MONTH(SprintTable[[#This Row],[Start]])+2,1)),2),LeaveTable[#Headers],0),0)</f>
        <v>22</v>
      </c>
    </row>
    <row r="30" customFormat="false" ht="15" hidden="false" customHeight="false" outlineLevel="0" collapsed="false">
      <c r="A30" s="45" t="n">
        <f aca="false">ROW()-ROW(SprintTable[[#Headers],[No]])</f>
        <v>25</v>
      </c>
      <c r="B30" s="24" t="str">
        <f aca="false">IF(SprintTable[[#This Row],[No]]&lt;=SprintCount,SprintPrefix&amp;SprintTable[[#This Row],[No]],"")</f>
        <v/>
      </c>
      <c r="C30" s="25" t="n">
        <f aca="false">Sprint1Start+(SprintTable[[#This Row],[No]]-1)*SprintLength</f>
        <v>46608</v>
      </c>
      <c r="D30" s="25" t="n">
        <f aca="false">SprintTable[[#This Row],[Start]]+SprintLength-1</f>
        <v>46621</v>
      </c>
      <c r="E30" s="45" t="n">
        <f aca="false">NETWORKDAYS.INTL(SprintTable[[#This Row],[Start]],SprintTable[[#This Row],[End]],WorkWeek,Holidays)</f>
        <v>10</v>
      </c>
      <c r="F30" s="47"/>
      <c r="G30" s="45" t="str">
        <f aca="false">IF(SprintTable[[#This Row],[Sprint]]="","",COUNTIF(tsk_Sprint,SprintTable[[#This Row],[Sprint]]))</f>
        <v/>
      </c>
      <c r="H30"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30"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30" s="109" t="str">
        <f aca="false">IF(OR(SprintTable[[#This Row],[Sprint]]="",N(SprintTable[[#This Row],[Capacity]])=0),"",SprintTable[[#This Row],[Planned Work]]/SprintTable[[#This Row],[Capacity]])</f>
        <v/>
      </c>
      <c r="K30" s="45" t="str">
        <f aca="false">IF(SprintTable[[#This Row],[Sprint]]="","",IF(StatusDate&gt;SprintTable[[#This Row],[End]],"Closed",IF(StatusDate&gt;=SprintTable[[#This Row],[Start]],"Active","Future")))</f>
        <v/>
      </c>
      <c r="L30" s="96"/>
      <c r="M30" s="66" t="str">
        <f aca="false">IF(SprintTable[[#This Row],[Sprint]]="","",SUMIFS(tsk_LeafPoints,tsk_Sprint,SprintTable[[#This Row],[Sprint]]))</f>
        <v/>
      </c>
      <c r="N30" s="66" t="str">
        <f aca="false">IF(OR(SprintTable[[#This Row],[Sprint]]="",SprintTable[[#This Row],[Status]]="Future"),"",SUMIFS(tsk_LeafPoints,tsk_DoneDate,"&gt;="&amp;SprintTable[[#This Row],[Start]],tsk_DoneDate,"&lt;="&amp;SprintTable[[#This Row],[End]]))</f>
        <v/>
      </c>
      <c r="O30" s="135" t="str">
        <f aca="false">IF(OR(SprintTable[[#This Row],[Sprint]]="",SprintTable[[#This Row],[Status]]&lt;&gt;"Closed"),"",AVERAGE(INDEX(SprintTable[Done Points],MAX(1,SprintTable[[#This Row],[No]]-2)):INDEX(SprintTable[Done Points],SprintTable[[#This Row],[No]])))</f>
        <v/>
      </c>
      <c r="P30" s="66" t="str">
        <f aca="false">IF(OR(SprintTable[[#This Row],[Sprint]]="",SprintTable[[#This Row],[Status]]="Future"),"",TotalPoints-SUMIFS(tsk_LeafPoints,tsk_DoneDate,"&lt;="&amp;MIN(SprintTable[[#This Row],[End]],StatusDate)))</f>
        <v/>
      </c>
      <c r="Q30" s="66" t="str">
        <f aca="false">IF(SprintTable[[#This Row],[Sprint]]="","",TotalPoints-SUMIFS(tsk_LeafPoints,tsk_FcFinish,"&lt;="&amp;SprintTable[[#This Row],[End]]))</f>
        <v/>
      </c>
      <c r="R30" s="66" t="str">
        <f aca="false">IF(SprintTable[[#This Row],[Sprint]]="","",TotalPoints*MAX(0,1-SprintTable[[#This Row],[No]]/SprintCount))</f>
        <v/>
      </c>
      <c r="S30" s="32" t="e">
        <f aca="false">IF(SprintTable[[#This Row],[Remaining Points]]="",NA(),SprintTable[[#This Row],[Remaining Points]])</f>
        <v>#N/A</v>
      </c>
      <c r="T30" s="32" t="n">
        <f aca="false">IFERROR(MATCH(MID("JanFebMarAprMayJunJulAugSepOctNovDec",MONTH(DATE(YEAR(SprintTable[[#This Row],[Start]]),MONTH(SprintTable[[#This Row],[Start]])+0,1))*3-2,3)&amp;"-"&amp;RIGHT(YEAR(DATE(YEAR(SprintTable[[#This Row],[Start]]),MONTH(SprintTable[[#This Row],[Start]])+0,1)),2),LeaveTable[#Headers],0),0)</f>
        <v>21</v>
      </c>
      <c r="U30" s="32" t="n">
        <f aca="false">IFERROR(MATCH(MID("JanFebMarAprMayJunJulAugSepOctNovDec",MONTH(DATE(YEAR(SprintTable[[#This Row],[Start]]),MONTH(SprintTable[[#This Row],[Start]])+1,1))*3-2,3)&amp;"-"&amp;RIGHT(YEAR(DATE(YEAR(SprintTable[[#This Row],[Start]]),MONTH(SprintTable[[#This Row],[Start]])+1,1)),2),LeaveTable[#Headers],0),0)</f>
        <v>22</v>
      </c>
      <c r="V30" s="32" t="n">
        <f aca="false">IFERROR(MATCH(MID("JanFebMarAprMayJunJulAugSepOctNovDec",MONTH(DATE(YEAR(SprintTable[[#This Row],[Start]]),MONTH(SprintTable[[#This Row],[Start]])+2,1))*3-2,3)&amp;"-"&amp;RIGHT(YEAR(DATE(YEAR(SprintTable[[#This Row],[Start]]),MONTH(SprintTable[[#This Row],[Start]])+2,1)),2),LeaveTable[#Headers],0),0)</f>
        <v>23</v>
      </c>
    </row>
    <row r="31" customFormat="false" ht="15" hidden="false" customHeight="false" outlineLevel="0" collapsed="false">
      <c r="A31" s="45" t="n">
        <f aca="false">ROW()-ROW(SprintTable[[#Headers],[No]])</f>
        <v>26</v>
      </c>
      <c r="B31" s="24" t="str">
        <f aca="false">IF(SprintTable[[#This Row],[No]]&lt;=SprintCount,SprintPrefix&amp;SprintTable[[#This Row],[No]],"")</f>
        <v/>
      </c>
      <c r="C31" s="25" t="n">
        <f aca="false">Sprint1Start+(SprintTable[[#This Row],[No]]-1)*SprintLength</f>
        <v>46622</v>
      </c>
      <c r="D31" s="25" t="n">
        <f aca="false">SprintTable[[#This Row],[Start]]+SprintLength-1</f>
        <v>46635</v>
      </c>
      <c r="E31" s="45" t="n">
        <f aca="false">NETWORKDAYS.INTL(SprintTable[[#This Row],[Start]],SprintTable[[#This Row],[End]],WorkWeek,Holidays)</f>
        <v>10</v>
      </c>
      <c r="F31" s="47"/>
      <c r="G31" s="45" t="str">
        <f aca="false">IF(SprintTable[[#This Row],[Sprint]]="","",COUNTIF(tsk_Sprint,SprintTable[[#This Row],[Sprint]]))</f>
        <v/>
      </c>
      <c r="H31" s="110" t="str">
        <f aca="false">IF(SprintTable[[#This Row],[Sprint]]="","",((SUMIFS(tsk_LeafWork,tsk_FinishWD,"&lt;"&amp;NETWORKDAYS.INTL(ProjectStart,SprintTable[[#This Row],[End]],WorkWeek,Holidays),tsk_FinishWD,"&gt;0")+NETWORKDAYS.INTL(ProjectStart,SprintTable[[#This Row],[End]],WorkWeek,Holidays)*SUMIFS(tsk_WorkPerWD,tsk_StartWD,"&lt;="&amp;NETWORKDAYS.INTL(ProjectStart,SprintTable[[#This Row],[End]],WorkWeek,Holidays),tsk_FinishWD,"&gt;="&amp;NETWORKDAYS.INTL(ProjectStart,SprintTable[[#This Row],[End]],WorkWeek,Holidays))-SUMIFS(tsk_WorkBeforeStart,tsk_StartWD,"&lt;="&amp;NETWORKDAYS.INTL(ProjectStart,SprintTable[[#This Row],[End]],WorkWeek,Holidays),tsk_FinishWD,"&gt;="&amp;NETWORKDAYS.INTL(ProjectStart,SprintTable[[#This Row],[End]],WorkWeek,Holidays))+SUMIFS(asg_Work,asg_FinishWD,"&lt;"&amp;NETWORKDAYS.INTL(ProjectStart,SprintTable[[#This Row],[End]],WorkWeek,Holidays),asg_FinishWD,"&gt;0")+NETWORKDAYS.INTL(ProjectStart,SprintTable[[#This Row],[End]],WorkWeek,Holidays)*SUMIFS(asg_WorkPerWD,asg_StartWD,"&lt;="&amp;NETWORKDAYS.INTL(ProjectStart,SprintTable[[#This Row],[End]],WorkWeek,Holidays),asg_FinishWD,"&gt;="&amp;NETWORKDAYS.INTL(ProjectStart,SprintTable[[#This Row],[End]],WorkWeek,Holidays))-SUMIFS(asg_WorkBeforeStart,asg_StartWD,"&lt;="&amp;NETWORKDAYS.INTL(ProjectStart,SprintTable[[#This Row],[End]],WorkWeek,Holidays),asg_FinishWD,"&gt;="&amp;NETWORKDAYS.INTL(ProjectStart,SprintTable[[#This Row],[End]],WorkWeek,Holidays)))-(SUMIFS(tsk_LeafWork,tsk_FinishWD,"&lt;"&amp;(NETWORKDAYS.INTL(ProjectStart,SprintTable[[#This Row],[Start]],WorkWeek,Holidays)-1),tsk_FinishWD,"&gt;0")+(NETWORKDAYS.INTL(ProjectStart,SprintTable[[#This Row],[Start]],WorkWeek,Holidays)-1)*SUMIFS(tsk_WorkPerWD,tsk_StartWD,"&lt;="&amp;(NETWORKDAYS.INTL(ProjectStart,SprintTable[[#This Row],[Start]],WorkWeek,Holidays)-1),tsk_FinishWD,"&gt;="&amp;(NETWORKDAYS.INTL(ProjectStart,SprintTable[[#This Row],[Start]],WorkWeek,Holidays)-1))-SUMIFS(tsk_WorkBeforeStart,tsk_StartWD,"&lt;="&amp;(NETWORKDAYS.INTL(ProjectStart,SprintTable[[#This Row],[Start]],WorkWeek,Holidays)-1),tsk_FinishWD,"&gt;="&amp;(NETWORKDAYS.INTL(ProjectStart,SprintTable[[#This Row],[Start]],WorkWeek,Holidays)-1))+SUMIFS(asg_Work,asg_FinishWD,"&lt;"&amp;(NETWORKDAYS.INTL(ProjectStart,SprintTable[[#This Row],[Start]],WorkWeek,Holidays)-1),asg_FinishWD,"&gt;0")+(NETWORKDAYS.INTL(ProjectStart,SprintTable[[#This Row],[Start]],WorkWeek,Holidays)-1)*SUMIFS(asg_WorkPerWD,asg_StartWD,"&lt;="&amp;(NETWORKDAYS.INTL(ProjectStart,SprintTable[[#This Row],[Start]],WorkWeek,Holidays)-1),asg_FinishWD,"&gt;="&amp;(NETWORKDAYS.INTL(ProjectStart,SprintTable[[#This Row],[Start]],WorkWeek,Holidays)-1))-SUMIFS(asg_WorkBeforeStart,asg_StartWD,"&lt;="&amp;(NETWORKDAYS.INTL(ProjectStart,SprintTable[[#This Row],[Start]],WorkWeek,Holidays)-1),asg_FinishWD,"&gt;="&amp;(NETWORKDAYS.INTL(ProjectStart,SprintTable[[#This Row],[Start]],WorkWeek,Holidays)-1)))))</f>
        <v/>
      </c>
      <c r="I31" s="110" t="str">
        <f aca="false">IF(SprintTable[[#This Row],[Sprint]]="","",SUMIFS(res_MaxUnits,res_Type,"Work")*HoursPerDay*SprintTable[[#This Row],[Working Days]]-(HoursPerDay*SUMPRODUCT((INDEX(res_Type,1):INDEX(res_Type,ROWS(spr_LeaveGrid))="Work")*INDEX(res_MaxUnits,1):INDEX(res_MaxUnits,ROWS(spr_LeaveGrid))*INDEX(spr_LeaveGrid,0,SprintTable[[#This Row],[No]]))))</f>
        <v/>
      </c>
      <c r="J31" s="109" t="str">
        <f aca="false">IF(OR(SprintTable[[#This Row],[Sprint]]="",N(SprintTable[[#This Row],[Capacity]])=0),"",SprintTable[[#This Row],[Planned Work]]/SprintTable[[#This Row],[Capacity]])</f>
        <v/>
      </c>
      <c r="K31" s="45" t="str">
        <f aca="false">IF(SprintTable[[#This Row],[Sprint]]="","",IF(StatusDate&gt;SprintTable[[#This Row],[End]],"Closed",IF(StatusDate&gt;=SprintTable[[#This Row],[Start]],"Active","Future")))</f>
        <v/>
      </c>
      <c r="L31" s="96"/>
      <c r="M31" s="66" t="str">
        <f aca="false">IF(SprintTable[[#This Row],[Sprint]]="","",SUMIFS(tsk_LeafPoints,tsk_Sprint,SprintTable[[#This Row],[Sprint]]))</f>
        <v/>
      </c>
      <c r="N31" s="66" t="str">
        <f aca="false">IF(OR(SprintTable[[#This Row],[Sprint]]="",SprintTable[[#This Row],[Status]]="Future"),"",SUMIFS(tsk_LeafPoints,tsk_DoneDate,"&gt;="&amp;SprintTable[[#This Row],[Start]],tsk_DoneDate,"&lt;="&amp;SprintTable[[#This Row],[End]]))</f>
        <v/>
      </c>
      <c r="O31" s="135" t="str">
        <f aca="false">IF(OR(SprintTable[[#This Row],[Sprint]]="",SprintTable[[#This Row],[Status]]&lt;&gt;"Closed"),"",AVERAGE(INDEX(SprintTable[Done Points],MAX(1,SprintTable[[#This Row],[No]]-2)):INDEX(SprintTable[Done Points],SprintTable[[#This Row],[No]])))</f>
        <v/>
      </c>
      <c r="P31" s="66" t="str">
        <f aca="false">IF(OR(SprintTable[[#This Row],[Sprint]]="",SprintTable[[#This Row],[Status]]="Future"),"",TotalPoints-SUMIFS(tsk_LeafPoints,tsk_DoneDate,"&lt;="&amp;MIN(SprintTable[[#This Row],[End]],StatusDate)))</f>
        <v/>
      </c>
      <c r="Q31" s="66" t="str">
        <f aca="false">IF(SprintTable[[#This Row],[Sprint]]="","",TotalPoints-SUMIFS(tsk_LeafPoints,tsk_FcFinish,"&lt;="&amp;SprintTable[[#This Row],[End]]))</f>
        <v/>
      </c>
      <c r="R31" s="66" t="str">
        <f aca="false">IF(SprintTable[[#This Row],[Sprint]]="","",TotalPoints*MAX(0,1-SprintTable[[#This Row],[No]]/SprintCount))</f>
        <v/>
      </c>
      <c r="S31" s="32" t="e">
        <f aca="false">IF(SprintTable[[#This Row],[Remaining Points]]="",NA(),SprintTable[[#This Row],[Remaining Points]])</f>
        <v>#N/A</v>
      </c>
      <c r="T31" s="32" t="n">
        <f aca="false">IFERROR(MATCH(MID("JanFebMarAprMayJunJulAugSepOctNovDec",MONTH(DATE(YEAR(SprintTable[[#This Row],[Start]]),MONTH(SprintTable[[#This Row],[Start]])+0,1))*3-2,3)&amp;"-"&amp;RIGHT(YEAR(DATE(YEAR(SprintTable[[#This Row],[Start]]),MONTH(SprintTable[[#This Row],[Start]])+0,1)),2),LeaveTable[#Headers],0),0)</f>
        <v>21</v>
      </c>
      <c r="U31" s="32" t="n">
        <f aca="false">IFERROR(MATCH(MID("JanFebMarAprMayJunJulAugSepOctNovDec",MONTH(DATE(YEAR(SprintTable[[#This Row],[Start]]),MONTH(SprintTable[[#This Row],[Start]])+1,1))*3-2,3)&amp;"-"&amp;RIGHT(YEAR(DATE(YEAR(SprintTable[[#This Row],[Start]]),MONTH(SprintTable[[#This Row],[Start]])+1,1)),2),LeaveTable[#Headers],0),0)</f>
        <v>22</v>
      </c>
      <c r="V31" s="32" t="n">
        <f aca="false">IFERROR(MATCH(MID("JanFebMarAprMayJunJulAugSepOctNovDec",MONTH(DATE(YEAR(SprintTable[[#This Row],[Start]]),MONTH(SprintTable[[#This Row],[Start]])+2,1))*3-2,3)&amp;"-"&amp;RIGHT(YEAR(DATE(YEAR(SprintTable[[#This Row],[Start]]),MONTH(SprintTable[[#This Row],[Start]])+2,1)),2),LeaveTable[#Headers],0),0)</f>
        <v>23</v>
      </c>
    </row>
    <row r="33" customFormat="false" ht="15" hidden="false" customHeight="false" outlineLevel="0" collapsed="false">
      <c r="A33" s="67" t="s">
        <v>779</v>
      </c>
    </row>
    <row r="34" customFormat="false" ht="15" hidden="false" customHeight="false" outlineLevel="0" collapsed="false">
      <c r="B34" s="9" t="s">
        <v>236</v>
      </c>
      <c r="C34" s="9" t="s">
        <v>242</v>
      </c>
      <c r="D34" s="9" t="str">
        <f aca="false">IFERROR(INDEX(spr_Name,(COLUMN()-COLUMN(load_Origin)-1))&amp;"","")</f>
        <v>Sprint 1</v>
      </c>
      <c r="E34" s="9" t="str">
        <f aca="false">IFERROR(INDEX(spr_Name,(COLUMN()-COLUMN(load_Origin)-1))&amp;"","")</f>
        <v>Sprint 2</v>
      </c>
      <c r="F34" s="9" t="str">
        <f aca="false">IFERROR(INDEX(spr_Name,(COLUMN()-COLUMN(load_Origin)-1))&amp;"","")</f>
        <v>Sprint 3</v>
      </c>
      <c r="G34" s="9" t="str">
        <f aca="false">IFERROR(INDEX(spr_Name,(COLUMN()-COLUMN(load_Origin)-1))&amp;"","")</f>
        <v>Sprint 4</v>
      </c>
      <c r="H34" s="9" t="str">
        <f aca="false">IFERROR(INDEX(spr_Name,(COLUMN()-COLUMN(load_Origin)-1))&amp;"","")</f>
        <v>Sprint 5</v>
      </c>
      <c r="I34" s="9" t="str">
        <f aca="false">IFERROR(INDEX(spr_Name,(COLUMN()-COLUMN(load_Origin)-1))&amp;"","")</f>
        <v>Sprint 6</v>
      </c>
      <c r="J34" s="9" t="str">
        <f aca="false">IFERROR(INDEX(spr_Name,(COLUMN()-COLUMN(load_Origin)-1))&amp;"","")</f>
        <v>Sprint 7</v>
      </c>
      <c r="K34" s="9" t="str">
        <f aca="false">IFERROR(INDEX(spr_Name,(COLUMN()-COLUMN(load_Origin)-1))&amp;"","")</f>
        <v>Sprint 8</v>
      </c>
      <c r="L34" s="9" t="str">
        <f aca="false">IFERROR(INDEX(spr_Name,(COLUMN()-COLUMN(load_Origin)-1))&amp;"","")</f>
        <v>Sprint 9</v>
      </c>
      <c r="M34" s="9" t="str">
        <f aca="false">IFERROR(INDEX(spr_Name,(COLUMN()-COLUMN(load_Origin)-1))&amp;"","")</f>
        <v>Sprint 10</v>
      </c>
      <c r="N34" s="9" t="str">
        <f aca="false">IFERROR(INDEX(spr_Name,(COLUMN()-COLUMN(load_Origin)-1))&amp;"","")</f>
        <v>Sprint 11</v>
      </c>
      <c r="O34" s="9" t="str">
        <f aca="false">IFERROR(INDEX(spr_Name,(COLUMN()-COLUMN(load_Origin)-1))&amp;"","")</f>
        <v>Sprint 12</v>
      </c>
      <c r="P34" s="9" t="str">
        <f aca="false">IFERROR(INDEX(spr_Name,(COLUMN()-COLUMN(load_Origin)-1))&amp;"","")</f>
        <v/>
      </c>
      <c r="Q34" s="9" t="str">
        <f aca="false">IFERROR(INDEX(spr_Name,(COLUMN()-COLUMN(load_Origin)-1))&amp;"","")</f>
        <v/>
      </c>
      <c r="R34" s="9" t="str">
        <f aca="false">IFERROR(INDEX(spr_Name,(COLUMN()-COLUMN(load_Origin)-1))&amp;"","")</f>
        <v/>
      </c>
      <c r="S34" s="9" t="str">
        <f aca="false">IFERROR(INDEX(spr_Name,(COLUMN()-COLUMN(load_Origin)-1))&amp;"","")</f>
        <v/>
      </c>
      <c r="T34" s="9" t="str">
        <f aca="false">IFERROR(INDEX(spr_Name,(COLUMN()-COLUMN(load_Origin)-1))&amp;"","")</f>
        <v/>
      </c>
      <c r="U34" s="9" t="str">
        <f aca="false">IFERROR(INDEX(spr_Name,(COLUMN()-COLUMN(load_Origin)-1))&amp;"","")</f>
        <v/>
      </c>
      <c r="V34" s="9" t="str">
        <f aca="false">IFERROR(INDEX(spr_Name,(COLUMN()-COLUMN(load_Origin)-1))&amp;"","")</f>
        <v/>
      </c>
      <c r="W34" s="9" t="str">
        <f aca="false">IFERROR(INDEX(spr_Name,(COLUMN()-COLUMN(load_Origin)-1))&amp;"","")</f>
        <v/>
      </c>
      <c r="X34" s="9" t="str">
        <f aca="false">IFERROR(INDEX(spr_Name,(COLUMN()-COLUMN(load_Origin)-1))&amp;"","")</f>
        <v/>
      </c>
      <c r="Y34" s="9" t="str">
        <f aca="false">IFERROR(INDEX(spr_Name,(COLUMN()-COLUMN(load_Origin)-1))&amp;"","")</f>
        <v/>
      </c>
      <c r="Z34" s="9" t="str">
        <f aca="false">IFERROR(INDEX(spr_Name,(COLUMN()-COLUMN(load_Origin)-1))&amp;"","")</f>
        <v/>
      </c>
      <c r="AA34" s="9" t="str">
        <f aca="false">IFERROR(INDEX(spr_Name,(COLUMN()-COLUMN(load_Origin)-1))&amp;"","")</f>
        <v/>
      </c>
      <c r="AB34" s="9" t="str">
        <f aca="false">IFERROR(INDEX(spr_Name,(COLUMN()-COLUMN(load_Origin)-1))&amp;"","")</f>
        <v/>
      </c>
      <c r="AC34" s="9" t="str">
        <f aca="false">IFERROR(INDEX(spr_Name,(COLUMN()-COLUMN(load_Origin)-1))&amp;"","")</f>
        <v/>
      </c>
    </row>
    <row r="35" customFormat="false" ht="15" hidden="false" customHeight="false" outlineLevel="0" collapsed="false">
      <c r="B35" s="69" t="s">
        <v>780</v>
      </c>
      <c r="D35" s="136" t="n">
        <f aca="false">IFERROR(IF(INDEX(spr_Name,(COLUMN()-COLUMN(load_Origin)-1))="","",INDEX(spr_Start,(COLUMN()-COLUMN(load_Origin)-1))),"")</f>
        <v>46272</v>
      </c>
      <c r="E35" s="136" t="n">
        <f aca="false">IFERROR(IF(INDEX(spr_Name,(COLUMN()-COLUMN(load_Origin)-1))="","",INDEX(spr_Start,(COLUMN()-COLUMN(load_Origin)-1))),"")</f>
        <v>46286</v>
      </c>
      <c r="F35" s="136" t="n">
        <f aca="false">IFERROR(IF(INDEX(spr_Name,(COLUMN()-COLUMN(load_Origin)-1))="","",INDEX(spr_Start,(COLUMN()-COLUMN(load_Origin)-1))),"")</f>
        <v>46300</v>
      </c>
      <c r="G35" s="136" t="n">
        <f aca="false">IFERROR(IF(INDEX(spr_Name,(COLUMN()-COLUMN(load_Origin)-1))="","",INDEX(spr_Start,(COLUMN()-COLUMN(load_Origin)-1))),"")</f>
        <v>46314</v>
      </c>
      <c r="H35" s="136" t="n">
        <f aca="false">IFERROR(IF(INDEX(spr_Name,(COLUMN()-COLUMN(load_Origin)-1))="","",INDEX(spr_Start,(COLUMN()-COLUMN(load_Origin)-1))),"")</f>
        <v>46328</v>
      </c>
      <c r="I35" s="136" t="n">
        <f aca="false">IFERROR(IF(INDEX(spr_Name,(COLUMN()-COLUMN(load_Origin)-1))="","",INDEX(spr_Start,(COLUMN()-COLUMN(load_Origin)-1))),"")</f>
        <v>46342</v>
      </c>
      <c r="J35" s="136" t="n">
        <f aca="false">IFERROR(IF(INDEX(spr_Name,(COLUMN()-COLUMN(load_Origin)-1))="","",INDEX(spr_Start,(COLUMN()-COLUMN(load_Origin)-1))),"")</f>
        <v>46356</v>
      </c>
      <c r="K35" s="136" t="n">
        <f aca="false">IFERROR(IF(INDEX(spr_Name,(COLUMN()-COLUMN(load_Origin)-1))="","",INDEX(spr_Start,(COLUMN()-COLUMN(load_Origin)-1))),"")</f>
        <v>46370</v>
      </c>
      <c r="L35" s="136" t="n">
        <f aca="false">IFERROR(IF(INDEX(spr_Name,(COLUMN()-COLUMN(load_Origin)-1))="","",INDEX(spr_Start,(COLUMN()-COLUMN(load_Origin)-1))),"")</f>
        <v>46384</v>
      </c>
      <c r="M35" s="136" t="n">
        <f aca="false">IFERROR(IF(INDEX(spr_Name,(COLUMN()-COLUMN(load_Origin)-1))="","",INDEX(spr_Start,(COLUMN()-COLUMN(load_Origin)-1))),"")</f>
        <v>46398</v>
      </c>
      <c r="N35" s="136" t="n">
        <f aca="false">IFERROR(IF(INDEX(spr_Name,(COLUMN()-COLUMN(load_Origin)-1))="","",INDEX(spr_Start,(COLUMN()-COLUMN(load_Origin)-1))),"")</f>
        <v>46412</v>
      </c>
      <c r="O35" s="136" t="n">
        <f aca="false">IFERROR(IF(INDEX(spr_Name,(COLUMN()-COLUMN(load_Origin)-1))="","",INDEX(spr_Start,(COLUMN()-COLUMN(load_Origin)-1))),"")</f>
        <v>46426</v>
      </c>
      <c r="P35" s="136" t="str">
        <f aca="false">IFERROR(IF(INDEX(spr_Name,(COLUMN()-COLUMN(load_Origin)-1))="","",INDEX(spr_Start,(COLUMN()-COLUMN(load_Origin)-1))),"")</f>
        <v/>
      </c>
      <c r="Q35" s="136" t="str">
        <f aca="false">IFERROR(IF(INDEX(spr_Name,(COLUMN()-COLUMN(load_Origin)-1))="","",INDEX(spr_Start,(COLUMN()-COLUMN(load_Origin)-1))),"")</f>
        <v/>
      </c>
      <c r="R35" s="136" t="str">
        <f aca="false">IFERROR(IF(INDEX(spr_Name,(COLUMN()-COLUMN(load_Origin)-1))="","",INDEX(spr_Start,(COLUMN()-COLUMN(load_Origin)-1))),"")</f>
        <v/>
      </c>
      <c r="S35" s="136" t="str">
        <f aca="false">IFERROR(IF(INDEX(spr_Name,(COLUMN()-COLUMN(load_Origin)-1))="","",INDEX(spr_Start,(COLUMN()-COLUMN(load_Origin)-1))),"")</f>
        <v/>
      </c>
      <c r="T35" s="136" t="str">
        <f aca="false">IFERROR(IF(INDEX(spr_Name,(COLUMN()-COLUMN(load_Origin)-1))="","",INDEX(spr_Start,(COLUMN()-COLUMN(load_Origin)-1))),"")</f>
        <v/>
      </c>
      <c r="U35" s="136" t="str">
        <f aca="false">IFERROR(IF(INDEX(spr_Name,(COLUMN()-COLUMN(load_Origin)-1))="","",INDEX(spr_Start,(COLUMN()-COLUMN(load_Origin)-1))),"")</f>
        <v/>
      </c>
      <c r="V35" s="136" t="str">
        <f aca="false">IFERROR(IF(INDEX(spr_Name,(COLUMN()-COLUMN(load_Origin)-1))="","",INDEX(spr_Start,(COLUMN()-COLUMN(load_Origin)-1))),"")</f>
        <v/>
      </c>
      <c r="W35" s="136" t="str">
        <f aca="false">IFERROR(IF(INDEX(spr_Name,(COLUMN()-COLUMN(load_Origin)-1))="","",INDEX(spr_Start,(COLUMN()-COLUMN(load_Origin)-1))),"")</f>
        <v/>
      </c>
      <c r="X35" s="136" t="str">
        <f aca="false">IFERROR(IF(INDEX(spr_Name,(COLUMN()-COLUMN(load_Origin)-1))="","",INDEX(spr_Start,(COLUMN()-COLUMN(load_Origin)-1))),"")</f>
        <v/>
      </c>
      <c r="Y35" s="136" t="str">
        <f aca="false">IFERROR(IF(INDEX(spr_Name,(COLUMN()-COLUMN(load_Origin)-1))="","",INDEX(spr_Start,(COLUMN()-COLUMN(load_Origin)-1))),"")</f>
        <v/>
      </c>
      <c r="Z35" s="136" t="str">
        <f aca="false">IFERROR(IF(INDEX(spr_Name,(COLUMN()-COLUMN(load_Origin)-1))="","",INDEX(spr_Start,(COLUMN()-COLUMN(load_Origin)-1))),"")</f>
        <v/>
      </c>
      <c r="AA35" s="136" t="str">
        <f aca="false">IFERROR(IF(INDEX(spr_Name,(COLUMN()-COLUMN(load_Origin)-1))="","",INDEX(spr_Start,(COLUMN()-COLUMN(load_Origin)-1))),"")</f>
        <v/>
      </c>
      <c r="AB35" s="136" t="str">
        <f aca="false">IFERROR(IF(INDEX(spr_Name,(COLUMN()-COLUMN(load_Origin)-1))="","",INDEX(spr_Start,(COLUMN()-COLUMN(load_Origin)-1))),"")</f>
        <v/>
      </c>
      <c r="AC35" s="136" t="str">
        <f aca="false">IFERROR(IF(INDEX(spr_Name,(COLUMN()-COLUMN(load_Origin)-1))="","",INDEX(spr_Start,(COLUMN()-COLUMN(load_Origin)-1))),"")</f>
        <v/>
      </c>
    </row>
    <row r="36" customFormat="false" ht="15" hidden="false" customHeight="false" outlineLevel="0" collapsed="false">
      <c r="B36" s="48" t="str">
        <f aca="false">IFERROR(INDEX(res_Name,(ROW()-ROW(load_Origin)-1))&amp;"","")</f>
        <v>Priya Sharma</v>
      </c>
      <c r="C36" s="71" t="n">
        <f aca="false">IFERROR(IF(INDEX(res_Name,(ROW()-ROW(load_Origin)-1))="","",INDEX(res_MaxUnits,(ROW()-ROW(load_Origin)-1))),"")</f>
        <v>0.5</v>
      </c>
      <c r="D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24</v>
      </c>
      <c r="E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F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G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H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I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8</v>
      </c>
      <c r="J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K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8</v>
      </c>
      <c r="L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16</v>
      </c>
      <c r="M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36"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3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37" customFormat="false" ht="15" hidden="false" customHeight="false" outlineLevel="0" collapsed="false">
      <c r="B37" s="48" t="str">
        <f aca="false">IFERROR(INDEX(res_Name,(ROW()-ROW(load_Origin)-1))&amp;"","")</f>
        <v>Morgan Patel</v>
      </c>
      <c r="C37" s="71" t="n">
        <f aca="false">IFERROR(IF(INDEX(res_Name,(ROW()-ROW(load_Origin)-1))="","",INDEX(res_MaxUnits,(ROW()-ROW(load_Origin)-1))),"")</f>
        <v>1</v>
      </c>
      <c r="D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44.4444444444445</v>
      </c>
      <c r="E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35.5555555555556</v>
      </c>
      <c r="F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G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H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I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J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40</v>
      </c>
      <c r="K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8</v>
      </c>
      <c r="L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M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37"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3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38" customFormat="false" ht="15" hidden="false" customHeight="false" outlineLevel="0" collapsed="false">
      <c r="B38" s="48" t="str">
        <f aca="false">IFERROR(INDEX(res_Name,(ROW()-ROW(load_Origin)-1))&amp;"","")</f>
        <v>Alex Chen</v>
      </c>
      <c r="C38" s="71" t="n">
        <f aca="false">IFERROR(IF(INDEX(res_Name,(ROW()-ROW(load_Origin)-1))="","",INDEX(res_MaxUnits,(ROW()-ROW(load_Origin)-1))),"")</f>
        <v>0.5</v>
      </c>
      <c r="D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6.66666666666667</v>
      </c>
      <c r="E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33.3333333333333</v>
      </c>
      <c r="F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G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H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I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J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K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L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M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38"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3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39" customFormat="false" ht="15" hidden="false" customHeight="false" outlineLevel="0" collapsed="false">
      <c r="B39" s="48" t="str">
        <f aca="false">IFERROR(INDEX(res_Name,(ROW()-ROW(load_Origin)-1))&amp;"","")</f>
        <v>Casey Kim</v>
      </c>
      <c r="C39" s="71" t="n">
        <f aca="false">IFERROR(IF(INDEX(res_Name,(ROW()-ROW(load_Origin)-1))="","",INDEX(res_MaxUnits,(ROW()-ROW(load_Origin)-1))),"")</f>
        <v>1</v>
      </c>
      <c r="D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E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34.2857142857143</v>
      </c>
      <c r="F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13.7142857142857</v>
      </c>
      <c r="G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34.2857142857143</v>
      </c>
      <c r="H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33.7142857142857</v>
      </c>
      <c r="I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12</v>
      </c>
      <c r="J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K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L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M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39"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3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0" customFormat="false" ht="15" hidden="false" customHeight="false" outlineLevel="0" collapsed="false">
      <c r="B40" s="48" t="str">
        <f aca="false">IFERROR(INDEX(res_Name,(ROW()-ROW(load_Origin)-1))&amp;"","")</f>
        <v>Jordan Lee</v>
      </c>
      <c r="C40" s="71" t="n">
        <f aca="false">IFERROR(IF(INDEX(res_Name,(ROW()-ROW(load_Origin)-1))="","",INDEX(res_MaxUnits,(ROW()-ROW(load_Origin)-1))),"")</f>
        <v>1</v>
      </c>
      <c r="D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3.33333333333334</v>
      </c>
      <c r="E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16.6666666666667</v>
      </c>
      <c r="F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53.3333333333333</v>
      </c>
      <c r="G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66.6666666666667</v>
      </c>
      <c r="H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48</v>
      </c>
      <c r="I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J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K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24</v>
      </c>
      <c r="L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16</v>
      </c>
      <c r="M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40"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1" customFormat="false" ht="15" hidden="false" customHeight="false" outlineLevel="0" collapsed="false">
      <c r="B41" s="48" t="str">
        <f aca="false">IFERROR(INDEX(res_Name,(ROW()-ROW(load_Origin)-1))&amp;"","")</f>
        <v>Sam Rivera</v>
      </c>
      <c r="C41" s="71" t="n">
        <f aca="false">IFERROR(IF(INDEX(res_Name,(ROW()-ROW(load_Origin)-1))="","",INDEX(res_MaxUnits,(ROW()-ROW(load_Origin)-1))),"")</f>
        <v>1</v>
      </c>
      <c r="D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E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F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48</v>
      </c>
      <c r="G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68.5714285714286</v>
      </c>
      <c r="H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43.4285714285714</v>
      </c>
      <c r="I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16</v>
      </c>
      <c r="J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K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L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M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41"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2" customFormat="false" ht="15" hidden="false" customHeight="false" outlineLevel="0" collapsed="false">
      <c r="B42" s="48" t="str">
        <f aca="false">IFERROR(INDEX(res_Name,(ROW()-ROW(load_Origin)-1))&amp;"","")</f>
        <v>Taylor Morgan</v>
      </c>
      <c r="C42" s="71" t="n">
        <f aca="false">IFERROR(IF(INDEX(res_Name,(ROW()-ROW(load_Origin)-1))="","",INDEX(res_MaxUnits,(ROW()-ROW(load_Origin)-1))),"")</f>
        <v>1</v>
      </c>
      <c r="D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E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F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G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H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32</v>
      </c>
      <c r="I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32</v>
      </c>
      <c r="J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40</v>
      </c>
      <c r="K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8</v>
      </c>
      <c r="L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M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N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O42" s="72" t="n">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0</v>
      </c>
      <c r="P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3" customFormat="false" ht="15" hidden="false" customHeight="false" outlineLevel="0" collapsed="false">
      <c r="B43" s="48" t="str">
        <f aca="false">IFERROR(INDEX(res_Name,(ROW()-ROW(load_Origin)-1))&amp;"","")</f>
        <v/>
      </c>
      <c r="C43" s="71" t="str">
        <f aca="false">IFERROR(IF(INDEX(res_Name,(ROW()-ROW(load_Origin)-1))="","",INDEX(res_MaxUnits,(ROW()-ROW(load_Origin)-1))),"")</f>
        <v/>
      </c>
      <c r="D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4" customFormat="false" ht="15" hidden="false" customHeight="false" outlineLevel="0" collapsed="false">
      <c r="B44" s="48" t="str">
        <f aca="false">IFERROR(INDEX(res_Name,(ROW()-ROW(load_Origin)-1))&amp;"","")</f>
        <v/>
      </c>
      <c r="C44" s="71" t="str">
        <f aca="false">IFERROR(IF(INDEX(res_Name,(ROW()-ROW(load_Origin)-1))="","",INDEX(res_MaxUnits,(ROW()-ROW(load_Origin)-1))),"")</f>
        <v/>
      </c>
      <c r="D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5" customFormat="false" ht="15" hidden="false" customHeight="false" outlineLevel="0" collapsed="false">
      <c r="B45" s="48" t="str">
        <f aca="false">IFERROR(INDEX(res_Name,(ROW()-ROW(load_Origin)-1))&amp;"","")</f>
        <v/>
      </c>
      <c r="C45" s="71" t="str">
        <f aca="false">IFERROR(IF(INDEX(res_Name,(ROW()-ROW(load_Origin)-1))="","",INDEX(res_MaxUnits,(ROW()-ROW(load_Origin)-1))),"")</f>
        <v/>
      </c>
      <c r="D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6" customFormat="false" ht="15" hidden="false" customHeight="false" outlineLevel="0" collapsed="false">
      <c r="B46" s="48" t="str">
        <f aca="false">IFERROR(INDEX(res_Name,(ROW()-ROW(load_Origin)-1))&amp;"","")</f>
        <v/>
      </c>
      <c r="C46" s="71" t="str">
        <f aca="false">IFERROR(IF(INDEX(res_Name,(ROW()-ROW(load_Origin)-1))="","",INDEX(res_MaxUnits,(ROW()-ROW(load_Origin)-1))),"")</f>
        <v/>
      </c>
      <c r="D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7" customFormat="false" ht="15" hidden="false" customHeight="false" outlineLevel="0" collapsed="false">
      <c r="B47" s="48" t="str">
        <f aca="false">IFERROR(INDEX(res_Name,(ROW()-ROW(load_Origin)-1))&amp;"","")</f>
        <v/>
      </c>
      <c r="C47" s="71" t="str">
        <f aca="false">IFERROR(IF(INDEX(res_Name,(ROW()-ROW(load_Origin)-1))="","",INDEX(res_MaxUnits,(ROW()-ROW(load_Origin)-1))),"")</f>
        <v/>
      </c>
      <c r="D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8" customFormat="false" ht="15" hidden="false" customHeight="false" outlineLevel="0" collapsed="false">
      <c r="B48" s="48" t="str">
        <f aca="false">IFERROR(INDEX(res_Name,(ROW()-ROW(load_Origin)-1))&amp;"","")</f>
        <v/>
      </c>
      <c r="C48" s="71" t="str">
        <f aca="false">IFERROR(IF(INDEX(res_Name,(ROW()-ROW(load_Origin)-1))="","",INDEX(res_MaxUnits,(ROW()-ROW(load_Origin)-1))),"")</f>
        <v/>
      </c>
      <c r="D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49" customFormat="false" ht="15" hidden="false" customHeight="false" outlineLevel="0" collapsed="false">
      <c r="B49" s="48" t="str">
        <f aca="false">IFERROR(INDEX(res_Name,(ROW()-ROW(load_Origin)-1))&amp;"","")</f>
        <v/>
      </c>
      <c r="C49" s="71" t="str">
        <f aca="false">IFERROR(IF(INDEX(res_Name,(ROW()-ROW(load_Origin)-1))="","",INDEX(res_MaxUnits,(ROW()-ROW(load_Origin)-1))),"")</f>
        <v/>
      </c>
      <c r="D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4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0" customFormat="false" ht="15" hidden="false" customHeight="false" outlineLevel="0" collapsed="false">
      <c r="B50" s="48" t="str">
        <f aca="false">IFERROR(INDEX(res_Name,(ROW()-ROW(load_Origin)-1))&amp;"","")</f>
        <v/>
      </c>
      <c r="C50" s="71" t="str">
        <f aca="false">IFERROR(IF(INDEX(res_Name,(ROW()-ROW(load_Origin)-1))="","",INDEX(res_MaxUnits,(ROW()-ROW(load_Origin)-1))),"")</f>
        <v/>
      </c>
      <c r="D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1" customFormat="false" ht="15" hidden="false" customHeight="false" outlineLevel="0" collapsed="false">
      <c r="B51" s="48" t="str">
        <f aca="false">IFERROR(INDEX(res_Name,(ROW()-ROW(load_Origin)-1))&amp;"","")</f>
        <v/>
      </c>
      <c r="C51" s="71" t="str">
        <f aca="false">IFERROR(IF(INDEX(res_Name,(ROW()-ROW(load_Origin)-1))="","",INDEX(res_MaxUnits,(ROW()-ROW(load_Origin)-1))),"")</f>
        <v/>
      </c>
      <c r="D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1"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2" customFormat="false" ht="15" hidden="false" customHeight="false" outlineLevel="0" collapsed="false">
      <c r="B52" s="48" t="str">
        <f aca="false">IFERROR(INDEX(res_Name,(ROW()-ROW(load_Origin)-1))&amp;"","")</f>
        <v/>
      </c>
      <c r="C52" s="71" t="str">
        <f aca="false">IFERROR(IF(INDEX(res_Name,(ROW()-ROW(load_Origin)-1))="","",INDEX(res_MaxUnits,(ROW()-ROW(load_Origin)-1))),"")</f>
        <v/>
      </c>
      <c r="D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2"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3" customFormat="false" ht="15" hidden="false" customHeight="false" outlineLevel="0" collapsed="false">
      <c r="B53" s="48" t="str">
        <f aca="false">IFERROR(INDEX(res_Name,(ROW()-ROW(load_Origin)-1))&amp;"","")</f>
        <v/>
      </c>
      <c r="C53" s="71" t="str">
        <f aca="false">IFERROR(IF(INDEX(res_Name,(ROW()-ROW(load_Origin)-1))="","",INDEX(res_MaxUnits,(ROW()-ROW(load_Origin)-1))),"")</f>
        <v/>
      </c>
      <c r="D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3"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4" customFormat="false" ht="15" hidden="false" customHeight="false" outlineLevel="0" collapsed="false">
      <c r="B54" s="48" t="str">
        <f aca="false">IFERROR(INDEX(res_Name,(ROW()-ROW(load_Origin)-1))&amp;"","")</f>
        <v/>
      </c>
      <c r="C54" s="71" t="str">
        <f aca="false">IFERROR(IF(INDEX(res_Name,(ROW()-ROW(load_Origin)-1))="","",INDEX(res_MaxUnits,(ROW()-ROW(load_Origin)-1))),"")</f>
        <v/>
      </c>
      <c r="D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4"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5" customFormat="false" ht="15" hidden="false" customHeight="false" outlineLevel="0" collapsed="false">
      <c r="B55" s="48" t="str">
        <f aca="false">IFERROR(INDEX(res_Name,(ROW()-ROW(load_Origin)-1))&amp;"","")</f>
        <v/>
      </c>
      <c r="C55" s="71" t="str">
        <f aca="false">IFERROR(IF(INDEX(res_Name,(ROW()-ROW(load_Origin)-1))="","",INDEX(res_MaxUnits,(ROW()-ROW(load_Origin)-1))),"")</f>
        <v/>
      </c>
      <c r="D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5"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6" customFormat="false" ht="15" hidden="false" customHeight="false" outlineLevel="0" collapsed="false">
      <c r="B56" s="48" t="str">
        <f aca="false">IFERROR(INDEX(res_Name,(ROW()-ROW(load_Origin)-1))&amp;"","")</f>
        <v/>
      </c>
      <c r="C56" s="71" t="str">
        <f aca="false">IFERROR(IF(INDEX(res_Name,(ROW()-ROW(load_Origin)-1))="","",INDEX(res_MaxUnits,(ROW()-ROW(load_Origin)-1))),"")</f>
        <v/>
      </c>
      <c r="D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6"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7" customFormat="false" ht="15" hidden="false" customHeight="false" outlineLevel="0" collapsed="false">
      <c r="B57" s="48" t="str">
        <f aca="false">IFERROR(INDEX(res_Name,(ROW()-ROW(load_Origin)-1))&amp;"","")</f>
        <v/>
      </c>
      <c r="C57" s="71" t="str">
        <f aca="false">IFERROR(IF(INDEX(res_Name,(ROW()-ROW(load_Origin)-1))="","",INDEX(res_MaxUnits,(ROW()-ROW(load_Origin)-1))),"")</f>
        <v/>
      </c>
      <c r="D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7"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8" customFormat="false" ht="15" hidden="false" customHeight="false" outlineLevel="0" collapsed="false">
      <c r="B58" s="48" t="str">
        <f aca="false">IFERROR(INDEX(res_Name,(ROW()-ROW(load_Origin)-1))&amp;"","")</f>
        <v/>
      </c>
      <c r="C58" s="71" t="str">
        <f aca="false">IFERROR(IF(INDEX(res_Name,(ROW()-ROW(load_Origin)-1))="","",INDEX(res_MaxUnits,(ROW()-ROW(load_Origin)-1))),"")</f>
        <v/>
      </c>
      <c r="D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8"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59" customFormat="false" ht="15" hidden="false" customHeight="false" outlineLevel="0" collapsed="false">
      <c r="B59" s="48" t="str">
        <f aca="false">IFERROR(INDEX(res_Name,(ROW()-ROW(load_Origin)-1))&amp;"","")</f>
        <v/>
      </c>
      <c r="C59" s="71" t="str">
        <f aca="false">IFERROR(IF(INDEX(res_Name,(ROW()-ROW(load_Origin)-1))="","",INDEX(res_MaxUnits,(ROW()-ROW(load_Origin)-1))),"")</f>
        <v/>
      </c>
      <c r="D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59"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60" customFormat="false" ht="15" hidden="false" customHeight="false" outlineLevel="0" collapsed="false">
      <c r="B60" s="48" t="str">
        <f aca="false">IFERROR(INDEX(res_Name,(ROW()-ROW(load_Origin)-1))&amp;"","")</f>
        <v/>
      </c>
      <c r="C60" s="71" t="str">
        <f aca="false">IFERROR(IF(INDEX(res_Name,(ROW()-ROW(load_Origin)-1))="","",INDEX(res_MaxUnits,(ROW()-ROW(load_Origin)-1))),"")</f>
        <v/>
      </c>
      <c r="D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E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F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G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H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I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J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K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L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M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N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O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P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Q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R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S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T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U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V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W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X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Y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Z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A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B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c r="AC60" s="72" t="str">
        <f aca="false">IFERROR(IF(OR(INDEX(res_Name,(ROW()-ROW(load_Origin)-1))="",INDEX(spr_Name,(COLUMN()-COLUMN(load_Origin)-1))=""),"",((SUMIFS(tsk_LeafWork,tsk_FinishWD,"&lt;"&amp;NETWORKDAYS.INTL(ProjectStart,INDEX(spr_End,(COLUMN()-COLUMN(load_Origin)-1)),WorkWeek,Holidays),tsk_FinishWD,"&gt;0",tsk_Resource,INDEX(res_Name,(ROW()-ROW(load_Origin)-1)))+NETWORKDAYS.INTL(ProjectStart,INDEX(spr_End,(COLUMN()-COLUMN(load_Origin)-1)),WorkWeek,Holidays)*SUMIFS(tsk_WorkPerWD,tsk_StartWD,"&lt;="&amp;NETWORKDAYS.INTL(ProjectStart,INDEX(spr_End,(COLUMN()-COLUMN(load_Origin)-1)),WorkWeek,Holidays),tsk_FinishWD,"&gt;="&amp;NETWORKDAYS.INTL(ProjectStart,INDEX(spr_End,(COLUMN()-COLUMN(load_Origin)-1)),WorkWeek,Holidays),tsk_Resource,INDEX(res_Name,(ROW()-ROW(load_Origin)-1)))-SUMIFS(tsk_WorkBeforeStart,tsk_StartWD,"&lt;="&amp;NETWORKDAYS.INTL(ProjectStart,INDEX(spr_End,(COLUMN()-COLUMN(load_Origin)-1)),WorkWeek,Holidays),tsk_FinishWD,"&gt;="&amp;NETWORKDAYS.INTL(ProjectStart,INDEX(spr_End,(COLUMN()-COLUMN(load_Origin)-1)),WorkWeek,Holidays),tsk_Resource,INDEX(res_Name,(ROW()-ROW(load_Origin)-1)))+SUMIFS(asg_Work,asg_FinishWD,"&lt;"&amp;NETWORKDAYS.INTL(ProjectStart,INDEX(spr_End,(COLUMN()-COLUMN(load_Origin)-1)),WorkWeek,Holidays),asg_FinishWD,"&gt;0",asg_Resource,INDEX(res_Name,(ROW()-ROW(load_Origin)-1)))+NETWORKDAYS.INTL(ProjectStart,INDEX(spr_End,(COLUMN()-COLUMN(load_Origin)-1)),WorkWeek,Holidays)*SUMIFS(asg_WorkPerWD,asg_StartWD,"&lt;="&amp;NETWORKDAYS.INTL(ProjectStart,INDEX(spr_End,(COLUMN()-COLUMN(load_Origin)-1)),WorkWeek,Holidays),asg_FinishWD,"&gt;="&amp;NETWORKDAYS.INTL(ProjectStart,INDEX(spr_End,(COLUMN()-COLUMN(load_Origin)-1)),WorkWeek,Holidays),asg_Resource,INDEX(res_Name,(ROW()-ROW(load_Origin)-1)))-SUMIFS(asg_WorkBeforeStart,asg_StartWD,"&lt;="&amp;NETWORKDAYS.INTL(ProjectStart,INDEX(spr_End,(COLUMN()-COLUMN(load_Origin)-1)),WorkWeek,Holidays),asg_FinishWD,"&gt;="&amp;NETWORKDAYS.INTL(ProjectStart,INDEX(spr_End,(COLUMN()-COLUMN(load_Origin)-1)),WorkWeek,Holidays),asg_Resource,INDEX(res_Name,(ROW()-ROW(load_Origin)-1))))-(SUMIFS(tsk_LeafWork,tsk_FinishWD,"&lt;"&amp;(NETWORKDAYS.INTL(ProjectStart,INDEX(spr_Start,(COLUMN()-COLUMN(load_Origin)-1)),WorkWeek,Holidays)-1),tsk_FinishWD,"&gt;0",tsk_Resource,INDEX(res_Name,(ROW()-ROW(load_Origin)-1)))+(NETWORKDAYS.INTL(ProjectStart,INDEX(spr_Start,(COLUMN()-COLUMN(load_Origin)-1)),WorkWeek,Holidays)-1)*SUMIFS(tsk_WorkPerWD,tsk_StartWD,"&lt;="&amp;(NETWORKDAYS.INTL(ProjectStart,INDEX(spr_Start,(COLUMN()-COLUMN(load_Origin)-1)),WorkWeek,Holidays)-1),tsk_FinishWD,"&gt;="&amp;(NETWORKDAYS.INTL(ProjectStart,INDEX(spr_Start,(COLUMN()-COLUMN(load_Origin)-1)),WorkWeek,Holidays)-1),tsk_Resource,INDEX(res_Name,(ROW()-ROW(load_Origin)-1)))-SUMIFS(tsk_WorkBeforeStart,tsk_StartWD,"&lt;="&amp;(NETWORKDAYS.INTL(ProjectStart,INDEX(spr_Start,(COLUMN()-COLUMN(load_Origin)-1)),WorkWeek,Holidays)-1),tsk_FinishWD,"&gt;="&amp;(NETWORKDAYS.INTL(ProjectStart,INDEX(spr_Start,(COLUMN()-COLUMN(load_Origin)-1)),WorkWeek,Holidays)-1),tsk_Resource,INDEX(res_Name,(ROW()-ROW(load_Origin)-1)))+SUMIFS(asg_Work,asg_FinishWD,"&lt;"&amp;(NETWORKDAYS.INTL(ProjectStart,INDEX(spr_Start,(COLUMN()-COLUMN(load_Origin)-1)),WorkWeek,Holidays)-1),asg_FinishWD,"&gt;0",asg_Resource,INDEX(res_Name,(ROW()-ROW(load_Origin)-1)))+(NETWORKDAYS.INTL(ProjectStart,INDEX(spr_Start,(COLUMN()-COLUMN(load_Origin)-1)),WorkWeek,Holidays)-1)*SUMIFS(asg_WorkPerWD,asg_StartWD,"&lt;="&amp;(NETWORKDAYS.INTL(ProjectStart,INDEX(spr_Start,(COLUMN()-COLUMN(load_Origin)-1)),WorkWeek,Holidays)-1),asg_FinishWD,"&gt;="&amp;(NETWORKDAYS.INTL(ProjectStart,INDEX(spr_Start,(COLUMN()-COLUMN(load_Origin)-1)),WorkWeek,Holidays)-1),asg_Resource,INDEX(res_Name,(ROW()-ROW(load_Origin)-1)))-SUMIFS(asg_WorkBeforeStart,asg_StartWD,"&lt;="&amp;(NETWORKDAYS.INTL(ProjectStart,INDEX(spr_Start,(COLUMN()-COLUMN(load_Origin)-1)),WorkWeek,Holidays)-1),asg_FinishWD,"&gt;="&amp;(NETWORKDAYS.INTL(ProjectStart,INDEX(spr_Start,(COLUMN()-COLUMN(load_Origin)-1)),WorkWeek,Holidays)-1),asg_Resource,INDEX(res_Name,(ROW()-ROW(load_Origin)-1)))))),"")</f>
        <v/>
      </c>
    </row>
    <row r="63" customFormat="false" ht="15" hidden="false" customHeight="false" outlineLevel="0" collapsed="false">
      <c r="A63" s="67" t="s">
        <v>781</v>
      </c>
    </row>
    <row r="64" customFormat="false" ht="15" hidden="false" customHeight="false" outlineLevel="0" collapsed="false">
      <c r="B64" s="9" t="s">
        <v>236</v>
      </c>
      <c r="C64" s="9" t="s">
        <v>242</v>
      </c>
      <c r="D64" s="9" t="str">
        <f aca="false">IFERROR(INDEX(spr_Name,(COLUMN()-COLUMN(util_Origin)-1))&amp;"","")</f>
        <v>Sprint 1</v>
      </c>
      <c r="E64" s="9" t="str">
        <f aca="false">IFERROR(INDEX(spr_Name,(COLUMN()-COLUMN(util_Origin)-1))&amp;"","")</f>
        <v>Sprint 2</v>
      </c>
      <c r="F64" s="9" t="str">
        <f aca="false">IFERROR(INDEX(spr_Name,(COLUMN()-COLUMN(util_Origin)-1))&amp;"","")</f>
        <v>Sprint 3</v>
      </c>
      <c r="G64" s="9" t="str">
        <f aca="false">IFERROR(INDEX(spr_Name,(COLUMN()-COLUMN(util_Origin)-1))&amp;"","")</f>
        <v>Sprint 4</v>
      </c>
      <c r="H64" s="9" t="str">
        <f aca="false">IFERROR(INDEX(spr_Name,(COLUMN()-COLUMN(util_Origin)-1))&amp;"","")</f>
        <v>Sprint 5</v>
      </c>
      <c r="I64" s="9" t="str">
        <f aca="false">IFERROR(INDEX(spr_Name,(COLUMN()-COLUMN(util_Origin)-1))&amp;"","")</f>
        <v>Sprint 6</v>
      </c>
      <c r="J64" s="9" t="str">
        <f aca="false">IFERROR(INDEX(spr_Name,(COLUMN()-COLUMN(util_Origin)-1))&amp;"","")</f>
        <v>Sprint 7</v>
      </c>
      <c r="K64" s="9" t="str">
        <f aca="false">IFERROR(INDEX(spr_Name,(COLUMN()-COLUMN(util_Origin)-1))&amp;"","")</f>
        <v>Sprint 8</v>
      </c>
      <c r="L64" s="9" t="str">
        <f aca="false">IFERROR(INDEX(spr_Name,(COLUMN()-COLUMN(util_Origin)-1))&amp;"","")</f>
        <v>Sprint 9</v>
      </c>
      <c r="M64" s="9" t="str">
        <f aca="false">IFERROR(INDEX(spr_Name,(COLUMN()-COLUMN(util_Origin)-1))&amp;"","")</f>
        <v>Sprint 10</v>
      </c>
      <c r="N64" s="9" t="str">
        <f aca="false">IFERROR(INDEX(spr_Name,(COLUMN()-COLUMN(util_Origin)-1))&amp;"","")</f>
        <v>Sprint 11</v>
      </c>
      <c r="O64" s="9" t="str">
        <f aca="false">IFERROR(INDEX(spr_Name,(COLUMN()-COLUMN(util_Origin)-1))&amp;"","")</f>
        <v>Sprint 12</v>
      </c>
      <c r="P64" s="9" t="str">
        <f aca="false">IFERROR(INDEX(spr_Name,(COLUMN()-COLUMN(util_Origin)-1))&amp;"","")</f>
        <v/>
      </c>
      <c r="Q64" s="9" t="str">
        <f aca="false">IFERROR(INDEX(spr_Name,(COLUMN()-COLUMN(util_Origin)-1))&amp;"","")</f>
        <v/>
      </c>
      <c r="R64" s="9" t="str">
        <f aca="false">IFERROR(INDEX(spr_Name,(COLUMN()-COLUMN(util_Origin)-1))&amp;"","")</f>
        <v/>
      </c>
      <c r="S64" s="9" t="str">
        <f aca="false">IFERROR(INDEX(spr_Name,(COLUMN()-COLUMN(util_Origin)-1))&amp;"","")</f>
        <v/>
      </c>
      <c r="T64" s="9" t="str">
        <f aca="false">IFERROR(INDEX(spr_Name,(COLUMN()-COLUMN(util_Origin)-1))&amp;"","")</f>
        <v/>
      </c>
      <c r="U64" s="9" t="str">
        <f aca="false">IFERROR(INDEX(spr_Name,(COLUMN()-COLUMN(util_Origin)-1))&amp;"","")</f>
        <v/>
      </c>
      <c r="V64" s="9" t="str">
        <f aca="false">IFERROR(INDEX(spr_Name,(COLUMN()-COLUMN(util_Origin)-1))&amp;"","")</f>
        <v/>
      </c>
      <c r="W64" s="9" t="str">
        <f aca="false">IFERROR(INDEX(spr_Name,(COLUMN()-COLUMN(util_Origin)-1))&amp;"","")</f>
        <v/>
      </c>
      <c r="X64" s="9" t="str">
        <f aca="false">IFERROR(INDEX(spr_Name,(COLUMN()-COLUMN(util_Origin)-1))&amp;"","")</f>
        <v/>
      </c>
      <c r="Y64" s="9" t="str">
        <f aca="false">IFERROR(INDEX(spr_Name,(COLUMN()-COLUMN(util_Origin)-1))&amp;"","")</f>
        <v/>
      </c>
      <c r="Z64" s="9" t="str">
        <f aca="false">IFERROR(INDEX(spr_Name,(COLUMN()-COLUMN(util_Origin)-1))&amp;"","")</f>
        <v/>
      </c>
      <c r="AA64" s="9" t="str">
        <f aca="false">IFERROR(INDEX(spr_Name,(COLUMN()-COLUMN(util_Origin)-1))&amp;"","")</f>
        <v/>
      </c>
      <c r="AB64" s="9" t="str">
        <f aca="false">IFERROR(INDEX(spr_Name,(COLUMN()-COLUMN(util_Origin)-1))&amp;"","")</f>
        <v/>
      </c>
      <c r="AC64" s="9" t="str">
        <f aca="false">IFERROR(INDEX(spr_Name,(COLUMN()-COLUMN(util_Origin)-1))&amp;"","")</f>
        <v/>
      </c>
    </row>
    <row r="65" customFormat="false" ht="15" hidden="false" customHeight="false" outlineLevel="0" collapsed="false">
      <c r="B65" s="69" t="s">
        <v>780</v>
      </c>
      <c r="D65" s="136" t="n">
        <f aca="false">IFERROR(IF(INDEX(spr_Name,(COLUMN()-COLUMN(util_Origin)-1))="","",INDEX(spr_Start,(COLUMN()-COLUMN(util_Origin)-1))),"")</f>
        <v>46272</v>
      </c>
      <c r="E65" s="136" t="n">
        <f aca="false">IFERROR(IF(INDEX(spr_Name,(COLUMN()-COLUMN(util_Origin)-1))="","",INDEX(spr_Start,(COLUMN()-COLUMN(util_Origin)-1))),"")</f>
        <v>46286</v>
      </c>
      <c r="F65" s="136" t="n">
        <f aca="false">IFERROR(IF(INDEX(spr_Name,(COLUMN()-COLUMN(util_Origin)-1))="","",INDEX(spr_Start,(COLUMN()-COLUMN(util_Origin)-1))),"")</f>
        <v>46300</v>
      </c>
      <c r="G65" s="136" t="n">
        <f aca="false">IFERROR(IF(INDEX(spr_Name,(COLUMN()-COLUMN(util_Origin)-1))="","",INDEX(spr_Start,(COLUMN()-COLUMN(util_Origin)-1))),"")</f>
        <v>46314</v>
      </c>
      <c r="H65" s="136" t="n">
        <f aca="false">IFERROR(IF(INDEX(spr_Name,(COLUMN()-COLUMN(util_Origin)-1))="","",INDEX(spr_Start,(COLUMN()-COLUMN(util_Origin)-1))),"")</f>
        <v>46328</v>
      </c>
      <c r="I65" s="136" t="n">
        <f aca="false">IFERROR(IF(INDEX(spr_Name,(COLUMN()-COLUMN(util_Origin)-1))="","",INDEX(spr_Start,(COLUMN()-COLUMN(util_Origin)-1))),"")</f>
        <v>46342</v>
      </c>
      <c r="J65" s="136" t="n">
        <f aca="false">IFERROR(IF(INDEX(spr_Name,(COLUMN()-COLUMN(util_Origin)-1))="","",INDEX(spr_Start,(COLUMN()-COLUMN(util_Origin)-1))),"")</f>
        <v>46356</v>
      </c>
      <c r="K65" s="136" t="n">
        <f aca="false">IFERROR(IF(INDEX(spr_Name,(COLUMN()-COLUMN(util_Origin)-1))="","",INDEX(spr_Start,(COLUMN()-COLUMN(util_Origin)-1))),"")</f>
        <v>46370</v>
      </c>
      <c r="L65" s="136" t="n">
        <f aca="false">IFERROR(IF(INDEX(spr_Name,(COLUMN()-COLUMN(util_Origin)-1))="","",INDEX(spr_Start,(COLUMN()-COLUMN(util_Origin)-1))),"")</f>
        <v>46384</v>
      </c>
      <c r="M65" s="136" t="n">
        <f aca="false">IFERROR(IF(INDEX(spr_Name,(COLUMN()-COLUMN(util_Origin)-1))="","",INDEX(spr_Start,(COLUMN()-COLUMN(util_Origin)-1))),"")</f>
        <v>46398</v>
      </c>
      <c r="N65" s="136" t="n">
        <f aca="false">IFERROR(IF(INDEX(spr_Name,(COLUMN()-COLUMN(util_Origin)-1))="","",INDEX(spr_Start,(COLUMN()-COLUMN(util_Origin)-1))),"")</f>
        <v>46412</v>
      </c>
      <c r="O65" s="136" t="n">
        <f aca="false">IFERROR(IF(INDEX(spr_Name,(COLUMN()-COLUMN(util_Origin)-1))="","",INDEX(spr_Start,(COLUMN()-COLUMN(util_Origin)-1))),"")</f>
        <v>46426</v>
      </c>
      <c r="P65" s="136" t="str">
        <f aca="false">IFERROR(IF(INDEX(spr_Name,(COLUMN()-COLUMN(util_Origin)-1))="","",INDEX(spr_Start,(COLUMN()-COLUMN(util_Origin)-1))),"")</f>
        <v/>
      </c>
      <c r="Q65" s="136" t="str">
        <f aca="false">IFERROR(IF(INDEX(spr_Name,(COLUMN()-COLUMN(util_Origin)-1))="","",INDEX(spr_Start,(COLUMN()-COLUMN(util_Origin)-1))),"")</f>
        <v/>
      </c>
      <c r="R65" s="136" t="str">
        <f aca="false">IFERROR(IF(INDEX(spr_Name,(COLUMN()-COLUMN(util_Origin)-1))="","",INDEX(spr_Start,(COLUMN()-COLUMN(util_Origin)-1))),"")</f>
        <v/>
      </c>
      <c r="S65" s="136" t="str">
        <f aca="false">IFERROR(IF(INDEX(spr_Name,(COLUMN()-COLUMN(util_Origin)-1))="","",INDEX(spr_Start,(COLUMN()-COLUMN(util_Origin)-1))),"")</f>
        <v/>
      </c>
      <c r="T65" s="136" t="str">
        <f aca="false">IFERROR(IF(INDEX(spr_Name,(COLUMN()-COLUMN(util_Origin)-1))="","",INDEX(spr_Start,(COLUMN()-COLUMN(util_Origin)-1))),"")</f>
        <v/>
      </c>
      <c r="U65" s="136" t="str">
        <f aca="false">IFERROR(IF(INDEX(spr_Name,(COLUMN()-COLUMN(util_Origin)-1))="","",INDEX(spr_Start,(COLUMN()-COLUMN(util_Origin)-1))),"")</f>
        <v/>
      </c>
      <c r="V65" s="136" t="str">
        <f aca="false">IFERROR(IF(INDEX(spr_Name,(COLUMN()-COLUMN(util_Origin)-1))="","",INDEX(spr_Start,(COLUMN()-COLUMN(util_Origin)-1))),"")</f>
        <v/>
      </c>
      <c r="W65" s="136" t="str">
        <f aca="false">IFERROR(IF(INDEX(spr_Name,(COLUMN()-COLUMN(util_Origin)-1))="","",INDEX(spr_Start,(COLUMN()-COLUMN(util_Origin)-1))),"")</f>
        <v/>
      </c>
      <c r="X65" s="136" t="str">
        <f aca="false">IFERROR(IF(INDEX(spr_Name,(COLUMN()-COLUMN(util_Origin)-1))="","",INDEX(spr_Start,(COLUMN()-COLUMN(util_Origin)-1))),"")</f>
        <v/>
      </c>
      <c r="Y65" s="136" t="str">
        <f aca="false">IFERROR(IF(INDEX(spr_Name,(COLUMN()-COLUMN(util_Origin)-1))="","",INDEX(spr_Start,(COLUMN()-COLUMN(util_Origin)-1))),"")</f>
        <v/>
      </c>
      <c r="Z65" s="136" t="str">
        <f aca="false">IFERROR(IF(INDEX(spr_Name,(COLUMN()-COLUMN(util_Origin)-1))="","",INDEX(spr_Start,(COLUMN()-COLUMN(util_Origin)-1))),"")</f>
        <v/>
      </c>
      <c r="AA65" s="136" t="str">
        <f aca="false">IFERROR(IF(INDEX(spr_Name,(COLUMN()-COLUMN(util_Origin)-1))="","",INDEX(spr_Start,(COLUMN()-COLUMN(util_Origin)-1))),"")</f>
        <v/>
      </c>
      <c r="AB65" s="136" t="str">
        <f aca="false">IFERROR(IF(INDEX(spr_Name,(COLUMN()-COLUMN(util_Origin)-1))="","",INDEX(spr_Start,(COLUMN()-COLUMN(util_Origin)-1))),"")</f>
        <v/>
      </c>
      <c r="AC65" s="136" t="str">
        <f aca="false">IFERROR(IF(INDEX(spr_Name,(COLUMN()-COLUMN(util_Origin)-1))="","",INDEX(spr_Start,(COLUMN()-COLUMN(util_Origin)-1))),"")</f>
        <v/>
      </c>
    </row>
    <row r="66" customFormat="false" ht="15" hidden="false" customHeight="false" outlineLevel="0" collapsed="false">
      <c r="B66" s="48" t="str">
        <f aca="false">IFERROR(INDEX(res_Name,(ROW()-ROW(util_Origin)-1))&amp;"","")</f>
        <v>Priya Sharma</v>
      </c>
      <c r="C66" s="71" t="n">
        <f aca="false">IFERROR(IF(INDEX(res_Name,(ROW()-ROW(util_Origin)-1))="","",INDEX(res_MaxUnits,(ROW()-ROW(util_Origin)-1))),"")</f>
        <v>0.5</v>
      </c>
      <c r="D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0.6</v>
      </c>
      <c r="E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F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G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H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I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0.2</v>
      </c>
      <c r="J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K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0.25</v>
      </c>
      <c r="L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v>
      </c>
      <c r="M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66"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6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67" customFormat="false" ht="15" hidden="false" customHeight="false" outlineLevel="0" collapsed="false">
      <c r="B67" s="48" t="str">
        <f aca="false">IFERROR(INDEX(res_Name,(ROW()-ROW(util_Origin)-1))&amp;"","")</f>
        <v>Morgan Patel</v>
      </c>
      <c r="C67" s="71" t="n">
        <f aca="false">IFERROR(IF(INDEX(res_Name,(ROW()-ROW(util_Origin)-1))="","",INDEX(res_MaxUnits,(ROW()-ROW(util_Origin)-1))),"")</f>
        <v>1</v>
      </c>
      <c r="D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0.555555555555556</v>
      </c>
      <c r="E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0.444444444444444</v>
      </c>
      <c r="F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G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H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I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J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v>
      </c>
      <c r="K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0.125</v>
      </c>
      <c r="L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M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67"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6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68" customFormat="false" ht="15" hidden="false" customHeight="false" outlineLevel="0" collapsed="false">
      <c r="B68" s="48" t="str">
        <f aca="false">IFERROR(INDEX(res_Name,(ROW()-ROW(util_Origin)-1))&amp;"","")</f>
        <v>Alex Chen</v>
      </c>
      <c r="C68" s="71" t="n">
        <f aca="false">IFERROR(IF(INDEX(res_Name,(ROW()-ROW(util_Origin)-1))="","",INDEX(res_MaxUnits,(ROW()-ROW(util_Origin)-1))),"")</f>
        <v>0.5</v>
      </c>
      <c r="D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0.166666666666667</v>
      </c>
      <c r="E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0.833333333333333</v>
      </c>
      <c r="F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G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H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I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J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K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L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M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68"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6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69" customFormat="false" ht="15" hidden="false" customHeight="false" outlineLevel="0" collapsed="false">
      <c r="B69" s="48" t="str">
        <f aca="false">IFERROR(INDEX(res_Name,(ROW()-ROW(util_Origin)-1))&amp;"","")</f>
        <v>Casey Kim</v>
      </c>
      <c r="C69" s="71" t="n">
        <f aca="false">IFERROR(IF(INDEX(res_Name,(ROW()-ROW(util_Origin)-1))="","",INDEX(res_MaxUnits,(ROW()-ROW(util_Origin)-1))),"")</f>
        <v>1</v>
      </c>
      <c r="D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E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0.428571428571429</v>
      </c>
      <c r="F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0.171428571428571</v>
      </c>
      <c r="G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0.428571428571429</v>
      </c>
      <c r="H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0.421428571428571</v>
      </c>
      <c r="I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3</v>
      </c>
      <c r="J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K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L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M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69"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6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0" customFormat="false" ht="15" hidden="false" customHeight="false" outlineLevel="0" collapsed="false">
      <c r="B70" s="48" t="str">
        <f aca="false">IFERROR(INDEX(res_Name,(ROW()-ROW(util_Origin)-1))&amp;"","")</f>
        <v>Jordan Lee</v>
      </c>
      <c r="C70" s="71" t="n">
        <f aca="false">IFERROR(IF(INDEX(res_Name,(ROW()-ROW(util_Origin)-1))="","",INDEX(res_MaxUnits,(ROW()-ROW(util_Origin)-1))),"")</f>
        <v>1</v>
      </c>
      <c r="D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0.0416666666666667</v>
      </c>
      <c r="E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0.208333333333333</v>
      </c>
      <c r="F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0.666666666666666</v>
      </c>
      <c r="G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0.925925925925926</v>
      </c>
      <c r="H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0.6</v>
      </c>
      <c r="I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J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K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0.545454545454545</v>
      </c>
      <c r="L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0.25</v>
      </c>
      <c r="M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70"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1" customFormat="false" ht="15" hidden="false" customHeight="false" outlineLevel="0" collapsed="false">
      <c r="B71" s="48" t="str">
        <f aca="false">IFERROR(INDEX(res_Name,(ROW()-ROW(util_Origin)-1))&amp;"","")</f>
        <v>Sam Rivera</v>
      </c>
      <c r="C71" s="71" t="n">
        <f aca="false">IFERROR(IF(INDEX(res_Name,(ROW()-ROW(util_Origin)-1))="","",INDEX(res_MaxUnits,(ROW()-ROW(util_Origin)-1))),"")</f>
        <v>1</v>
      </c>
      <c r="D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E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F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0.6</v>
      </c>
      <c r="G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0.857142857142857</v>
      </c>
      <c r="H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0.571428571428571</v>
      </c>
      <c r="I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0.2</v>
      </c>
      <c r="J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K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L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M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71"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2" customFormat="false" ht="15" hidden="false" customHeight="false" outlineLevel="0" collapsed="false">
      <c r="B72" s="48" t="str">
        <f aca="false">IFERROR(INDEX(res_Name,(ROW()-ROW(util_Origin)-1))&amp;"","")</f>
        <v>Taylor Morgan</v>
      </c>
      <c r="C72" s="71" t="n">
        <f aca="false">IFERROR(IF(INDEX(res_Name,(ROW()-ROW(util_Origin)-1))="","",INDEX(res_MaxUnits,(ROW()-ROW(util_Origin)-1))),"")</f>
        <v>1</v>
      </c>
      <c r="D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E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F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G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H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v>
      </c>
      <c r="I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0.4</v>
      </c>
      <c r="J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0.5</v>
      </c>
      <c r="K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0.125</v>
      </c>
      <c r="L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M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N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O72" s="74" t="n">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0</v>
      </c>
      <c r="P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3" customFormat="false" ht="15" hidden="false" customHeight="false" outlineLevel="0" collapsed="false">
      <c r="B73" s="48" t="str">
        <f aca="false">IFERROR(INDEX(res_Name,(ROW()-ROW(util_Origin)-1))&amp;"","")</f>
        <v/>
      </c>
      <c r="C73" s="71" t="str">
        <f aca="false">IFERROR(IF(INDEX(res_Name,(ROW()-ROW(util_Origin)-1))="","",INDEX(res_MaxUnits,(ROW()-ROW(util_Origin)-1))),"")</f>
        <v/>
      </c>
      <c r="D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4" customFormat="false" ht="15" hidden="false" customHeight="false" outlineLevel="0" collapsed="false">
      <c r="B74" s="48" t="str">
        <f aca="false">IFERROR(INDEX(res_Name,(ROW()-ROW(util_Origin)-1))&amp;"","")</f>
        <v/>
      </c>
      <c r="C74" s="71" t="str">
        <f aca="false">IFERROR(IF(INDEX(res_Name,(ROW()-ROW(util_Origin)-1))="","",INDEX(res_MaxUnits,(ROW()-ROW(util_Origin)-1))),"")</f>
        <v/>
      </c>
      <c r="D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5" customFormat="false" ht="15" hidden="false" customHeight="false" outlineLevel="0" collapsed="false">
      <c r="B75" s="48" t="str">
        <f aca="false">IFERROR(INDEX(res_Name,(ROW()-ROW(util_Origin)-1))&amp;"","")</f>
        <v/>
      </c>
      <c r="C75" s="71" t="str">
        <f aca="false">IFERROR(IF(INDEX(res_Name,(ROW()-ROW(util_Origin)-1))="","",INDEX(res_MaxUnits,(ROW()-ROW(util_Origin)-1))),"")</f>
        <v/>
      </c>
      <c r="D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6" customFormat="false" ht="15" hidden="false" customHeight="false" outlineLevel="0" collapsed="false">
      <c r="B76" s="48" t="str">
        <f aca="false">IFERROR(INDEX(res_Name,(ROW()-ROW(util_Origin)-1))&amp;"","")</f>
        <v/>
      </c>
      <c r="C76" s="71" t="str">
        <f aca="false">IFERROR(IF(INDEX(res_Name,(ROW()-ROW(util_Origin)-1))="","",INDEX(res_MaxUnits,(ROW()-ROW(util_Origin)-1))),"")</f>
        <v/>
      </c>
      <c r="D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7" customFormat="false" ht="15" hidden="false" customHeight="false" outlineLevel="0" collapsed="false">
      <c r="B77" s="48" t="str">
        <f aca="false">IFERROR(INDEX(res_Name,(ROW()-ROW(util_Origin)-1))&amp;"","")</f>
        <v/>
      </c>
      <c r="C77" s="71" t="str">
        <f aca="false">IFERROR(IF(INDEX(res_Name,(ROW()-ROW(util_Origin)-1))="","",INDEX(res_MaxUnits,(ROW()-ROW(util_Origin)-1))),"")</f>
        <v/>
      </c>
      <c r="D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8" customFormat="false" ht="15" hidden="false" customHeight="false" outlineLevel="0" collapsed="false">
      <c r="B78" s="48" t="str">
        <f aca="false">IFERROR(INDEX(res_Name,(ROW()-ROW(util_Origin)-1))&amp;"","")</f>
        <v/>
      </c>
      <c r="C78" s="71" t="str">
        <f aca="false">IFERROR(IF(INDEX(res_Name,(ROW()-ROW(util_Origin)-1))="","",INDEX(res_MaxUnits,(ROW()-ROW(util_Origin)-1))),"")</f>
        <v/>
      </c>
      <c r="D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79" customFormat="false" ht="15" hidden="false" customHeight="false" outlineLevel="0" collapsed="false">
      <c r="B79" s="48" t="str">
        <f aca="false">IFERROR(INDEX(res_Name,(ROW()-ROW(util_Origin)-1))&amp;"","")</f>
        <v/>
      </c>
      <c r="C79" s="71" t="str">
        <f aca="false">IFERROR(IF(INDEX(res_Name,(ROW()-ROW(util_Origin)-1))="","",INDEX(res_MaxUnits,(ROW()-ROW(util_Origin)-1))),"")</f>
        <v/>
      </c>
      <c r="D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7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0" customFormat="false" ht="15" hidden="false" customHeight="false" outlineLevel="0" collapsed="false">
      <c r="B80" s="48" t="str">
        <f aca="false">IFERROR(INDEX(res_Name,(ROW()-ROW(util_Origin)-1))&amp;"","")</f>
        <v/>
      </c>
      <c r="C80" s="71" t="str">
        <f aca="false">IFERROR(IF(INDEX(res_Name,(ROW()-ROW(util_Origin)-1))="","",INDEX(res_MaxUnits,(ROW()-ROW(util_Origin)-1))),"")</f>
        <v/>
      </c>
      <c r="D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1" customFormat="false" ht="15" hidden="false" customHeight="false" outlineLevel="0" collapsed="false">
      <c r="B81" s="48" t="str">
        <f aca="false">IFERROR(INDEX(res_Name,(ROW()-ROW(util_Origin)-1))&amp;"","")</f>
        <v/>
      </c>
      <c r="C81" s="71" t="str">
        <f aca="false">IFERROR(IF(INDEX(res_Name,(ROW()-ROW(util_Origin)-1))="","",INDEX(res_MaxUnits,(ROW()-ROW(util_Origin)-1))),"")</f>
        <v/>
      </c>
      <c r="D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1"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2" customFormat="false" ht="15" hidden="false" customHeight="false" outlineLevel="0" collapsed="false">
      <c r="B82" s="48" t="str">
        <f aca="false">IFERROR(INDEX(res_Name,(ROW()-ROW(util_Origin)-1))&amp;"","")</f>
        <v/>
      </c>
      <c r="C82" s="71" t="str">
        <f aca="false">IFERROR(IF(INDEX(res_Name,(ROW()-ROW(util_Origin)-1))="","",INDEX(res_MaxUnits,(ROW()-ROW(util_Origin)-1))),"")</f>
        <v/>
      </c>
      <c r="D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2"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3" customFormat="false" ht="15" hidden="false" customHeight="false" outlineLevel="0" collapsed="false">
      <c r="B83" s="48" t="str">
        <f aca="false">IFERROR(INDEX(res_Name,(ROW()-ROW(util_Origin)-1))&amp;"","")</f>
        <v/>
      </c>
      <c r="C83" s="71" t="str">
        <f aca="false">IFERROR(IF(INDEX(res_Name,(ROW()-ROW(util_Origin)-1))="","",INDEX(res_MaxUnits,(ROW()-ROW(util_Origin)-1))),"")</f>
        <v/>
      </c>
      <c r="D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3"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4" customFormat="false" ht="15" hidden="false" customHeight="false" outlineLevel="0" collapsed="false">
      <c r="B84" s="48" t="str">
        <f aca="false">IFERROR(INDEX(res_Name,(ROW()-ROW(util_Origin)-1))&amp;"","")</f>
        <v/>
      </c>
      <c r="C84" s="71" t="str">
        <f aca="false">IFERROR(IF(INDEX(res_Name,(ROW()-ROW(util_Origin)-1))="","",INDEX(res_MaxUnits,(ROW()-ROW(util_Origin)-1))),"")</f>
        <v/>
      </c>
      <c r="D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4"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5" customFormat="false" ht="15" hidden="false" customHeight="false" outlineLevel="0" collapsed="false">
      <c r="B85" s="48" t="str">
        <f aca="false">IFERROR(INDEX(res_Name,(ROW()-ROW(util_Origin)-1))&amp;"","")</f>
        <v/>
      </c>
      <c r="C85" s="71" t="str">
        <f aca="false">IFERROR(IF(INDEX(res_Name,(ROW()-ROW(util_Origin)-1))="","",INDEX(res_MaxUnits,(ROW()-ROW(util_Origin)-1))),"")</f>
        <v/>
      </c>
      <c r="D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5"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6" customFormat="false" ht="15" hidden="false" customHeight="false" outlineLevel="0" collapsed="false">
      <c r="B86" s="48" t="str">
        <f aca="false">IFERROR(INDEX(res_Name,(ROW()-ROW(util_Origin)-1))&amp;"","")</f>
        <v/>
      </c>
      <c r="C86" s="71" t="str">
        <f aca="false">IFERROR(IF(INDEX(res_Name,(ROW()-ROW(util_Origin)-1))="","",INDEX(res_MaxUnits,(ROW()-ROW(util_Origin)-1))),"")</f>
        <v/>
      </c>
      <c r="D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6"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7" customFormat="false" ht="15" hidden="false" customHeight="false" outlineLevel="0" collapsed="false">
      <c r="B87" s="48" t="str">
        <f aca="false">IFERROR(INDEX(res_Name,(ROW()-ROW(util_Origin)-1))&amp;"","")</f>
        <v/>
      </c>
      <c r="C87" s="71" t="str">
        <f aca="false">IFERROR(IF(INDEX(res_Name,(ROW()-ROW(util_Origin)-1))="","",INDEX(res_MaxUnits,(ROW()-ROW(util_Origin)-1))),"")</f>
        <v/>
      </c>
      <c r="D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7"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8" customFormat="false" ht="15" hidden="false" customHeight="false" outlineLevel="0" collapsed="false">
      <c r="B88" s="48" t="str">
        <f aca="false">IFERROR(INDEX(res_Name,(ROW()-ROW(util_Origin)-1))&amp;"","")</f>
        <v/>
      </c>
      <c r="C88" s="71" t="str">
        <f aca="false">IFERROR(IF(INDEX(res_Name,(ROW()-ROW(util_Origin)-1))="","",INDEX(res_MaxUnits,(ROW()-ROW(util_Origin)-1))),"")</f>
        <v/>
      </c>
      <c r="D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8"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89" customFormat="false" ht="15" hidden="false" customHeight="false" outlineLevel="0" collapsed="false">
      <c r="B89" s="48" t="str">
        <f aca="false">IFERROR(INDEX(res_Name,(ROW()-ROW(util_Origin)-1))&amp;"","")</f>
        <v/>
      </c>
      <c r="C89" s="71" t="str">
        <f aca="false">IFERROR(IF(INDEX(res_Name,(ROW()-ROW(util_Origin)-1))="","",INDEX(res_MaxUnits,(ROW()-ROW(util_Origin)-1))),"")</f>
        <v/>
      </c>
      <c r="D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89"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90" customFormat="false" ht="15" hidden="false" customHeight="false" outlineLevel="0" collapsed="false">
      <c r="B90" s="48" t="str">
        <f aca="false">IFERROR(INDEX(res_Name,(ROW()-ROW(util_Origin)-1))&amp;"","")</f>
        <v/>
      </c>
      <c r="C90" s="71" t="str">
        <f aca="false">IFERROR(IF(INDEX(res_Name,(ROW()-ROW(util_Origin)-1))="","",INDEX(res_MaxUnits,(ROW()-ROW(util_Origin)-1))),"")</f>
        <v/>
      </c>
      <c r="D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E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F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G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H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I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J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K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L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M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N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O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P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Q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R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S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T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U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V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W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X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Y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Z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A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B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c r="AC90" s="74" t="str">
        <f aca="false">IFERROR(IF(OR(INDEX(res_Name,(ROW()-ROW(util_Origin)-1))="",INDEX(spr_Name,(COLUMN()-COLUMN(util_Origin)-1))="",N(INDEX(res_MaxUnits,(ROW()-ROW(util_Origin)-1)))=0),"",IF((INDEX(res_MaxUnits,(ROW()-ROW(util_Origin)-1))*HoursPerDay*(INDEX(spr_WorkDays,(COLUMN()-COLUMN(util_Origin)-1))-INDEX(spr_LeaveGrid,(ROW()-ROW(util_Origin)-1),(COLUMN()-COLUMN(util_Origin)-1))))&lt;=0,IF(N(INDEX(load_Grid,(ROW()-ROW(util_Origin)-1),(COLUMN()-COLUMN(util_Origin)-1)))&gt;0,9.99,""),INDEX(load_Grid,(ROW()-ROW(util_Origin)-1),(COLUMN()-COLUMN(util_Origin)-1))/(INDEX(res_MaxUnits,(ROW()-ROW(util_Origin)-1))*HoursPerDay*(INDEX(spr_WorkDays,(COLUMN()-COLUMN(util_Origin)-1))-INDEX(spr_LeaveGrid,(ROW()-ROW(util_Origin)-1),(COLUMN()-COLUMN(util_Origin)-1)))))),"")</f>
        <v/>
      </c>
    </row>
    <row r="94" customFormat="false" ht="15" hidden="true" customHeight="false" outlineLevel="0" collapsed="false">
      <c r="B94" s="78" t="s">
        <v>782</v>
      </c>
    </row>
    <row r="95" customFormat="false" ht="15" hidden="true" customHeight="false" outlineLevel="0" collapsed="false">
      <c r="C95" s="79" t="n">
        <f aca="false">IFERROR(IF(INDEX(res_Name,(ROW()-ROW(spr_LeaveOrigin)))="",0,IFERROR(MATCH(INDEX(res_Name,(ROW()-ROW(spr_LeaveOrigin))),LeaveTable[Resource],0),0)),0)</f>
        <v>0</v>
      </c>
      <c r="D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9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96" customFormat="false" ht="15" hidden="true" customHeight="false" outlineLevel="0" collapsed="false">
      <c r="C96" s="79" t="n">
        <f aca="false">IFERROR(IF(INDEX(res_Name,(ROW()-ROW(spr_LeaveOrigin)))="",0,IFERROR(MATCH(INDEX(res_Name,(ROW()-ROW(spr_LeaveOrigin))),LeaveTable[Resource],0),0)),0)</f>
        <v>4</v>
      </c>
      <c r="D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3</v>
      </c>
      <c r="M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9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97" customFormat="false" ht="15" hidden="true" customHeight="false" outlineLevel="0" collapsed="false">
      <c r="C97" s="79" t="n">
        <f aca="false">IFERROR(IF(INDEX(res_Name,(ROW()-ROW(spr_LeaveOrigin)))="",0,IFERROR(MATCH(INDEX(res_Name,(ROW()-ROW(spr_LeaveOrigin))),LeaveTable[Resource],0),0)),0)</f>
        <v>0</v>
      </c>
      <c r="D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9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98" customFormat="false" ht="15" hidden="true" customHeight="false" outlineLevel="0" collapsed="false">
      <c r="C98" s="79" t="n">
        <f aca="false">IFERROR(IF(INDEX(res_Name,(ROW()-ROW(spr_LeaveOrigin)))="",0,IFERROR(MATCH(INDEX(res_Name,(ROW()-ROW(spr_LeaveOrigin))),LeaveTable[Resource],0),0)),0)</f>
        <v>1</v>
      </c>
      <c r="D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9.5</v>
      </c>
      <c r="J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9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99" customFormat="false" ht="15" hidden="true" customHeight="false" outlineLevel="0" collapsed="false">
      <c r="C99" s="79" t="n">
        <f aca="false">IFERROR(IF(INDEX(res_Name,(ROW()-ROW(spr_LeaveOrigin)))="",0,IFERROR(MATCH(INDEX(res_Name,(ROW()-ROW(spr_LeaveOrigin))),LeaveTable[Resource],0),0)),0)</f>
        <v>2</v>
      </c>
      <c r="D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1</v>
      </c>
      <c r="H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2.5</v>
      </c>
      <c r="L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9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0" customFormat="false" ht="15" hidden="true" customHeight="false" outlineLevel="0" collapsed="false">
      <c r="C100" s="79" t="n">
        <f aca="false">IFERROR(IF(INDEX(res_Name,(ROW()-ROW(spr_LeaveOrigin)))="",0,IFERROR(MATCH(INDEX(res_Name,(ROW()-ROW(spr_LeaveOrigin))),LeaveTable[Resource],0),0)),0)</f>
        <v>3</v>
      </c>
      <c r="D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0.5</v>
      </c>
      <c r="I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1" customFormat="false" ht="15" hidden="true" customHeight="false" outlineLevel="0" collapsed="false">
      <c r="C101" s="79" t="n">
        <f aca="false">IFERROR(IF(INDEX(res_Name,(ROW()-ROW(spr_LeaveOrigin)))="",0,IFERROR(MATCH(INDEX(res_Name,(ROW()-ROW(spr_LeaveOrigin))),LeaveTable[Resource],0),0)),0)</f>
        <v>0</v>
      </c>
      <c r="D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2" customFormat="false" ht="15" hidden="true" customHeight="false" outlineLevel="0" collapsed="false">
      <c r="C102" s="79" t="n">
        <f aca="false">IFERROR(IF(INDEX(res_Name,(ROW()-ROW(spr_LeaveOrigin)))="",0,IFERROR(MATCH(INDEX(res_Name,(ROW()-ROW(spr_LeaveOrigin))),LeaveTable[Resource],0),0)),0)</f>
        <v>0</v>
      </c>
      <c r="D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3" customFormat="false" ht="15" hidden="true" customHeight="false" outlineLevel="0" collapsed="false">
      <c r="C103" s="79" t="n">
        <f aca="false">IFERROR(IF(INDEX(res_Name,(ROW()-ROW(spr_LeaveOrigin)))="",0,IFERROR(MATCH(INDEX(res_Name,(ROW()-ROW(spr_LeaveOrigin))),LeaveTable[Resource],0),0)),0)</f>
        <v>0</v>
      </c>
      <c r="D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4" customFormat="false" ht="15" hidden="true" customHeight="false" outlineLevel="0" collapsed="false">
      <c r="C104" s="79" t="n">
        <f aca="false">IFERROR(IF(INDEX(res_Name,(ROW()-ROW(spr_LeaveOrigin)))="",0,IFERROR(MATCH(INDEX(res_Name,(ROW()-ROW(spr_LeaveOrigin))),LeaveTable[Resource],0),0)),0)</f>
        <v>0</v>
      </c>
      <c r="D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5" customFormat="false" ht="15" hidden="true" customHeight="false" outlineLevel="0" collapsed="false">
      <c r="C105" s="79" t="n">
        <f aca="false">IFERROR(IF(INDEX(res_Name,(ROW()-ROW(spr_LeaveOrigin)))="",0,IFERROR(MATCH(INDEX(res_Name,(ROW()-ROW(spr_LeaveOrigin))),LeaveTable[Resource],0),0)),0)</f>
        <v>0</v>
      </c>
      <c r="D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6" customFormat="false" ht="15" hidden="true" customHeight="false" outlineLevel="0" collapsed="false">
      <c r="C106" s="79" t="n">
        <f aca="false">IFERROR(IF(INDEX(res_Name,(ROW()-ROW(spr_LeaveOrigin)))="",0,IFERROR(MATCH(INDEX(res_Name,(ROW()-ROW(spr_LeaveOrigin))),LeaveTable[Resource],0),0)),0)</f>
        <v>0</v>
      </c>
      <c r="D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7" customFormat="false" ht="15" hidden="true" customHeight="false" outlineLevel="0" collapsed="false">
      <c r="C107" s="79" t="n">
        <f aca="false">IFERROR(IF(INDEX(res_Name,(ROW()-ROW(spr_LeaveOrigin)))="",0,IFERROR(MATCH(INDEX(res_Name,(ROW()-ROW(spr_LeaveOrigin))),LeaveTable[Resource],0),0)),0)</f>
        <v>0</v>
      </c>
      <c r="D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8" customFormat="false" ht="15" hidden="true" customHeight="false" outlineLevel="0" collapsed="false">
      <c r="C108" s="79" t="n">
        <f aca="false">IFERROR(IF(INDEX(res_Name,(ROW()-ROW(spr_LeaveOrigin)))="",0,IFERROR(MATCH(INDEX(res_Name,(ROW()-ROW(spr_LeaveOrigin))),LeaveTable[Resource],0),0)),0)</f>
        <v>0</v>
      </c>
      <c r="D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09" customFormat="false" ht="15" hidden="true" customHeight="false" outlineLevel="0" collapsed="false">
      <c r="C109" s="79" t="n">
        <f aca="false">IFERROR(IF(INDEX(res_Name,(ROW()-ROW(spr_LeaveOrigin)))="",0,IFERROR(MATCH(INDEX(res_Name,(ROW()-ROW(spr_LeaveOrigin))),LeaveTable[Resource],0),0)),0)</f>
        <v>0</v>
      </c>
      <c r="D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0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0" customFormat="false" ht="15" hidden="true" customHeight="false" outlineLevel="0" collapsed="false">
      <c r="C110" s="79" t="n">
        <f aca="false">IFERROR(IF(INDEX(res_Name,(ROW()-ROW(spr_LeaveOrigin)))="",0,IFERROR(MATCH(INDEX(res_Name,(ROW()-ROW(spr_LeaveOrigin))),LeaveTable[Resource],0),0)),0)</f>
        <v>0</v>
      </c>
      <c r="D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0"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1" customFormat="false" ht="15" hidden="true" customHeight="false" outlineLevel="0" collapsed="false">
      <c r="C111" s="79" t="n">
        <f aca="false">IFERROR(IF(INDEX(res_Name,(ROW()-ROW(spr_LeaveOrigin)))="",0,IFERROR(MATCH(INDEX(res_Name,(ROW()-ROW(spr_LeaveOrigin))),LeaveTable[Resource],0),0)),0)</f>
        <v>0</v>
      </c>
      <c r="D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1"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2" customFormat="false" ht="15" hidden="true" customHeight="false" outlineLevel="0" collapsed="false">
      <c r="C112" s="79" t="n">
        <f aca="false">IFERROR(IF(INDEX(res_Name,(ROW()-ROW(spr_LeaveOrigin)))="",0,IFERROR(MATCH(INDEX(res_Name,(ROW()-ROW(spr_LeaveOrigin))),LeaveTable[Resource],0),0)),0)</f>
        <v>0</v>
      </c>
      <c r="D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2"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3" customFormat="false" ht="15" hidden="true" customHeight="false" outlineLevel="0" collapsed="false">
      <c r="C113" s="79" t="n">
        <f aca="false">IFERROR(IF(INDEX(res_Name,(ROW()-ROW(spr_LeaveOrigin)))="",0,IFERROR(MATCH(INDEX(res_Name,(ROW()-ROW(spr_LeaveOrigin))),LeaveTable[Resource],0),0)),0)</f>
        <v>0</v>
      </c>
      <c r="D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3"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4" customFormat="false" ht="15" hidden="true" customHeight="false" outlineLevel="0" collapsed="false">
      <c r="C114" s="79" t="n">
        <f aca="false">IFERROR(IF(INDEX(res_Name,(ROW()-ROW(spr_LeaveOrigin)))="",0,IFERROR(MATCH(INDEX(res_Name,(ROW()-ROW(spr_LeaveOrigin))),LeaveTable[Resource],0),0)),0)</f>
        <v>0</v>
      </c>
      <c r="D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4"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5" customFormat="false" ht="15" hidden="true" customHeight="false" outlineLevel="0" collapsed="false">
      <c r="C115" s="79" t="n">
        <f aca="false">IFERROR(IF(INDEX(res_Name,(ROW()-ROW(spr_LeaveOrigin)))="",0,IFERROR(MATCH(INDEX(res_Name,(ROW()-ROW(spr_LeaveOrigin))),LeaveTable[Resource],0),0)),0)</f>
        <v>0</v>
      </c>
      <c r="D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5"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6" customFormat="false" ht="15" hidden="true" customHeight="false" outlineLevel="0" collapsed="false">
      <c r="C116" s="79" t="n">
        <f aca="false">IFERROR(IF(INDEX(res_Name,(ROW()-ROW(spr_LeaveOrigin)))="",0,IFERROR(MATCH(INDEX(res_Name,(ROW()-ROW(spr_LeaveOrigin))),LeaveTable[Resource],0),0)),0)</f>
        <v>0</v>
      </c>
      <c r="D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6"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7" customFormat="false" ht="15" hidden="true" customHeight="false" outlineLevel="0" collapsed="false">
      <c r="C117" s="79" t="n">
        <f aca="false">IFERROR(IF(INDEX(res_Name,(ROW()-ROW(spr_LeaveOrigin)))="",0,IFERROR(MATCH(INDEX(res_Name,(ROW()-ROW(spr_LeaveOrigin))),LeaveTable[Resource],0),0)),0)</f>
        <v>0</v>
      </c>
      <c r="D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7"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8" customFormat="false" ht="15" hidden="true" customHeight="false" outlineLevel="0" collapsed="false">
      <c r="C118" s="79" t="n">
        <f aca="false">IFERROR(IF(INDEX(res_Name,(ROW()-ROW(spr_LeaveOrigin)))="",0,IFERROR(MATCH(INDEX(res_Name,(ROW()-ROW(spr_LeaveOrigin))),LeaveTable[Resource],0),0)),0)</f>
        <v>0</v>
      </c>
      <c r="D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8"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row r="119" customFormat="false" ht="15" hidden="true" customHeight="false" outlineLevel="0" collapsed="false">
      <c r="C119" s="79" t="n">
        <f aca="false">IFERROR(IF(INDEX(res_Name,(ROW()-ROW(spr_LeaveOrigin)))="",0,IFERROR(MATCH(INDEX(res_Name,(ROW()-ROW(spr_LeaveOrigin))),LeaveTable[Resource],0),0)),0)</f>
        <v>0</v>
      </c>
      <c r="D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E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F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G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H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I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J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K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L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M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N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O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P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Q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R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S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T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U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V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W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X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Y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Z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A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B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c r="AC119" s="79" t="n">
        <f aca="false">IFERROR(IF(OR(INDEX(res_Name,(ROW()-ROW(spr_LeaveOrigin)))="",INDEX(spr_Name,(COLUMN()-COLUMN(spr_LeaveOrigin)-1))=""),0,(IF(OR(INDEX(spr_LeaveRow,(ROW()-ROW(spr_LeaveOrigin)))=0,INDEX(spr_LeaveCol0,(COLUMN()-COLUMN(spr_LeaveOrigin)-1))=0),0,IFERROR(SUMPRODUCT((leave_Days&lt;=DAY(EOMONTH(DATE(YEAR(INDEX(spr_Start,(COLUMN()-COLUMN(spr_LeaveOrigin)-1))),MONTH(INDEX(spr_Start,(COLUMN()-COLUMN(spr_LeaveOrigin)-1)))+0,1),0)))*((DATE(YEAR(INDEX(spr_Start,(COLUMN()-COLUMN(spr_LeaveOrigin)-1))),MONTH(INDEX(spr_Start,(COLUMN()-COLUMN(spr_LeaveOrigin)-1)))+0,1)+leave_Days-1)&gt;=INDEX(spr_Start,(COLUMN()-COLUMN(spr_LeaveOrigin)-1)))*((DATE(YEAR(INDEX(spr_Start,(COLUMN()-COLUMN(spr_LeaveOrigin)-1))),MONTH(INDEX(spr_Start,(COLUMN()-COLUMN(spr_LeaveOrigin)-1)))+0,1)+leave_Days-1)&lt;=INDEX(spr_End,(COLUMN()-COLUMN(spr_LeaveOrigin)-1)))*(MID(WorkWeek,WEEKDAY((DATE(YEAR(INDEX(spr_Start,(COLUMN()-COLUMN(spr_LeaveOrigin)-1))),MONTH(INDEX(spr_Start,(COLUMN()-COLUMN(spr_LeaveOrigin)-1)))+0,1)+leave_Days-1),2),1)="0")*(COUNTIF(Holidays,(DATE(YEAR(INDEX(spr_Start,(COLUMN()-COLUMN(spr_LeaveOrigin)-1))),MONTH(INDEX(spr_Start,(COLUMN()-COLUMN(spr_LeaveOrigin)-1)))+0,1)+leave_Days-1))=0)*--LEFT(SUBSTITUTE(MID(SUBSTITUTE(","&amp;SUBSTITUTE(SUBSTITUTE(INDEX(LeaveTable[#Data],INDEX(spr_LeaveRow,(ROW()-ROW(spr_LeaveOrigin))),INDEX(spr_LeaveCol0,(COLUMN()-COLUMN(spr_LeaveOrigin)-1)))&amp;""," ",""),";",",")&amp;",",",","(1),")&amp;","&amp;leave_Days&amp;"(0)",SEARCH(","&amp;leave_Days&amp;"(",SUBSTITUTE(","&amp;SUBSTITUTE(SUBSTITUTE(INDEX(LeaveTable[#Data],INDEX(spr_LeaveRow,(ROW()-ROW(spr_LeaveOrigin))),INDEX(spr_LeaveCol0,(COLUMN()-COLUMN(spr_LeaveOrigin)-1)))&amp;""," ",""),";",",")&amp;",",",","(1),")&amp;","&amp;leave_Days&amp;"(0)")+LEN(leave_Days)+2,5),")",REPT(" ",5)),5)),0))+IF(OR(INDEX(spr_LeaveRow,(ROW()-ROW(spr_LeaveOrigin)))=0,INDEX(spr_LeaveCol1,(COLUMN()-COLUMN(spr_LeaveOrigin)-1))=0),0,IFERROR(SUMPRODUCT((leave_Days&lt;=DAY(EOMONTH(DATE(YEAR(INDEX(spr_Start,(COLUMN()-COLUMN(spr_LeaveOrigin)-1))),MONTH(INDEX(spr_Start,(COLUMN()-COLUMN(spr_LeaveOrigin)-1)))+1,1),0)))*((DATE(YEAR(INDEX(spr_Start,(COLUMN()-COLUMN(spr_LeaveOrigin)-1))),MONTH(INDEX(spr_Start,(COLUMN()-COLUMN(spr_LeaveOrigin)-1)))+1,1)+leave_Days-1)&gt;=INDEX(spr_Start,(COLUMN()-COLUMN(spr_LeaveOrigin)-1)))*((DATE(YEAR(INDEX(spr_Start,(COLUMN()-COLUMN(spr_LeaveOrigin)-1))),MONTH(INDEX(spr_Start,(COLUMN()-COLUMN(spr_LeaveOrigin)-1)))+1,1)+leave_Days-1)&lt;=INDEX(spr_End,(COLUMN()-COLUMN(spr_LeaveOrigin)-1)))*(MID(WorkWeek,WEEKDAY((DATE(YEAR(INDEX(spr_Start,(COLUMN()-COLUMN(spr_LeaveOrigin)-1))),MONTH(INDEX(spr_Start,(COLUMN()-COLUMN(spr_LeaveOrigin)-1)))+1,1)+leave_Days-1),2),1)="0")*(COUNTIF(Holidays,(DATE(YEAR(INDEX(spr_Start,(COLUMN()-COLUMN(spr_LeaveOrigin)-1))),MONTH(INDEX(spr_Start,(COLUMN()-COLUMN(spr_LeaveOrigin)-1)))+1,1)+leave_Days-1))=0)*--LEFT(SUBSTITUTE(MID(SUBSTITUTE(","&amp;SUBSTITUTE(SUBSTITUTE(INDEX(LeaveTable[#Data],INDEX(spr_LeaveRow,(ROW()-ROW(spr_LeaveOrigin))),INDEX(spr_LeaveCol1,(COLUMN()-COLUMN(spr_LeaveOrigin)-1)))&amp;""," ",""),";",",")&amp;",",",","(1),")&amp;","&amp;leave_Days&amp;"(0)",SEARCH(","&amp;leave_Days&amp;"(",SUBSTITUTE(","&amp;SUBSTITUTE(SUBSTITUTE(INDEX(LeaveTable[#Data],INDEX(spr_LeaveRow,(ROW()-ROW(spr_LeaveOrigin))),INDEX(spr_LeaveCol1,(COLUMN()-COLUMN(spr_LeaveOrigin)-1)))&amp;""," ",""),";",",")&amp;",",",","(1),")&amp;","&amp;leave_Days&amp;"(0)")+LEN(leave_Days)+2,5),")",REPT(" ",5)),5)),0))+IF(OR(INDEX(spr_LeaveRow,(ROW()-ROW(spr_LeaveOrigin)))=0,INDEX(spr_LeaveCol2,(COLUMN()-COLUMN(spr_LeaveOrigin)-1))=0),0,IFERROR(SUMPRODUCT((leave_Days&lt;=DAY(EOMONTH(DATE(YEAR(INDEX(spr_Start,(COLUMN()-COLUMN(spr_LeaveOrigin)-1))),MONTH(INDEX(spr_Start,(COLUMN()-COLUMN(spr_LeaveOrigin)-1)))+2,1),0)))*((DATE(YEAR(INDEX(spr_Start,(COLUMN()-COLUMN(spr_LeaveOrigin)-1))),MONTH(INDEX(spr_Start,(COLUMN()-COLUMN(spr_LeaveOrigin)-1)))+2,1)+leave_Days-1)&gt;=INDEX(spr_Start,(COLUMN()-COLUMN(spr_LeaveOrigin)-1)))*((DATE(YEAR(INDEX(spr_Start,(COLUMN()-COLUMN(spr_LeaveOrigin)-1))),MONTH(INDEX(spr_Start,(COLUMN()-COLUMN(spr_LeaveOrigin)-1)))+2,1)+leave_Days-1)&lt;=INDEX(spr_End,(COLUMN()-COLUMN(spr_LeaveOrigin)-1)))*(MID(WorkWeek,WEEKDAY((DATE(YEAR(INDEX(spr_Start,(COLUMN()-COLUMN(spr_LeaveOrigin)-1))),MONTH(INDEX(spr_Start,(COLUMN()-COLUMN(spr_LeaveOrigin)-1)))+2,1)+leave_Days-1),2),1)="0")*(COUNTIF(Holidays,(DATE(YEAR(INDEX(spr_Start,(COLUMN()-COLUMN(spr_LeaveOrigin)-1))),MONTH(INDEX(spr_Start,(COLUMN()-COLUMN(spr_LeaveOrigin)-1)))+2,1)+leave_Days-1))=0)*--LEFT(SUBSTITUTE(MID(SUBSTITUTE(","&amp;SUBSTITUTE(SUBSTITUTE(INDEX(LeaveTable[#Data],INDEX(spr_LeaveRow,(ROW()-ROW(spr_LeaveOrigin))),INDEX(spr_LeaveCol2,(COLUMN()-COLUMN(spr_LeaveOrigin)-1)))&amp;""," ",""),";",",")&amp;",",",","(1),")&amp;","&amp;leave_Days&amp;"(0)",SEARCH(","&amp;leave_Days&amp;"(",SUBSTITUTE(","&amp;SUBSTITUTE(SUBSTITUTE(INDEX(LeaveTable[#Data],INDEX(spr_LeaveRow,(ROW()-ROW(spr_LeaveOrigin))),INDEX(spr_LeaveCol2,(COLUMN()-COLUMN(spr_LeaveOrigin)-1)))&amp;""," ",""),";",",")&amp;",",",","(1),")&amp;","&amp;leave_Days&amp;"(0)")+LEN(leave_Days)+2,5),")",REPT(" ",5)),5)),0)))),0)</f>
        <v>0</v>
      </c>
    </row>
  </sheetData>
  <conditionalFormatting sqref="A6:R31">
    <cfRule type="expression" priority="2" aboveAverage="0" equalAverage="0" bottom="0" percent="0" rank="0" text="" dxfId="58">
      <formula>$B6=""</formula>
    </cfRule>
    <cfRule type="expression" priority="3" aboveAverage="0" equalAverage="0" bottom="0" percent="0" rank="0" text="" dxfId="59">
      <formula>$K6="Active"</formula>
    </cfRule>
  </conditionalFormatting>
  <conditionalFormatting sqref="J6:J31">
    <cfRule type="expression" priority="4" aboveAverage="0" equalAverage="0" bottom="0" percent="0" rank="0" text="" dxfId="11">
      <formula>AND(ISNUMBER($J6),$J6&gt;1)</formula>
    </cfRule>
  </conditionalFormatting>
  <conditionalFormatting sqref="M6:M31">
    <cfRule type="expression" priority="5" aboveAverage="0" equalAverage="0" bottom="0" percent="0" rank="0" text="" dxfId="11">
      <formula>AND(N($L6)&gt;0,N($M6)&gt;$L6)</formula>
    </cfRule>
  </conditionalFormatting>
  <conditionalFormatting sqref="D36:AC60">
    <cfRule type="expression" priority="6" aboveAverage="0" equalAverage="0" bottom="0" percent="0" rank="0" text="" dxfId="15">
      <formula>AND(ISNUMBER(D66),D66&gt;1)</formula>
    </cfRule>
  </conditionalFormatting>
  <conditionalFormatting sqref="D66:AC90">
    <cfRule type="colorScale" priority="7">
      <colorScale>
        <cfvo type="num" val="0"/>
        <cfvo type="num" val="0.8"/>
        <cfvo type="num" val="1.2"/>
        <color rgb="FFFFFFFF"/>
        <color rgb="FFC6EFCE"/>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C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8"/>
    <col collapsed="false" customWidth="true" hidden="false" outlineLevel="0" max="3" min="3" style="0" width="50"/>
  </cols>
  <sheetData>
    <row r="1" customFormat="false" ht="19.7" hidden="false" customHeight="false" outlineLevel="0" collapsed="false">
      <c r="A1" s="26" t="s">
        <v>783</v>
      </c>
    </row>
    <row r="2" customFormat="false" ht="15" hidden="false" customHeight="false" outlineLevel="0" collapsed="false">
      <c r="A2" s="8" t="s">
        <v>784</v>
      </c>
    </row>
    <row r="4" customFormat="false" ht="15" hidden="false" customHeight="false" outlineLevel="0" collapsed="false">
      <c r="B4" s="44" t="s">
        <v>326</v>
      </c>
      <c r="C4" s="44" t="s">
        <v>785</v>
      </c>
    </row>
    <row r="5" customFormat="false" ht="15" hidden="false" customHeight="false" outlineLevel="0" collapsed="false">
      <c r="B5" s="88" t="n">
        <v>46380</v>
      </c>
      <c r="C5" s="47" t="s">
        <v>786</v>
      </c>
    </row>
    <row r="6" customFormat="false" ht="15" hidden="false" customHeight="false" outlineLevel="0" collapsed="false">
      <c r="B6" s="88" t="n">
        <v>46381</v>
      </c>
      <c r="C6" s="47" t="s">
        <v>787</v>
      </c>
    </row>
    <row r="7" customFormat="false" ht="15" hidden="false" customHeight="false" outlineLevel="0" collapsed="false">
      <c r="B7" s="88" t="n">
        <v>46387</v>
      </c>
      <c r="C7" s="47" t="s">
        <v>788</v>
      </c>
    </row>
    <row r="8" customFormat="false" ht="15" hidden="false" customHeight="false" outlineLevel="0" collapsed="false">
      <c r="B8" s="88" t="n">
        <v>46388</v>
      </c>
      <c r="C8" s="47" t="s">
        <v>789</v>
      </c>
    </row>
    <row r="9" customFormat="false" ht="15" hidden="false" customHeight="false" outlineLevel="0" collapsed="false">
      <c r="B9" s="88"/>
      <c r="C9" s="47"/>
    </row>
    <row r="10" customFormat="false" ht="15" hidden="false" customHeight="false" outlineLevel="0" collapsed="false">
      <c r="B10" s="88"/>
      <c r="C10" s="47"/>
    </row>
    <row r="11" customFormat="false" ht="15" hidden="false" customHeight="false" outlineLevel="0" collapsed="false">
      <c r="B11" s="88"/>
      <c r="C11" s="47"/>
    </row>
    <row r="12" customFormat="false" ht="15" hidden="false" customHeight="false" outlineLevel="0" collapsed="false">
      <c r="B12" s="88"/>
      <c r="C12" s="47"/>
    </row>
    <row r="13" customFormat="false" ht="15" hidden="false" customHeight="false" outlineLevel="0" collapsed="false">
      <c r="B13" s="88"/>
      <c r="C13" s="47"/>
    </row>
    <row r="14" customFormat="false" ht="15" hidden="false" customHeight="false" outlineLevel="0" collapsed="false">
      <c r="B14" s="88"/>
      <c r="C14" s="47"/>
    </row>
    <row r="15" customFormat="false" ht="15" hidden="false" customHeight="false" outlineLevel="0" collapsed="false">
      <c r="B15" s="88"/>
      <c r="C15" s="47"/>
    </row>
    <row r="16" customFormat="false" ht="15" hidden="false" customHeight="false" outlineLevel="0" collapsed="false">
      <c r="B16" s="88"/>
      <c r="C16" s="47"/>
    </row>
    <row r="17" customFormat="false" ht="15" hidden="false" customHeight="false" outlineLevel="0" collapsed="false">
      <c r="B17" s="88"/>
      <c r="C17" s="47"/>
    </row>
    <row r="18" customFormat="false" ht="15" hidden="false" customHeight="false" outlineLevel="0" collapsed="false">
      <c r="B18" s="88"/>
      <c r="C18" s="47"/>
    </row>
    <row r="19" customFormat="false" ht="15" hidden="false" customHeight="false" outlineLevel="0" collapsed="false">
      <c r="B19" s="88"/>
      <c r="C19" s="47"/>
    </row>
    <row r="20" customFormat="false" ht="15" hidden="false" customHeight="false" outlineLevel="0" collapsed="false">
      <c r="B20" s="88"/>
      <c r="C20" s="47"/>
    </row>
    <row r="21" customFormat="false" ht="15" hidden="false" customHeight="false" outlineLevel="0" collapsed="false">
      <c r="B21" s="88"/>
      <c r="C21" s="47"/>
    </row>
    <row r="22" customFormat="false" ht="15" hidden="false" customHeight="false" outlineLevel="0" collapsed="false">
      <c r="B22" s="88"/>
      <c r="C22" s="47"/>
    </row>
    <row r="23" customFormat="false" ht="15" hidden="false" customHeight="false" outlineLevel="0" collapsed="false">
      <c r="B23" s="88"/>
      <c r="C23" s="47"/>
    </row>
    <row r="24" customFormat="false" ht="15" hidden="false" customHeight="false" outlineLevel="0" collapsed="false">
      <c r="B24" s="88"/>
      <c r="C24" s="47"/>
    </row>
    <row r="25" customFormat="false" ht="15" hidden="false" customHeight="false" outlineLevel="0" collapsed="false">
      <c r="B25" s="88"/>
      <c r="C25" s="47"/>
    </row>
    <row r="26" customFormat="false" ht="15" hidden="false" customHeight="false" outlineLevel="0" collapsed="false">
      <c r="B26" s="88"/>
      <c r="C26" s="47"/>
    </row>
    <row r="27" customFormat="false" ht="15" hidden="false" customHeight="false" outlineLevel="0" collapsed="false">
      <c r="B27" s="88"/>
      <c r="C27" s="47"/>
    </row>
    <row r="28" customFormat="false" ht="15" hidden="false" customHeight="false" outlineLevel="0" collapsed="false">
      <c r="B28" s="88"/>
      <c r="C28" s="47"/>
    </row>
    <row r="29" customFormat="false" ht="15" hidden="false" customHeight="false" outlineLevel="0" collapsed="false">
      <c r="B29" s="88"/>
      <c r="C29" s="47"/>
    </row>
    <row r="30" customFormat="false" ht="15" hidden="false" customHeight="false" outlineLevel="0" collapsed="false">
      <c r="B30" s="88"/>
      <c r="C30" s="47"/>
    </row>
    <row r="31" customFormat="false" ht="15" hidden="false" customHeight="false" outlineLevel="0" collapsed="false">
      <c r="B31" s="88"/>
      <c r="C31" s="47"/>
    </row>
    <row r="32" customFormat="false" ht="15" hidden="false" customHeight="false" outlineLevel="0" collapsed="false">
      <c r="B32" s="88"/>
      <c r="C32" s="47"/>
    </row>
    <row r="33" customFormat="false" ht="15" hidden="false" customHeight="false" outlineLevel="0" collapsed="false">
      <c r="B33" s="88"/>
      <c r="C33" s="47"/>
    </row>
    <row r="34" customFormat="false" ht="15" hidden="false" customHeight="false" outlineLevel="0" collapsed="false">
      <c r="B34" s="88"/>
      <c r="C34" s="47"/>
    </row>
    <row r="35" customFormat="false" ht="15" hidden="false" customHeight="false" outlineLevel="0" collapsed="false">
      <c r="B35" s="88"/>
      <c r="C35" s="47"/>
    </row>
    <row r="36" customFormat="false" ht="15" hidden="false" customHeight="false" outlineLevel="0" collapsed="false">
      <c r="B36" s="88"/>
      <c r="C36" s="47"/>
    </row>
    <row r="37" customFormat="false" ht="15" hidden="false" customHeight="false" outlineLevel="0" collapsed="false">
      <c r="B37" s="88"/>
      <c r="C37" s="47"/>
    </row>
    <row r="38" customFormat="false" ht="15" hidden="false" customHeight="false" outlineLevel="0" collapsed="false">
      <c r="B38" s="88"/>
      <c r="C38" s="47"/>
    </row>
    <row r="39" customFormat="false" ht="15" hidden="false" customHeight="false" outlineLevel="0" collapsed="false">
      <c r="B39" s="88"/>
      <c r="C39" s="47"/>
    </row>
    <row r="40" customFormat="false" ht="15" hidden="false" customHeight="false" outlineLevel="0" collapsed="false">
      <c r="B40" s="88"/>
      <c r="C40" s="47"/>
    </row>
    <row r="41" customFormat="false" ht="15" hidden="false" customHeight="false" outlineLevel="0" collapsed="false">
      <c r="B41" s="88"/>
      <c r="C41" s="47"/>
    </row>
    <row r="42" customFormat="false" ht="15" hidden="false" customHeight="false" outlineLevel="0" collapsed="false">
      <c r="B42" s="88"/>
      <c r="C42" s="47"/>
    </row>
    <row r="43" customFormat="false" ht="15" hidden="false" customHeight="false" outlineLevel="0" collapsed="false">
      <c r="B43" s="88"/>
      <c r="C43" s="47"/>
    </row>
    <row r="44" customFormat="false" ht="15" hidden="false" customHeight="false" outlineLevel="0" collapsed="false">
      <c r="B44" s="88"/>
      <c r="C44" s="47"/>
    </row>
    <row r="45" customFormat="false" ht="15" hidden="false" customHeight="false" outlineLevel="0" collapsed="false">
      <c r="B45" s="88"/>
      <c r="C45" s="47"/>
    </row>
    <row r="46" customFormat="false" ht="15" hidden="false" customHeight="false" outlineLevel="0" collapsed="false">
      <c r="B46" s="88"/>
      <c r="C46" s="47"/>
    </row>
    <row r="47" customFormat="false" ht="15" hidden="false" customHeight="false" outlineLevel="0" collapsed="false">
      <c r="B47" s="88"/>
      <c r="C47" s="47"/>
    </row>
    <row r="48" customFormat="false" ht="15" hidden="false" customHeight="false" outlineLevel="0" collapsed="false">
      <c r="B48" s="88"/>
      <c r="C48" s="47"/>
    </row>
    <row r="49" customFormat="false" ht="15" hidden="false" customHeight="false" outlineLevel="0" collapsed="false">
      <c r="B49" s="88"/>
      <c r="C49" s="47"/>
    </row>
    <row r="50" customFormat="false" ht="15" hidden="false" customHeight="false" outlineLevel="0" collapsed="false">
      <c r="B50" s="88"/>
      <c r="C50" s="47"/>
    </row>
    <row r="51" customFormat="false" ht="15" hidden="false" customHeight="false" outlineLevel="0" collapsed="false">
      <c r="B51" s="88"/>
      <c r="C51" s="47"/>
    </row>
    <row r="52" customFormat="false" ht="15" hidden="false" customHeight="false" outlineLevel="0" collapsed="false">
      <c r="B52" s="88"/>
      <c r="C52" s="47"/>
    </row>
    <row r="53" customFormat="false" ht="15" hidden="false" customHeight="false" outlineLevel="0" collapsed="false">
      <c r="B53" s="88"/>
      <c r="C53" s="47"/>
    </row>
    <row r="54" customFormat="false" ht="15" hidden="false" customHeight="false" outlineLevel="0" collapsed="false">
      <c r="B54" s="88"/>
      <c r="C54" s="47"/>
    </row>
    <row r="55" customFormat="false" ht="15" hidden="false" customHeight="false" outlineLevel="0" collapsed="false">
      <c r="B55" s="88"/>
      <c r="C55" s="47"/>
    </row>
    <row r="56" customFormat="false" ht="15" hidden="false" customHeight="false" outlineLevel="0" collapsed="false">
      <c r="B56" s="88"/>
      <c r="C56" s="47"/>
    </row>
    <row r="57" customFormat="false" ht="15" hidden="false" customHeight="false" outlineLevel="0" collapsed="false">
      <c r="B57" s="88"/>
      <c r="C57" s="47"/>
    </row>
    <row r="58" customFormat="false" ht="15" hidden="false" customHeight="false" outlineLevel="0" collapsed="false">
      <c r="B58" s="88"/>
      <c r="C58" s="47"/>
    </row>
    <row r="59" customFormat="false" ht="15" hidden="false" customHeight="false" outlineLevel="0" collapsed="false">
      <c r="B59" s="88"/>
      <c r="C59" s="47"/>
    </row>
    <row r="60" customFormat="false" ht="15" hidden="false" customHeight="false" outlineLevel="0" collapsed="false">
      <c r="B60" s="88"/>
      <c r="C60" s="47"/>
    </row>
    <row r="61" customFormat="false" ht="15" hidden="false" customHeight="false" outlineLevel="0" collapsed="false">
      <c r="B61" s="88"/>
      <c r="C61" s="47"/>
    </row>
    <row r="62" customFormat="false" ht="15" hidden="false" customHeight="false" outlineLevel="0" collapsed="false">
      <c r="B62" s="88"/>
      <c r="C62" s="47"/>
    </row>
    <row r="63" customFormat="false" ht="15" hidden="false" customHeight="false" outlineLevel="0" collapsed="false">
      <c r="B63" s="88"/>
      <c r="C63" s="47"/>
    </row>
    <row r="64" customFormat="false" ht="15" hidden="false" customHeight="false" outlineLevel="0" collapsed="false">
      <c r="B64" s="88"/>
      <c r="C64" s="47"/>
    </row>
    <row r="65" customFormat="false" ht="15" hidden="false" customHeight="false" outlineLevel="0" collapsed="false">
      <c r="B65" s="88"/>
      <c r="C65" s="47"/>
    </row>
    <row r="66" customFormat="false" ht="15" hidden="false" customHeight="false" outlineLevel="0" collapsed="false">
      <c r="B66" s="88"/>
      <c r="C66" s="47"/>
    </row>
    <row r="67" customFormat="false" ht="15" hidden="false" customHeight="false" outlineLevel="0" collapsed="false">
      <c r="B67" s="88"/>
      <c r="C67" s="47"/>
    </row>
    <row r="68" customFormat="false" ht="15" hidden="false" customHeight="false" outlineLevel="0" collapsed="false">
      <c r="B68" s="88"/>
      <c r="C68" s="47"/>
    </row>
    <row r="69" customFormat="false" ht="15" hidden="false" customHeight="false" outlineLevel="0" collapsed="false">
      <c r="B69" s="88"/>
      <c r="C69" s="47"/>
    </row>
    <row r="70" customFormat="false" ht="15" hidden="false" customHeight="false" outlineLevel="0" collapsed="false">
      <c r="B70" s="88"/>
      <c r="C70" s="47"/>
    </row>
    <row r="71" customFormat="false" ht="15" hidden="false" customHeight="false" outlineLevel="0" collapsed="false">
      <c r="B71" s="88"/>
      <c r="C71" s="47"/>
    </row>
    <row r="72" customFormat="false" ht="15" hidden="false" customHeight="false" outlineLevel="0" collapsed="false">
      <c r="B72" s="88"/>
      <c r="C72" s="47"/>
    </row>
    <row r="73" customFormat="false" ht="15" hidden="false" customHeight="false" outlineLevel="0" collapsed="false">
      <c r="B73" s="88"/>
      <c r="C73" s="47"/>
    </row>
    <row r="74" customFormat="false" ht="15" hidden="false" customHeight="false" outlineLevel="0" collapsed="false">
      <c r="B74" s="88"/>
      <c r="C74" s="47"/>
    </row>
    <row r="75" customFormat="false" ht="15" hidden="false" customHeight="false" outlineLevel="0" collapsed="false">
      <c r="B75" s="88"/>
      <c r="C75" s="47"/>
    </row>
    <row r="76" customFormat="false" ht="15" hidden="false" customHeight="false" outlineLevel="0" collapsed="false">
      <c r="B76" s="88"/>
      <c r="C76" s="47"/>
    </row>
    <row r="77" customFormat="false" ht="15" hidden="false" customHeight="false" outlineLevel="0" collapsed="false">
      <c r="B77" s="88"/>
      <c r="C77" s="47"/>
    </row>
    <row r="78" customFormat="false" ht="15" hidden="false" customHeight="false" outlineLevel="0" collapsed="false">
      <c r="B78" s="88"/>
      <c r="C78" s="47"/>
    </row>
    <row r="79" customFormat="false" ht="15" hidden="false" customHeight="false" outlineLevel="0" collapsed="false">
      <c r="B79" s="88"/>
      <c r="C79" s="47"/>
    </row>
    <row r="80" customFormat="false" ht="15" hidden="false" customHeight="false" outlineLevel="0" collapsed="false">
      <c r="B80" s="88"/>
      <c r="C80" s="47"/>
    </row>
    <row r="81" customFormat="false" ht="15" hidden="false" customHeight="false" outlineLevel="0" collapsed="false">
      <c r="B81" s="88"/>
      <c r="C81" s="47"/>
    </row>
    <row r="82" customFormat="false" ht="15" hidden="false" customHeight="false" outlineLevel="0" collapsed="false">
      <c r="B82" s="88"/>
      <c r="C82" s="47"/>
    </row>
    <row r="83" customFormat="false" ht="15" hidden="false" customHeight="false" outlineLevel="0" collapsed="false">
      <c r="B83" s="88"/>
      <c r="C83" s="47"/>
    </row>
    <row r="84" customFormat="false" ht="15" hidden="false" customHeight="false" outlineLevel="0" collapsed="false">
      <c r="B84" s="88"/>
      <c r="C84" s="47"/>
    </row>
    <row r="85" customFormat="false" ht="15" hidden="false" customHeight="false" outlineLevel="0" collapsed="false">
      <c r="B85" s="88"/>
      <c r="C85" s="47"/>
    </row>
    <row r="86" customFormat="false" ht="15" hidden="false" customHeight="false" outlineLevel="0" collapsed="false">
      <c r="B86" s="88"/>
      <c r="C86" s="47"/>
    </row>
    <row r="87" customFormat="false" ht="15" hidden="false" customHeight="false" outlineLevel="0" collapsed="false">
      <c r="B87" s="88"/>
      <c r="C87" s="47"/>
    </row>
    <row r="88" customFormat="false" ht="15" hidden="false" customHeight="false" outlineLevel="0" collapsed="false">
      <c r="B88" s="88"/>
      <c r="C88" s="47"/>
    </row>
    <row r="89" customFormat="false" ht="15" hidden="false" customHeight="false" outlineLevel="0" collapsed="false">
      <c r="B89" s="88"/>
      <c r="C89" s="47"/>
    </row>
    <row r="90" customFormat="false" ht="15" hidden="false" customHeight="false" outlineLevel="0" collapsed="false">
      <c r="B90" s="88"/>
      <c r="C90" s="47"/>
    </row>
    <row r="91" customFormat="false" ht="15" hidden="false" customHeight="false" outlineLevel="0" collapsed="false">
      <c r="B91" s="88"/>
      <c r="C91" s="47"/>
    </row>
    <row r="92" customFormat="false" ht="15" hidden="false" customHeight="false" outlineLevel="0" collapsed="false">
      <c r="B92" s="88"/>
      <c r="C92" s="47"/>
    </row>
    <row r="93" customFormat="false" ht="15" hidden="false" customHeight="false" outlineLevel="0" collapsed="false">
      <c r="B93" s="88"/>
      <c r="C93" s="47"/>
    </row>
    <row r="94" customFormat="false" ht="15" hidden="false" customHeight="false" outlineLevel="0" collapsed="false">
      <c r="B94" s="88"/>
      <c r="C94" s="47"/>
    </row>
    <row r="95" customFormat="false" ht="15" hidden="false" customHeight="false" outlineLevel="0" collapsed="false">
      <c r="B95" s="88"/>
      <c r="C95" s="47"/>
    </row>
    <row r="96" customFormat="false" ht="15" hidden="false" customHeight="false" outlineLevel="0" collapsed="false">
      <c r="B96" s="88"/>
      <c r="C96" s="47"/>
    </row>
    <row r="97" customFormat="false" ht="15" hidden="false" customHeight="false" outlineLevel="0" collapsed="false">
      <c r="B97" s="88"/>
      <c r="C97" s="47"/>
    </row>
    <row r="98" customFormat="false" ht="15" hidden="false" customHeight="false" outlineLevel="0" collapsed="false">
      <c r="B98" s="88"/>
      <c r="C98" s="47"/>
    </row>
    <row r="99" customFormat="false" ht="15" hidden="false" customHeight="false" outlineLevel="0" collapsed="false">
      <c r="B99" s="88"/>
      <c r="C99" s="47"/>
    </row>
    <row r="100" customFormat="false" ht="15" hidden="false" customHeight="false" outlineLevel="0" collapsed="false">
      <c r="B100" s="88"/>
      <c r="C100" s="47"/>
    </row>
    <row r="101" customFormat="false" ht="15" hidden="false" customHeight="false" outlineLevel="0" collapsed="false">
      <c r="B101" s="88"/>
      <c r="C101" s="47"/>
    </row>
    <row r="102" customFormat="false" ht="15" hidden="false" customHeight="false" outlineLevel="0" collapsed="false">
      <c r="B102" s="88"/>
      <c r="C102" s="47"/>
    </row>
    <row r="103" customFormat="false" ht="15" hidden="false" customHeight="false" outlineLevel="0" collapsed="false">
      <c r="B103" s="88"/>
      <c r="C103" s="47"/>
    </row>
    <row r="104" customFormat="false" ht="15" hidden="false" customHeight="false" outlineLevel="0" collapsed="false">
      <c r="B104" s="88"/>
      <c r="C104" s="4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8" min="3" style="0" width="11"/>
  </cols>
  <sheetData>
    <row r="1" customFormat="false" ht="19.7" hidden="false" customHeight="false" outlineLevel="0" collapsed="false">
      <c r="A1" s="26" t="s">
        <v>33</v>
      </c>
    </row>
    <row r="2" customFormat="false" ht="15" hidden="false" customHeight="false" outlineLevel="0" collapsed="false">
      <c r="A2" s="8" t="s">
        <v>790</v>
      </c>
    </row>
    <row r="4" customFormat="false" ht="15" hidden="false" customHeight="false" outlineLevel="0" collapsed="false">
      <c r="B4" s="44" t="s">
        <v>236</v>
      </c>
      <c r="C4" s="44" t="s">
        <v>791</v>
      </c>
      <c r="D4" s="44" t="s">
        <v>792</v>
      </c>
      <c r="E4" s="44" t="s">
        <v>793</v>
      </c>
      <c r="F4" s="44" t="s">
        <v>794</v>
      </c>
      <c r="G4" s="44" t="s">
        <v>795</v>
      </c>
      <c r="H4" s="44" t="s">
        <v>796</v>
      </c>
      <c r="I4" s="44" t="s">
        <v>797</v>
      </c>
      <c r="J4" s="44" t="s">
        <v>798</v>
      </c>
      <c r="K4" s="44" t="s">
        <v>799</v>
      </c>
      <c r="L4" s="44" t="s">
        <v>800</v>
      </c>
      <c r="M4" s="44" t="s">
        <v>801</v>
      </c>
      <c r="N4" s="44" t="s">
        <v>802</v>
      </c>
      <c r="O4" s="44" t="s">
        <v>803</v>
      </c>
      <c r="P4" s="44" t="s">
        <v>804</v>
      </c>
      <c r="Q4" s="44" t="s">
        <v>805</v>
      </c>
      <c r="R4" s="44" t="s">
        <v>806</v>
      </c>
      <c r="S4" s="44" t="s">
        <v>807</v>
      </c>
      <c r="T4" s="44" t="s">
        <v>808</v>
      </c>
      <c r="U4" s="44" t="s">
        <v>809</v>
      </c>
      <c r="V4" s="44" t="s">
        <v>810</v>
      </c>
      <c r="W4" s="44" t="s">
        <v>811</v>
      </c>
      <c r="X4" s="44" t="s">
        <v>812</v>
      </c>
      <c r="Y4" s="44" t="s">
        <v>813</v>
      </c>
      <c r="Z4" s="44" t="s">
        <v>814</v>
      </c>
      <c r="AA4" s="44" t="s">
        <v>815</v>
      </c>
      <c r="AB4" s="44" t="s">
        <v>816</v>
      </c>
      <c r="AC4" s="44" t="s">
        <v>817</v>
      </c>
      <c r="AD4" s="44" t="s">
        <v>818</v>
      </c>
      <c r="AE4" s="44" t="s">
        <v>819</v>
      </c>
      <c r="AF4" s="44" t="s">
        <v>820</v>
      </c>
      <c r="AG4" s="44" t="s">
        <v>821</v>
      </c>
      <c r="AH4" s="44" t="s">
        <v>822</v>
      </c>
      <c r="AI4" s="44" t="s">
        <v>823</v>
      </c>
      <c r="AJ4" s="44" t="s">
        <v>824</v>
      </c>
      <c r="AK4" s="44" t="s">
        <v>825</v>
      </c>
      <c r="AL4" s="44" t="s">
        <v>826</v>
      </c>
    </row>
    <row r="5" customFormat="false" ht="15" hidden="false" customHeight="false" outlineLevel="0" collapsed="false">
      <c r="B5" s="47" t="s">
        <v>304</v>
      </c>
      <c r="C5" s="47"/>
      <c r="D5" s="47"/>
      <c r="E5" s="47"/>
      <c r="F5" s="47"/>
      <c r="G5" s="47"/>
      <c r="H5" s="47"/>
      <c r="I5" s="47"/>
      <c r="J5" s="47"/>
      <c r="K5" s="47"/>
      <c r="L5" s="47"/>
      <c r="M5" s="47" t="s">
        <v>827</v>
      </c>
      <c r="N5" s="47"/>
      <c r="O5" s="47"/>
      <c r="P5" s="47"/>
      <c r="Q5" s="47"/>
      <c r="R5" s="47"/>
      <c r="S5" s="47"/>
      <c r="T5" s="47"/>
      <c r="U5" s="47"/>
      <c r="V5" s="47"/>
      <c r="W5" s="47"/>
      <c r="X5" s="47"/>
      <c r="Y5" s="47"/>
      <c r="Z5" s="47"/>
      <c r="AA5" s="47"/>
      <c r="AB5" s="47"/>
      <c r="AC5" s="47"/>
      <c r="AD5" s="47"/>
      <c r="AE5" s="47"/>
      <c r="AF5" s="47"/>
      <c r="AG5" s="47"/>
      <c r="AH5" s="47"/>
      <c r="AI5" s="47"/>
      <c r="AJ5" s="47"/>
      <c r="AK5" s="47"/>
      <c r="AL5" s="47"/>
    </row>
    <row r="6" customFormat="false" ht="15" hidden="false" customHeight="false" outlineLevel="0" collapsed="false">
      <c r="B6" s="47" t="s">
        <v>299</v>
      </c>
      <c r="C6" s="47"/>
      <c r="D6" s="47"/>
      <c r="E6" s="47"/>
      <c r="F6" s="47"/>
      <c r="G6" s="47"/>
      <c r="H6" s="47"/>
      <c r="I6" s="47"/>
      <c r="J6" s="47"/>
      <c r="K6" s="47"/>
      <c r="L6" s="47" t="s">
        <v>828</v>
      </c>
      <c r="M6" s="47"/>
      <c r="N6" s="47" t="s">
        <v>829</v>
      </c>
      <c r="O6" s="47"/>
      <c r="P6" s="47"/>
      <c r="Q6" s="47"/>
      <c r="R6" s="47"/>
      <c r="S6" s="47"/>
      <c r="T6" s="47"/>
      <c r="U6" s="47"/>
      <c r="V6" s="47"/>
      <c r="W6" s="47"/>
      <c r="X6" s="47"/>
      <c r="Y6" s="47"/>
      <c r="Z6" s="47"/>
      <c r="AA6" s="47"/>
      <c r="AB6" s="47"/>
      <c r="AC6" s="47"/>
      <c r="AD6" s="47"/>
      <c r="AE6" s="47"/>
      <c r="AF6" s="47"/>
      <c r="AG6" s="47"/>
      <c r="AH6" s="47"/>
      <c r="AI6" s="47"/>
      <c r="AJ6" s="47"/>
      <c r="AK6" s="47"/>
      <c r="AL6" s="47"/>
    </row>
    <row r="7" customFormat="false" ht="15" hidden="false" customHeight="false" outlineLevel="0" collapsed="false">
      <c r="B7" s="47" t="s">
        <v>667</v>
      </c>
      <c r="C7" s="47"/>
      <c r="D7" s="47"/>
      <c r="E7" s="47"/>
      <c r="F7" s="47"/>
      <c r="G7" s="47"/>
      <c r="H7" s="47"/>
      <c r="I7" s="47"/>
      <c r="J7" s="47"/>
      <c r="K7" s="47"/>
      <c r="L7" s="47"/>
      <c r="M7" s="47" t="s">
        <v>830</v>
      </c>
      <c r="N7" s="47"/>
      <c r="O7" s="47"/>
      <c r="P7" s="47"/>
      <c r="Q7" s="47"/>
      <c r="R7" s="47"/>
      <c r="S7" s="47"/>
      <c r="T7" s="47"/>
      <c r="U7" s="47"/>
      <c r="V7" s="47"/>
      <c r="W7" s="47"/>
      <c r="X7" s="47"/>
      <c r="Y7" s="47"/>
      <c r="Z7" s="47"/>
      <c r="AA7" s="47"/>
      <c r="AB7" s="47"/>
      <c r="AC7" s="47"/>
      <c r="AD7" s="47"/>
      <c r="AE7" s="47"/>
      <c r="AF7" s="47"/>
      <c r="AG7" s="47"/>
      <c r="AH7" s="47"/>
      <c r="AI7" s="47"/>
      <c r="AJ7" s="47"/>
      <c r="AK7" s="47"/>
      <c r="AL7" s="47"/>
    </row>
    <row r="8" customFormat="false" ht="15" hidden="false" customHeight="false" outlineLevel="0" collapsed="false">
      <c r="B8" s="47" t="s">
        <v>313</v>
      </c>
      <c r="C8" s="47"/>
      <c r="D8" s="47"/>
      <c r="E8" s="47"/>
      <c r="F8" s="47"/>
      <c r="G8" s="47"/>
      <c r="H8" s="47"/>
      <c r="I8" s="47"/>
      <c r="J8" s="47"/>
      <c r="K8" s="47"/>
      <c r="L8" s="47"/>
      <c r="M8" s="47"/>
      <c r="N8" s="47" t="s">
        <v>831</v>
      </c>
      <c r="O8" s="47"/>
      <c r="P8" s="47"/>
      <c r="Q8" s="47"/>
      <c r="R8" s="47"/>
      <c r="S8" s="47"/>
      <c r="T8" s="47"/>
      <c r="U8" s="47"/>
      <c r="V8" s="47"/>
      <c r="W8" s="47"/>
      <c r="X8" s="47"/>
      <c r="Y8" s="47"/>
      <c r="Z8" s="47"/>
      <c r="AA8" s="47"/>
      <c r="AB8" s="47"/>
      <c r="AC8" s="47"/>
      <c r="AD8" s="47"/>
      <c r="AE8" s="47"/>
      <c r="AF8" s="47"/>
      <c r="AG8" s="47"/>
      <c r="AH8" s="47"/>
      <c r="AI8" s="47"/>
      <c r="AJ8" s="47"/>
      <c r="AK8" s="47"/>
      <c r="AL8" s="47"/>
    </row>
    <row r="9" customFormat="false" ht="15" hidden="false" customHeight="false" outlineLevel="0" collapsed="false">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row>
    <row r="10" customFormat="false" ht="15" hidden="false" customHeight="false" outlineLevel="0" collapsed="false">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row>
    <row r="11" customFormat="false" ht="15" hidden="false" customHeight="false" outlineLevel="0" collapsed="false">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row>
    <row r="12" customFormat="false" ht="15" hidden="false" customHeight="false" outlineLevel="0" collapsed="false">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row>
    <row r="13" customFormat="false" ht="15" hidden="false" customHeight="false" outlineLevel="0" collapsed="false">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row>
    <row r="14" customFormat="false" ht="15" hidden="false" customHeight="false" outlineLevel="0" collapsed="false">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row>
    <row r="15" customFormat="false" ht="15" hidden="false" customHeight="false" outlineLevel="0" collapsed="false">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row>
    <row r="16" customFormat="false" ht="15" hidden="false" customHeight="false" outlineLevel="0" collapsed="false">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row>
    <row r="17" customFormat="false" ht="15" hidden="false" customHeight="false" outlineLevel="0" collapsed="false">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row>
    <row r="18" customFormat="false" ht="15" hidden="false" customHeight="false" outlineLevel="0" collapsed="false">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row>
    <row r="19" customFormat="false" ht="15" hidden="false" customHeight="false" outlineLevel="0" collapsed="false">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row>
    <row r="20" customFormat="false" ht="15" hidden="false" customHeight="false" outlineLevel="0" collapsed="false">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row>
    <row r="21" customFormat="false" ht="15" hidden="false" customHeight="false" outlineLevel="0" collapsed="false">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row>
    <row r="22" customFormat="false" ht="15" hidden="false" customHeight="false" outlineLevel="0" collapsed="false">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row>
    <row r="23" customFormat="false" ht="15" hidden="false" customHeight="false" outlineLevel="0" collapsed="false">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row>
    <row r="24" customFormat="false" ht="15" hidden="false" customHeight="false" outlineLevel="0" collapsed="false">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row>
    <row r="25" customFormat="false" ht="15" hidden="false" customHeight="false" outlineLevel="0" collapsed="false">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row>
    <row r="26" customFormat="false" ht="15" hidden="false" customHeight="false" outlineLevel="0" collapsed="false">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row>
    <row r="27" customFormat="false" ht="15" hidden="false" customHeight="false" outlineLevel="0" collapsed="false">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row>
    <row r="28" customFormat="false" ht="15" hidden="false" customHeight="false" outlineLevel="0" collapsed="false">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row>
    <row r="29" customFormat="false" ht="15" hidden="false" customHeight="false" outlineLevel="0" collapsed="false">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row>
    <row r="30" customFormat="false" ht="15" hidden="false" customHeight="false" outlineLevel="0" collapsed="false">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row>
    <row r="31" customFormat="false" ht="15" hidden="false" customHeight="false" outlineLevel="0" collapsed="false">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row>
    <row r="32" customFormat="false" ht="15" hidden="false" customHeight="false" outlineLevel="0" collapsed="false">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row>
    <row r="33" customFormat="false" ht="15" hidden="false" customHeight="false" outlineLevel="0" collapsed="false">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row>
    <row r="34" customFormat="false" ht="15" hidden="false" customHeight="false" outlineLevel="0" collapsed="false">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row>
    <row r="35" customFormat="false" ht="15" hidden="false" customHeight="false" outlineLevel="0" collapsed="false">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row>
    <row r="36" customFormat="false" ht="15" hidden="false" customHeight="false" outlineLevel="0" collapsed="false">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row>
    <row r="37" customFormat="false" ht="15" hidden="false" customHeight="false" outlineLevel="0" collapsed="false">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row>
    <row r="38" customFormat="false" ht="15" hidden="false" customHeight="false" outlineLevel="0" collapsed="false">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row>
    <row r="39" customFormat="false" ht="15" hidden="false" customHeight="false" outlineLevel="0" collapsed="false">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row>
    <row r="40" customFormat="false" ht="15" hidden="false" customHeight="false" outlineLevel="0" collapsed="false">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row>
    <row r="41" customFormat="false" ht="15" hidden="false" customHeight="false" outlineLevel="0" collapsed="false">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row>
    <row r="42" customFormat="false" ht="15" hidden="false" customHeight="false" outlineLevel="0" collapsed="false">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row>
    <row r="43" customFormat="false" ht="15" hidden="false" customHeight="false" outlineLevel="0" collapsed="false">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row>
    <row r="44" customFormat="false" ht="15" hidden="false" customHeight="false" outlineLevel="0" collapsed="false">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row>
    <row r="45" customFormat="false" ht="15" hidden="false" customHeight="false" outlineLevel="0" collapsed="false">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row>
    <row r="46" customFormat="false" ht="15" hidden="false" customHeight="false" outlineLevel="0" collapsed="false">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row>
    <row r="47" customFormat="false" ht="15" hidden="false" customHeight="false" outlineLevel="0" collapsed="false">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row>
    <row r="48" customFormat="false" ht="15" hidden="false" customHeight="false" outlineLevel="0" collapsed="false">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row>
    <row r="49" customFormat="false" ht="15" hidden="false" customHeight="false" outlineLevel="0" collapsed="false">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row>
    <row r="50" customFormat="false" ht="15" hidden="false" customHeight="false" outlineLevel="0" collapsed="false">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row>
    <row r="51" customFormat="false" ht="15" hidden="false" customHeight="false" outlineLevel="0" collapsed="false">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row>
    <row r="52" customFormat="false" ht="15" hidden="false" customHeight="false" outlineLevel="0" collapsed="false">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row>
    <row r="53" customFormat="false" ht="15" hidden="false" customHeight="false" outlineLevel="0" collapsed="false">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row>
    <row r="54" customFormat="false" ht="15" hidden="false" customHeight="false" outlineLevel="0" collapsed="false">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row>
  </sheetData>
  <dataValidations count="1">
    <dataValidation allowBlank="false" errorStyle="stop" operator="between" showDropDown="false" showErrorMessage="false" showInputMessage="false" sqref="B5:B54" type="list">
      <formula1>res_Name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Z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36"/>
    <col collapsed="false" customWidth="true" hidden="false" outlineLevel="0" max="4" min="4" style="0" width="8"/>
    <col collapsed="false" customWidth="true" hidden="false" outlineLevel="0" max="5" min="5" style="0" width="18"/>
    <col collapsed="false" customWidth="true" hidden="false" outlineLevel="0" max="6" min="6" style="0" width="9"/>
    <col collapsed="false" customWidth="true" hidden="false" outlineLevel="0" max="8" min="7" style="0" width="12"/>
    <col collapsed="false" customWidth="true" hidden="false" outlineLevel="0" max="10" min="9" style="0" width="14"/>
    <col collapsed="false" customWidth="true" hidden="false" outlineLevel="0" max="11" min="11" style="0" width="22"/>
    <col collapsed="false" customWidth="true" hidden="false" outlineLevel="0" max="12" min="12" style="0" width="9"/>
    <col collapsed="false" customWidth="true" hidden="false" outlineLevel="0" max="16" min="13" style="0" width="12"/>
    <col collapsed="false" customWidth="true" hidden="false" outlineLevel="0" max="18" min="17" style="0" width="9"/>
    <col collapsed="false" customWidth="true" hidden="false" outlineLevel="0" max="20" min="19" style="0" width="11"/>
    <col collapsed="false" customWidth="true" hidden="false" outlineLevel="0" max="21" min="21" style="0" width="22"/>
    <col collapsed="false" customWidth="true" hidden="false" outlineLevel="0" max="23" min="22" style="0" width="12"/>
    <col collapsed="false" customWidth="true" hidden="false" outlineLevel="0" max="24" min="24" style="0" width="10"/>
    <col collapsed="false" customWidth="true" hidden="false" outlineLevel="0" max="25" min="25" style="0" width="8"/>
    <col collapsed="false" customWidth="true" hidden="false" outlineLevel="0" max="26" min="26" style="0" width="40"/>
  </cols>
  <sheetData>
    <row r="1" customFormat="false" ht="46.25" hidden="false" customHeight="false" outlineLevel="0" collapsed="false">
      <c r="A1" s="9" t="s">
        <v>515</v>
      </c>
      <c r="B1" s="9" t="s">
        <v>832</v>
      </c>
      <c r="C1" s="9" t="s">
        <v>833</v>
      </c>
      <c r="D1" s="9" t="s">
        <v>834</v>
      </c>
      <c r="E1" s="9" t="s">
        <v>835</v>
      </c>
      <c r="F1" s="9" t="s">
        <v>239</v>
      </c>
      <c r="G1" s="9" t="s">
        <v>136</v>
      </c>
      <c r="H1" s="9" t="s">
        <v>137</v>
      </c>
      <c r="I1" s="9" t="s">
        <v>57</v>
      </c>
      <c r="J1" s="9" t="s">
        <v>836</v>
      </c>
      <c r="K1" s="9" t="s">
        <v>542</v>
      </c>
      <c r="L1" s="9" t="s">
        <v>540</v>
      </c>
      <c r="M1" s="9" t="s">
        <v>534</v>
      </c>
      <c r="N1" s="9" t="s">
        <v>535</v>
      </c>
      <c r="O1" s="9" t="s">
        <v>551</v>
      </c>
      <c r="P1" s="9" t="s">
        <v>552</v>
      </c>
      <c r="Q1" s="9" t="s">
        <v>553</v>
      </c>
      <c r="R1" s="9" t="s">
        <v>554</v>
      </c>
      <c r="S1" s="9" t="s">
        <v>555</v>
      </c>
      <c r="T1" s="9" t="s">
        <v>248</v>
      </c>
      <c r="U1" s="9" t="s">
        <v>837</v>
      </c>
      <c r="V1" s="9" t="s">
        <v>533</v>
      </c>
      <c r="W1" s="9" t="s">
        <v>142</v>
      </c>
      <c r="X1" s="9" t="s">
        <v>838</v>
      </c>
      <c r="Y1" s="9" t="s">
        <v>839</v>
      </c>
      <c r="Z1" s="9" t="s">
        <v>221</v>
      </c>
    </row>
    <row r="2" customFormat="false" ht="15" hidden="false" customHeight="false" outlineLevel="0" collapsed="false">
      <c r="A2" s="24" t="n">
        <f aca="false">IF(IFERROR(INDEX(tsk_Name,(ROW()-ROW(MSPTasks[[#Headers],[ID]])))="",TRUE()),"",INDEX(tsk_ID,(ROW()-ROW(MSPTasks[[#Headers],[ID]]))))</f>
        <v>1</v>
      </c>
      <c r="B2" s="24" t="n">
        <f aca="false">IF(IFERROR(INDEX(tsk_Name,(ROW()-ROW(MSPTasks[[#Headers],[ID]])))="",TRUE()),"",INDEX(tsk_UID,(ROW()-ROW(MSPTasks[[#Headers],[ID]]))))</f>
        <v>1</v>
      </c>
      <c r="C2" s="24" t="str">
        <f aca="false">IF(IFERROR(INDEX(tsk_Name,(ROW()-ROW(MSPTasks[[#Headers],[ID]])))="",TRUE()),"",INDEX(tsk_Name,(ROW()-ROW(MSPTasks[[#Headers],[ID]]))))</f>
        <v>Initiation</v>
      </c>
      <c r="D2" s="24" t="n">
        <f aca="false">IF(IFERROR(INDEX(tsk_Name,(ROW()-ROW(MSPTasks[[#Headers],[ID]])))="",TRUE()),"",INDEX(tsk_Level,(ROW()-ROW(MSPTasks[[#Headers],[ID]]))))</f>
        <v>1</v>
      </c>
      <c r="E2" s="24" t="str">
        <f aca="false">IF(IFERROR(INDEX(tsk_Name,(ROW()-ROW(MSPTasks[[#Headers],[ID]])))="",TRUE()),"",IF(INDEX(tsk_Mode,(ROW()-ROW(MSPTasks[[#Headers],[ID]])))="Manual","Manually Scheduled","Auto Scheduled"))</f>
        <v>Auto Scheduled</v>
      </c>
      <c r="F2" s="24" t="str">
        <f aca="false">IF(IFERROR(INDEX(tsk_Name,(ROW()-ROW(MSPTasks[[#Headers],[ID]])))="",TRUE()),"",IF(INDEX(tsk_IsSummary,(ROW()-ROW(MSPTasks[[#Headers],[ID]]))),"",N(INDEX(tsk_Duration,(ROW()-ROW(MSPTasks[[#Headers],[ID]]))))&amp;"d"))</f>
        <v/>
      </c>
      <c r="G2" s="137" t="n">
        <f aca="false">IF(IFERROR(INDEX(tsk_Name,(ROW()-ROW(MSPTasks[[#Headers],[ID]])))="",TRUE()),"",INDEX(tsk_FcStart,(ROW()-ROW(MSPTasks[[#Headers],[ID]]))))</f>
        <v>46272</v>
      </c>
      <c r="H2" s="137" t="n">
        <f aca="false">IF(IFERROR(INDEX(tsk_Name,(ROW()-ROW(MSPTasks[[#Headers],[ID]])))="",TRUE()),"",INDEX(tsk_FcFinish,(ROW()-ROW(MSPTasks[[#Headers],[ID]]))))</f>
        <v>46279</v>
      </c>
      <c r="I2" s="24" t="str">
        <f aca="false">IF(IFERROR(INDEX(tsk_Name,(ROW()-ROW(MSPTasks[[#Headers],[ID]])))="",TRUE()),"",IF(INDEX(tsk_IsSummary,(ROW()-ROW(MSPTasks[[#Headers],[ID]]))),"",INDEX(tsk_Predecessors,(ROW()-ROW(MSPTasks[[#Headers],[ID]])))))</f>
        <v/>
      </c>
      <c r="J2" s="24" t="str">
        <f aca="false">IF(IFERROR(INDEX(tsk_Name,(ROW()-ROW(MSPTasks[[#Headers],[ID]])))="",TRUE()),"",IF(INDEX(tsk_IsSummary,(ROW()-ROW(MSPTasks[[#Headers],[ID]]))),"",INDEX(tsk_UIDPredecessors,(ROW()-ROW(MSPTasks[[#Headers],[ID]])))))</f>
        <v/>
      </c>
      <c r="K2" s="24" t="str">
        <f aca="false">IF(IFERROR(INDEX(tsk_Name,(ROW()-ROW(MSPTasks[[#Headers],[ID]])))="",TRUE()),"",INDEX(tsk_ResourceNames,(ROW()-ROW(MSPTasks[[#Headers],[ID]])))&amp;"")</f>
        <v/>
      </c>
      <c r="L2" s="24" t="str">
        <f aca="false">IF(IFERROR(INDEX(tsk_Name,(ROW()-ROW(MSPTasks[[#Headers],[ID]])))="",TRUE()),"",IF(INDEX(tsk_IsSummary,(ROW()-ROW(MSPTasks[[#Headers],[ID]]))),"",ROUND(INDEX(tsk_Progress,(ROW()-ROW(MSPTasks[[#Headers],[ID]])))*100,0)))</f>
        <v/>
      </c>
      <c r="M2" s="137" t="str">
        <f aca="false">IF(IFERROR(INDEX(tsk_Name,(ROW()-ROW(MSPTasks[[#Headers],[ID]])))="",TRUE()),"",IF(N(INDEX(tsk_ActStart,(ROW()-ROW(MSPTasks[[#Headers],[ID]]))))=0,"",INDEX(tsk_ActStart,(ROW()-ROW(MSPTasks[[#Headers],[ID]])))))</f>
        <v/>
      </c>
      <c r="N2" s="137" t="str">
        <f aca="false">IF(IFERROR(INDEX(tsk_Name,(ROW()-ROW(MSPTasks[[#Headers],[ID]])))="",TRUE()),"",IF(N(INDEX(tsk_ActFinish,(ROW()-ROW(MSPTasks[[#Headers],[ID]]))))=0,"",INDEX(tsk_ActFinish,(ROW()-ROW(MSPTasks[[#Headers],[ID]])))))</f>
        <v/>
      </c>
      <c r="O2" s="137" t="n">
        <f aca="false">IF(IFERROR(INDEX(tsk_Name,(ROW()-ROW(MSPTasks[[#Headers],[ID]])))="",TRUE()),"",INDEX(tsk_PlanStart,(ROW()-ROW(MSPTasks[[#Headers],[ID]]))))</f>
        <v>46272</v>
      </c>
      <c r="P2" s="137" t="n">
        <f aca="false">IF(IFERROR(INDEX(tsk_Name,(ROW()-ROW(MSPTasks[[#Headers],[ID]])))="",TRUE()),"",INDEX(tsk_PlanFinish,(ROW()-ROW(MSPTasks[[#Headers],[ID]]))))</f>
        <v>46276</v>
      </c>
      <c r="Q2" s="24" t="str">
        <f aca="false">IF(IFERROR(INDEX(tsk_Name,(ROW()-ROW(MSPTasks[[#Headers],[ID]])))="",TRUE()),"",IF(INDEX(tsk_BaseDuration,(ROW()-ROW(MSPTasks[[#Headers],[ID]])))="","",N(INDEX(tsk_BaseDuration,(ROW()-ROW(MSPTasks[[#Headers],[ID]]))))&amp;"d"))</f>
        <v/>
      </c>
      <c r="R2" s="24" t="str">
        <f aca="false">IF(IFERROR(INDEX(tsk_Name,(ROW()-ROW(MSPTasks[[#Headers],[ID]])))="",TRUE()),"",IF(INDEX(tsk_BaseWork,(ROW()-ROW(MSPTasks[[#Headers],[ID]])))="","",N(INDEX(tsk_BaseWork,(ROW()-ROW(MSPTasks[[#Headers],[ID]]))))&amp;"h"))</f>
        <v/>
      </c>
      <c r="S2" s="24" t="str">
        <f aca="false">IF(IFERROR(INDEX(tsk_Name,(ROW()-ROW(MSPTasks[[#Headers],[ID]])))="",TRUE()),"",IF(INDEX(tsk_BaseCost,(ROW()-ROW(MSPTasks[[#Headers],[ID]])))="","",N(INDEX(tsk_BaseCost,(ROW()-ROW(MSPTasks[[#Headers],[ID]]))))))</f>
        <v/>
      </c>
      <c r="T2" s="24" t="str">
        <f aca="false">IF(IFERROR(INDEX(tsk_Name,(ROW()-ROW(MSPTasks[[#Headers],[ID]])))="",TRUE()),"",IF(INDEX(tsk_IsSummary,(ROW()-ROW(MSPTasks[[#Headers],[ID]]))),"",IF(N(INDEX(tsk_ActCostInput,(ROW()-ROW(MSPTasks[[#Headers],[ID]]))))=0,"",INDEX(tsk_ActCostInput,(ROW()-ROW(MSPTasks[[#Headers],[ID]]))))))</f>
        <v/>
      </c>
      <c r="U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2" s="137" t="str">
        <f aca="false">IF(IFERROR(INDEX(tsk_Name,(ROW()-ROW(MSPTasks[[#Headers],[ID]])))="",TRUE()),"",IF(OR(INDEX(tsk_IsSummary,(ROW()-ROW(MSPTasks[[#Headers],[ID]]))),INDEX(tsk_Mode,(ROW()-ROW(MSPTasks[[#Headers],[ID]])))="Manual"),"",IF(N(INDEX(tsk_ConstraintCode,(ROW()-ROW(MSPTasks[[#Headers],[ID]]))))&lt;2,"",INDEX(tsk_Constraint,(ROW()-ROW(MSPTasks[[#Headers],[ID]]))))))</f>
        <v/>
      </c>
      <c r="W2" s="137" t="str">
        <f aca="false">IF(IFERROR(INDEX(tsk_Name,(ROW()-ROW(MSPTasks[[#Headers],[ID]])))="",TRUE()),"",IF(N(INDEX(tsk_Deadline,(ROW()-ROW(MSPTasks[[#Headers],[ID]]))))=0,"",INDEX(tsk_Deadline,(ROW()-ROW(MSPTasks[[#Headers],[ID]])))))</f>
        <v/>
      </c>
      <c r="X2" s="24" t="str">
        <f aca="false">IF(IFERROR(INDEX(tsk_Name,(ROW()-ROW(MSPTasks[[#Headers],[ID]])))="",TRUE()),"",IF(INDEX(tsk_IsSummary,(ROW()-ROW(MSPTasks[[#Headers],[ID]]))),"",INDEX(tsk_Sprint,(ROW()-ROW(MSPTasks[[#Headers],[ID]])))&amp;""))</f>
        <v/>
      </c>
      <c r="Y2" s="24" t="str">
        <f aca="false">IF(IFERROR(INDEX(tsk_Name,(ROW()-ROW(MSPTasks[[#Headers],[ID]])))="",TRUE()),"",IF(INDEX(tsk_IsSummary,(ROW()-ROW(MSPTasks[[#Headers],[ID]]))),"",IF(N(INDEX(tsk_StoryPoints,(ROW()-ROW(MSPTasks[[#Headers],[ID]]))))=0,"",INDEX(tsk_StoryPoints,(ROW()-ROW(MSPTasks[[#Headers],[ID]]))))))</f>
        <v/>
      </c>
      <c r="Z2" s="24" t="str">
        <f aca="false">IF(IFERROR(INDEX(tsk_Name,(ROW()-ROW(MSPTasks[[#Headers],[ID]])))="",TRUE()),"",INDEX(tsk_Notes,(ROW()-ROW(MSPTasks[[#Headers],[ID]])))&amp;"")</f>
        <v>Phase 1 - summary rows roll up dates, work, cost and progress automatically.</v>
      </c>
    </row>
    <row r="3" customFormat="false" ht="15" hidden="false" customHeight="false" outlineLevel="0" collapsed="false">
      <c r="A3" s="24" t="n">
        <f aca="false">IF(IFERROR(INDEX(tsk_Name,(ROW()-ROW(MSPTasks[[#Headers],[ID]])))="",TRUE()),"",INDEX(tsk_ID,(ROW()-ROW(MSPTasks[[#Headers],[ID]]))))</f>
        <v>2</v>
      </c>
      <c r="B3" s="24" t="n">
        <f aca="false">IF(IFERROR(INDEX(tsk_Name,(ROW()-ROW(MSPTasks[[#Headers],[ID]])))="",TRUE()),"",INDEX(tsk_UID,(ROW()-ROW(MSPTasks[[#Headers],[ID]]))))</f>
        <v>2</v>
      </c>
      <c r="C3" s="24" t="str">
        <f aca="false">IF(IFERROR(INDEX(tsk_Name,(ROW()-ROW(MSPTasks[[#Headers],[ID]])))="",TRUE()),"",INDEX(tsk_Name,(ROW()-ROW(MSPTasks[[#Headers],[ID]]))))</f>
        <v>Project charter &amp; scope statement</v>
      </c>
      <c r="D3" s="24" t="n">
        <f aca="false">IF(IFERROR(INDEX(tsk_Name,(ROW()-ROW(MSPTasks[[#Headers],[ID]])))="",TRUE()),"",INDEX(tsk_Level,(ROW()-ROW(MSPTasks[[#Headers],[ID]]))))</f>
        <v>2</v>
      </c>
      <c r="E3" s="24" t="str">
        <f aca="false">IF(IFERROR(INDEX(tsk_Name,(ROW()-ROW(MSPTasks[[#Headers],[ID]])))="",TRUE()),"",IF(INDEX(tsk_Mode,(ROW()-ROW(MSPTasks[[#Headers],[ID]])))="Manual","Manually Scheduled","Auto Scheduled"))</f>
        <v>Auto Scheduled</v>
      </c>
      <c r="F3" s="24" t="str">
        <f aca="false">IF(IFERROR(INDEX(tsk_Name,(ROW()-ROW(MSPTasks[[#Headers],[ID]])))="",TRUE()),"",IF(INDEX(tsk_IsSummary,(ROW()-ROW(MSPTasks[[#Headers],[ID]]))),"",N(INDEX(tsk_Duration,(ROW()-ROW(MSPTasks[[#Headers],[ID]]))))&amp;"d"))</f>
        <v>3d</v>
      </c>
      <c r="G3" s="137" t="n">
        <f aca="false">IF(IFERROR(INDEX(tsk_Name,(ROW()-ROW(MSPTasks[[#Headers],[ID]])))="",TRUE()),"",INDEX(tsk_FcStart,(ROW()-ROW(MSPTasks[[#Headers],[ID]]))))</f>
        <v>46272</v>
      </c>
      <c r="H3" s="137" t="n">
        <f aca="false">IF(IFERROR(INDEX(tsk_Name,(ROW()-ROW(MSPTasks[[#Headers],[ID]])))="",TRUE()),"",INDEX(tsk_FcFinish,(ROW()-ROW(MSPTasks[[#Headers],[ID]]))))</f>
        <v>46275</v>
      </c>
      <c r="I3" s="24" t="str">
        <f aca="false">IF(IFERROR(INDEX(tsk_Name,(ROW()-ROW(MSPTasks[[#Headers],[ID]])))="",TRUE()),"",IF(INDEX(tsk_IsSummary,(ROW()-ROW(MSPTasks[[#Headers],[ID]]))),"",INDEX(tsk_Predecessors,(ROW()-ROW(MSPTasks[[#Headers],[ID]])))))</f>
        <v/>
      </c>
      <c r="J3" s="24" t="str">
        <f aca="false">IF(IFERROR(INDEX(tsk_Name,(ROW()-ROW(MSPTasks[[#Headers],[ID]])))="",TRUE()),"",IF(INDEX(tsk_IsSummary,(ROW()-ROW(MSPTasks[[#Headers],[ID]]))),"",INDEX(tsk_UIDPredecessors,(ROW()-ROW(MSPTasks[[#Headers],[ID]])))))</f>
        <v/>
      </c>
      <c r="K3" s="24" t="str">
        <f aca="false">IF(IFERROR(INDEX(tsk_Name,(ROW()-ROW(MSPTasks[[#Headers],[ID]])))="",TRUE()),"",INDEX(tsk_ResourceNames,(ROW()-ROW(MSPTasks[[#Headers],[ID]])))&amp;"")</f>
        <v>Priya Sharma</v>
      </c>
      <c r="L3" s="24" t="n">
        <f aca="false">IF(IFERROR(INDEX(tsk_Name,(ROW()-ROW(MSPTasks[[#Headers],[ID]])))="",TRUE()),"",IF(INDEX(tsk_IsSummary,(ROW()-ROW(MSPTasks[[#Headers],[ID]]))),"",ROUND(INDEX(tsk_Progress,(ROW()-ROW(MSPTasks[[#Headers],[ID]])))*100,0)))</f>
        <v>100</v>
      </c>
      <c r="M3" s="137" t="n">
        <f aca="false">IF(IFERROR(INDEX(tsk_Name,(ROW()-ROW(MSPTasks[[#Headers],[ID]])))="",TRUE()),"",IF(N(INDEX(tsk_ActStart,(ROW()-ROW(MSPTasks[[#Headers],[ID]]))))=0,"",INDEX(tsk_ActStart,(ROW()-ROW(MSPTasks[[#Headers],[ID]])))))</f>
        <v>46272</v>
      </c>
      <c r="N3" s="137" t="n">
        <f aca="false">IF(IFERROR(INDEX(tsk_Name,(ROW()-ROW(MSPTasks[[#Headers],[ID]])))="",TRUE()),"",IF(N(INDEX(tsk_ActFinish,(ROW()-ROW(MSPTasks[[#Headers],[ID]]))))=0,"",INDEX(tsk_ActFinish,(ROW()-ROW(MSPTasks[[#Headers],[ID]])))))</f>
        <v>46275</v>
      </c>
      <c r="O3" s="137" t="n">
        <f aca="false">IF(IFERROR(INDEX(tsk_Name,(ROW()-ROW(MSPTasks[[#Headers],[ID]])))="",TRUE()),"",INDEX(tsk_PlanStart,(ROW()-ROW(MSPTasks[[#Headers],[ID]]))))</f>
        <v>46272</v>
      </c>
      <c r="P3" s="137" t="n">
        <f aca="false">IF(IFERROR(INDEX(tsk_Name,(ROW()-ROW(MSPTasks[[#Headers],[ID]])))="",TRUE()),"",INDEX(tsk_PlanFinish,(ROW()-ROW(MSPTasks[[#Headers],[ID]]))))</f>
        <v>46274</v>
      </c>
      <c r="Q3" s="24" t="str">
        <f aca="false">IF(IFERROR(INDEX(tsk_Name,(ROW()-ROW(MSPTasks[[#Headers],[ID]])))="",TRUE()),"",IF(INDEX(tsk_BaseDuration,(ROW()-ROW(MSPTasks[[#Headers],[ID]])))="","",N(INDEX(tsk_BaseDuration,(ROW()-ROW(MSPTasks[[#Headers],[ID]]))))&amp;"d"))</f>
        <v/>
      </c>
      <c r="R3" s="24" t="str">
        <f aca="false">IF(IFERROR(INDEX(tsk_Name,(ROW()-ROW(MSPTasks[[#Headers],[ID]])))="",TRUE()),"",IF(INDEX(tsk_BaseWork,(ROW()-ROW(MSPTasks[[#Headers],[ID]])))="","",N(INDEX(tsk_BaseWork,(ROW()-ROW(MSPTasks[[#Headers],[ID]]))))&amp;"h"))</f>
        <v/>
      </c>
      <c r="S3" s="24" t="str">
        <f aca="false">IF(IFERROR(INDEX(tsk_Name,(ROW()-ROW(MSPTasks[[#Headers],[ID]])))="",TRUE()),"",IF(INDEX(tsk_BaseCost,(ROW()-ROW(MSPTasks[[#Headers],[ID]])))="","",N(INDEX(tsk_BaseCost,(ROW()-ROW(MSPTasks[[#Headers],[ID]]))))))</f>
        <v/>
      </c>
      <c r="T3" s="111" t="n">
        <f aca="false">IF(IFERROR(INDEX(tsk_Name,(ROW()-ROW(MSPTasks[[#Headers],[ID]])))="",TRUE()),"",IF(INDEX(tsk_IsSummary,(ROW()-ROW(MSPTasks[[#Headers],[ID]]))),"",IF(N(INDEX(tsk_ActCostInput,(ROW()-ROW(MSPTasks[[#Headers],[ID]]))))=0,"",INDEX(tsk_ActCostInput,(ROW()-ROW(MSPTasks[[#Headers],[ID]]))))))</f>
        <v>3040</v>
      </c>
      <c r="U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3" s="137" t="str">
        <f aca="false">IF(IFERROR(INDEX(tsk_Name,(ROW()-ROW(MSPTasks[[#Headers],[ID]])))="",TRUE()),"",IF(OR(INDEX(tsk_IsSummary,(ROW()-ROW(MSPTasks[[#Headers],[ID]]))),INDEX(tsk_Mode,(ROW()-ROW(MSPTasks[[#Headers],[ID]])))="Manual"),"",IF(N(INDEX(tsk_ConstraintCode,(ROW()-ROW(MSPTasks[[#Headers],[ID]]))))&lt;2,"",INDEX(tsk_Constraint,(ROW()-ROW(MSPTasks[[#Headers],[ID]]))))))</f>
        <v/>
      </c>
      <c r="W3" s="137" t="str">
        <f aca="false">IF(IFERROR(INDEX(tsk_Name,(ROW()-ROW(MSPTasks[[#Headers],[ID]])))="",TRUE()),"",IF(N(INDEX(tsk_Deadline,(ROW()-ROW(MSPTasks[[#Headers],[ID]]))))=0,"",INDEX(tsk_Deadline,(ROW()-ROW(MSPTasks[[#Headers],[ID]])))))</f>
        <v/>
      </c>
      <c r="X3" s="24" t="str">
        <f aca="false">IF(IFERROR(INDEX(tsk_Name,(ROW()-ROW(MSPTasks[[#Headers],[ID]])))="",TRUE()),"",IF(INDEX(tsk_IsSummary,(ROW()-ROW(MSPTasks[[#Headers],[ID]]))),"",INDEX(tsk_Sprint,(ROW()-ROW(MSPTasks[[#Headers],[ID]])))&amp;""))</f>
        <v>Sprint 1</v>
      </c>
      <c r="Y3" s="85" t="n">
        <f aca="false">IF(IFERROR(INDEX(tsk_Name,(ROW()-ROW(MSPTasks[[#Headers],[ID]])))="",TRUE()),"",IF(INDEX(tsk_IsSummary,(ROW()-ROW(MSPTasks[[#Headers],[ID]]))),"",IF(N(INDEX(tsk_StoryPoints,(ROW()-ROW(MSPTasks[[#Headers],[ID]]))))=0,"",INDEX(tsk_StoryPoints,(ROW()-ROW(MSPTasks[[#Headers],[ID]]))))))</f>
        <v>3</v>
      </c>
      <c r="Z3" s="24" t="str">
        <f aca="false">IF(IFERROR(INDEX(tsk_Name,(ROW()-ROW(MSPTasks[[#Headers],[ID]])))="",TRUE()),"",INDEX(tsk_Notes,(ROW()-ROW(MSPTasks[[#Headers],[ID]])))&amp;"")</f>
        <v>Took 1 extra day for sponsor sign-off.</v>
      </c>
    </row>
    <row r="4" customFormat="false" ht="15" hidden="false" customHeight="false" outlineLevel="0" collapsed="false">
      <c r="A4" s="24" t="n">
        <f aca="false">IF(IFERROR(INDEX(tsk_Name,(ROW()-ROW(MSPTasks[[#Headers],[ID]])))="",TRUE()),"",INDEX(tsk_ID,(ROW()-ROW(MSPTasks[[#Headers],[ID]]))))</f>
        <v>3</v>
      </c>
      <c r="B4" s="24" t="n">
        <f aca="false">IF(IFERROR(INDEX(tsk_Name,(ROW()-ROW(MSPTasks[[#Headers],[ID]])))="",TRUE()),"",INDEX(tsk_UID,(ROW()-ROW(MSPTasks[[#Headers],[ID]]))))</f>
        <v>3</v>
      </c>
      <c r="C4" s="24" t="str">
        <f aca="false">IF(IFERROR(INDEX(tsk_Name,(ROW()-ROW(MSPTasks[[#Headers],[ID]])))="",TRUE()),"",INDEX(tsk_Name,(ROW()-ROW(MSPTasks[[#Headers],[ID]]))))</f>
        <v>Stakeholder kickoff workshop</v>
      </c>
      <c r="D4" s="24" t="n">
        <f aca="false">IF(IFERROR(INDEX(tsk_Name,(ROW()-ROW(MSPTasks[[#Headers],[ID]])))="",TRUE()),"",INDEX(tsk_Level,(ROW()-ROW(MSPTasks[[#Headers],[ID]]))))</f>
        <v>2</v>
      </c>
      <c r="E4" s="24" t="str">
        <f aca="false">IF(IFERROR(INDEX(tsk_Name,(ROW()-ROW(MSPTasks[[#Headers],[ID]])))="",TRUE()),"",IF(INDEX(tsk_Mode,(ROW()-ROW(MSPTasks[[#Headers],[ID]])))="Manual","Manually Scheduled","Auto Scheduled"))</f>
        <v>Auto Scheduled</v>
      </c>
      <c r="F4" s="24" t="str">
        <f aca="false">IF(IFERROR(INDEX(tsk_Name,(ROW()-ROW(MSPTasks[[#Headers],[ID]])))="",TRUE()),"",IF(INDEX(tsk_IsSummary,(ROW()-ROW(MSPTasks[[#Headers],[ID]]))),"",N(INDEX(tsk_Duration,(ROW()-ROW(MSPTasks[[#Headers],[ID]]))))&amp;"d"))</f>
        <v>2d</v>
      </c>
      <c r="G4" s="137" t="n">
        <f aca="false">IF(IFERROR(INDEX(tsk_Name,(ROW()-ROW(MSPTasks[[#Headers],[ID]])))="",TRUE()),"",INDEX(tsk_FcStart,(ROW()-ROW(MSPTasks[[#Headers],[ID]]))))</f>
        <v>46276</v>
      </c>
      <c r="H4" s="137" t="n">
        <f aca="false">IF(IFERROR(INDEX(tsk_Name,(ROW()-ROW(MSPTasks[[#Headers],[ID]])))="",TRUE()),"",INDEX(tsk_FcFinish,(ROW()-ROW(MSPTasks[[#Headers],[ID]]))))</f>
        <v>46279</v>
      </c>
      <c r="I4" s="24" t="str">
        <f aca="false">IF(IFERROR(INDEX(tsk_Name,(ROW()-ROW(MSPTasks[[#Headers],[ID]])))="",TRUE()),"",IF(INDEX(tsk_IsSummary,(ROW()-ROW(MSPTasks[[#Headers],[ID]]))),"",INDEX(tsk_Predecessors,(ROW()-ROW(MSPTasks[[#Headers],[ID]])))))</f>
        <v>2</v>
      </c>
      <c r="J4" s="24" t="str">
        <f aca="false">IF(IFERROR(INDEX(tsk_Name,(ROW()-ROW(MSPTasks[[#Headers],[ID]])))="",TRUE()),"",IF(INDEX(tsk_IsSummary,(ROW()-ROW(MSPTasks[[#Headers],[ID]]))),"",INDEX(tsk_UIDPredecessors,(ROW()-ROW(MSPTasks[[#Headers],[ID]])))))</f>
        <v>2</v>
      </c>
      <c r="K4" s="24" t="str">
        <f aca="false">IF(IFERROR(INDEX(tsk_Name,(ROW()-ROW(MSPTasks[[#Headers],[ID]])))="",TRUE()),"",INDEX(tsk_ResourceNames,(ROW()-ROW(MSPTasks[[#Headers],[ID]])))&amp;"")</f>
        <v>Morgan Patel</v>
      </c>
      <c r="L4" s="24" t="n">
        <f aca="false">IF(IFERROR(INDEX(tsk_Name,(ROW()-ROW(MSPTasks[[#Headers],[ID]])))="",TRUE()),"",IF(INDEX(tsk_IsSummary,(ROW()-ROW(MSPTasks[[#Headers],[ID]]))),"",ROUND(INDEX(tsk_Progress,(ROW()-ROW(MSPTasks[[#Headers],[ID]])))*100,0)))</f>
        <v>100</v>
      </c>
      <c r="M4" s="137" t="n">
        <f aca="false">IF(IFERROR(INDEX(tsk_Name,(ROW()-ROW(MSPTasks[[#Headers],[ID]])))="",TRUE()),"",IF(N(INDEX(tsk_ActStart,(ROW()-ROW(MSPTasks[[#Headers],[ID]]))))=0,"",INDEX(tsk_ActStart,(ROW()-ROW(MSPTasks[[#Headers],[ID]])))))</f>
        <v>46276</v>
      </c>
      <c r="N4" s="137" t="n">
        <f aca="false">IF(IFERROR(INDEX(tsk_Name,(ROW()-ROW(MSPTasks[[#Headers],[ID]])))="",TRUE()),"",IF(N(INDEX(tsk_ActFinish,(ROW()-ROW(MSPTasks[[#Headers],[ID]]))))=0,"",INDEX(tsk_ActFinish,(ROW()-ROW(MSPTasks[[#Headers],[ID]])))))</f>
        <v>46279</v>
      </c>
      <c r="O4" s="137" t="n">
        <f aca="false">IF(IFERROR(INDEX(tsk_Name,(ROW()-ROW(MSPTasks[[#Headers],[ID]])))="",TRUE()),"",INDEX(tsk_PlanStart,(ROW()-ROW(MSPTasks[[#Headers],[ID]]))))</f>
        <v>46275</v>
      </c>
      <c r="P4" s="137" t="n">
        <f aca="false">IF(IFERROR(INDEX(tsk_Name,(ROW()-ROW(MSPTasks[[#Headers],[ID]])))="",TRUE()),"",INDEX(tsk_PlanFinish,(ROW()-ROW(MSPTasks[[#Headers],[ID]]))))</f>
        <v>46276</v>
      </c>
      <c r="Q4" s="24" t="str">
        <f aca="false">IF(IFERROR(INDEX(tsk_Name,(ROW()-ROW(MSPTasks[[#Headers],[ID]])))="",TRUE()),"",IF(INDEX(tsk_BaseDuration,(ROW()-ROW(MSPTasks[[#Headers],[ID]])))="","",N(INDEX(tsk_BaseDuration,(ROW()-ROW(MSPTasks[[#Headers],[ID]]))))&amp;"d"))</f>
        <v/>
      </c>
      <c r="R4" s="24" t="str">
        <f aca="false">IF(IFERROR(INDEX(tsk_Name,(ROW()-ROW(MSPTasks[[#Headers],[ID]])))="",TRUE()),"",IF(INDEX(tsk_BaseWork,(ROW()-ROW(MSPTasks[[#Headers],[ID]])))="","",N(INDEX(tsk_BaseWork,(ROW()-ROW(MSPTasks[[#Headers],[ID]]))))&amp;"h"))</f>
        <v/>
      </c>
      <c r="S4" s="24" t="str">
        <f aca="false">IF(IFERROR(INDEX(tsk_Name,(ROW()-ROW(MSPTasks[[#Headers],[ID]])))="",TRUE()),"",IF(INDEX(tsk_BaseCost,(ROW()-ROW(MSPTasks[[#Headers],[ID]])))="","",N(INDEX(tsk_BaseCost,(ROW()-ROW(MSPTasks[[#Headers],[ID]]))))))</f>
        <v/>
      </c>
      <c r="T4" s="24" t="str">
        <f aca="false">IF(IFERROR(INDEX(tsk_Name,(ROW()-ROW(MSPTasks[[#Headers],[ID]])))="",TRUE()),"",IF(INDEX(tsk_IsSummary,(ROW()-ROW(MSPTasks[[#Headers],[ID]]))),"",IF(N(INDEX(tsk_ActCostInput,(ROW()-ROW(MSPTasks[[#Headers],[ID]]))))=0,"",INDEX(tsk_ActCostInput,(ROW()-ROW(MSPTasks[[#Headers],[ID]]))))))</f>
        <v/>
      </c>
      <c r="U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4" s="137" t="str">
        <f aca="false">IF(IFERROR(INDEX(tsk_Name,(ROW()-ROW(MSPTasks[[#Headers],[ID]])))="",TRUE()),"",IF(OR(INDEX(tsk_IsSummary,(ROW()-ROW(MSPTasks[[#Headers],[ID]]))),INDEX(tsk_Mode,(ROW()-ROW(MSPTasks[[#Headers],[ID]])))="Manual"),"",IF(N(INDEX(tsk_ConstraintCode,(ROW()-ROW(MSPTasks[[#Headers],[ID]]))))&lt;2,"",INDEX(tsk_Constraint,(ROW()-ROW(MSPTasks[[#Headers],[ID]]))))))</f>
        <v/>
      </c>
      <c r="W4" s="137" t="str">
        <f aca="false">IF(IFERROR(INDEX(tsk_Name,(ROW()-ROW(MSPTasks[[#Headers],[ID]])))="",TRUE()),"",IF(N(INDEX(tsk_Deadline,(ROW()-ROW(MSPTasks[[#Headers],[ID]]))))=0,"",INDEX(tsk_Deadline,(ROW()-ROW(MSPTasks[[#Headers],[ID]])))))</f>
        <v/>
      </c>
      <c r="X4" s="24" t="str">
        <f aca="false">IF(IFERROR(INDEX(tsk_Name,(ROW()-ROW(MSPTasks[[#Headers],[ID]])))="",TRUE()),"",IF(INDEX(tsk_IsSummary,(ROW()-ROW(MSPTasks[[#Headers],[ID]]))),"",INDEX(tsk_Sprint,(ROW()-ROW(MSPTasks[[#Headers],[ID]])))&amp;""))</f>
        <v>Sprint 1</v>
      </c>
      <c r="Y4" s="85" t="n">
        <f aca="false">IF(IFERROR(INDEX(tsk_Name,(ROW()-ROW(MSPTasks[[#Headers],[ID]])))="",TRUE()),"",IF(INDEX(tsk_IsSummary,(ROW()-ROW(MSPTasks[[#Headers],[ID]]))),"",IF(N(INDEX(tsk_StoryPoints,(ROW()-ROW(MSPTasks[[#Headers],[ID]]))))=0,"",INDEX(tsk_StoryPoints,(ROW()-ROW(MSPTasks[[#Headers],[ID]]))))))</f>
        <v>2</v>
      </c>
      <c r="Z4" s="24" t="str">
        <f aca="false">IF(IFERROR(INDEX(tsk_Name,(ROW()-ROW(MSPTasks[[#Headers],[ID]])))="",TRUE()),"",INDEX(tsk_Notes,(ROW()-ROW(MSPTasks[[#Headers],[ID]])))&amp;"")</f>
        <v/>
      </c>
    </row>
    <row r="5" customFormat="false" ht="15" hidden="false" customHeight="false" outlineLevel="0" collapsed="false">
      <c r="A5" s="24" t="n">
        <f aca="false">IF(IFERROR(INDEX(tsk_Name,(ROW()-ROW(MSPTasks[[#Headers],[ID]])))="",TRUE()),"",INDEX(tsk_ID,(ROW()-ROW(MSPTasks[[#Headers],[ID]]))))</f>
        <v>4</v>
      </c>
      <c r="B5" s="24" t="n">
        <f aca="false">IF(IFERROR(INDEX(tsk_Name,(ROW()-ROW(MSPTasks[[#Headers],[ID]])))="",TRUE()),"",INDEX(tsk_UID,(ROW()-ROW(MSPTasks[[#Headers],[ID]]))))</f>
        <v>4</v>
      </c>
      <c r="C5" s="24" t="str">
        <f aca="false">IF(IFERROR(INDEX(tsk_Name,(ROW()-ROW(MSPTasks[[#Headers],[ID]])))="",TRUE()),"",INDEX(tsk_Name,(ROW()-ROW(MSPTasks[[#Headers],[ID]]))))</f>
        <v>Kickoff complete</v>
      </c>
      <c r="D5" s="24" t="n">
        <f aca="false">IF(IFERROR(INDEX(tsk_Name,(ROW()-ROW(MSPTasks[[#Headers],[ID]])))="",TRUE()),"",INDEX(tsk_Level,(ROW()-ROW(MSPTasks[[#Headers],[ID]]))))</f>
        <v>2</v>
      </c>
      <c r="E5" s="24" t="str">
        <f aca="false">IF(IFERROR(INDEX(tsk_Name,(ROW()-ROW(MSPTasks[[#Headers],[ID]])))="",TRUE()),"",IF(INDEX(tsk_Mode,(ROW()-ROW(MSPTasks[[#Headers],[ID]])))="Manual","Manually Scheduled","Auto Scheduled"))</f>
        <v>Auto Scheduled</v>
      </c>
      <c r="F5" s="24" t="str">
        <f aca="false">IF(IFERROR(INDEX(tsk_Name,(ROW()-ROW(MSPTasks[[#Headers],[ID]])))="",TRUE()),"",IF(INDEX(tsk_IsSummary,(ROW()-ROW(MSPTasks[[#Headers],[ID]]))),"",N(INDEX(tsk_Duration,(ROW()-ROW(MSPTasks[[#Headers],[ID]]))))&amp;"d"))</f>
        <v>0d</v>
      </c>
      <c r="G5" s="137" t="n">
        <f aca="false">IF(IFERROR(INDEX(tsk_Name,(ROW()-ROW(MSPTasks[[#Headers],[ID]])))="",TRUE()),"",INDEX(tsk_FcStart,(ROW()-ROW(MSPTasks[[#Headers],[ID]]))))</f>
        <v>46279</v>
      </c>
      <c r="H5" s="137" t="n">
        <f aca="false">IF(IFERROR(INDEX(tsk_Name,(ROW()-ROW(MSPTasks[[#Headers],[ID]])))="",TRUE()),"",INDEX(tsk_FcFinish,(ROW()-ROW(MSPTasks[[#Headers],[ID]]))))</f>
        <v>46279</v>
      </c>
      <c r="I5" s="24" t="str">
        <f aca="false">IF(IFERROR(INDEX(tsk_Name,(ROW()-ROW(MSPTasks[[#Headers],[ID]])))="",TRUE()),"",IF(INDEX(tsk_IsSummary,(ROW()-ROW(MSPTasks[[#Headers],[ID]]))),"",INDEX(tsk_Predecessors,(ROW()-ROW(MSPTasks[[#Headers],[ID]])))))</f>
        <v>3</v>
      </c>
      <c r="J5" s="24" t="str">
        <f aca="false">IF(IFERROR(INDEX(tsk_Name,(ROW()-ROW(MSPTasks[[#Headers],[ID]])))="",TRUE()),"",IF(INDEX(tsk_IsSummary,(ROW()-ROW(MSPTasks[[#Headers],[ID]]))),"",INDEX(tsk_UIDPredecessors,(ROW()-ROW(MSPTasks[[#Headers],[ID]])))))</f>
        <v>3</v>
      </c>
      <c r="K5" s="24" t="str">
        <f aca="false">IF(IFERROR(INDEX(tsk_Name,(ROW()-ROW(MSPTasks[[#Headers],[ID]])))="",TRUE()),"",INDEX(tsk_ResourceNames,(ROW()-ROW(MSPTasks[[#Headers],[ID]])))&amp;"")</f>
        <v/>
      </c>
      <c r="L5" s="24" t="n">
        <f aca="false">IF(IFERROR(INDEX(tsk_Name,(ROW()-ROW(MSPTasks[[#Headers],[ID]])))="",TRUE()),"",IF(INDEX(tsk_IsSummary,(ROW()-ROW(MSPTasks[[#Headers],[ID]]))),"",ROUND(INDEX(tsk_Progress,(ROW()-ROW(MSPTasks[[#Headers],[ID]])))*100,0)))</f>
        <v>100</v>
      </c>
      <c r="M5" s="137" t="n">
        <f aca="false">IF(IFERROR(INDEX(tsk_Name,(ROW()-ROW(MSPTasks[[#Headers],[ID]])))="",TRUE()),"",IF(N(INDEX(tsk_ActStart,(ROW()-ROW(MSPTasks[[#Headers],[ID]]))))=0,"",INDEX(tsk_ActStart,(ROW()-ROW(MSPTasks[[#Headers],[ID]])))))</f>
        <v>46279</v>
      </c>
      <c r="N5" s="137" t="n">
        <f aca="false">IF(IFERROR(INDEX(tsk_Name,(ROW()-ROW(MSPTasks[[#Headers],[ID]])))="",TRUE()),"",IF(N(INDEX(tsk_ActFinish,(ROW()-ROW(MSPTasks[[#Headers],[ID]]))))=0,"",INDEX(tsk_ActFinish,(ROW()-ROW(MSPTasks[[#Headers],[ID]])))))</f>
        <v>46279</v>
      </c>
      <c r="O5" s="137" t="n">
        <f aca="false">IF(IFERROR(INDEX(tsk_Name,(ROW()-ROW(MSPTasks[[#Headers],[ID]])))="",TRUE()),"",INDEX(tsk_PlanStart,(ROW()-ROW(MSPTasks[[#Headers],[ID]]))))</f>
        <v>46276</v>
      </c>
      <c r="P5" s="137" t="n">
        <f aca="false">IF(IFERROR(INDEX(tsk_Name,(ROW()-ROW(MSPTasks[[#Headers],[ID]])))="",TRUE()),"",INDEX(tsk_PlanFinish,(ROW()-ROW(MSPTasks[[#Headers],[ID]]))))</f>
        <v>46276</v>
      </c>
      <c r="Q5" s="24" t="str">
        <f aca="false">IF(IFERROR(INDEX(tsk_Name,(ROW()-ROW(MSPTasks[[#Headers],[ID]])))="",TRUE()),"",IF(INDEX(tsk_BaseDuration,(ROW()-ROW(MSPTasks[[#Headers],[ID]])))="","",N(INDEX(tsk_BaseDuration,(ROW()-ROW(MSPTasks[[#Headers],[ID]]))))&amp;"d"))</f>
        <v/>
      </c>
      <c r="R5" s="24" t="str">
        <f aca="false">IF(IFERROR(INDEX(tsk_Name,(ROW()-ROW(MSPTasks[[#Headers],[ID]])))="",TRUE()),"",IF(INDEX(tsk_BaseWork,(ROW()-ROW(MSPTasks[[#Headers],[ID]])))="","",N(INDEX(tsk_BaseWork,(ROW()-ROW(MSPTasks[[#Headers],[ID]]))))&amp;"h"))</f>
        <v/>
      </c>
      <c r="S5" s="24" t="str">
        <f aca="false">IF(IFERROR(INDEX(tsk_Name,(ROW()-ROW(MSPTasks[[#Headers],[ID]])))="",TRUE()),"",IF(INDEX(tsk_BaseCost,(ROW()-ROW(MSPTasks[[#Headers],[ID]])))="","",N(INDEX(tsk_BaseCost,(ROW()-ROW(MSPTasks[[#Headers],[ID]]))))))</f>
        <v/>
      </c>
      <c r="T5" s="24" t="str">
        <f aca="false">IF(IFERROR(INDEX(tsk_Name,(ROW()-ROW(MSPTasks[[#Headers],[ID]])))="",TRUE()),"",IF(INDEX(tsk_IsSummary,(ROW()-ROW(MSPTasks[[#Headers],[ID]]))),"",IF(N(INDEX(tsk_ActCostInput,(ROW()-ROW(MSPTasks[[#Headers],[ID]]))))=0,"",INDEX(tsk_ActCostInput,(ROW()-ROW(MSPTasks[[#Headers],[ID]]))))))</f>
        <v/>
      </c>
      <c r="U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5" s="137" t="str">
        <f aca="false">IF(IFERROR(INDEX(tsk_Name,(ROW()-ROW(MSPTasks[[#Headers],[ID]])))="",TRUE()),"",IF(OR(INDEX(tsk_IsSummary,(ROW()-ROW(MSPTasks[[#Headers],[ID]]))),INDEX(tsk_Mode,(ROW()-ROW(MSPTasks[[#Headers],[ID]])))="Manual"),"",IF(N(INDEX(tsk_ConstraintCode,(ROW()-ROW(MSPTasks[[#Headers],[ID]]))))&lt;2,"",INDEX(tsk_Constraint,(ROW()-ROW(MSPTasks[[#Headers],[ID]]))))))</f>
        <v/>
      </c>
      <c r="W5" s="137" t="str">
        <f aca="false">IF(IFERROR(INDEX(tsk_Name,(ROW()-ROW(MSPTasks[[#Headers],[ID]])))="",TRUE()),"",IF(N(INDEX(tsk_Deadline,(ROW()-ROW(MSPTasks[[#Headers],[ID]]))))=0,"",INDEX(tsk_Deadline,(ROW()-ROW(MSPTasks[[#Headers],[ID]])))))</f>
        <v/>
      </c>
      <c r="X5" s="24" t="str">
        <f aca="false">IF(IFERROR(INDEX(tsk_Name,(ROW()-ROW(MSPTasks[[#Headers],[ID]])))="",TRUE()),"",IF(INDEX(tsk_IsSummary,(ROW()-ROW(MSPTasks[[#Headers],[ID]]))),"",INDEX(tsk_Sprint,(ROW()-ROW(MSPTasks[[#Headers],[ID]])))&amp;""))</f>
        <v>Sprint 1</v>
      </c>
      <c r="Y5" s="24" t="str">
        <f aca="false">IF(IFERROR(INDEX(tsk_Name,(ROW()-ROW(MSPTasks[[#Headers],[ID]])))="",TRUE()),"",IF(INDEX(tsk_IsSummary,(ROW()-ROW(MSPTasks[[#Headers],[ID]]))),"",IF(N(INDEX(tsk_StoryPoints,(ROW()-ROW(MSPTasks[[#Headers],[ID]]))))=0,"",INDEX(tsk_StoryPoints,(ROW()-ROW(MSPTasks[[#Headers],[ID]]))))))</f>
        <v/>
      </c>
      <c r="Z5" s="24" t="str">
        <f aca="false">IF(IFERROR(INDEX(tsk_Name,(ROW()-ROW(MSPTasks[[#Headers],[ID]])))="",TRUE()),"",INDEX(tsk_Notes,(ROW()-ROW(MSPTasks[[#Headers],[ID]])))&amp;"")</f>
        <v>Milestone (Duration 0).</v>
      </c>
    </row>
    <row r="6" customFormat="false" ht="15" hidden="false" customHeight="false" outlineLevel="0" collapsed="false">
      <c r="A6" s="24" t="n">
        <f aca="false">IF(IFERROR(INDEX(tsk_Name,(ROW()-ROW(MSPTasks[[#Headers],[ID]])))="",TRUE()),"",INDEX(tsk_ID,(ROW()-ROW(MSPTasks[[#Headers],[ID]]))))</f>
        <v>5</v>
      </c>
      <c r="B6" s="24" t="n">
        <f aca="false">IF(IFERROR(INDEX(tsk_Name,(ROW()-ROW(MSPTasks[[#Headers],[ID]])))="",TRUE()),"",INDEX(tsk_UID,(ROW()-ROW(MSPTasks[[#Headers],[ID]]))))</f>
        <v>5</v>
      </c>
      <c r="C6" s="24" t="str">
        <f aca="false">IF(IFERROR(INDEX(tsk_Name,(ROW()-ROW(MSPTasks[[#Headers],[ID]])))="",TRUE()),"",INDEX(tsk_Name,(ROW()-ROW(MSPTasks[[#Headers],[ID]]))))</f>
        <v>Requirements &amp; Design</v>
      </c>
      <c r="D6" s="24" t="n">
        <f aca="false">IF(IFERROR(INDEX(tsk_Name,(ROW()-ROW(MSPTasks[[#Headers],[ID]])))="",TRUE()),"",INDEX(tsk_Level,(ROW()-ROW(MSPTasks[[#Headers],[ID]]))))</f>
        <v>1</v>
      </c>
      <c r="E6" s="24" t="str">
        <f aca="false">IF(IFERROR(INDEX(tsk_Name,(ROW()-ROW(MSPTasks[[#Headers],[ID]])))="",TRUE()),"",IF(INDEX(tsk_Mode,(ROW()-ROW(MSPTasks[[#Headers],[ID]])))="Manual","Manually Scheduled","Auto Scheduled"))</f>
        <v>Auto Scheduled</v>
      </c>
      <c r="F6" s="24" t="str">
        <f aca="false">IF(IFERROR(INDEX(tsk_Name,(ROW()-ROW(MSPTasks[[#Headers],[ID]])))="",TRUE()),"",IF(INDEX(tsk_IsSummary,(ROW()-ROW(MSPTasks[[#Headers],[ID]]))),"",N(INDEX(tsk_Duration,(ROW()-ROW(MSPTasks[[#Headers],[ID]]))))&amp;"d"))</f>
        <v/>
      </c>
      <c r="G6" s="137" t="n">
        <f aca="false">IF(IFERROR(INDEX(tsk_Name,(ROW()-ROW(MSPTasks[[#Headers],[ID]])))="",TRUE()),"",INDEX(tsk_FcStart,(ROW()-ROW(MSPTasks[[#Headers],[ID]]))))</f>
        <v>46280</v>
      </c>
      <c r="H6" s="137" t="n">
        <f aca="false">IF(IFERROR(INDEX(tsk_Name,(ROW()-ROW(MSPTasks[[#Headers],[ID]])))="",TRUE()),"",INDEX(tsk_FcFinish,(ROW()-ROW(MSPTasks[[#Headers],[ID]]))))</f>
        <v>46301</v>
      </c>
      <c r="I6" s="24" t="str">
        <f aca="false">IF(IFERROR(INDEX(tsk_Name,(ROW()-ROW(MSPTasks[[#Headers],[ID]])))="",TRUE()),"",IF(INDEX(tsk_IsSummary,(ROW()-ROW(MSPTasks[[#Headers],[ID]]))),"",INDEX(tsk_Predecessors,(ROW()-ROW(MSPTasks[[#Headers],[ID]])))))</f>
        <v/>
      </c>
      <c r="J6" s="24" t="str">
        <f aca="false">IF(IFERROR(INDEX(tsk_Name,(ROW()-ROW(MSPTasks[[#Headers],[ID]])))="",TRUE()),"",IF(INDEX(tsk_IsSummary,(ROW()-ROW(MSPTasks[[#Headers],[ID]]))),"",INDEX(tsk_UIDPredecessors,(ROW()-ROW(MSPTasks[[#Headers],[ID]])))))</f>
        <v/>
      </c>
      <c r="K6" s="24" t="str">
        <f aca="false">IF(IFERROR(INDEX(tsk_Name,(ROW()-ROW(MSPTasks[[#Headers],[ID]])))="",TRUE()),"",INDEX(tsk_ResourceNames,(ROW()-ROW(MSPTasks[[#Headers],[ID]])))&amp;"")</f>
        <v/>
      </c>
      <c r="L6" s="24" t="str">
        <f aca="false">IF(IFERROR(INDEX(tsk_Name,(ROW()-ROW(MSPTasks[[#Headers],[ID]])))="",TRUE()),"",IF(INDEX(tsk_IsSummary,(ROW()-ROW(MSPTasks[[#Headers],[ID]]))),"",ROUND(INDEX(tsk_Progress,(ROW()-ROW(MSPTasks[[#Headers],[ID]])))*100,0)))</f>
        <v/>
      </c>
      <c r="M6" s="137" t="str">
        <f aca="false">IF(IFERROR(INDEX(tsk_Name,(ROW()-ROW(MSPTasks[[#Headers],[ID]])))="",TRUE()),"",IF(N(INDEX(tsk_ActStart,(ROW()-ROW(MSPTasks[[#Headers],[ID]]))))=0,"",INDEX(tsk_ActStart,(ROW()-ROW(MSPTasks[[#Headers],[ID]])))))</f>
        <v/>
      </c>
      <c r="N6" s="137" t="str">
        <f aca="false">IF(IFERROR(INDEX(tsk_Name,(ROW()-ROW(MSPTasks[[#Headers],[ID]])))="",TRUE()),"",IF(N(INDEX(tsk_ActFinish,(ROW()-ROW(MSPTasks[[#Headers],[ID]]))))=0,"",INDEX(tsk_ActFinish,(ROW()-ROW(MSPTasks[[#Headers],[ID]])))))</f>
        <v/>
      </c>
      <c r="O6" s="137" t="n">
        <f aca="false">IF(IFERROR(INDEX(tsk_Name,(ROW()-ROW(MSPTasks[[#Headers],[ID]])))="",TRUE()),"",INDEX(tsk_PlanStart,(ROW()-ROW(MSPTasks[[#Headers],[ID]]))))</f>
        <v>46279</v>
      </c>
      <c r="P6" s="137" t="n">
        <f aca="false">IF(IFERROR(INDEX(tsk_Name,(ROW()-ROW(MSPTasks[[#Headers],[ID]])))="",TRUE()),"",INDEX(tsk_PlanFinish,(ROW()-ROW(MSPTasks[[#Headers],[ID]]))))</f>
        <v>46296</v>
      </c>
      <c r="Q6" s="24" t="str">
        <f aca="false">IF(IFERROR(INDEX(tsk_Name,(ROW()-ROW(MSPTasks[[#Headers],[ID]])))="",TRUE()),"",IF(INDEX(tsk_BaseDuration,(ROW()-ROW(MSPTasks[[#Headers],[ID]])))="","",N(INDEX(tsk_BaseDuration,(ROW()-ROW(MSPTasks[[#Headers],[ID]]))))&amp;"d"))</f>
        <v/>
      </c>
      <c r="R6" s="24" t="str">
        <f aca="false">IF(IFERROR(INDEX(tsk_Name,(ROW()-ROW(MSPTasks[[#Headers],[ID]])))="",TRUE()),"",IF(INDEX(tsk_BaseWork,(ROW()-ROW(MSPTasks[[#Headers],[ID]])))="","",N(INDEX(tsk_BaseWork,(ROW()-ROW(MSPTasks[[#Headers],[ID]]))))&amp;"h"))</f>
        <v/>
      </c>
      <c r="S6" s="24" t="str">
        <f aca="false">IF(IFERROR(INDEX(tsk_Name,(ROW()-ROW(MSPTasks[[#Headers],[ID]])))="",TRUE()),"",IF(INDEX(tsk_BaseCost,(ROW()-ROW(MSPTasks[[#Headers],[ID]])))="","",N(INDEX(tsk_BaseCost,(ROW()-ROW(MSPTasks[[#Headers],[ID]]))))))</f>
        <v/>
      </c>
      <c r="T6" s="24" t="str">
        <f aca="false">IF(IFERROR(INDEX(tsk_Name,(ROW()-ROW(MSPTasks[[#Headers],[ID]])))="",TRUE()),"",IF(INDEX(tsk_IsSummary,(ROW()-ROW(MSPTasks[[#Headers],[ID]]))),"",IF(N(INDEX(tsk_ActCostInput,(ROW()-ROW(MSPTasks[[#Headers],[ID]]))))=0,"",INDEX(tsk_ActCostInput,(ROW()-ROW(MSPTasks[[#Headers],[ID]]))))))</f>
        <v/>
      </c>
      <c r="U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 s="137" t="str">
        <f aca="false">IF(IFERROR(INDEX(tsk_Name,(ROW()-ROW(MSPTasks[[#Headers],[ID]])))="",TRUE()),"",IF(OR(INDEX(tsk_IsSummary,(ROW()-ROW(MSPTasks[[#Headers],[ID]]))),INDEX(tsk_Mode,(ROW()-ROW(MSPTasks[[#Headers],[ID]])))="Manual"),"",IF(N(INDEX(tsk_ConstraintCode,(ROW()-ROW(MSPTasks[[#Headers],[ID]]))))&lt;2,"",INDEX(tsk_Constraint,(ROW()-ROW(MSPTasks[[#Headers],[ID]]))))))</f>
        <v/>
      </c>
      <c r="W6" s="137" t="str">
        <f aca="false">IF(IFERROR(INDEX(tsk_Name,(ROW()-ROW(MSPTasks[[#Headers],[ID]])))="",TRUE()),"",IF(N(INDEX(tsk_Deadline,(ROW()-ROW(MSPTasks[[#Headers],[ID]]))))=0,"",INDEX(tsk_Deadline,(ROW()-ROW(MSPTasks[[#Headers],[ID]])))))</f>
        <v/>
      </c>
      <c r="X6" s="24" t="str">
        <f aca="false">IF(IFERROR(INDEX(tsk_Name,(ROW()-ROW(MSPTasks[[#Headers],[ID]])))="",TRUE()),"",IF(INDEX(tsk_IsSummary,(ROW()-ROW(MSPTasks[[#Headers],[ID]]))),"",INDEX(tsk_Sprint,(ROW()-ROW(MSPTasks[[#Headers],[ID]])))&amp;""))</f>
        <v/>
      </c>
      <c r="Y6" s="24" t="str">
        <f aca="false">IF(IFERROR(INDEX(tsk_Name,(ROW()-ROW(MSPTasks[[#Headers],[ID]])))="",TRUE()),"",IF(INDEX(tsk_IsSummary,(ROW()-ROW(MSPTasks[[#Headers],[ID]]))),"",IF(N(INDEX(tsk_StoryPoints,(ROW()-ROW(MSPTasks[[#Headers],[ID]]))))=0,"",INDEX(tsk_StoryPoints,(ROW()-ROW(MSPTasks[[#Headers],[ID]]))))))</f>
        <v/>
      </c>
      <c r="Z6" s="24" t="str">
        <f aca="false">IF(IFERROR(INDEX(tsk_Name,(ROW()-ROW(MSPTasks[[#Headers],[ID]])))="",TRUE()),"",INDEX(tsk_Notes,(ROW()-ROW(MSPTasks[[#Headers],[ID]])))&amp;"")</f>
        <v/>
      </c>
    </row>
    <row r="7" customFormat="false" ht="15" hidden="false" customHeight="false" outlineLevel="0" collapsed="false">
      <c r="A7" s="24" t="n">
        <f aca="false">IF(IFERROR(INDEX(tsk_Name,(ROW()-ROW(MSPTasks[[#Headers],[ID]])))="",TRUE()),"",INDEX(tsk_ID,(ROW()-ROW(MSPTasks[[#Headers],[ID]]))))</f>
        <v>6</v>
      </c>
      <c r="B7" s="24" t="n">
        <f aca="false">IF(IFERROR(INDEX(tsk_Name,(ROW()-ROW(MSPTasks[[#Headers],[ID]])))="",TRUE()),"",INDEX(tsk_UID,(ROW()-ROW(MSPTasks[[#Headers],[ID]]))))</f>
        <v>6</v>
      </c>
      <c r="C7" s="24" t="str">
        <f aca="false">IF(IFERROR(INDEX(tsk_Name,(ROW()-ROW(MSPTasks[[#Headers],[ID]])))="",TRUE()),"",INDEX(tsk_Name,(ROW()-ROW(MSPTasks[[#Headers],[ID]]))))</f>
        <v>Requirements gathering</v>
      </c>
      <c r="D7" s="24" t="n">
        <f aca="false">IF(IFERROR(INDEX(tsk_Name,(ROW()-ROW(MSPTasks[[#Headers],[ID]])))="",TRUE()),"",INDEX(tsk_Level,(ROW()-ROW(MSPTasks[[#Headers],[ID]]))))</f>
        <v>2</v>
      </c>
      <c r="E7" s="24" t="str">
        <f aca="false">IF(IFERROR(INDEX(tsk_Name,(ROW()-ROW(MSPTasks[[#Headers],[ID]])))="",TRUE()),"",IF(INDEX(tsk_Mode,(ROW()-ROW(MSPTasks[[#Headers],[ID]])))="Manual","Manually Scheduled","Auto Scheduled"))</f>
        <v>Auto Scheduled</v>
      </c>
      <c r="F7" s="24" t="str">
        <f aca="false">IF(IFERROR(INDEX(tsk_Name,(ROW()-ROW(MSPTasks[[#Headers],[ID]])))="",TRUE()),"",IF(INDEX(tsk_IsSummary,(ROW()-ROW(MSPTasks[[#Headers],[ID]]))),"",N(INDEX(tsk_Duration,(ROW()-ROW(MSPTasks[[#Headers],[ID]]))))&amp;"d"))</f>
        <v>8d</v>
      </c>
      <c r="G7" s="137" t="n">
        <f aca="false">IF(IFERROR(INDEX(tsk_Name,(ROW()-ROW(MSPTasks[[#Headers],[ID]])))="",TRUE()),"",INDEX(tsk_FcStart,(ROW()-ROW(MSPTasks[[#Headers],[ID]]))))</f>
        <v>46280</v>
      </c>
      <c r="H7" s="137" t="n">
        <f aca="false">IF(IFERROR(INDEX(tsk_Name,(ROW()-ROW(MSPTasks[[#Headers],[ID]])))="",TRUE()),"",INDEX(tsk_FcFinish,(ROW()-ROW(MSPTasks[[#Headers],[ID]]))))</f>
        <v>46290</v>
      </c>
      <c r="I7" s="24" t="str">
        <f aca="false">IF(IFERROR(INDEX(tsk_Name,(ROW()-ROW(MSPTasks[[#Headers],[ID]])))="",TRUE()),"",IF(INDEX(tsk_IsSummary,(ROW()-ROW(MSPTasks[[#Headers],[ID]]))),"",INDEX(tsk_Predecessors,(ROW()-ROW(MSPTasks[[#Headers],[ID]])))))</f>
        <v>4</v>
      </c>
      <c r="J7" s="24" t="str">
        <f aca="false">IF(IFERROR(INDEX(tsk_Name,(ROW()-ROW(MSPTasks[[#Headers],[ID]])))="",TRUE()),"",IF(INDEX(tsk_IsSummary,(ROW()-ROW(MSPTasks[[#Headers],[ID]]))),"",INDEX(tsk_UIDPredecessors,(ROW()-ROW(MSPTasks[[#Headers],[ID]])))))</f>
        <v>4</v>
      </c>
      <c r="K7" s="24" t="str">
        <f aca="false">IF(IFERROR(INDEX(tsk_Name,(ROW()-ROW(MSPTasks[[#Headers],[ID]])))="",TRUE()),"",INDEX(tsk_ResourceNames,(ROW()-ROW(MSPTasks[[#Headers],[ID]])))&amp;"")</f>
        <v>Morgan Patel</v>
      </c>
      <c r="L7" s="24" t="n">
        <f aca="false">IF(IFERROR(INDEX(tsk_Name,(ROW()-ROW(MSPTasks[[#Headers],[ID]])))="",TRUE()),"",IF(INDEX(tsk_IsSummary,(ROW()-ROW(MSPTasks[[#Headers],[ID]]))),"",ROUND(INDEX(tsk_Progress,(ROW()-ROW(MSPTasks[[#Headers],[ID]])))*100,0)))</f>
        <v>100</v>
      </c>
      <c r="M7" s="137" t="n">
        <f aca="false">IF(IFERROR(INDEX(tsk_Name,(ROW()-ROW(MSPTasks[[#Headers],[ID]])))="",TRUE()),"",IF(N(INDEX(tsk_ActStart,(ROW()-ROW(MSPTasks[[#Headers],[ID]]))))=0,"",INDEX(tsk_ActStart,(ROW()-ROW(MSPTasks[[#Headers],[ID]])))))</f>
        <v>46280</v>
      </c>
      <c r="N7" s="137" t="n">
        <f aca="false">IF(IFERROR(INDEX(tsk_Name,(ROW()-ROW(MSPTasks[[#Headers],[ID]])))="",TRUE()),"",IF(N(INDEX(tsk_ActFinish,(ROW()-ROW(MSPTasks[[#Headers],[ID]]))))=0,"",INDEX(tsk_ActFinish,(ROW()-ROW(MSPTasks[[#Headers],[ID]])))))</f>
        <v>46290</v>
      </c>
      <c r="O7" s="137" t="n">
        <f aca="false">IF(IFERROR(INDEX(tsk_Name,(ROW()-ROW(MSPTasks[[#Headers],[ID]])))="",TRUE()),"",INDEX(tsk_PlanStart,(ROW()-ROW(MSPTasks[[#Headers],[ID]]))))</f>
        <v>46279</v>
      </c>
      <c r="P7" s="137" t="n">
        <f aca="false">IF(IFERROR(INDEX(tsk_Name,(ROW()-ROW(MSPTasks[[#Headers],[ID]])))="",TRUE()),"",INDEX(tsk_PlanFinish,(ROW()-ROW(MSPTasks[[#Headers],[ID]]))))</f>
        <v>46288</v>
      </c>
      <c r="Q7" s="24" t="str">
        <f aca="false">IF(IFERROR(INDEX(tsk_Name,(ROW()-ROW(MSPTasks[[#Headers],[ID]])))="",TRUE()),"",IF(INDEX(tsk_BaseDuration,(ROW()-ROW(MSPTasks[[#Headers],[ID]])))="","",N(INDEX(tsk_BaseDuration,(ROW()-ROW(MSPTasks[[#Headers],[ID]]))))&amp;"d"))</f>
        <v/>
      </c>
      <c r="R7" s="24" t="str">
        <f aca="false">IF(IFERROR(INDEX(tsk_Name,(ROW()-ROW(MSPTasks[[#Headers],[ID]])))="",TRUE()),"",IF(INDEX(tsk_BaseWork,(ROW()-ROW(MSPTasks[[#Headers],[ID]])))="","",N(INDEX(tsk_BaseWork,(ROW()-ROW(MSPTasks[[#Headers],[ID]]))))&amp;"h"))</f>
        <v/>
      </c>
      <c r="S7" s="24" t="str">
        <f aca="false">IF(IFERROR(INDEX(tsk_Name,(ROW()-ROW(MSPTasks[[#Headers],[ID]])))="",TRUE()),"",IF(INDEX(tsk_BaseCost,(ROW()-ROW(MSPTasks[[#Headers],[ID]])))="","",N(INDEX(tsk_BaseCost,(ROW()-ROW(MSPTasks[[#Headers],[ID]]))))))</f>
        <v/>
      </c>
      <c r="T7" s="111" t="n">
        <f aca="false">IF(IFERROR(INDEX(tsk_Name,(ROW()-ROW(MSPTasks[[#Headers],[ID]])))="",TRUE()),"",IF(INDEX(tsk_IsSummary,(ROW()-ROW(MSPTasks[[#Headers],[ID]]))),"",IF(N(INDEX(tsk_ActCostInput,(ROW()-ROW(MSPTasks[[#Headers],[ID]]))))=0,"",INDEX(tsk_ActCostInput,(ROW()-ROW(MSPTasks[[#Headers],[ID]]))))))</f>
        <v>5040</v>
      </c>
      <c r="U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7" s="137" t="str">
        <f aca="false">IF(IFERROR(INDEX(tsk_Name,(ROW()-ROW(MSPTasks[[#Headers],[ID]])))="",TRUE()),"",IF(OR(INDEX(tsk_IsSummary,(ROW()-ROW(MSPTasks[[#Headers],[ID]]))),INDEX(tsk_Mode,(ROW()-ROW(MSPTasks[[#Headers],[ID]])))="Manual"),"",IF(N(INDEX(tsk_ConstraintCode,(ROW()-ROW(MSPTasks[[#Headers],[ID]]))))&lt;2,"",INDEX(tsk_Constraint,(ROW()-ROW(MSPTasks[[#Headers],[ID]]))))))</f>
        <v/>
      </c>
      <c r="W7" s="137" t="str">
        <f aca="false">IF(IFERROR(INDEX(tsk_Name,(ROW()-ROW(MSPTasks[[#Headers],[ID]])))="",TRUE()),"",IF(N(INDEX(tsk_Deadline,(ROW()-ROW(MSPTasks[[#Headers],[ID]]))))=0,"",INDEX(tsk_Deadline,(ROW()-ROW(MSPTasks[[#Headers],[ID]])))))</f>
        <v/>
      </c>
      <c r="X7" s="24" t="str">
        <f aca="false">IF(IFERROR(INDEX(tsk_Name,(ROW()-ROW(MSPTasks[[#Headers],[ID]])))="",TRUE()),"",IF(INDEX(tsk_IsSummary,(ROW()-ROW(MSPTasks[[#Headers],[ID]]))),"",INDEX(tsk_Sprint,(ROW()-ROW(MSPTasks[[#Headers],[ID]])))&amp;""))</f>
        <v>Sprint 1</v>
      </c>
      <c r="Y7" s="85" t="n">
        <f aca="false">IF(IFERROR(INDEX(tsk_Name,(ROW()-ROW(MSPTasks[[#Headers],[ID]])))="",TRUE()),"",IF(INDEX(tsk_IsSummary,(ROW()-ROW(MSPTasks[[#Headers],[ID]]))),"",IF(N(INDEX(tsk_StoryPoints,(ROW()-ROW(MSPTasks[[#Headers],[ID]]))))=0,"",INDEX(tsk_StoryPoints,(ROW()-ROW(MSPTasks[[#Headers],[ID]]))))))</f>
        <v>8</v>
      </c>
      <c r="Z7" s="24" t="str">
        <f aca="false">IF(IFERROR(INDEX(tsk_Name,(ROW()-ROW(MSPTasks[[#Headers],[ID]])))="",TRUE()),"",INDEX(tsk_Notes,(ROW()-ROW(MSPTasks[[#Headers],[ID]])))&amp;"")</f>
        <v/>
      </c>
    </row>
    <row r="8" customFormat="false" ht="15" hidden="false" customHeight="false" outlineLevel="0" collapsed="false">
      <c r="A8" s="24" t="n">
        <f aca="false">IF(IFERROR(INDEX(tsk_Name,(ROW()-ROW(MSPTasks[[#Headers],[ID]])))="",TRUE()),"",INDEX(tsk_ID,(ROW()-ROW(MSPTasks[[#Headers],[ID]]))))</f>
        <v>7</v>
      </c>
      <c r="B8" s="24" t="n">
        <f aca="false">IF(IFERROR(INDEX(tsk_Name,(ROW()-ROW(MSPTasks[[#Headers],[ID]])))="",TRUE()),"",INDEX(tsk_UID,(ROW()-ROW(MSPTasks[[#Headers],[ID]]))))</f>
        <v>7</v>
      </c>
      <c r="C8" s="24" t="str">
        <f aca="false">IF(IFERROR(INDEX(tsk_Name,(ROW()-ROW(MSPTasks[[#Headers],[ID]])))="",TRUE()),"",INDEX(tsk_Name,(ROW()-ROW(MSPTasks[[#Headers],[ID]]))))</f>
        <v>Solution architecture</v>
      </c>
      <c r="D8" s="24" t="n">
        <f aca="false">IF(IFERROR(INDEX(tsk_Name,(ROW()-ROW(MSPTasks[[#Headers],[ID]])))="",TRUE()),"",INDEX(tsk_Level,(ROW()-ROW(MSPTasks[[#Headers],[ID]]))))</f>
        <v>2</v>
      </c>
      <c r="E8" s="24" t="str">
        <f aca="false">IF(IFERROR(INDEX(tsk_Name,(ROW()-ROW(MSPTasks[[#Headers],[ID]])))="",TRUE()),"",IF(INDEX(tsk_Mode,(ROW()-ROW(MSPTasks[[#Headers],[ID]])))="Manual","Manually Scheduled","Auto Scheduled"))</f>
        <v>Auto Scheduled</v>
      </c>
      <c r="F8" s="24" t="str">
        <f aca="false">IF(IFERROR(INDEX(tsk_Name,(ROW()-ROW(MSPTasks[[#Headers],[ID]])))="",TRUE()),"",IF(INDEX(tsk_IsSummary,(ROW()-ROW(MSPTasks[[#Headers],[ID]]))),"",N(INDEX(tsk_Duration,(ROW()-ROW(MSPTasks[[#Headers],[ID]]))))&amp;"d"))</f>
        <v>5d</v>
      </c>
      <c r="G8" s="137" t="n">
        <f aca="false">IF(IFERROR(INDEX(tsk_Name,(ROW()-ROW(MSPTasks[[#Headers],[ID]])))="",TRUE()),"",INDEX(tsk_FcStart,(ROW()-ROW(MSPTasks[[#Headers],[ID]]))))</f>
        <v>46283</v>
      </c>
      <c r="H8" s="137" t="n">
        <f aca="false">IF(IFERROR(INDEX(tsk_Name,(ROW()-ROW(MSPTasks[[#Headers],[ID]])))="",TRUE()),"",INDEX(tsk_FcFinish,(ROW()-ROW(MSPTasks[[#Headers],[ID]]))))</f>
        <v>46290</v>
      </c>
      <c r="I8" s="24" t="str">
        <f aca="false">IF(IFERROR(INDEX(tsk_Name,(ROW()-ROW(MSPTasks[[#Headers],[ID]])))="",TRUE()),"",IF(INDEX(tsk_IsSummary,(ROW()-ROW(MSPTasks[[#Headers],[ID]]))),"",INDEX(tsk_Predecessors,(ROW()-ROW(MSPTasks[[#Headers],[ID]])))))</f>
        <v>6SS+3d</v>
      </c>
      <c r="J8" s="24" t="str">
        <f aca="false">IF(IFERROR(INDEX(tsk_Name,(ROW()-ROW(MSPTasks[[#Headers],[ID]])))="",TRUE()),"",IF(INDEX(tsk_IsSummary,(ROW()-ROW(MSPTasks[[#Headers],[ID]]))),"",INDEX(tsk_UIDPredecessors,(ROW()-ROW(MSPTasks[[#Headers],[ID]])))))</f>
        <v>6SS+3d</v>
      </c>
      <c r="K8" s="24" t="str">
        <f aca="false">IF(IFERROR(INDEX(tsk_Name,(ROW()-ROW(MSPTasks[[#Headers],[ID]])))="",TRUE()),"",INDEX(tsk_ResourceNames,(ROW()-ROW(MSPTasks[[#Headers],[ID]])))&amp;"")</f>
        <v>Alex Chen, Jordan Lee[50%]</v>
      </c>
      <c r="L8" s="24" t="n">
        <f aca="false">IF(IFERROR(INDEX(tsk_Name,(ROW()-ROW(MSPTasks[[#Headers],[ID]])))="",TRUE()),"",IF(INDEX(tsk_IsSummary,(ROW()-ROW(MSPTasks[[#Headers],[ID]]))),"",ROUND(INDEX(tsk_Progress,(ROW()-ROW(MSPTasks[[#Headers],[ID]])))*100,0)))</f>
        <v>100</v>
      </c>
      <c r="M8" s="137" t="n">
        <f aca="false">IF(IFERROR(INDEX(tsk_Name,(ROW()-ROW(MSPTasks[[#Headers],[ID]])))="",TRUE()),"",IF(N(INDEX(tsk_ActStart,(ROW()-ROW(MSPTasks[[#Headers],[ID]]))))=0,"",INDEX(tsk_ActStart,(ROW()-ROW(MSPTasks[[#Headers],[ID]])))))</f>
        <v>46283</v>
      </c>
      <c r="N8" s="137" t="n">
        <f aca="false">IF(IFERROR(INDEX(tsk_Name,(ROW()-ROW(MSPTasks[[#Headers],[ID]])))="",TRUE()),"",IF(N(INDEX(tsk_ActFinish,(ROW()-ROW(MSPTasks[[#Headers],[ID]]))))=0,"",INDEX(tsk_ActFinish,(ROW()-ROW(MSPTasks[[#Headers],[ID]])))))</f>
        <v>46290</v>
      </c>
      <c r="O8" s="137" t="n">
        <f aca="false">IF(IFERROR(INDEX(tsk_Name,(ROW()-ROW(MSPTasks[[#Headers],[ID]])))="",TRUE()),"",INDEX(tsk_PlanStart,(ROW()-ROW(MSPTasks[[#Headers],[ID]]))))</f>
        <v>46282</v>
      </c>
      <c r="P8" s="137" t="n">
        <f aca="false">IF(IFERROR(INDEX(tsk_Name,(ROW()-ROW(MSPTasks[[#Headers],[ID]])))="",TRUE()),"",INDEX(tsk_PlanFinish,(ROW()-ROW(MSPTasks[[#Headers],[ID]]))))</f>
        <v>46288</v>
      </c>
      <c r="Q8" s="24" t="str">
        <f aca="false">IF(IFERROR(INDEX(tsk_Name,(ROW()-ROW(MSPTasks[[#Headers],[ID]])))="",TRUE()),"",IF(INDEX(tsk_BaseDuration,(ROW()-ROW(MSPTasks[[#Headers],[ID]])))="","",N(INDEX(tsk_BaseDuration,(ROW()-ROW(MSPTasks[[#Headers],[ID]]))))&amp;"d"))</f>
        <v/>
      </c>
      <c r="R8" s="24" t="str">
        <f aca="false">IF(IFERROR(INDEX(tsk_Name,(ROW()-ROW(MSPTasks[[#Headers],[ID]])))="",TRUE()),"",IF(INDEX(tsk_BaseWork,(ROW()-ROW(MSPTasks[[#Headers],[ID]])))="","",N(INDEX(tsk_BaseWork,(ROW()-ROW(MSPTasks[[#Headers],[ID]]))))&amp;"h"))</f>
        <v/>
      </c>
      <c r="S8" s="24" t="str">
        <f aca="false">IF(IFERROR(INDEX(tsk_Name,(ROW()-ROW(MSPTasks[[#Headers],[ID]])))="",TRUE()),"",IF(INDEX(tsk_BaseCost,(ROW()-ROW(MSPTasks[[#Headers],[ID]])))="","",N(INDEX(tsk_BaseCost,(ROW()-ROW(MSPTasks[[#Headers],[ID]]))))))</f>
        <v/>
      </c>
      <c r="T8" s="24" t="str">
        <f aca="false">IF(IFERROR(INDEX(tsk_Name,(ROW()-ROW(MSPTasks[[#Headers],[ID]])))="",TRUE()),"",IF(INDEX(tsk_IsSummary,(ROW()-ROW(MSPTasks[[#Headers],[ID]]))),"",IF(N(INDEX(tsk_ActCostInput,(ROW()-ROW(MSPTasks[[#Headers],[ID]]))))=0,"",INDEX(tsk_ActCostInput,(ROW()-ROW(MSPTasks[[#Headers],[ID]]))))))</f>
        <v/>
      </c>
      <c r="U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8" s="137" t="str">
        <f aca="false">IF(IFERROR(INDEX(tsk_Name,(ROW()-ROW(MSPTasks[[#Headers],[ID]])))="",TRUE()),"",IF(OR(INDEX(tsk_IsSummary,(ROW()-ROW(MSPTasks[[#Headers],[ID]]))),INDEX(tsk_Mode,(ROW()-ROW(MSPTasks[[#Headers],[ID]])))="Manual"),"",IF(N(INDEX(tsk_ConstraintCode,(ROW()-ROW(MSPTasks[[#Headers],[ID]]))))&lt;2,"",INDEX(tsk_Constraint,(ROW()-ROW(MSPTasks[[#Headers],[ID]]))))))</f>
        <v/>
      </c>
      <c r="W8" s="137" t="str">
        <f aca="false">IF(IFERROR(INDEX(tsk_Name,(ROW()-ROW(MSPTasks[[#Headers],[ID]])))="",TRUE()),"",IF(N(INDEX(tsk_Deadline,(ROW()-ROW(MSPTasks[[#Headers],[ID]]))))=0,"",INDEX(tsk_Deadline,(ROW()-ROW(MSPTasks[[#Headers],[ID]])))))</f>
        <v/>
      </c>
      <c r="X8" s="24" t="str">
        <f aca="false">IF(IFERROR(INDEX(tsk_Name,(ROW()-ROW(MSPTasks[[#Headers],[ID]])))="",TRUE()),"",IF(INDEX(tsk_IsSummary,(ROW()-ROW(MSPTasks[[#Headers],[ID]]))),"",INDEX(tsk_Sprint,(ROW()-ROW(MSPTasks[[#Headers],[ID]])))&amp;""))</f>
        <v>Sprint 1</v>
      </c>
      <c r="Y8" s="85" t="n">
        <f aca="false">IF(IFERROR(INDEX(tsk_Name,(ROW()-ROW(MSPTasks[[#Headers],[ID]])))="",TRUE()),"",IF(INDEX(tsk_IsSummary,(ROW()-ROW(MSPTasks[[#Headers],[ID]]))),"",IF(N(INDEX(tsk_StoryPoints,(ROW()-ROW(MSPTasks[[#Headers],[ID]]))))=0,"",INDEX(tsk_StoryPoints,(ROW()-ROW(MSPTasks[[#Headers],[ID]]))))))</f>
        <v>5</v>
      </c>
      <c r="Z8" s="24" t="str">
        <f aca="false">IF(IFERROR(INDEX(tsk_Name,(ROW()-ROW(MSPTasks[[#Headers],[ID]])))="",TRUE()),"",INDEX(tsk_Notes,(ROW()-ROW(MSPTasks[[#Headers],[ID]])))&amp;"")</f>
        <v>Start-to-Start + 3 day lag example.</v>
      </c>
    </row>
    <row r="9" customFormat="false" ht="15" hidden="false" customHeight="false" outlineLevel="0" collapsed="false">
      <c r="A9" s="24" t="n">
        <f aca="false">IF(IFERROR(INDEX(tsk_Name,(ROW()-ROW(MSPTasks[[#Headers],[ID]])))="",TRUE()),"",INDEX(tsk_ID,(ROW()-ROW(MSPTasks[[#Headers],[ID]]))))</f>
        <v>8</v>
      </c>
      <c r="B9" s="24" t="n">
        <f aca="false">IF(IFERROR(INDEX(tsk_Name,(ROW()-ROW(MSPTasks[[#Headers],[ID]])))="",TRUE()),"",INDEX(tsk_UID,(ROW()-ROW(MSPTasks[[#Headers],[ID]]))))</f>
        <v>8</v>
      </c>
      <c r="C9" s="24" t="str">
        <f aca="false">IF(IFERROR(INDEX(tsk_Name,(ROW()-ROW(MSPTasks[[#Headers],[ID]])))="",TRUE()),"",INDEX(tsk_Name,(ROW()-ROW(MSPTasks[[#Headers],[ID]]))))</f>
        <v>UX wireframes &amp; prototype</v>
      </c>
      <c r="D9" s="24" t="n">
        <f aca="false">IF(IFERROR(INDEX(tsk_Name,(ROW()-ROW(MSPTasks[[#Headers],[ID]])))="",TRUE()),"",INDEX(tsk_Level,(ROW()-ROW(MSPTasks[[#Headers],[ID]]))))</f>
        <v>2</v>
      </c>
      <c r="E9" s="24" t="str">
        <f aca="false">IF(IFERROR(INDEX(tsk_Name,(ROW()-ROW(MSPTasks[[#Headers],[ID]])))="",TRUE()),"",IF(INDEX(tsk_Mode,(ROW()-ROW(MSPTasks[[#Headers],[ID]])))="Manual","Manually Scheduled","Auto Scheduled"))</f>
        <v>Auto Scheduled</v>
      </c>
      <c r="F9" s="24" t="str">
        <f aca="false">IF(IFERROR(INDEX(tsk_Name,(ROW()-ROW(MSPTasks[[#Headers],[ID]])))="",TRUE()),"",IF(INDEX(tsk_IsSummary,(ROW()-ROW(MSPTasks[[#Headers],[ID]]))),"",N(INDEX(tsk_Duration,(ROW()-ROW(MSPTasks[[#Headers],[ID]]))))&amp;"d"))</f>
        <v>6d</v>
      </c>
      <c r="G9" s="137" t="n">
        <f aca="false">IF(IFERROR(INDEX(tsk_Name,(ROW()-ROW(MSPTasks[[#Headers],[ID]])))="",TRUE()),"",INDEX(tsk_FcStart,(ROW()-ROW(MSPTasks[[#Headers],[ID]]))))</f>
        <v>46293</v>
      </c>
      <c r="H9" s="137" t="n">
        <f aca="false">IF(IFERROR(INDEX(tsk_Name,(ROW()-ROW(MSPTasks[[#Headers],[ID]])))="",TRUE()),"",INDEX(tsk_FcFinish,(ROW()-ROW(MSPTasks[[#Headers],[ID]]))))</f>
        <v>46301</v>
      </c>
      <c r="I9" s="24" t="str">
        <f aca="false">IF(IFERROR(INDEX(tsk_Name,(ROW()-ROW(MSPTasks[[#Headers],[ID]])))="",TRUE()),"",IF(INDEX(tsk_IsSummary,(ROW()-ROW(MSPTasks[[#Headers],[ID]]))),"",INDEX(tsk_Predecessors,(ROW()-ROW(MSPTasks[[#Headers],[ID]])))))</f>
        <v>6</v>
      </c>
      <c r="J9" s="24" t="str">
        <f aca="false">IF(IFERROR(INDEX(tsk_Name,(ROW()-ROW(MSPTasks[[#Headers],[ID]])))="",TRUE()),"",IF(INDEX(tsk_IsSummary,(ROW()-ROW(MSPTasks[[#Headers],[ID]]))),"",INDEX(tsk_UIDPredecessors,(ROW()-ROW(MSPTasks[[#Headers],[ID]])))))</f>
        <v>6</v>
      </c>
      <c r="K9" s="24" t="str">
        <f aca="false">IF(IFERROR(INDEX(tsk_Name,(ROW()-ROW(MSPTasks[[#Headers],[ID]])))="",TRUE()),"",INDEX(tsk_ResourceNames,(ROW()-ROW(MSPTasks[[#Headers],[ID]])))&amp;"")</f>
        <v>Casey Kim</v>
      </c>
      <c r="L9" s="24" t="n">
        <f aca="false">IF(IFERROR(INDEX(tsk_Name,(ROW()-ROW(MSPTasks[[#Headers],[ID]])))="",TRUE()),"",IF(INDEX(tsk_IsSummary,(ROW()-ROW(MSPTasks[[#Headers],[ID]]))),"",ROUND(INDEX(tsk_Progress,(ROW()-ROW(MSPTasks[[#Headers],[ID]])))*100,0)))</f>
        <v>100</v>
      </c>
      <c r="M9" s="137" t="n">
        <f aca="false">IF(IFERROR(INDEX(tsk_Name,(ROW()-ROW(MSPTasks[[#Headers],[ID]])))="",TRUE()),"",IF(N(INDEX(tsk_ActStart,(ROW()-ROW(MSPTasks[[#Headers],[ID]]))))=0,"",INDEX(tsk_ActStart,(ROW()-ROW(MSPTasks[[#Headers],[ID]])))))</f>
        <v>46293</v>
      </c>
      <c r="N9" s="137" t="n">
        <f aca="false">IF(IFERROR(INDEX(tsk_Name,(ROW()-ROW(MSPTasks[[#Headers],[ID]])))="",TRUE()),"",IF(N(INDEX(tsk_ActFinish,(ROW()-ROW(MSPTasks[[#Headers],[ID]]))))=0,"",INDEX(tsk_ActFinish,(ROW()-ROW(MSPTasks[[#Headers],[ID]])))))</f>
        <v>46301</v>
      </c>
      <c r="O9" s="137" t="n">
        <f aca="false">IF(IFERROR(INDEX(tsk_Name,(ROW()-ROW(MSPTasks[[#Headers],[ID]])))="",TRUE()),"",INDEX(tsk_PlanStart,(ROW()-ROW(MSPTasks[[#Headers],[ID]]))))</f>
        <v>46289</v>
      </c>
      <c r="P9" s="137" t="n">
        <f aca="false">IF(IFERROR(INDEX(tsk_Name,(ROW()-ROW(MSPTasks[[#Headers],[ID]])))="",TRUE()),"",INDEX(tsk_PlanFinish,(ROW()-ROW(MSPTasks[[#Headers],[ID]]))))</f>
        <v>46296</v>
      </c>
      <c r="Q9" s="24" t="str">
        <f aca="false">IF(IFERROR(INDEX(tsk_Name,(ROW()-ROW(MSPTasks[[#Headers],[ID]])))="",TRUE()),"",IF(INDEX(tsk_BaseDuration,(ROW()-ROW(MSPTasks[[#Headers],[ID]])))="","",N(INDEX(tsk_BaseDuration,(ROW()-ROW(MSPTasks[[#Headers],[ID]]))))&amp;"d"))</f>
        <v/>
      </c>
      <c r="R9" s="24" t="str">
        <f aca="false">IF(IFERROR(INDEX(tsk_Name,(ROW()-ROW(MSPTasks[[#Headers],[ID]])))="",TRUE()),"",IF(INDEX(tsk_BaseWork,(ROW()-ROW(MSPTasks[[#Headers],[ID]])))="","",N(INDEX(tsk_BaseWork,(ROW()-ROW(MSPTasks[[#Headers],[ID]]))))&amp;"h"))</f>
        <v/>
      </c>
      <c r="S9" s="24" t="str">
        <f aca="false">IF(IFERROR(INDEX(tsk_Name,(ROW()-ROW(MSPTasks[[#Headers],[ID]])))="",TRUE()),"",IF(INDEX(tsk_BaseCost,(ROW()-ROW(MSPTasks[[#Headers],[ID]])))="","",N(INDEX(tsk_BaseCost,(ROW()-ROW(MSPTasks[[#Headers],[ID]]))))))</f>
        <v/>
      </c>
      <c r="T9" s="24" t="str">
        <f aca="false">IF(IFERROR(INDEX(tsk_Name,(ROW()-ROW(MSPTasks[[#Headers],[ID]])))="",TRUE()),"",IF(INDEX(tsk_IsSummary,(ROW()-ROW(MSPTasks[[#Headers],[ID]]))),"",IF(N(INDEX(tsk_ActCostInput,(ROW()-ROW(MSPTasks[[#Headers],[ID]]))))=0,"",INDEX(tsk_ActCostInput,(ROW()-ROW(MSPTasks[[#Headers],[ID]]))))))</f>
        <v/>
      </c>
      <c r="U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9" s="137" t="str">
        <f aca="false">IF(IFERROR(INDEX(tsk_Name,(ROW()-ROW(MSPTasks[[#Headers],[ID]])))="",TRUE()),"",IF(OR(INDEX(tsk_IsSummary,(ROW()-ROW(MSPTasks[[#Headers],[ID]]))),INDEX(tsk_Mode,(ROW()-ROW(MSPTasks[[#Headers],[ID]])))="Manual"),"",IF(N(INDEX(tsk_ConstraintCode,(ROW()-ROW(MSPTasks[[#Headers],[ID]]))))&lt;2,"",INDEX(tsk_Constraint,(ROW()-ROW(MSPTasks[[#Headers],[ID]]))))))</f>
        <v/>
      </c>
      <c r="W9" s="137" t="str">
        <f aca="false">IF(IFERROR(INDEX(tsk_Name,(ROW()-ROW(MSPTasks[[#Headers],[ID]])))="",TRUE()),"",IF(N(INDEX(tsk_Deadline,(ROW()-ROW(MSPTasks[[#Headers],[ID]]))))=0,"",INDEX(tsk_Deadline,(ROW()-ROW(MSPTasks[[#Headers],[ID]])))))</f>
        <v/>
      </c>
      <c r="X9" s="24" t="str">
        <f aca="false">IF(IFERROR(INDEX(tsk_Name,(ROW()-ROW(MSPTasks[[#Headers],[ID]])))="",TRUE()),"",IF(INDEX(tsk_IsSummary,(ROW()-ROW(MSPTasks[[#Headers],[ID]]))),"",INDEX(tsk_Sprint,(ROW()-ROW(MSPTasks[[#Headers],[ID]])))&amp;""))</f>
        <v>Sprint 2</v>
      </c>
      <c r="Y9" s="85" t="n">
        <f aca="false">IF(IFERROR(INDEX(tsk_Name,(ROW()-ROW(MSPTasks[[#Headers],[ID]])))="",TRUE()),"",IF(INDEX(tsk_IsSummary,(ROW()-ROW(MSPTasks[[#Headers],[ID]]))),"",IF(N(INDEX(tsk_StoryPoints,(ROW()-ROW(MSPTasks[[#Headers],[ID]]))))=0,"",INDEX(tsk_StoryPoints,(ROW()-ROW(MSPTasks[[#Headers],[ID]]))))))</f>
        <v>5</v>
      </c>
      <c r="Z9" s="24" t="str">
        <f aca="false">IF(IFERROR(INDEX(tsk_Name,(ROW()-ROW(MSPTasks[[#Headers],[ID]])))="",TRUE()),"",INDEX(tsk_Notes,(ROW()-ROW(MSPTasks[[#Headers],[ID]])))&amp;"")</f>
        <v/>
      </c>
    </row>
    <row r="10" customFormat="false" ht="15" hidden="false" customHeight="false" outlineLevel="0" collapsed="false">
      <c r="A10" s="24" t="n">
        <f aca="false">IF(IFERROR(INDEX(tsk_Name,(ROW()-ROW(MSPTasks[[#Headers],[ID]])))="",TRUE()),"",INDEX(tsk_ID,(ROW()-ROW(MSPTasks[[#Headers],[ID]]))))</f>
        <v>9</v>
      </c>
      <c r="B10" s="24" t="n">
        <f aca="false">IF(IFERROR(INDEX(tsk_Name,(ROW()-ROW(MSPTasks[[#Headers],[ID]])))="",TRUE()),"",INDEX(tsk_UID,(ROW()-ROW(MSPTasks[[#Headers],[ID]]))))</f>
        <v>9</v>
      </c>
      <c r="C10" s="24" t="str">
        <f aca="false">IF(IFERROR(INDEX(tsk_Name,(ROW()-ROW(MSPTasks[[#Headers],[ID]])))="",TRUE()),"",INDEX(tsk_Name,(ROW()-ROW(MSPTasks[[#Headers],[ID]]))))</f>
        <v>Design sign-off</v>
      </c>
      <c r="D10" s="24" t="n">
        <f aca="false">IF(IFERROR(INDEX(tsk_Name,(ROW()-ROW(MSPTasks[[#Headers],[ID]])))="",TRUE()),"",INDEX(tsk_Level,(ROW()-ROW(MSPTasks[[#Headers],[ID]]))))</f>
        <v>2</v>
      </c>
      <c r="E10" s="24" t="str">
        <f aca="false">IF(IFERROR(INDEX(tsk_Name,(ROW()-ROW(MSPTasks[[#Headers],[ID]])))="",TRUE()),"",IF(INDEX(tsk_Mode,(ROW()-ROW(MSPTasks[[#Headers],[ID]])))="Manual","Manually Scheduled","Auto Scheduled"))</f>
        <v>Auto Scheduled</v>
      </c>
      <c r="F10" s="24" t="str">
        <f aca="false">IF(IFERROR(INDEX(tsk_Name,(ROW()-ROW(MSPTasks[[#Headers],[ID]])))="",TRUE()),"",IF(INDEX(tsk_IsSummary,(ROW()-ROW(MSPTasks[[#Headers],[ID]]))),"",N(INDEX(tsk_Duration,(ROW()-ROW(MSPTasks[[#Headers],[ID]]))))&amp;"d"))</f>
        <v>0d</v>
      </c>
      <c r="G10" s="137" t="n">
        <f aca="false">IF(IFERROR(INDEX(tsk_Name,(ROW()-ROW(MSPTasks[[#Headers],[ID]])))="",TRUE()),"",INDEX(tsk_FcStart,(ROW()-ROW(MSPTasks[[#Headers],[ID]]))))</f>
        <v>46301</v>
      </c>
      <c r="H10" s="137" t="n">
        <f aca="false">IF(IFERROR(INDEX(tsk_Name,(ROW()-ROW(MSPTasks[[#Headers],[ID]])))="",TRUE()),"",INDEX(tsk_FcFinish,(ROW()-ROW(MSPTasks[[#Headers],[ID]]))))</f>
        <v>46301</v>
      </c>
      <c r="I10" s="24" t="str">
        <f aca="false">IF(IFERROR(INDEX(tsk_Name,(ROW()-ROW(MSPTasks[[#Headers],[ID]])))="",TRUE()),"",IF(INDEX(tsk_IsSummary,(ROW()-ROW(MSPTasks[[#Headers],[ID]]))),"",INDEX(tsk_Predecessors,(ROW()-ROW(MSPTasks[[#Headers],[ID]])))))</f>
        <v>7,8</v>
      </c>
      <c r="J10" s="24" t="str">
        <f aca="false">IF(IFERROR(INDEX(tsk_Name,(ROW()-ROW(MSPTasks[[#Headers],[ID]])))="",TRUE()),"",IF(INDEX(tsk_IsSummary,(ROW()-ROW(MSPTasks[[#Headers],[ID]]))),"",INDEX(tsk_UIDPredecessors,(ROW()-ROW(MSPTasks[[#Headers],[ID]])))))</f>
        <v>7,8</v>
      </c>
      <c r="K10" s="24" t="str">
        <f aca="false">IF(IFERROR(INDEX(tsk_Name,(ROW()-ROW(MSPTasks[[#Headers],[ID]])))="",TRUE()),"",INDEX(tsk_ResourceNames,(ROW()-ROW(MSPTasks[[#Headers],[ID]])))&amp;"")</f>
        <v/>
      </c>
      <c r="L10" s="24" t="n">
        <f aca="false">IF(IFERROR(INDEX(tsk_Name,(ROW()-ROW(MSPTasks[[#Headers],[ID]])))="",TRUE()),"",IF(INDEX(tsk_IsSummary,(ROW()-ROW(MSPTasks[[#Headers],[ID]]))),"",ROUND(INDEX(tsk_Progress,(ROW()-ROW(MSPTasks[[#Headers],[ID]])))*100,0)))</f>
        <v>100</v>
      </c>
      <c r="M10" s="137" t="n">
        <f aca="false">IF(IFERROR(INDEX(tsk_Name,(ROW()-ROW(MSPTasks[[#Headers],[ID]])))="",TRUE()),"",IF(N(INDEX(tsk_ActStart,(ROW()-ROW(MSPTasks[[#Headers],[ID]]))))=0,"",INDEX(tsk_ActStart,(ROW()-ROW(MSPTasks[[#Headers],[ID]])))))</f>
        <v>46301</v>
      </c>
      <c r="N10" s="137" t="n">
        <f aca="false">IF(IFERROR(INDEX(tsk_Name,(ROW()-ROW(MSPTasks[[#Headers],[ID]])))="",TRUE()),"",IF(N(INDEX(tsk_ActFinish,(ROW()-ROW(MSPTasks[[#Headers],[ID]]))))=0,"",INDEX(tsk_ActFinish,(ROW()-ROW(MSPTasks[[#Headers],[ID]])))))</f>
        <v>46301</v>
      </c>
      <c r="O10" s="137" t="n">
        <f aca="false">IF(IFERROR(INDEX(tsk_Name,(ROW()-ROW(MSPTasks[[#Headers],[ID]])))="",TRUE()),"",INDEX(tsk_PlanStart,(ROW()-ROW(MSPTasks[[#Headers],[ID]]))))</f>
        <v>46296</v>
      </c>
      <c r="P10" s="137" t="n">
        <f aca="false">IF(IFERROR(INDEX(tsk_Name,(ROW()-ROW(MSPTasks[[#Headers],[ID]])))="",TRUE()),"",INDEX(tsk_PlanFinish,(ROW()-ROW(MSPTasks[[#Headers],[ID]]))))</f>
        <v>46296</v>
      </c>
      <c r="Q10" s="24" t="str">
        <f aca="false">IF(IFERROR(INDEX(tsk_Name,(ROW()-ROW(MSPTasks[[#Headers],[ID]])))="",TRUE()),"",IF(INDEX(tsk_BaseDuration,(ROW()-ROW(MSPTasks[[#Headers],[ID]])))="","",N(INDEX(tsk_BaseDuration,(ROW()-ROW(MSPTasks[[#Headers],[ID]]))))&amp;"d"))</f>
        <v/>
      </c>
      <c r="R10" s="24" t="str">
        <f aca="false">IF(IFERROR(INDEX(tsk_Name,(ROW()-ROW(MSPTasks[[#Headers],[ID]])))="",TRUE()),"",IF(INDEX(tsk_BaseWork,(ROW()-ROW(MSPTasks[[#Headers],[ID]])))="","",N(INDEX(tsk_BaseWork,(ROW()-ROW(MSPTasks[[#Headers],[ID]]))))&amp;"h"))</f>
        <v/>
      </c>
      <c r="S10" s="24" t="str">
        <f aca="false">IF(IFERROR(INDEX(tsk_Name,(ROW()-ROW(MSPTasks[[#Headers],[ID]])))="",TRUE()),"",IF(INDEX(tsk_BaseCost,(ROW()-ROW(MSPTasks[[#Headers],[ID]])))="","",N(INDEX(tsk_BaseCost,(ROW()-ROW(MSPTasks[[#Headers],[ID]]))))))</f>
        <v/>
      </c>
      <c r="T10" s="24" t="str">
        <f aca="false">IF(IFERROR(INDEX(tsk_Name,(ROW()-ROW(MSPTasks[[#Headers],[ID]])))="",TRUE()),"",IF(INDEX(tsk_IsSummary,(ROW()-ROW(MSPTasks[[#Headers],[ID]]))),"",IF(N(INDEX(tsk_ActCostInput,(ROW()-ROW(MSPTasks[[#Headers],[ID]]))))=0,"",INDEX(tsk_ActCostInput,(ROW()-ROW(MSPTasks[[#Headers],[ID]]))))))</f>
        <v/>
      </c>
      <c r="U1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0" s="137" t="str">
        <f aca="false">IF(IFERROR(INDEX(tsk_Name,(ROW()-ROW(MSPTasks[[#Headers],[ID]])))="",TRUE()),"",IF(OR(INDEX(tsk_IsSummary,(ROW()-ROW(MSPTasks[[#Headers],[ID]]))),INDEX(tsk_Mode,(ROW()-ROW(MSPTasks[[#Headers],[ID]])))="Manual"),"",IF(N(INDEX(tsk_ConstraintCode,(ROW()-ROW(MSPTasks[[#Headers],[ID]]))))&lt;2,"",INDEX(tsk_Constraint,(ROW()-ROW(MSPTasks[[#Headers],[ID]]))))))</f>
        <v/>
      </c>
      <c r="W10" s="137" t="str">
        <f aca="false">IF(IFERROR(INDEX(tsk_Name,(ROW()-ROW(MSPTasks[[#Headers],[ID]])))="",TRUE()),"",IF(N(INDEX(tsk_Deadline,(ROW()-ROW(MSPTasks[[#Headers],[ID]]))))=0,"",INDEX(tsk_Deadline,(ROW()-ROW(MSPTasks[[#Headers],[ID]])))))</f>
        <v/>
      </c>
      <c r="X10" s="24" t="str">
        <f aca="false">IF(IFERROR(INDEX(tsk_Name,(ROW()-ROW(MSPTasks[[#Headers],[ID]])))="",TRUE()),"",IF(INDEX(tsk_IsSummary,(ROW()-ROW(MSPTasks[[#Headers],[ID]]))),"",INDEX(tsk_Sprint,(ROW()-ROW(MSPTasks[[#Headers],[ID]])))&amp;""))</f>
        <v>Sprint 3</v>
      </c>
      <c r="Y10" s="24" t="str">
        <f aca="false">IF(IFERROR(INDEX(tsk_Name,(ROW()-ROW(MSPTasks[[#Headers],[ID]])))="",TRUE()),"",IF(INDEX(tsk_IsSummary,(ROW()-ROW(MSPTasks[[#Headers],[ID]]))),"",IF(N(INDEX(tsk_StoryPoints,(ROW()-ROW(MSPTasks[[#Headers],[ID]]))))=0,"",INDEX(tsk_StoryPoints,(ROW()-ROW(MSPTasks[[#Headers],[ID]]))))))</f>
        <v/>
      </c>
      <c r="Z10" s="24" t="str">
        <f aca="false">IF(IFERROR(INDEX(tsk_Name,(ROW()-ROW(MSPTasks[[#Headers],[ID]])))="",TRUE()),"",INDEX(tsk_Notes,(ROW()-ROW(MSPTasks[[#Headers],[ID]])))&amp;"")</f>
        <v>Two predecessors - waits for the later one.</v>
      </c>
    </row>
    <row r="11" customFormat="false" ht="15" hidden="false" customHeight="false" outlineLevel="0" collapsed="false">
      <c r="A11" s="24" t="n">
        <f aca="false">IF(IFERROR(INDEX(tsk_Name,(ROW()-ROW(MSPTasks[[#Headers],[ID]])))="",TRUE()),"",INDEX(tsk_ID,(ROW()-ROW(MSPTasks[[#Headers],[ID]]))))</f>
        <v>10</v>
      </c>
      <c r="B11" s="24" t="n">
        <f aca="false">IF(IFERROR(INDEX(tsk_Name,(ROW()-ROW(MSPTasks[[#Headers],[ID]])))="",TRUE()),"",INDEX(tsk_UID,(ROW()-ROW(MSPTasks[[#Headers],[ID]]))))</f>
        <v>10</v>
      </c>
      <c r="C11" s="24" t="str">
        <f aca="false">IF(IFERROR(INDEX(tsk_Name,(ROW()-ROW(MSPTasks[[#Headers],[ID]])))="",TRUE()),"",INDEX(tsk_Name,(ROW()-ROW(MSPTasks[[#Headers],[ID]]))))</f>
        <v>Build</v>
      </c>
      <c r="D11" s="24" t="n">
        <f aca="false">IF(IFERROR(INDEX(tsk_Name,(ROW()-ROW(MSPTasks[[#Headers],[ID]])))="",TRUE()),"",INDEX(tsk_Level,(ROW()-ROW(MSPTasks[[#Headers],[ID]]))))</f>
        <v>1</v>
      </c>
      <c r="E11" s="24" t="str">
        <f aca="false">IF(IFERROR(INDEX(tsk_Name,(ROW()-ROW(MSPTasks[[#Headers],[ID]])))="",TRUE()),"",IF(INDEX(tsk_Mode,(ROW()-ROW(MSPTasks[[#Headers],[ID]])))="Manual","Manually Scheduled","Auto Scheduled"))</f>
        <v>Auto Scheduled</v>
      </c>
      <c r="F11" s="24" t="str">
        <f aca="false">IF(IFERROR(INDEX(tsk_Name,(ROW()-ROW(MSPTasks[[#Headers],[ID]])))="",TRUE()),"",IF(INDEX(tsk_IsSummary,(ROW()-ROW(MSPTasks[[#Headers],[ID]]))),"",N(INDEX(tsk_Duration,(ROW()-ROW(MSPTasks[[#Headers],[ID]]))))&amp;"d"))</f>
        <v/>
      </c>
      <c r="G11" s="137" t="n">
        <f aca="false">IF(IFERROR(INDEX(tsk_Name,(ROW()-ROW(MSPTasks[[#Headers],[ID]])))="",TRUE()),"",INDEX(tsk_FcStart,(ROW()-ROW(MSPTasks[[#Headers],[ID]]))))</f>
        <v>46302</v>
      </c>
      <c r="H11" s="137" t="n">
        <f aca="false">IF(IFERROR(INDEX(tsk_Name,(ROW()-ROW(MSPTasks[[#Headers],[ID]])))="",TRUE()),"",INDEX(tsk_FcFinish,(ROW()-ROW(MSPTasks[[#Headers],[ID]]))))</f>
        <v>46335</v>
      </c>
      <c r="I11" s="24" t="str">
        <f aca="false">IF(IFERROR(INDEX(tsk_Name,(ROW()-ROW(MSPTasks[[#Headers],[ID]])))="",TRUE()),"",IF(INDEX(tsk_IsSummary,(ROW()-ROW(MSPTasks[[#Headers],[ID]]))),"",INDEX(tsk_Predecessors,(ROW()-ROW(MSPTasks[[#Headers],[ID]])))))</f>
        <v/>
      </c>
      <c r="J11" s="24" t="str">
        <f aca="false">IF(IFERROR(INDEX(tsk_Name,(ROW()-ROW(MSPTasks[[#Headers],[ID]])))="",TRUE()),"",IF(INDEX(tsk_IsSummary,(ROW()-ROW(MSPTasks[[#Headers],[ID]]))),"",INDEX(tsk_UIDPredecessors,(ROW()-ROW(MSPTasks[[#Headers],[ID]])))))</f>
        <v/>
      </c>
      <c r="K11" s="24" t="str">
        <f aca="false">IF(IFERROR(INDEX(tsk_Name,(ROW()-ROW(MSPTasks[[#Headers],[ID]])))="",TRUE()),"",INDEX(tsk_ResourceNames,(ROW()-ROW(MSPTasks[[#Headers],[ID]])))&amp;"")</f>
        <v/>
      </c>
      <c r="L11" s="24" t="str">
        <f aca="false">IF(IFERROR(INDEX(tsk_Name,(ROW()-ROW(MSPTasks[[#Headers],[ID]])))="",TRUE()),"",IF(INDEX(tsk_IsSummary,(ROW()-ROW(MSPTasks[[#Headers],[ID]]))),"",ROUND(INDEX(tsk_Progress,(ROW()-ROW(MSPTasks[[#Headers],[ID]])))*100,0)))</f>
        <v/>
      </c>
      <c r="M11" s="137" t="str">
        <f aca="false">IF(IFERROR(INDEX(tsk_Name,(ROW()-ROW(MSPTasks[[#Headers],[ID]])))="",TRUE()),"",IF(N(INDEX(tsk_ActStart,(ROW()-ROW(MSPTasks[[#Headers],[ID]]))))=0,"",INDEX(tsk_ActStart,(ROW()-ROW(MSPTasks[[#Headers],[ID]])))))</f>
        <v/>
      </c>
      <c r="N11" s="137" t="str">
        <f aca="false">IF(IFERROR(INDEX(tsk_Name,(ROW()-ROW(MSPTasks[[#Headers],[ID]])))="",TRUE()),"",IF(N(INDEX(tsk_ActFinish,(ROW()-ROW(MSPTasks[[#Headers],[ID]]))))=0,"",INDEX(tsk_ActFinish,(ROW()-ROW(MSPTasks[[#Headers],[ID]])))))</f>
        <v/>
      </c>
      <c r="O11" s="137" t="n">
        <f aca="false">IF(IFERROR(INDEX(tsk_Name,(ROW()-ROW(MSPTasks[[#Headers],[ID]])))="",TRUE()),"",INDEX(tsk_PlanStart,(ROW()-ROW(MSPTasks[[#Headers],[ID]]))))</f>
        <v>46297</v>
      </c>
      <c r="P11" s="137" t="n">
        <f aca="false">IF(IFERROR(INDEX(tsk_Name,(ROW()-ROW(MSPTasks[[#Headers],[ID]])))="",TRUE()),"",INDEX(tsk_PlanFinish,(ROW()-ROW(MSPTasks[[#Headers],[ID]]))))</f>
        <v>46325</v>
      </c>
      <c r="Q11" s="24" t="str">
        <f aca="false">IF(IFERROR(INDEX(tsk_Name,(ROW()-ROW(MSPTasks[[#Headers],[ID]])))="",TRUE()),"",IF(INDEX(tsk_BaseDuration,(ROW()-ROW(MSPTasks[[#Headers],[ID]])))="","",N(INDEX(tsk_BaseDuration,(ROW()-ROW(MSPTasks[[#Headers],[ID]]))))&amp;"d"))</f>
        <v/>
      </c>
      <c r="R11" s="24" t="str">
        <f aca="false">IF(IFERROR(INDEX(tsk_Name,(ROW()-ROW(MSPTasks[[#Headers],[ID]])))="",TRUE()),"",IF(INDEX(tsk_BaseWork,(ROW()-ROW(MSPTasks[[#Headers],[ID]])))="","",N(INDEX(tsk_BaseWork,(ROW()-ROW(MSPTasks[[#Headers],[ID]]))))&amp;"h"))</f>
        <v/>
      </c>
      <c r="S11" s="24" t="str">
        <f aca="false">IF(IFERROR(INDEX(tsk_Name,(ROW()-ROW(MSPTasks[[#Headers],[ID]])))="",TRUE()),"",IF(INDEX(tsk_BaseCost,(ROW()-ROW(MSPTasks[[#Headers],[ID]])))="","",N(INDEX(tsk_BaseCost,(ROW()-ROW(MSPTasks[[#Headers],[ID]]))))))</f>
        <v/>
      </c>
      <c r="T11" s="24" t="str">
        <f aca="false">IF(IFERROR(INDEX(tsk_Name,(ROW()-ROW(MSPTasks[[#Headers],[ID]])))="",TRUE()),"",IF(INDEX(tsk_IsSummary,(ROW()-ROW(MSPTasks[[#Headers],[ID]]))),"",IF(N(INDEX(tsk_ActCostInput,(ROW()-ROW(MSPTasks[[#Headers],[ID]]))))=0,"",INDEX(tsk_ActCostInput,(ROW()-ROW(MSPTasks[[#Headers],[ID]]))))))</f>
        <v/>
      </c>
      <c r="U1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 s="137" t="str">
        <f aca="false">IF(IFERROR(INDEX(tsk_Name,(ROW()-ROW(MSPTasks[[#Headers],[ID]])))="",TRUE()),"",IF(OR(INDEX(tsk_IsSummary,(ROW()-ROW(MSPTasks[[#Headers],[ID]]))),INDEX(tsk_Mode,(ROW()-ROW(MSPTasks[[#Headers],[ID]])))="Manual"),"",IF(N(INDEX(tsk_ConstraintCode,(ROW()-ROW(MSPTasks[[#Headers],[ID]]))))&lt;2,"",INDEX(tsk_Constraint,(ROW()-ROW(MSPTasks[[#Headers],[ID]]))))))</f>
        <v/>
      </c>
      <c r="W11" s="137" t="str">
        <f aca="false">IF(IFERROR(INDEX(tsk_Name,(ROW()-ROW(MSPTasks[[#Headers],[ID]])))="",TRUE()),"",IF(N(INDEX(tsk_Deadline,(ROW()-ROW(MSPTasks[[#Headers],[ID]]))))=0,"",INDEX(tsk_Deadline,(ROW()-ROW(MSPTasks[[#Headers],[ID]])))))</f>
        <v/>
      </c>
      <c r="X11" s="24" t="str">
        <f aca="false">IF(IFERROR(INDEX(tsk_Name,(ROW()-ROW(MSPTasks[[#Headers],[ID]])))="",TRUE()),"",IF(INDEX(tsk_IsSummary,(ROW()-ROW(MSPTasks[[#Headers],[ID]]))),"",INDEX(tsk_Sprint,(ROW()-ROW(MSPTasks[[#Headers],[ID]])))&amp;""))</f>
        <v/>
      </c>
      <c r="Y11" s="24" t="str">
        <f aca="false">IF(IFERROR(INDEX(tsk_Name,(ROW()-ROW(MSPTasks[[#Headers],[ID]])))="",TRUE()),"",IF(INDEX(tsk_IsSummary,(ROW()-ROW(MSPTasks[[#Headers],[ID]]))),"",IF(N(INDEX(tsk_StoryPoints,(ROW()-ROW(MSPTasks[[#Headers],[ID]]))))=0,"",INDEX(tsk_StoryPoints,(ROW()-ROW(MSPTasks[[#Headers],[ID]]))))))</f>
        <v/>
      </c>
      <c r="Z11" s="24" t="str">
        <f aca="false">IF(IFERROR(INDEX(tsk_Name,(ROW()-ROW(MSPTasks[[#Headers],[ID]])))="",TRUE()),"",INDEX(tsk_Notes,(ROW()-ROW(MSPTasks[[#Headers],[ID]])))&amp;"")</f>
        <v/>
      </c>
    </row>
    <row r="12" customFormat="false" ht="15" hidden="false" customHeight="false" outlineLevel="0" collapsed="false">
      <c r="A12" s="24" t="n">
        <f aca="false">IF(IFERROR(INDEX(tsk_Name,(ROW()-ROW(MSPTasks[[#Headers],[ID]])))="",TRUE()),"",INDEX(tsk_ID,(ROW()-ROW(MSPTasks[[#Headers],[ID]]))))</f>
        <v>11</v>
      </c>
      <c r="B12" s="24" t="n">
        <f aca="false">IF(IFERROR(INDEX(tsk_Name,(ROW()-ROW(MSPTasks[[#Headers],[ID]])))="",TRUE()),"",INDEX(tsk_UID,(ROW()-ROW(MSPTasks[[#Headers],[ID]]))))</f>
        <v>11</v>
      </c>
      <c r="C12" s="24" t="str">
        <f aca="false">IF(IFERROR(INDEX(tsk_Name,(ROW()-ROW(MSPTasks[[#Headers],[ID]])))="",TRUE()),"",INDEX(tsk_Name,(ROW()-ROW(MSPTasks[[#Headers],[ID]]))))</f>
        <v>Backend</v>
      </c>
      <c r="D12" s="24" t="n">
        <f aca="false">IF(IFERROR(INDEX(tsk_Name,(ROW()-ROW(MSPTasks[[#Headers],[ID]])))="",TRUE()),"",INDEX(tsk_Level,(ROW()-ROW(MSPTasks[[#Headers],[ID]]))))</f>
        <v>2</v>
      </c>
      <c r="E12" s="24" t="str">
        <f aca="false">IF(IFERROR(INDEX(tsk_Name,(ROW()-ROW(MSPTasks[[#Headers],[ID]])))="",TRUE()),"",IF(INDEX(tsk_Mode,(ROW()-ROW(MSPTasks[[#Headers],[ID]])))="Manual","Manually Scheduled","Auto Scheduled"))</f>
        <v>Auto Scheduled</v>
      </c>
      <c r="F12" s="24" t="str">
        <f aca="false">IF(IFERROR(INDEX(tsk_Name,(ROW()-ROW(MSPTasks[[#Headers],[ID]])))="",TRUE()),"",IF(INDEX(tsk_IsSummary,(ROW()-ROW(MSPTasks[[#Headers],[ID]]))),"",N(INDEX(tsk_Duration,(ROW()-ROW(MSPTasks[[#Headers],[ID]]))))&amp;"d"))</f>
        <v/>
      </c>
      <c r="G12" s="137" t="n">
        <f aca="false">IF(IFERROR(INDEX(tsk_Name,(ROW()-ROW(MSPTasks[[#Headers],[ID]])))="",TRUE()),"",INDEX(tsk_FcStart,(ROW()-ROW(MSPTasks[[#Headers],[ID]]))))</f>
        <v>46302</v>
      </c>
      <c r="H12" s="137" t="n">
        <f aca="false">IF(IFERROR(INDEX(tsk_Name,(ROW()-ROW(MSPTasks[[#Headers],[ID]])))="",TRUE()),"",INDEX(tsk_FcFinish,(ROW()-ROW(MSPTasks[[#Headers],[ID]]))))</f>
        <v>46335</v>
      </c>
      <c r="I12" s="24" t="str">
        <f aca="false">IF(IFERROR(INDEX(tsk_Name,(ROW()-ROW(MSPTasks[[#Headers],[ID]])))="",TRUE()),"",IF(INDEX(tsk_IsSummary,(ROW()-ROW(MSPTasks[[#Headers],[ID]]))),"",INDEX(tsk_Predecessors,(ROW()-ROW(MSPTasks[[#Headers],[ID]])))))</f>
        <v/>
      </c>
      <c r="J12" s="24" t="str">
        <f aca="false">IF(IFERROR(INDEX(tsk_Name,(ROW()-ROW(MSPTasks[[#Headers],[ID]])))="",TRUE()),"",IF(INDEX(tsk_IsSummary,(ROW()-ROW(MSPTasks[[#Headers],[ID]]))),"",INDEX(tsk_UIDPredecessors,(ROW()-ROW(MSPTasks[[#Headers],[ID]])))))</f>
        <v/>
      </c>
      <c r="K12" s="24" t="str">
        <f aca="false">IF(IFERROR(INDEX(tsk_Name,(ROW()-ROW(MSPTasks[[#Headers],[ID]])))="",TRUE()),"",INDEX(tsk_ResourceNames,(ROW()-ROW(MSPTasks[[#Headers],[ID]])))&amp;"")</f>
        <v/>
      </c>
      <c r="L12" s="24" t="str">
        <f aca="false">IF(IFERROR(INDEX(tsk_Name,(ROW()-ROW(MSPTasks[[#Headers],[ID]])))="",TRUE()),"",IF(INDEX(tsk_IsSummary,(ROW()-ROW(MSPTasks[[#Headers],[ID]]))),"",ROUND(INDEX(tsk_Progress,(ROW()-ROW(MSPTasks[[#Headers],[ID]])))*100,0)))</f>
        <v/>
      </c>
      <c r="M12" s="137" t="str">
        <f aca="false">IF(IFERROR(INDEX(tsk_Name,(ROW()-ROW(MSPTasks[[#Headers],[ID]])))="",TRUE()),"",IF(N(INDEX(tsk_ActStart,(ROW()-ROW(MSPTasks[[#Headers],[ID]]))))=0,"",INDEX(tsk_ActStart,(ROW()-ROW(MSPTasks[[#Headers],[ID]])))))</f>
        <v/>
      </c>
      <c r="N12" s="137" t="str">
        <f aca="false">IF(IFERROR(INDEX(tsk_Name,(ROW()-ROW(MSPTasks[[#Headers],[ID]])))="",TRUE()),"",IF(N(INDEX(tsk_ActFinish,(ROW()-ROW(MSPTasks[[#Headers],[ID]]))))=0,"",INDEX(tsk_ActFinish,(ROW()-ROW(MSPTasks[[#Headers],[ID]])))))</f>
        <v/>
      </c>
      <c r="O12" s="137" t="n">
        <f aca="false">IF(IFERROR(INDEX(tsk_Name,(ROW()-ROW(MSPTasks[[#Headers],[ID]])))="",TRUE()),"",INDEX(tsk_PlanStart,(ROW()-ROW(MSPTasks[[#Headers],[ID]]))))</f>
        <v>46297</v>
      </c>
      <c r="P12" s="137" t="n">
        <f aca="false">IF(IFERROR(INDEX(tsk_Name,(ROW()-ROW(MSPTasks[[#Headers],[ID]])))="",TRUE()),"",INDEX(tsk_PlanFinish,(ROW()-ROW(MSPTasks[[#Headers],[ID]]))))</f>
        <v>46325</v>
      </c>
      <c r="Q12" s="24" t="str">
        <f aca="false">IF(IFERROR(INDEX(tsk_Name,(ROW()-ROW(MSPTasks[[#Headers],[ID]])))="",TRUE()),"",IF(INDEX(tsk_BaseDuration,(ROW()-ROW(MSPTasks[[#Headers],[ID]])))="","",N(INDEX(tsk_BaseDuration,(ROW()-ROW(MSPTasks[[#Headers],[ID]]))))&amp;"d"))</f>
        <v/>
      </c>
      <c r="R12" s="24" t="str">
        <f aca="false">IF(IFERROR(INDEX(tsk_Name,(ROW()-ROW(MSPTasks[[#Headers],[ID]])))="",TRUE()),"",IF(INDEX(tsk_BaseWork,(ROW()-ROW(MSPTasks[[#Headers],[ID]])))="","",N(INDEX(tsk_BaseWork,(ROW()-ROW(MSPTasks[[#Headers],[ID]]))))&amp;"h"))</f>
        <v/>
      </c>
      <c r="S12" s="24" t="str">
        <f aca="false">IF(IFERROR(INDEX(tsk_Name,(ROW()-ROW(MSPTasks[[#Headers],[ID]])))="",TRUE()),"",IF(INDEX(tsk_BaseCost,(ROW()-ROW(MSPTasks[[#Headers],[ID]])))="","",N(INDEX(tsk_BaseCost,(ROW()-ROW(MSPTasks[[#Headers],[ID]]))))))</f>
        <v/>
      </c>
      <c r="T12" s="24" t="str">
        <f aca="false">IF(IFERROR(INDEX(tsk_Name,(ROW()-ROW(MSPTasks[[#Headers],[ID]])))="",TRUE()),"",IF(INDEX(tsk_IsSummary,(ROW()-ROW(MSPTasks[[#Headers],[ID]]))),"",IF(N(INDEX(tsk_ActCostInput,(ROW()-ROW(MSPTasks[[#Headers],[ID]]))))=0,"",INDEX(tsk_ActCostInput,(ROW()-ROW(MSPTasks[[#Headers],[ID]]))))))</f>
        <v/>
      </c>
      <c r="U1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 s="137" t="str">
        <f aca="false">IF(IFERROR(INDEX(tsk_Name,(ROW()-ROW(MSPTasks[[#Headers],[ID]])))="",TRUE()),"",IF(OR(INDEX(tsk_IsSummary,(ROW()-ROW(MSPTasks[[#Headers],[ID]]))),INDEX(tsk_Mode,(ROW()-ROW(MSPTasks[[#Headers],[ID]])))="Manual"),"",IF(N(INDEX(tsk_ConstraintCode,(ROW()-ROW(MSPTasks[[#Headers],[ID]]))))&lt;2,"",INDEX(tsk_Constraint,(ROW()-ROW(MSPTasks[[#Headers],[ID]]))))))</f>
        <v/>
      </c>
      <c r="W12" s="137" t="str">
        <f aca="false">IF(IFERROR(INDEX(tsk_Name,(ROW()-ROW(MSPTasks[[#Headers],[ID]])))="",TRUE()),"",IF(N(INDEX(tsk_Deadline,(ROW()-ROW(MSPTasks[[#Headers],[ID]]))))=0,"",INDEX(tsk_Deadline,(ROW()-ROW(MSPTasks[[#Headers],[ID]])))))</f>
        <v/>
      </c>
      <c r="X12" s="24" t="str">
        <f aca="false">IF(IFERROR(INDEX(tsk_Name,(ROW()-ROW(MSPTasks[[#Headers],[ID]])))="",TRUE()),"",IF(INDEX(tsk_IsSummary,(ROW()-ROW(MSPTasks[[#Headers],[ID]]))),"",INDEX(tsk_Sprint,(ROW()-ROW(MSPTasks[[#Headers],[ID]])))&amp;""))</f>
        <v/>
      </c>
      <c r="Y12" s="24" t="str">
        <f aca="false">IF(IFERROR(INDEX(tsk_Name,(ROW()-ROW(MSPTasks[[#Headers],[ID]])))="",TRUE()),"",IF(INDEX(tsk_IsSummary,(ROW()-ROW(MSPTasks[[#Headers],[ID]]))),"",IF(N(INDEX(tsk_StoryPoints,(ROW()-ROW(MSPTasks[[#Headers],[ID]]))))=0,"",INDEX(tsk_StoryPoints,(ROW()-ROW(MSPTasks[[#Headers],[ID]]))))))</f>
        <v/>
      </c>
      <c r="Z12" s="24" t="str">
        <f aca="false">IF(IFERROR(INDEX(tsk_Name,(ROW()-ROW(MSPTasks[[#Headers],[ID]])))="",TRUE()),"",INDEX(tsk_Notes,(ROW()-ROW(MSPTasks[[#Headers],[ID]])))&amp;"")</f>
        <v>Level-2 summary with sub-tasks.</v>
      </c>
    </row>
    <row r="13" customFormat="false" ht="15" hidden="false" customHeight="false" outlineLevel="0" collapsed="false">
      <c r="A13" s="24" t="n">
        <f aca="false">IF(IFERROR(INDEX(tsk_Name,(ROW()-ROW(MSPTasks[[#Headers],[ID]])))="",TRUE()),"",INDEX(tsk_ID,(ROW()-ROW(MSPTasks[[#Headers],[ID]]))))</f>
        <v>12</v>
      </c>
      <c r="B13" s="24" t="n">
        <f aca="false">IF(IFERROR(INDEX(tsk_Name,(ROW()-ROW(MSPTasks[[#Headers],[ID]])))="",TRUE()),"",INDEX(tsk_UID,(ROW()-ROW(MSPTasks[[#Headers],[ID]]))))</f>
        <v>12</v>
      </c>
      <c r="C13" s="24" t="str">
        <f aca="false">IF(IFERROR(INDEX(tsk_Name,(ROW()-ROW(MSPTasks[[#Headers],[ID]])))="",TRUE()),"",INDEX(tsk_Name,(ROW()-ROW(MSPTasks[[#Headers],[ID]]))))</f>
        <v>Data model &amp; database setup</v>
      </c>
      <c r="D13" s="24" t="n">
        <f aca="false">IF(IFERROR(INDEX(tsk_Name,(ROW()-ROW(MSPTasks[[#Headers],[ID]])))="",TRUE()),"",INDEX(tsk_Level,(ROW()-ROW(MSPTasks[[#Headers],[ID]]))))</f>
        <v>3</v>
      </c>
      <c r="E13" s="24" t="str">
        <f aca="false">IF(IFERROR(INDEX(tsk_Name,(ROW()-ROW(MSPTasks[[#Headers],[ID]])))="",TRUE()),"",IF(INDEX(tsk_Mode,(ROW()-ROW(MSPTasks[[#Headers],[ID]])))="Manual","Manually Scheduled","Auto Scheduled"))</f>
        <v>Auto Scheduled</v>
      </c>
      <c r="F13" s="24" t="str">
        <f aca="false">IF(IFERROR(INDEX(tsk_Name,(ROW()-ROW(MSPTasks[[#Headers],[ID]])))="",TRUE()),"",IF(INDEX(tsk_IsSummary,(ROW()-ROW(MSPTasks[[#Headers],[ID]]))),"",N(INDEX(tsk_Duration,(ROW()-ROW(MSPTasks[[#Headers],[ID]]))))&amp;"d"))</f>
        <v>5d</v>
      </c>
      <c r="G13" s="137" t="n">
        <f aca="false">IF(IFERROR(INDEX(tsk_Name,(ROW()-ROW(MSPTasks[[#Headers],[ID]])))="",TRUE()),"",INDEX(tsk_FcStart,(ROW()-ROW(MSPTasks[[#Headers],[ID]]))))</f>
        <v>46302</v>
      </c>
      <c r="H13" s="137" t="n">
        <f aca="false">IF(IFERROR(INDEX(tsk_Name,(ROW()-ROW(MSPTasks[[#Headers],[ID]])))="",TRUE()),"",INDEX(tsk_FcFinish,(ROW()-ROW(MSPTasks[[#Headers],[ID]]))))</f>
        <v>46309</v>
      </c>
      <c r="I13" s="24" t="str">
        <f aca="false">IF(IFERROR(INDEX(tsk_Name,(ROW()-ROW(MSPTasks[[#Headers],[ID]])))="",TRUE()),"",IF(INDEX(tsk_IsSummary,(ROW()-ROW(MSPTasks[[#Headers],[ID]]))),"",INDEX(tsk_Predecessors,(ROW()-ROW(MSPTasks[[#Headers],[ID]])))))</f>
        <v>9</v>
      </c>
      <c r="J13" s="24" t="str">
        <f aca="false">IF(IFERROR(INDEX(tsk_Name,(ROW()-ROW(MSPTasks[[#Headers],[ID]])))="",TRUE()),"",IF(INDEX(tsk_IsSummary,(ROW()-ROW(MSPTasks[[#Headers],[ID]]))),"",INDEX(tsk_UIDPredecessors,(ROW()-ROW(MSPTasks[[#Headers],[ID]])))))</f>
        <v>9</v>
      </c>
      <c r="K13" s="24" t="str">
        <f aca="false">IF(IFERROR(INDEX(tsk_Name,(ROW()-ROW(MSPTasks[[#Headers],[ID]])))="",TRUE()),"",INDEX(tsk_ResourceNames,(ROW()-ROW(MSPTasks[[#Headers],[ID]])))&amp;"")</f>
        <v>Jordan Lee</v>
      </c>
      <c r="L13" s="24" t="n">
        <f aca="false">IF(IFERROR(INDEX(tsk_Name,(ROW()-ROW(MSPTasks[[#Headers],[ID]])))="",TRUE()),"",IF(INDEX(tsk_IsSummary,(ROW()-ROW(MSPTasks[[#Headers],[ID]]))),"",ROUND(INDEX(tsk_Progress,(ROW()-ROW(MSPTasks[[#Headers],[ID]])))*100,0)))</f>
        <v>100</v>
      </c>
      <c r="M13" s="137" t="n">
        <f aca="false">IF(IFERROR(INDEX(tsk_Name,(ROW()-ROW(MSPTasks[[#Headers],[ID]])))="",TRUE()),"",IF(N(INDEX(tsk_ActStart,(ROW()-ROW(MSPTasks[[#Headers],[ID]]))))=0,"",INDEX(tsk_ActStart,(ROW()-ROW(MSPTasks[[#Headers],[ID]])))))</f>
        <v>46302</v>
      </c>
      <c r="N13" s="137" t="n">
        <f aca="false">IF(IFERROR(INDEX(tsk_Name,(ROW()-ROW(MSPTasks[[#Headers],[ID]])))="",TRUE()),"",IF(N(INDEX(tsk_ActFinish,(ROW()-ROW(MSPTasks[[#Headers],[ID]]))))=0,"",INDEX(tsk_ActFinish,(ROW()-ROW(MSPTasks[[#Headers],[ID]])))))</f>
        <v>46309</v>
      </c>
      <c r="O13" s="137" t="n">
        <f aca="false">IF(IFERROR(INDEX(tsk_Name,(ROW()-ROW(MSPTasks[[#Headers],[ID]])))="",TRUE()),"",INDEX(tsk_PlanStart,(ROW()-ROW(MSPTasks[[#Headers],[ID]]))))</f>
        <v>46297</v>
      </c>
      <c r="P13" s="137" t="n">
        <f aca="false">IF(IFERROR(INDEX(tsk_Name,(ROW()-ROW(MSPTasks[[#Headers],[ID]])))="",TRUE()),"",INDEX(tsk_PlanFinish,(ROW()-ROW(MSPTasks[[#Headers],[ID]]))))</f>
        <v>46303</v>
      </c>
      <c r="Q13" s="24" t="str">
        <f aca="false">IF(IFERROR(INDEX(tsk_Name,(ROW()-ROW(MSPTasks[[#Headers],[ID]])))="",TRUE()),"",IF(INDEX(tsk_BaseDuration,(ROW()-ROW(MSPTasks[[#Headers],[ID]])))="","",N(INDEX(tsk_BaseDuration,(ROW()-ROW(MSPTasks[[#Headers],[ID]]))))&amp;"d"))</f>
        <v/>
      </c>
      <c r="R13" s="24" t="str">
        <f aca="false">IF(IFERROR(INDEX(tsk_Name,(ROW()-ROW(MSPTasks[[#Headers],[ID]])))="",TRUE()),"",IF(INDEX(tsk_BaseWork,(ROW()-ROW(MSPTasks[[#Headers],[ID]])))="","",N(INDEX(tsk_BaseWork,(ROW()-ROW(MSPTasks[[#Headers],[ID]]))))&amp;"h"))</f>
        <v/>
      </c>
      <c r="S13" s="24" t="str">
        <f aca="false">IF(IFERROR(INDEX(tsk_Name,(ROW()-ROW(MSPTasks[[#Headers],[ID]])))="",TRUE()),"",IF(INDEX(tsk_BaseCost,(ROW()-ROW(MSPTasks[[#Headers],[ID]])))="","",N(INDEX(tsk_BaseCost,(ROW()-ROW(MSPTasks[[#Headers],[ID]]))))))</f>
        <v/>
      </c>
      <c r="T13" s="24" t="str">
        <f aca="false">IF(IFERROR(INDEX(tsk_Name,(ROW()-ROW(MSPTasks[[#Headers],[ID]])))="",TRUE()),"",IF(INDEX(tsk_IsSummary,(ROW()-ROW(MSPTasks[[#Headers],[ID]]))),"",IF(N(INDEX(tsk_ActCostInput,(ROW()-ROW(MSPTasks[[#Headers],[ID]]))))=0,"",INDEX(tsk_ActCostInput,(ROW()-ROW(MSPTasks[[#Headers],[ID]]))))))</f>
        <v/>
      </c>
      <c r="U1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3" s="137" t="str">
        <f aca="false">IF(IFERROR(INDEX(tsk_Name,(ROW()-ROW(MSPTasks[[#Headers],[ID]])))="",TRUE()),"",IF(OR(INDEX(tsk_IsSummary,(ROW()-ROW(MSPTasks[[#Headers],[ID]]))),INDEX(tsk_Mode,(ROW()-ROW(MSPTasks[[#Headers],[ID]])))="Manual"),"",IF(N(INDEX(tsk_ConstraintCode,(ROW()-ROW(MSPTasks[[#Headers],[ID]]))))&lt;2,"",INDEX(tsk_Constraint,(ROW()-ROW(MSPTasks[[#Headers],[ID]]))))))</f>
        <v/>
      </c>
      <c r="W13" s="137" t="str">
        <f aca="false">IF(IFERROR(INDEX(tsk_Name,(ROW()-ROW(MSPTasks[[#Headers],[ID]])))="",TRUE()),"",IF(N(INDEX(tsk_Deadline,(ROW()-ROW(MSPTasks[[#Headers],[ID]]))))=0,"",INDEX(tsk_Deadline,(ROW()-ROW(MSPTasks[[#Headers],[ID]])))))</f>
        <v/>
      </c>
      <c r="X13" s="24" t="str">
        <f aca="false">IF(IFERROR(INDEX(tsk_Name,(ROW()-ROW(MSPTasks[[#Headers],[ID]])))="",TRUE()),"",IF(INDEX(tsk_IsSummary,(ROW()-ROW(MSPTasks[[#Headers],[ID]]))),"",INDEX(tsk_Sprint,(ROW()-ROW(MSPTasks[[#Headers],[ID]])))&amp;""))</f>
        <v>Sprint 3</v>
      </c>
      <c r="Y13" s="85" t="n">
        <f aca="false">IF(IFERROR(INDEX(tsk_Name,(ROW()-ROW(MSPTasks[[#Headers],[ID]])))="",TRUE()),"",IF(INDEX(tsk_IsSummary,(ROW()-ROW(MSPTasks[[#Headers],[ID]]))),"",IF(N(INDEX(tsk_StoryPoints,(ROW()-ROW(MSPTasks[[#Headers],[ID]]))))=0,"",INDEX(tsk_StoryPoints,(ROW()-ROW(MSPTasks[[#Headers],[ID]]))))))</f>
        <v>5</v>
      </c>
      <c r="Z13" s="24" t="str">
        <f aca="false">IF(IFERROR(INDEX(tsk_Name,(ROW()-ROW(MSPTasks[[#Headers],[ID]])))="",TRUE()),"",INDEX(tsk_Notes,(ROW()-ROW(MSPTasks[[#Headers],[ID]])))&amp;"")</f>
        <v/>
      </c>
    </row>
    <row r="14" customFormat="false" ht="15" hidden="false" customHeight="false" outlineLevel="0" collapsed="false">
      <c r="A14" s="24" t="n">
        <f aca="false">IF(IFERROR(INDEX(tsk_Name,(ROW()-ROW(MSPTasks[[#Headers],[ID]])))="",TRUE()),"",INDEX(tsk_ID,(ROW()-ROW(MSPTasks[[#Headers],[ID]]))))</f>
        <v>13</v>
      </c>
      <c r="B14" s="24" t="n">
        <f aca="false">IF(IFERROR(INDEX(tsk_Name,(ROW()-ROW(MSPTasks[[#Headers],[ID]])))="",TRUE()),"",INDEX(tsk_UID,(ROW()-ROW(MSPTasks[[#Headers],[ID]]))))</f>
        <v>13</v>
      </c>
      <c r="C14" s="24" t="str">
        <f aca="false">IF(IFERROR(INDEX(tsk_Name,(ROW()-ROW(MSPTasks[[#Headers],[ID]])))="",TRUE()),"",INDEX(tsk_Name,(ROW()-ROW(MSPTasks[[#Headers],[ID]]))))</f>
        <v>Core API endpoints</v>
      </c>
      <c r="D14" s="24" t="n">
        <f aca="false">IF(IFERROR(INDEX(tsk_Name,(ROW()-ROW(MSPTasks[[#Headers],[ID]])))="",TRUE()),"",INDEX(tsk_Level,(ROW()-ROW(MSPTasks[[#Headers],[ID]]))))</f>
        <v>3</v>
      </c>
      <c r="E14" s="24" t="str">
        <f aca="false">IF(IFERROR(INDEX(tsk_Name,(ROW()-ROW(MSPTasks[[#Headers],[ID]])))="",TRUE()),"",IF(INDEX(tsk_Mode,(ROW()-ROW(MSPTasks[[#Headers],[ID]])))="Manual","Manually Scheduled","Auto Scheduled"))</f>
        <v>Auto Scheduled</v>
      </c>
      <c r="F14" s="24" t="str">
        <f aca="false">IF(IFERROR(INDEX(tsk_Name,(ROW()-ROW(MSPTasks[[#Headers],[ID]])))="",TRUE()),"",IF(INDEX(tsk_IsSummary,(ROW()-ROW(MSPTasks[[#Headers],[ID]]))),"",N(INDEX(tsk_Duration,(ROW()-ROW(MSPTasks[[#Headers],[ID]]))))&amp;"d"))</f>
        <v>10d</v>
      </c>
      <c r="G14" s="137" t="n">
        <f aca="false">IF(IFERROR(INDEX(tsk_Name,(ROW()-ROW(MSPTasks[[#Headers],[ID]])))="",TRUE()),"",INDEX(tsk_FcStart,(ROW()-ROW(MSPTasks[[#Headers],[ID]]))))</f>
        <v>46310</v>
      </c>
      <c r="H14" s="137" t="n">
        <f aca="false">IF(IFERROR(INDEX(tsk_Name,(ROW()-ROW(MSPTasks[[#Headers],[ID]])))="",TRUE()),"",INDEX(tsk_FcFinish,(ROW()-ROW(MSPTasks[[#Headers],[ID]]))))</f>
        <v>46325</v>
      </c>
      <c r="I14" s="24" t="str">
        <f aca="false">IF(IFERROR(INDEX(tsk_Name,(ROW()-ROW(MSPTasks[[#Headers],[ID]])))="",TRUE()),"",IF(INDEX(tsk_IsSummary,(ROW()-ROW(MSPTasks[[#Headers],[ID]]))),"",INDEX(tsk_Predecessors,(ROW()-ROW(MSPTasks[[#Headers],[ID]])))))</f>
        <v>12</v>
      </c>
      <c r="J14" s="24" t="str">
        <f aca="false">IF(IFERROR(INDEX(tsk_Name,(ROW()-ROW(MSPTasks[[#Headers],[ID]])))="",TRUE()),"",IF(INDEX(tsk_IsSummary,(ROW()-ROW(MSPTasks[[#Headers],[ID]]))),"",INDEX(tsk_UIDPredecessors,(ROW()-ROW(MSPTasks[[#Headers],[ID]])))))</f>
        <v>12</v>
      </c>
      <c r="K14" s="24" t="str">
        <f aca="false">IF(IFERROR(INDEX(tsk_Name,(ROW()-ROW(MSPTasks[[#Headers],[ID]])))="",TRUE()),"",INDEX(tsk_ResourceNames,(ROW()-ROW(MSPTasks[[#Headers],[ID]])))&amp;"")</f>
        <v>Jordan Lee</v>
      </c>
      <c r="L14" s="24" t="n">
        <f aca="false">IF(IFERROR(INDEX(tsk_Name,(ROW()-ROW(MSPTasks[[#Headers],[ID]])))="",TRUE()),"",IF(INDEX(tsk_IsSummary,(ROW()-ROW(MSPTasks[[#Headers],[ID]]))),"",ROUND(INDEX(tsk_Progress,(ROW()-ROW(MSPTasks[[#Headers],[ID]])))*100,0)))</f>
        <v>50</v>
      </c>
      <c r="M14" s="137" t="n">
        <f aca="false">IF(IFERROR(INDEX(tsk_Name,(ROW()-ROW(MSPTasks[[#Headers],[ID]])))="",TRUE()),"",IF(N(INDEX(tsk_ActStart,(ROW()-ROW(MSPTasks[[#Headers],[ID]]))))=0,"",INDEX(tsk_ActStart,(ROW()-ROW(MSPTasks[[#Headers],[ID]])))))</f>
        <v>46310</v>
      </c>
      <c r="N14" s="137" t="str">
        <f aca="false">IF(IFERROR(INDEX(tsk_Name,(ROW()-ROW(MSPTasks[[#Headers],[ID]])))="",TRUE()),"",IF(N(INDEX(tsk_ActFinish,(ROW()-ROW(MSPTasks[[#Headers],[ID]]))))=0,"",INDEX(tsk_ActFinish,(ROW()-ROW(MSPTasks[[#Headers],[ID]])))))</f>
        <v/>
      </c>
      <c r="O14" s="137" t="n">
        <f aca="false">IF(IFERROR(INDEX(tsk_Name,(ROW()-ROW(MSPTasks[[#Headers],[ID]])))="",TRUE()),"",INDEX(tsk_PlanStart,(ROW()-ROW(MSPTasks[[#Headers],[ID]]))))</f>
        <v>46304</v>
      </c>
      <c r="P14" s="137" t="n">
        <f aca="false">IF(IFERROR(INDEX(tsk_Name,(ROW()-ROW(MSPTasks[[#Headers],[ID]])))="",TRUE()),"",INDEX(tsk_PlanFinish,(ROW()-ROW(MSPTasks[[#Headers],[ID]]))))</f>
        <v>46317</v>
      </c>
      <c r="Q14" s="24" t="str">
        <f aca="false">IF(IFERROR(INDEX(tsk_Name,(ROW()-ROW(MSPTasks[[#Headers],[ID]])))="",TRUE()),"",IF(INDEX(tsk_BaseDuration,(ROW()-ROW(MSPTasks[[#Headers],[ID]])))="","",N(INDEX(tsk_BaseDuration,(ROW()-ROW(MSPTasks[[#Headers],[ID]]))))&amp;"d"))</f>
        <v/>
      </c>
      <c r="R14" s="24" t="str">
        <f aca="false">IF(IFERROR(INDEX(tsk_Name,(ROW()-ROW(MSPTasks[[#Headers],[ID]])))="",TRUE()),"",IF(INDEX(tsk_BaseWork,(ROW()-ROW(MSPTasks[[#Headers],[ID]])))="","",N(INDEX(tsk_BaseWork,(ROW()-ROW(MSPTasks[[#Headers],[ID]]))))&amp;"h"))</f>
        <v/>
      </c>
      <c r="S14" s="24" t="str">
        <f aca="false">IF(IFERROR(INDEX(tsk_Name,(ROW()-ROW(MSPTasks[[#Headers],[ID]])))="",TRUE()),"",IF(INDEX(tsk_BaseCost,(ROW()-ROW(MSPTasks[[#Headers],[ID]])))="","",N(INDEX(tsk_BaseCost,(ROW()-ROW(MSPTasks[[#Headers],[ID]]))))))</f>
        <v/>
      </c>
      <c r="T14" s="111" t="n">
        <f aca="false">IF(IFERROR(INDEX(tsk_Name,(ROW()-ROW(MSPTasks[[#Headers],[ID]])))="",TRUE()),"",IF(INDEX(tsk_IsSummary,(ROW()-ROW(MSPTasks[[#Headers],[ID]]))),"",IF(N(INDEX(tsk_ActCostInput,(ROW()-ROW(MSPTasks[[#Headers],[ID]]))))=0,"",INDEX(tsk_ActCostInput,(ROW()-ROW(MSPTasks[[#Headers],[ID]]))))))</f>
        <v>4080</v>
      </c>
      <c r="U1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4" s="137" t="str">
        <f aca="false">IF(IFERROR(INDEX(tsk_Name,(ROW()-ROW(MSPTasks[[#Headers],[ID]])))="",TRUE()),"",IF(OR(INDEX(tsk_IsSummary,(ROW()-ROW(MSPTasks[[#Headers],[ID]]))),INDEX(tsk_Mode,(ROW()-ROW(MSPTasks[[#Headers],[ID]])))="Manual"),"",IF(N(INDEX(tsk_ConstraintCode,(ROW()-ROW(MSPTasks[[#Headers],[ID]]))))&lt;2,"",INDEX(tsk_Constraint,(ROW()-ROW(MSPTasks[[#Headers],[ID]]))))))</f>
        <v/>
      </c>
      <c r="W14" s="137" t="str">
        <f aca="false">IF(IFERROR(INDEX(tsk_Name,(ROW()-ROW(MSPTasks[[#Headers],[ID]])))="",TRUE()),"",IF(N(INDEX(tsk_Deadline,(ROW()-ROW(MSPTasks[[#Headers],[ID]]))))=0,"",INDEX(tsk_Deadline,(ROW()-ROW(MSPTasks[[#Headers],[ID]])))))</f>
        <v/>
      </c>
      <c r="X14" s="24" t="str">
        <f aca="false">IF(IFERROR(INDEX(tsk_Name,(ROW()-ROW(MSPTasks[[#Headers],[ID]])))="",TRUE()),"",IF(INDEX(tsk_IsSummary,(ROW()-ROW(MSPTasks[[#Headers],[ID]]))),"",INDEX(tsk_Sprint,(ROW()-ROW(MSPTasks[[#Headers],[ID]])))&amp;""))</f>
        <v>Sprint 3</v>
      </c>
      <c r="Y14" s="85" t="n">
        <f aca="false">IF(IFERROR(INDEX(tsk_Name,(ROW()-ROW(MSPTasks[[#Headers],[ID]])))="",TRUE()),"",IF(INDEX(tsk_IsSummary,(ROW()-ROW(MSPTasks[[#Headers],[ID]]))),"",IF(N(INDEX(tsk_StoryPoints,(ROW()-ROW(MSPTasks[[#Headers],[ID]]))))=0,"",INDEX(tsk_StoryPoints,(ROW()-ROW(MSPTasks[[#Headers],[ID]]))))))</f>
        <v>8</v>
      </c>
      <c r="Z14" s="24" t="str">
        <f aca="false">IF(IFERROR(INDEX(tsk_Name,(ROW()-ROW(MSPTasks[[#Headers],[ID]])))="",TRUE()),"",INDEX(tsk_Notes,(ROW()-ROW(MSPTasks[[#Headers],[ID]])))&amp;"")</f>
        <v>In progress - enter % Complete; forecast finish adjusts.</v>
      </c>
    </row>
    <row r="15" customFormat="false" ht="15" hidden="false" customHeight="false" outlineLevel="0" collapsed="false">
      <c r="A15" s="24" t="n">
        <f aca="false">IF(IFERROR(INDEX(tsk_Name,(ROW()-ROW(MSPTasks[[#Headers],[ID]])))="",TRUE()),"",INDEX(tsk_ID,(ROW()-ROW(MSPTasks[[#Headers],[ID]]))))</f>
        <v>14</v>
      </c>
      <c r="B15" s="24" t="n">
        <f aca="false">IF(IFERROR(INDEX(tsk_Name,(ROW()-ROW(MSPTasks[[#Headers],[ID]])))="",TRUE()),"",INDEX(tsk_UID,(ROW()-ROW(MSPTasks[[#Headers],[ID]]))))</f>
        <v>14</v>
      </c>
      <c r="C15" s="24" t="str">
        <f aca="false">IF(IFERROR(INDEX(tsk_Name,(ROW()-ROW(MSPTasks[[#Headers],[ID]])))="",TRUE()),"",INDEX(tsk_Name,(ROW()-ROW(MSPTasks[[#Headers],[ID]]))))</f>
        <v>Payment gateway integration</v>
      </c>
      <c r="D15" s="24" t="n">
        <f aca="false">IF(IFERROR(INDEX(tsk_Name,(ROW()-ROW(MSPTasks[[#Headers],[ID]])))="",TRUE()),"",INDEX(tsk_Level,(ROW()-ROW(MSPTasks[[#Headers],[ID]]))))</f>
        <v>3</v>
      </c>
      <c r="E15" s="24" t="str">
        <f aca="false">IF(IFERROR(INDEX(tsk_Name,(ROW()-ROW(MSPTasks[[#Headers],[ID]])))="",TRUE()),"",IF(INDEX(tsk_Mode,(ROW()-ROW(MSPTasks[[#Headers],[ID]])))="Manual","Manually Scheduled","Auto Scheduled"))</f>
        <v>Auto Scheduled</v>
      </c>
      <c r="F15" s="24" t="str">
        <f aca="false">IF(IFERROR(INDEX(tsk_Name,(ROW()-ROW(MSPTasks[[#Headers],[ID]])))="",TRUE()),"",IF(INDEX(tsk_IsSummary,(ROW()-ROW(MSPTasks[[#Headers],[ID]]))),"",N(INDEX(tsk_Duration,(ROW()-ROW(MSPTasks[[#Headers],[ID]]))))&amp;"d"))</f>
        <v>6d</v>
      </c>
      <c r="G15" s="137" t="n">
        <f aca="false">IF(IFERROR(INDEX(tsk_Name,(ROW()-ROW(MSPTasks[[#Headers],[ID]])))="",TRUE()),"",INDEX(tsk_FcStart,(ROW()-ROW(MSPTasks[[#Headers],[ID]]))))</f>
        <v>46328</v>
      </c>
      <c r="H15" s="137" t="n">
        <f aca="false">IF(IFERROR(INDEX(tsk_Name,(ROW()-ROW(MSPTasks[[#Headers],[ID]])))="",TRUE()),"",INDEX(tsk_FcFinish,(ROW()-ROW(MSPTasks[[#Headers],[ID]]))))</f>
        <v>46335</v>
      </c>
      <c r="I15" s="24" t="str">
        <f aca="false">IF(IFERROR(INDEX(tsk_Name,(ROW()-ROW(MSPTasks[[#Headers],[ID]])))="",TRUE()),"",IF(INDEX(tsk_IsSummary,(ROW()-ROW(MSPTasks[[#Headers],[ID]]))),"",INDEX(tsk_Predecessors,(ROW()-ROW(MSPTasks[[#Headers],[ID]])))))</f>
        <v>13</v>
      </c>
      <c r="J15" s="24" t="str">
        <f aca="false">IF(IFERROR(INDEX(tsk_Name,(ROW()-ROW(MSPTasks[[#Headers],[ID]])))="",TRUE()),"",IF(INDEX(tsk_IsSummary,(ROW()-ROW(MSPTasks[[#Headers],[ID]]))),"",INDEX(tsk_UIDPredecessors,(ROW()-ROW(MSPTasks[[#Headers],[ID]])))))</f>
        <v>13</v>
      </c>
      <c r="K15" s="24" t="str">
        <f aca="false">IF(IFERROR(INDEX(tsk_Name,(ROW()-ROW(MSPTasks[[#Headers],[ID]])))="",TRUE()),"",INDEX(tsk_ResourceNames,(ROW()-ROW(MSPTasks[[#Headers],[ID]])))&amp;"")</f>
        <v>Jordan Lee</v>
      </c>
      <c r="L15" s="24" t="n">
        <f aca="false">IF(IFERROR(INDEX(tsk_Name,(ROW()-ROW(MSPTasks[[#Headers],[ID]])))="",TRUE()),"",IF(INDEX(tsk_IsSummary,(ROW()-ROW(MSPTasks[[#Headers],[ID]]))),"",ROUND(INDEX(tsk_Progress,(ROW()-ROW(MSPTasks[[#Headers],[ID]])))*100,0)))</f>
        <v>0</v>
      </c>
      <c r="M15" s="137" t="str">
        <f aca="false">IF(IFERROR(INDEX(tsk_Name,(ROW()-ROW(MSPTasks[[#Headers],[ID]])))="",TRUE()),"",IF(N(INDEX(tsk_ActStart,(ROW()-ROW(MSPTasks[[#Headers],[ID]]))))=0,"",INDEX(tsk_ActStart,(ROW()-ROW(MSPTasks[[#Headers],[ID]])))))</f>
        <v/>
      </c>
      <c r="N15" s="137" t="str">
        <f aca="false">IF(IFERROR(INDEX(tsk_Name,(ROW()-ROW(MSPTasks[[#Headers],[ID]])))="",TRUE()),"",IF(N(INDEX(tsk_ActFinish,(ROW()-ROW(MSPTasks[[#Headers],[ID]]))))=0,"",INDEX(tsk_ActFinish,(ROW()-ROW(MSPTasks[[#Headers],[ID]])))))</f>
        <v/>
      </c>
      <c r="O15" s="137" t="n">
        <f aca="false">IF(IFERROR(INDEX(tsk_Name,(ROW()-ROW(MSPTasks[[#Headers],[ID]])))="",TRUE()),"",INDEX(tsk_PlanStart,(ROW()-ROW(MSPTasks[[#Headers],[ID]]))))</f>
        <v>46318</v>
      </c>
      <c r="P15" s="137" t="n">
        <f aca="false">IF(IFERROR(INDEX(tsk_Name,(ROW()-ROW(MSPTasks[[#Headers],[ID]])))="",TRUE()),"",INDEX(tsk_PlanFinish,(ROW()-ROW(MSPTasks[[#Headers],[ID]]))))</f>
        <v>46325</v>
      </c>
      <c r="Q15" s="24" t="str">
        <f aca="false">IF(IFERROR(INDEX(tsk_Name,(ROW()-ROW(MSPTasks[[#Headers],[ID]])))="",TRUE()),"",IF(INDEX(tsk_BaseDuration,(ROW()-ROW(MSPTasks[[#Headers],[ID]])))="","",N(INDEX(tsk_BaseDuration,(ROW()-ROW(MSPTasks[[#Headers],[ID]]))))&amp;"d"))</f>
        <v/>
      </c>
      <c r="R15" s="24" t="str">
        <f aca="false">IF(IFERROR(INDEX(tsk_Name,(ROW()-ROW(MSPTasks[[#Headers],[ID]])))="",TRUE()),"",IF(INDEX(tsk_BaseWork,(ROW()-ROW(MSPTasks[[#Headers],[ID]])))="","",N(INDEX(tsk_BaseWork,(ROW()-ROW(MSPTasks[[#Headers],[ID]]))))&amp;"h"))</f>
        <v/>
      </c>
      <c r="S15" s="24" t="str">
        <f aca="false">IF(IFERROR(INDEX(tsk_Name,(ROW()-ROW(MSPTasks[[#Headers],[ID]])))="",TRUE()),"",IF(INDEX(tsk_BaseCost,(ROW()-ROW(MSPTasks[[#Headers],[ID]])))="","",N(INDEX(tsk_BaseCost,(ROW()-ROW(MSPTasks[[#Headers],[ID]]))))))</f>
        <v/>
      </c>
      <c r="T15" s="24" t="str">
        <f aca="false">IF(IFERROR(INDEX(tsk_Name,(ROW()-ROW(MSPTasks[[#Headers],[ID]])))="",TRUE()),"",IF(INDEX(tsk_IsSummary,(ROW()-ROW(MSPTasks[[#Headers],[ID]]))),"",IF(N(INDEX(tsk_ActCostInput,(ROW()-ROW(MSPTasks[[#Headers],[ID]]))))=0,"",INDEX(tsk_ActCostInput,(ROW()-ROW(MSPTasks[[#Headers],[ID]]))))))</f>
        <v/>
      </c>
      <c r="U1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5" s="137" t="str">
        <f aca="false">IF(IFERROR(INDEX(tsk_Name,(ROW()-ROW(MSPTasks[[#Headers],[ID]])))="",TRUE()),"",IF(OR(INDEX(tsk_IsSummary,(ROW()-ROW(MSPTasks[[#Headers],[ID]]))),INDEX(tsk_Mode,(ROW()-ROW(MSPTasks[[#Headers],[ID]])))="Manual"),"",IF(N(INDEX(tsk_ConstraintCode,(ROW()-ROW(MSPTasks[[#Headers],[ID]]))))&lt;2,"",INDEX(tsk_Constraint,(ROW()-ROW(MSPTasks[[#Headers],[ID]]))))))</f>
        <v/>
      </c>
      <c r="W15" s="137" t="str">
        <f aca="false">IF(IFERROR(INDEX(tsk_Name,(ROW()-ROW(MSPTasks[[#Headers],[ID]])))="",TRUE()),"",IF(N(INDEX(tsk_Deadline,(ROW()-ROW(MSPTasks[[#Headers],[ID]]))))=0,"",INDEX(tsk_Deadline,(ROW()-ROW(MSPTasks[[#Headers],[ID]])))))</f>
        <v/>
      </c>
      <c r="X15" s="24" t="str">
        <f aca="false">IF(IFERROR(INDEX(tsk_Name,(ROW()-ROW(MSPTasks[[#Headers],[ID]])))="",TRUE()),"",IF(INDEX(tsk_IsSummary,(ROW()-ROW(MSPTasks[[#Headers],[ID]]))),"",INDEX(tsk_Sprint,(ROW()-ROW(MSPTasks[[#Headers],[ID]])))&amp;""))</f>
        <v>Sprint 5</v>
      </c>
      <c r="Y15" s="85" t="n">
        <f aca="false">IF(IFERROR(INDEX(tsk_Name,(ROW()-ROW(MSPTasks[[#Headers],[ID]])))="",TRUE()),"",IF(INDEX(tsk_IsSummary,(ROW()-ROW(MSPTasks[[#Headers],[ID]]))),"",IF(N(INDEX(tsk_StoryPoints,(ROW()-ROW(MSPTasks[[#Headers],[ID]]))))=0,"",INDEX(tsk_StoryPoints,(ROW()-ROW(MSPTasks[[#Headers],[ID]]))))))</f>
        <v>5</v>
      </c>
      <c r="Z15" s="24" t="str">
        <f aca="false">IF(IFERROR(INDEX(tsk_Name,(ROW()-ROW(MSPTasks[[#Headers],[ID]])))="",TRUE()),"",INDEX(tsk_Notes,(ROW()-ROW(MSPTasks[[#Headers],[ID]])))&amp;"")</f>
        <v/>
      </c>
    </row>
    <row r="16" customFormat="false" ht="15" hidden="false" customHeight="false" outlineLevel="0" collapsed="false">
      <c r="A16" s="24" t="n">
        <f aca="false">IF(IFERROR(INDEX(tsk_Name,(ROW()-ROW(MSPTasks[[#Headers],[ID]])))="",TRUE()),"",INDEX(tsk_ID,(ROW()-ROW(MSPTasks[[#Headers],[ID]]))))</f>
        <v>15</v>
      </c>
      <c r="B16" s="24" t="n">
        <f aca="false">IF(IFERROR(INDEX(tsk_Name,(ROW()-ROW(MSPTasks[[#Headers],[ID]])))="",TRUE()),"",INDEX(tsk_UID,(ROW()-ROW(MSPTasks[[#Headers],[ID]]))))</f>
        <v>15</v>
      </c>
      <c r="C16" s="24" t="str">
        <f aca="false">IF(IFERROR(INDEX(tsk_Name,(ROW()-ROW(MSPTasks[[#Headers],[ID]])))="",TRUE()),"",INDEX(tsk_Name,(ROW()-ROW(MSPTasks[[#Headers],[ID]]))))</f>
        <v>Frontend</v>
      </c>
      <c r="D16" s="24" t="n">
        <f aca="false">IF(IFERROR(INDEX(tsk_Name,(ROW()-ROW(MSPTasks[[#Headers],[ID]])))="",TRUE()),"",INDEX(tsk_Level,(ROW()-ROW(MSPTasks[[#Headers],[ID]]))))</f>
        <v>2</v>
      </c>
      <c r="E16" s="24" t="str">
        <f aca="false">IF(IFERROR(INDEX(tsk_Name,(ROW()-ROW(MSPTasks[[#Headers],[ID]])))="",TRUE()),"",IF(INDEX(tsk_Mode,(ROW()-ROW(MSPTasks[[#Headers],[ID]])))="Manual","Manually Scheduled","Auto Scheduled"))</f>
        <v>Auto Scheduled</v>
      </c>
      <c r="F16" s="24" t="str">
        <f aca="false">IF(IFERROR(INDEX(tsk_Name,(ROW()-ROW(MSPTasks[[#Headers],[ID]])))="",TRUE()),"",IF(INDEX(tsk_IsSummary,(ROW()-ROW(MSPTasks[[#Headers],[ID]]))),"",N(INDEX(tsk_Duration,(ROW()-ROW(MSPTasks[[#Headers],[ID]]))))&amp;"d"))</f>
        <v/>
      </c>
      <c r="G16" s="137" t="n">
        <f aca="false">IF(IFERROR(INDEX(tsk_Name,(ROW()-ROW(MSPTasks[[#Headers],[ID]])))="",TRUE()),"",INDEX(tsk_FcStart,(ROW()-ROW(MSPTasks[[#Headers],[ID]]))))</f>
        <v>46302</v>
      </c>
      <c r="H16" s="137" t="n">
        <f aca="false">IF(IFERROR(INDEX(tsk_Name,(ROW()-ROW(MSPTasks[[#Headers],[ID]])))="",TRUE()),"",INDEX(tsk_FcFinish,(ROW()-ROW(MSPTasks[[#Headers],[ID]]))))</f>
        <v>46332</v>
      </c>
      <c r="I16" s="24" t="str">
        <f aca="false">IF(IFERROR(INDEX(tsk_Name,(ROW()-ROW(MSPTasks[[#Headers],[ID]])))="",TRUE()),"",IF(INDEX(tsk_IsSummary,(ROW()-ROW(MSPTasks[[#Headers],[ID]]))),"",INDEX(tsk_Predecessors,(ROW()-ROW(MSPTasks[[#Headers],[ID]])))))</f>
        <v/>
      </c>
      <c r="J16" s="24" t="str">
        <f aca="false">IF(IFERROR(INDEX(tsk_Name,(ROW()-ROW(MSPTasks[[#Headers],[ID]])))="",TRUE()),"",IF(INDEX(tsk_IsSummary,(ROW()-ROW(MSPTasks[[#Headers],[ID]]))),"",INDEX(tsk_UIDPredecessors,(ROW()-ROW(MSPTasks[[#Headers],[ID]])))))</f>
        <v/>
      </c>
      <c r="K16" s="24" t="str">
        <f aca="false">IF(IFERROR(INDEX(tsk_Name,(ROW()-ROW(MSPTasks[[#Headers],[ID]])))="",TRUE()),"",INDEX(tsk_ResourceNames,(ROW()-ROW(MSPTasks[[#Headers],[ID]])))&amp;"")</f>
        <v/>
      </c>
      <c r="L16" s="24" t="str">
        <f aca="false">IF(IFERROR(INDEX(tsk_Name,(ROW()-ROW(MSPTasks[[#Headers],[ID]])))="",TRUE()),"",IF(INDEX(tsk_IsSummary,(ROW()-ROW(MSPTasks[[#Headers],[ID]]))),"",ROUND(INDEX(tsk_Progress,(ROW()-ROW(MSPTasks[[#Headers],[ID]])))*100,0)))</f>
        <v/>
      </c>
      <c r="M16" s="137" t="str">
        <f aca="false">IF(IFERROR(INDEX(tsk_Name,(ROW()-ROW(MSPTasks[[#Headers],[ID]])))="",TRUE()),"",IF(N(INDEX(tsk_ActStart,(ROW()-ROW(MSPTasks[[#Headers],[ID]]))))=0,"",INDEX(tsk_ActStart,(ROW()-ROW(MSPTasks[[#Headers],[ID]])))))</f>
        <v/>
      </c>
      <c r="N16" s="137" t="str">
        <f aca="false">IF(IFERROR(INDEX(tsk_Name,(ROW()-ROW(MSPTasks[[#Headers],[ID]])))="",TRUE()),"",IF(N(INDEX(tsk_ActFinish,(ROW()-ROW(MSPTasks[[#Headers],[ID]]))))=0,"",INDEX(tsk_ActFinish,(ROW()-ROW(MSPTasks[[#Headers],[ID]])))))</f>
        <v/>
      </c>
      <c r="O16" s="137" t="n">
        <f aca="false">IF(IFERROR(INDEX(tsk_Name,(ROW()-ROW(MSPTasks[[#Headers],[ID]])))="",TRUE()),"",INDEX(tsk_PlanStart,(ROW()-ROW(MSPTasks[[#Headers],[ID]]))))</f>
        <v>46297</v>
      </c>
      <c r="P16" s="137" t="n">
        <f aca="false">IF(IFERROR(INDEX(tsk_Name,(ROW()-ROW(MSPTasks[[#Headers],[ID]])))="",TRUE()),"",INDEX(tsk_PlanFinish,(ROW()-ROW(MSPTasks[[#Headers],[ID]]))))</f>
        <v>46324</v>
      </c>
      <c r="Q16" s="24" t="str">
        <f aca="false">IF(IFERROR(INDEX(tsk_Name,(ROW()-ROW(MSPTasks[[#Headers],[ID]])))="",TRUE()),"",IF(INDEX(tsk_BaseDuration,(ROW()-ROW(MSPTasks[[#Headers],[ID]])))="","",N(INDEX(tsk_BaseDuration,(ROW()-ROW(MSPTasks[[#Headers],[ID]]))))&amp;"d"))</f>
        <v/>
      </c>
      <c r="R16" s="24" t="str">
        <f aca="false">IF(IFERROR(INDEX(tsk_Name,(ROW()-ROW(MSPTasks[[#Headers],[ID]])))="",TRUE()),"",IF(INDEX(tsk_BaseWork,(ROW()-ROW(MSPTasks[[#Headers],[ID]])))="","",N(INDEX(tsk_BaseWork,(ROW()-ROW(MSPTasks[[#Headers],[ID]]))))&amp;"h"))</f>
        <v/>
      </c>
      <c r="S16" s="24" t="str">
        <f aca="false">IF(IFERROR(INDEX(tsk_Name,(ROW()-ROW(MSPTasks[[#Headers],[ID]])))="",TRUE()),"",IF(INDEX(tsk_BaseCost,(ROW()-ROW(MSPTasks[[#Headers],[ID]])))="","",N(INDEX(tsk_BaseCost,(ROW()-ROW(MSPTasks[[#Headers],[ID]]))))))</f>
        <v/>
      </c>
      <c r="T16" s="24" t="str">
        <f aca="false">IF(IFERROR(INDEX(tsk_Name,(ROW()-ROW(MSPTasks[[#Headers],[ID]])))="",TRUE()),"",IF(INDEX(tsk_IsSummary,(ROW()-ROW(MSPTasks[[#Headers],[ID]]))),"",IF(N(INDEX(tsk_ActCostInput,(ROW()-ROW(MSPTasks[[#Headers],[ID]]))))=0,"",INDEX(tsk_ActCostInput,(ROW()-ROW(MSPTasks[[#Headers],[ID]]))))))</f>
        <v/>
      </c>
      <c r="U1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 s="137" t="str">
        <f aca="false">IF(IFERROR(INDEX(tsk_Name,(ROW()-ROW(MSPTasks[[#Headers],[ID]])))="",TRUE()),"",IF(OR(INDEX(tsk_IsSummary,(ROW()-ROW(MSPTasks[[#Headers],[ID]]))),INDEX(tsk_Mode,(ROW()-ROW(MSPTasks[[#Headers],[ID]])))="Manual"),"",IF(N(INDEX(tsk_ConstraintCode,(ROW()-ROW(MSPTasks[[#Headers],[ID]]))))&lt;2,"",INDEX(tsk_Constraint,(ROW()-ROW(MSPTasks[[#Headers],[ID]]))))))</f>
        <v/>
      </c>
      <c r="W16" s="137" t="str">
        <f aca="false">IF(IFERROR(INDEX(tsk_Name,(ROW()-ROW(MSPTasks[[#Headers],[ID]])))="",TRUE()),"",IF(N(INDEX(tsk_Deadline,(ROW()-ROW(MSPTasks[[#Headers],[ID]]))))=0,"",INDEX(tsk_Deadline,(ROW()-ROW(MSPTasks[[#Headers],[ID]])))))</f>
        <v/>
      </c>
      <c r="X16" s="24" t="str">
        <f aca="false">IF(IFERROR(INDEX(tsk_Name,(ROW()-ROW(MSPTasks[[#Headers],[ID]])))="",TRUE()),"",IF(INDEX(tsk_IsSummary,(ROW()-ROW(MSPTasks[[#Headers],[ID]]))),"",INDEX(tsk_Sprint,(ROW()-ROW(MSPTasks[[#Headers],[ID]])))&amp;""))</f>
        <v/>
      </c>
      <c r="Y16" s="24" t="str">
        <f aca="false">IF(IFERROR(INDEX(tsk_Name,(ROW()-ROW(MSPTasks[[#Headers],[ID]])))="",TRUE()),"",IF(INDEX(tsk_IsSummary,(ROW()-ROW(MSPTasks[[#Headers],[ID]]))),"",IF(N(INDEX(tsk_StoryPoints,(ROW()-ROW(MSPTasks[[#Headers],[ID]]))))=0,"",INDEX(tsk_StoryPoints,(ROW()-ROW(MSPTasks[[#Headers],[ID]]))))))</f>
        <v/>
      </c>
      <c r="Z16" s="24" t="str">
        <f aca="false">IF(IFERROR(INDEX(tsk_Name,(ROW()-ROW(MSPTasks[[#Headers],[ID]])))="",TRUE()),"",INDEX(tsk_Notes,(ROW()-ROW(MSPTasks[[#Headers],[ID]])))&amp;"")</f>
        <v/>
      </c>
    </row>
    <row r="17" customFormat="false" ht="15" hidden="false" customHeight="false" outlineLevel="0" collapsed="false">
      <c r="A17" s="24" t="n">
        <f aca="false">IF(IFERROR(INDEX(tsk_Name,(ROW()-ROW(MSPTasks[[#Headers],[ID]])))="",TRUE()),"",INDEX(tsk_ID,(ROW()-ROW(MSPTasks[[#Headers],[ID]]))))</f>
        <v>16</v>
      </c>
      <c r="B17" s="24" t="n">
        <f aca="false">IF(IFERROR(INDEX(tsk_Name,(ROW()-ROW(MSPTasks[[#Headers],[ID]])))="",TRUE()),"",INDEX(tsk_UID,(ROW()-ROW(MSPTasks[[#Headers],[ID]]))))</f>
        <v>16</v>
      </c>
      <c r="C17" s="24" t="str">
        <f aca="false">IF(IFERROR(INDEX(tsk_Name,(ROW()-ROW(MSPTasks[[#Headers],[ID]])))="",TRUE()),"",INDEX(tsk_Name,(ROW()-ROW(MSPTasks[[#Headers],[ID]]))))</f>
        <v>UI component library</v>
      </c>
      <c r="D17" s="24" t="n">
        <f aca="false">IF(IFERROR(INDEX(tsk_Name,(ROW()-ROW(MSPTasks[[#Headers],[ID]])))="",TRUE()),"",INDEX(tsk_Level,(ROW()-ROW(MSPTasks[[#Headers],[ID]]))))</f>
        <v>3</v>
      </c>
      <c r="E17" s="24" t="str">
        <f aca="false">IF(IFERROR(INDEX(tsk_Name,(ROW()-ROW(MSPTasks[[#Headers],[ID]])))="",TRUE()),"",IF(INDEX(tsk_Mode,(ROW()-ROW(MSPTasks[[#Headers],[ID]])))="Manual","Manually Scheduled","Auto Scheduled"))</f>
        <v>Auto Scheduled</v>
      </c>
      <c r="F17" s="24" t="str">
        <f aca="false">IF(IFERROR(INDEX(tsk_Name,(ROW()-ROW(MSPTasks[[#Headers],[ID]])))="",TRUE()),"",IF(INDEX(tsk_IsSummary,(ROW()-ROW(MSPTasks[[#Headers],[ID]]))),"",N(INDEX(tsk_Duration,(ROW()-ROW(MSPTasks[[#Headers],[ID]]))))&amp;"d"))</f>
        <v>6d</v>
      </c>
      <c r="G17" s="137" t="n">
        <f aca="false">IF(IFERROR(INDEX(tsk_Name,(ROW()-ROW(MSPTasks[[#Headers],[ID]])))="",TRUE()),"",INDEX(tsk_FcStart,(ROW()-ROW(MSPTasks[[#Headers],[ID]]))))</f>
        <v>46302</v>
      </c>
      <c r="H17" s="137" t="n">
        <f aca="false">IF(IFERROR(INDEX(tsk_Name,(ROW()-ROW(MSPTasks[[#Headers],[ID]])))="",TRUE()),"",INDEX(tsk_FcFinish,(ROW()-ROW(MSPTasks[[#Headers],[ID]]))))</f>
        <v>46311</v>
      </c>
      <c r="I17" s="24" t="str">
        <f aca="false">IF(IFERROR(INDEX(tsk_Name,(ROW()-ROW(MSPTasks[[#Headers],[ID]])))="",TRUE()),"",IF(INDEX(tsk_IsSummary,(ROW()-ROW(MSPTasks[[#Headers],[ID]]))),"",INDEX(tsk_Predecessors,(ROW()-ROW(MSPTasks[[#Headers],[ID]])))))</f>
        <v>9</v>
      </c>
      <c r="J17" s="24" t="str">
        <f aca="false">IF(IFERROR(INDEX(tsk_Name,(ROW()-ROW(MSPTasks[[#Headers],[ID]])))="",TRUE()),"",IF(INDEX(tsk_IsSummary,(ROW()-ROW(MSPTasks[[#Headers],[ID]]))),"",INDEX(tsk_UIDPredecessors,(ROW()-ROW(MSPTasks[[#Headers],[ID]])))))</f>
        <v>9</v>
      </c>
      <c r="K17" s="24" t="str">
        <f aca="false">IF(IFERROR(INDEX(tsk_Name,(ROW()-ROW(MSPTasks[[#Headers],[ID]])))="",TRUE()),"",INDEX(tsk_ResourceNames,(ROW()-ROW(MSPTasks[[#Headers],[ID]])))&amp;"")</f>
        <v>Sam Rivera</v>
      </c>
      <c r="L17" s="24" t="n">
        <f aca="false">IF(IFERROR(INDEX(tsk_Name,(ROW()-ROW(MSPTasks[[#Headers],[ID]])))="",TRUE()),"",IF(INDEX(tsk_IsSummary,(ROW()-ROW(MSPTasks[[#Headers],[ID]]))),"",ROUND(INDEX(tsk_Progress,(ROW()-ROW(MSPTasks[[#Headers],[ID]])))*100,0)))</f>
        <v>100</v>
      </c>
      <c r="M17" s="137" t="n">
        <f aca="false">IF(IFERROR(INDEX(tsk_Name,(ROW()-ROW(MSPTasks[[#Headers],[ID]])))="",TRUE()),"",IF(N(INDEX(tsk_ActStart,(ROW()-ROW(MSPTasks[[#Headers],[ID]]))))=0,"",INDEX(tsk_ActStart,(ROW()-ROW(MSPTasks[[#Headers],[ID]])))))</f>
        <v>46302</v>
      </c>
      <c r="N17" s="137" t="n">
        <f aca="false">IF(IFERROR(INDEX(tsk_Name,(ROW()-ROW(MSPTasks[[#Headers],[ID]])))="",TRUE()),"",IF(N(INDEX(tsk_ActFinish,(ROW()-ROW(MSPTasks[[#Headers],[ID]]))))=0,"",INDEX(tsk_ActFinish,(ROW()-ROW(MSPTasks[[#Headers],[ID]])))))</f>
        <v>46311</v>
      </c>
      <c r="O17" s="137" t="n">
        <f aca="false">IF(IFERROR(INDEX(tsk_Name,(ROW()-ROW(MSPTasks[[#Headers],[ID]])))="",TRUE()),"",INDEX(tsk_PlanStart,(ROW()-ROW(MSPTasks[[#Headers],[ID]]))))</f>
        <v>46297</v>
      </c>
      <c r="P17" s="137" t="n">
        <f aca="false">IF(IFERROR(INDEX(tsk_Name,(ROW()-ROW(MSPTasks[[#Headers],[ID]])))="",TRUE()),"",INDEX(tsk_PlanFinish,(ROW()-ROW(MSPTasks[[#Headers],[ID]]))))</f>
        <v>46304</v>
      </c>
      <c r="Q17" s="24" t="str">
        <f aca="false">IF(IFERROR(INDEX(tsk_Name,(ROW()-ROW(MSPTasks[[#Headers],[ID]])))="",TRUE()),"",IF(INDEX(tsk_BaseDuration,(ROW()-ROW(MSPTasks[[#Headers],[ID]])))="","",N(INDEX(tsk_BaseDuration,(ROW()-ROW(MSPTasks[[#Headers],[ID]]))))&amp;"d"))</f>
        <v/>
      </c>
      <c r="R17" s="24" t="str">
        <f aca="false">IF(IFERROR(INDEX(tsk_Name,(ROW()-ROW(MSPTasks[[#Headers],[ID]])))="",TRUE()),"",IF(INDEX(tsk_BaseWork,(ROW()-ROW(MSPTasks[[#Headers],[ID]])))="","",N(INDEX(tsk_BaseWork,(ROW()-ROW(MSPTasks[[#Headers],[ID]]))))&amp;"h"))</f>
        <v/>
      </c>
      <c r="S17" s="24" t="str">
        <f aca="false">IF(IFERROR(INDEX(tsk_Name,(ROW()-ROW(MSPTasks[[#Headers],[ID]])))="",TRUE()),"",IF(INDEX(tsk_BaseCost,(ROW()-ROW(MSPTasks[[#Headers],[ID]])))="","",N(INDEX(tsk_BaseCost,(ROW()-ROW(MSPTasks[[#Headers],[ID]]))))))</f>
        <v/>
      </c>
      <c r="T17" s="24" t="str">
        <f aca="false">IF(IFERROR(INDEX(tsk_Name,(ROW()-ROW(MSPTasks[[#Headers],[ID]])))="",TRUE()),"",IF(INDEX(tsk_IsSummary,(ROW()-ROW(MSPTasks[[#Headers],[ID]]))),"",IF(N(INDEX(tsk_ActCostInput,(ROW()-ROW(MSPTasks[[#Headers],[ID]]))))=0,"",INDEX(tsk_ActCostInput,(ROW()-ROW(MSPTasks[[#Headers],[ID]]))))))</f>
        <v/>
      </c>
      <c r="U1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7" s="137" t="str">
        <f aca="false">IF(IFERROR(INDEX(tsk_Name,(ROW()-ROW(MSPTasks[[#Headers],[ID]])))="",TRUE()),"",IF(OR(INDEX(tsk_IsSummary,(ROW()-ROW(MSPTasks[[#Headers],[ID]]))),INDEX(tsk_Mode,(ROW()-ROW(MSPTasks[[#Headers],[ID]])))="Manual"),"",IF(N(INDEX(tsk_ConstraintCode,(ROW()-ROW(MSPTasks[[#Headers],[ID]]))))&lt;2,"",INDEX(tsk_Constraint,(ROW()-ROW(MSPTasks[[#Headers],[ID]]))))))</f>
        <v/>
      </c>
      <c r="W17" s="137" t="str">
        <f aca="false">IF(IFERROR(INDEX(tsk_Name,(ROW()-ROW(MSPTasks[[#Headers],[ID]])))="",TRUE()),"",IF(N(INDEX(tsk_Deadline,(ROW()-ROW(MSPTasks[[#Headers],[ID]]))))=0,"",INDEX(tsk_Deadline,(ROW()-ROW(MSPTasks[[#Headers],[ID]])))))</f>
        <v/>
      </c>
      <c r="X17" s="24" t="str">
        <f aca="false">IF(IFERROR(INDEX(tsk_Name,(ROW()-ROW(MSPTasks[[#Headers],[ID]])))="",TRUE()),"",IF(INDEX(tsk_IsSummary,(ROW()-ROW(MSPTasks[[#Headers],[ID]]))),"",INDEX(tsk_Sprint,(ROW()-ROW(MSPTasks[[#Headers],[ID]])))&amp;""))</f>
        <v>Sprint 3</v>
      </c>
      <c r="Y17" s="85" t="n">
        <f aca="false">IF(IFERROR(INDEX(tsk_Name,(ROW()-ROW(MSPTasks[[#Headers],[ID]])))="",TRUE()),"",IF(INDEX(tsk_IsSummary,(ROW()-ROW(MSPTasks[[#Headers],[ID]]))),"",IF(N(INDEX(tsk_StoryPoints,(ROW()-ROW(MSPTasks[[#Headers],[ID]]))))=0,"",INDEX(tsk_StoryPoints,(ROW()-ROW(MSPTasks[[#Headers],[ID]]))))))</f>
        <v>5</v>
      </c>
      <c r="Z17" s="24" t="str">
        <f aca="false">IF(IFERROR(INDEX(tsk_Name,(ROW()-ROW(MSPTasks[[#Headers],[ID]])))="",TRUE()),"",INDEX(tsk_Notes,(ROW()-ROW(MSPTasks[[#Headers],[ID]])))&amp;"")</f>
        <v/>
      </c>
    </row>
    <row r="18" customFormat="false" ht="15" hidden="false" customHeight="false" outlineLevel="0" collapsed="false">
      <c r="A18" s="24" t="n">
        <f aca="false">IF(IFERROR(INDEX(tsk_Name,(ROW()-ROW(MSPTasks[[#Headers],[ID]])))="",TRUE()),"",INDEX(tsk_ID,(ROW()-ROW(MSPTasks[[#Headers],[ID]]))))</f>
        <v>17</v>
      </c>
      <c r="B18" s="24" t="n">
        <f aca="false">IF(IFERROR(INDEX(tsk_Name,(ROW()-ROW(MSPTasks[[#Headers],[ID]])))="",TRUE()),"",INDEX(tsk_UID,(ROW()-ROW(MSPTasks[[#Headers],[ID]]))))</f>
        <v>17</v>
      </c>
      <c r="C18" s="24" t="str">
        <f aca="false">IF(IFERROR(INDEX(tsk_Name,(ROW()-ROW(MSPTasks[[#Headers],[ID]])))="",TRUE()),"",INDEX(tsk_Name,(ROW()-ROW(MSPTasks[[#Headers],[ID]]))))</f>
        <v>Feature screens</v>
      </c>
      <c r="D18" s="24" t="n">
        <f aca="false">IF(IFERROR(INDEX(tsk_Name,(ROW()-ROW(MSPTasks[[#Headers],[ID]])))="",TRUE()),"",INDEX(tsk_Level,(ROW()-ROW(MSPTasks[[#Headers],[ID]]))))</f>
        <v>3</v>
      </c>
      <c r="E18" s="24" t="str">
        <f aca="false">IF(IFERROR(INDEX(tsk_Name,(ROW()-ROW(MSPTasks[[#Headers],[ID]])))="",TRUE()),"",IF(INDEX(tsk_Mode,(ROW()-ROW(MSPTasks[[#Headers],[ID]])))="Manual","Manually Scheduled","Auto Scheduled"))</f>
        <v>Auto Scheduled</v>
      </c>
      <c r="F18" s="24" t="str">
        <f aca="false">IF(IFERROR(INDEX(tsk_Name,(ROW()-ROW(MSPTasks[[#Headers],[ID]])))="",TRUE()),"",IF(INDEX(tsk_IsSummary,(ROW()-ROW(MSPTasks[[#Headers],[ID]]))),"",N(INDEX(tsk_Duration,(ROW()-ROW(MSPTasks[[#Headers],[ID]]))))&amp;"d"))</f>
        <v>12d</v>
      </c>
      <c r="G18" s="137" t="n">
        <f aca="false">IF(IFERROR(INDEX(tsk_Name,(ROW()-ROW(MSPTasks[[#Headers],[ID]])))="",TRUE()),"",INDEX(tsk_FcStart,(ROW()-ROW(MSPTasks[[#Headers],[ID]]))))</f>
        <v>46314</v>
      </c>
      <c r="H18" s="137" t="n">
        <f aca="false">IF(IFERROR(INDEX(tsk_Name,(ROW()-ROW(MSPTasks[[#Headers],[ID]])))="",TRUE()),"",INDEX(tsk_FcFinish,(ROW()-ROW(MSPTasks[[#Headers],[ID]]))))</f>
        <v>46331</v>
      </c>
      <c r="I18" s="24" t="str">
        <f aca="false">IF(IFERROR(INDEX(tsk_Name,(ROW()-ROW(MSPTasks[[#Headers],[ID]])))="",TRUE()),"",IF(INDEX(tsk_IsSummary,(ROW()-ROW(MSPTasks[[#Headers],[ID]]))),"",INDEX(tsk_Predecessors,(ROW()-ROW(MSPTasks[[#Headers],[ID]])))))</f>
        <v>16,13SS+2d</v>
      </c>
      <c r="J18" s="24" t="str">
        <f aca="false">IF(IFERROR(INDEX(tsk_Name,(ROW()-ROW(MSPTasks[[#Headers],[ID]])))="",TRUE()),"",IF(INDEX(tsk_IsSummary,(ROW()-ROW(MSPTasks[[#Headers],[ID]]))),"",INDEX(tsk_UIDPredecessors,(ROW()-ROW(MSPTasks[[#Headers],[ID]])))))</f>
        <v>16,13SS+2d</v>
      </c>
      <c r="K18" s="24" t="str">
        <f aca="false">IF(IFERROR(INDEX(tsk_Name,(ROW()-ROW(MSPTasks[[#Headers],[ID]])))="",TRUE()),"",INDEX(tsk_ResourceNames,(ROW()-ROW(MSPTasks[[#Headers],[ID]])))&amp;"")</f>
        <v>Sam Rivera, Casey Kim[50%]</v>
      </c>
      <c r="L18" s="24" t="n">
        <f aca="false">IF(IFERROR(INDEX(tsk_Name,(ROW()-ROW(MSPTasks[[#Headers],[ID]])))="",TRUE()),"",IF(INDEX(tsk_IsSummary,(ROW()-ROW(MSPTasks[[#Headers],[ID]]))),"",ROUND(INDEX(tsk_Progress,(ROW()-ROW(MSPTasks[[#Headers],[ID]])))*100,0)))</f>
        <v>25</v>
      </c>
      <c r="M18" s="137" t="n">
        <f aca="false">IF(IFERROR(INDEX(tsk_Name,(ROW()-ROW(MSPTasks[[#Headers],[ID]])))="",TRUE()),"",IF(N(INDEX(tsk_ActStart,(ROW()-ROW(MSPTasks[[#Headers],[ID]]))))=0,"",INDEX(tsk_ActStart,(ROW()-ROW(MSPTasks[[#Headers],[ID]])))))</f>
        <v>46314</v>
      </c>
      <c r="N18" s="137" t="str">
        <f aca="false">IF(IFERROR(INDEX(tsk_Name,(ROW()-ROW(MSPTasks[[#Headers],[ID]])))="",TRUE()),"",IF(N(INDEX(tsk_ActFinish,(ROW()-ROW(MSPTasks[[#Headers],[ID]]))))=0,"",INDEX(tsk_ActFinish,(ROW()-ROW(MSPTasks[[#Headers],[ID]])))))</f>
        <v/>
      </c>
      <c r="O18" s="137" t="n">
        <f aca="false">IF(IFERROR(INDEX(tsk_Name,(ROW()-ROW(MSPTasks[[#Headers],[ID]])))="",TRUE()),"",INDEX(tsk_PlanStart,(ROW()-ROW(MSPTasks[[#Headers],[ID]]))))</f>
        <v>46308</v>
      </c>
      <c r="P18" s="137" t="n">
        <f aca="false">IF(IFERROR(INDEX(tsk_Name,(ROW()-ROW(MSPTasks[[#Headers],[ID]])))="",TRUE()),"",INDEX(tsk_PlanFinish,(ROW()-ROW(MSPTasks[[#Headers],[ID]]))))</f>
        <v>46323</v>
      </c>
      <c r="Q18" s="24" t="str">
        <f aca="false">IF(IFERROR(INDEX(tsk_Name,(ROW()-ROW(MSPTasks[[#Headers],[ID]])))="",TRUE()),"",IF(INDEX(tsk_BaseDuration,(ROW()-ROW(MSPTasks[[#Headers],[ID]])))="","",N(INDEX(tsk_BaseDuration,(ROW()-ROW(MSPTasks[[#Headers],[ID]]))))&amp;"d"))</f>
        <v/>
      </c>
      <c r="R18" s="24" t="str">
        <f aca="false">IF(IFERROR(INDEX(tsk_Name,(ROW()-ROW(MSPTasks[[#Headers],[ID]])))="",TRUE()),"",IF(INDEX(tsk_BaseWork,(ROW()-ROW(MSPTasks[[#Headers],[ID]])))="","",N(INDEX(tsk_BaseWork,(ROW()-ROW(MSPTasks[[#Headers],[ID]]))))&amp;"h"))</f>
        <v/>
      </c>
      <c r="S18" s="24" t="str">
        <f aca="false">IF(IFERROR(INDEX(tsk_Name,(ROW()-ROW(MSPTasks[[#Headers],[ID]])))="",TRUE()),"",IF(INDEX(tsk_BaseCost,(ROW()-ROW(MSPTasks[[#Headers],[ID]])))="","",N(INDEX(tsk_BaseCost,(ROW()-ROW(MSPTasks[[#Headers],[ID]]))))))</f>
        <v/>
      </c>
      <c r="T18" s="24" t="str">
        <f aca="false">IF(IFERROR(INDEX(tsk_Name,(ROW()-ROW(MSPTasks[[#Headers],[ID]])))="",TRUE()),"",IF(INDEX(tsk_IsSummary,(ROW()-ROW(MSPTasks[[#Headers],[ID]]))),"",IF(N(INDEX(tsk_ActCostInput,(ROW()-ROW(MSPTasks[[#Headers],[ID]]))))=0,"",INDEX(tsk_ActCostInput,(ROW()-ROW(MSPTasks[[#Headers],[ID]]))))))</f>
        <v/>
      </c>
      <c r="U1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8" s="137" t="str">
        <f aca="false">IF(IFERROR(INDEX(tsk_Name,(ROW()-ROW(MSPTasks[[#Headers],[ID]])))="",TRUE()),"",IF(OR(INDEX(tsk_IsSummary,(ROW()-ROW(MSPTasks[[#Headers],[ID]]))),INDEX(tsk_Mode,(ROW()-ROW(MSPTasks[[#Headers],[ID]])))="Manual"),"",IF(N(INDEX(tsk_ConstraintCode,(ROW()-ROW(MSPTasks[[#Headers],[ID]]))))&lt;2,"",INDEX(tsk_Constraint,(ROW()-ROW(MSPTasks[[#Headers],[ID]]))))))</f>
        <v/>
      </c>
      <c r="W18" s="137" t="str">
        <f aca="false">IF(IFERROR(INDEX(tsk_Name,(ROW()-ROW(MSPTasks[[#Headers],[ID]])))="",TRUE()),"",IF(N(INDEX(tsk_Deadline,(ROW()-ROW(MSPTasks[[#Headers],[ID]]))))=0,"",INDEX(tsk_Deadline,(ROW()-ROW(MSPTasks[[#Headers],[ID]])))))</f>
        <v/>
      </c>
      <c r="X18" s="24" t="str">
        <f aca="false">IF(IFERROR(INDEX(tsk_Name,(ROW()-ROW(MSPTasks[[#Headers],[ID]])))="",TRUE()),"",IF(INDEX(tsk_IsSummary,(ROW()-ROW(MSPTasks[[#Headers],[ID]]))),"",INDEX(tsk_Sprint,(ROW()-ROW(MSPTasks[[#Headers],[ID]])))&amp;""))</f>
        <v>Sprint 4</v>
      </c>
      <c r="Y18" s="85" t="n">
        <f aca="false">IF(IFERROR(INDEX(tsk_Name,(ROW()-ROW(MSPTasks[[#Headers],[ID]])))="",TRUE()),"",IF(INDEX(tsk_IsSummary,(ROW()-ROW(MSPTasks[[#Headers],[ID]]))),"",IF(N(INDEX(tsk_StoryPoints,(ROW()-ROW(MSPTasks[[#Headers],[ID]]))))=0,"",INDEX(tsk_StoryPoints,(ROW()-ROW(MSPTasks[[#Headers],[ID]]))))))</f>
        <v>8</v>
      </c>
      <c r="Z18" s="24" t="str">
        <f aca="false">IF(IFERROR(INDEX(tsk_Name,(ROW()-ROW(MSPTasks[[#Headers],[ID]])))="",TRUE()),"",INDEX(tsk_Notes,(ROW()-ROW(MSPTasks[[#Headers],[ID]])))&amp;"")</f>
        <v/>
      </c>
    </row>
    <row r="19" customFormat="false" ht="15" hidden="false" customHeight="false" outlineLevel="0" collapsed="false">
      <c r="A19" s="24" t="n">
        <f aca="false">IF(IFERROR(INDEX(tsk_Name,(ROW()-ROW(MSPTasks[[#Headers],[ID]])))="",TRUE()),"",INDEX(tsk_ID,(ROW()-ROW(MSPTasks[[#Headers],[ID]]))))</f>
        <v>18</v>
      </c>
      <c r="B19" s="24" t="n">
        <f aca="false">IF(IFERROR(INDEX(tsk_Name,(ROW()-ROW(MSPTasks[[#Headers],[ID]])))="",TRUE()),"",INDEX(tsk_UID,(ROW()-ROW(MSPTasks[[#Headers],[ID]]))))</f>
        <v>18</v>
      </c>
      <c r="C19" s="24" t="str">
        <f aca="false">IF(IFERROR(INDEX(tsk_Name,(ROW()-ROW(MSPTasks[[#Headers],[ID]])))="",TRUE()),"",INDEX(tsk_Name,(ROW()-ROW(MSPTasks[[#Headers],[ID]]))))</f>
        <v>Accessibility review</v>
      </c>
      <c r="D19" s="24" t="n">
        <f aca="false">IF(IFERROR(INDEX(tsk_Name,(ROW()-ROW(MSPTasks[[#Headers],[ID]])))="",TRUE()),"",INDEX(tsk_Level,(ROW()-ROW(MSPTasks[[#Headers],[ID]]))))</f>
        <v>3</v>
      </c>
      <c r="E19" s="24" t="str">
        <f aca="false">IF(IFERROR(INDEX(tsk_Name,(ROW()-ROW(MSPTasks[[#Headers],[ID]])))="",TRUE()),"",IF(INDEX(tsk_Mode,(ROW()-ROW(MSPTasks[[#Headers],[ID]])))="Manual","Manually Scheduled","Auto Scheduled"))</f>
        <v>Auto Scheduled</v>
      </c>
      <c r="F19" s="24" t="str">
        <f aca="false">IF(IFERROR(INDEX(tsk_Name,(ROW()-ROW(MSPTasks[[#Headers],[ID]])))="",TRUE()),"",IF(INDEX(tsk_IsSummary,(ROW()-ROW(MSPTasks[[#Headers],[ID]]))),"",N(INDEX(tsk_Duration,(ROW()-ROW(MSPTasks[[#Headers],[ID]]))))&amp;"d"))</f>
        <v>3d</v>
      </c>
      <c r="G19" s="137" t="n">
        <f aca="false">IF(IFERROR(INDEX(tsk_Name,(ROW()-ROW(MSPTasks[[#Headers],[ID]])))="",TRUE()),"",INDEX(tsk_FcStart,(ROW()-ROW(MSPTasks[[#Headers],[ID]]))))</f>
        <v>46330</v>
      </c>
      <c r="H19" s="137" t="n">
        <f aca="false">IF(IFERROR(INDEX(tsk_Name,(ROW()-ROW(MSPTasks[[#Headers],[ID]])))="",TRUE()),"",INDEX(tsk_FcFinish,(ROW()-ROW(MSPTasks[[#Headers],[ID]]))))</f>
        <v>46332</v>
      </c>
      <c r="I19" s="24" t="str">
        <f aca="false">IF(IFERROR(INDEX(tsk_Name,(ROW()-ROW(MSPTasks[[#Headers],[ID]])))="",TRUE()),"",IF(INDEX(tsk_IsSummary,(ROW()-ROW(MSPTasks[[#Headers],[ID]]))),"",INDEX(tsk_Predecessors,(ROW()-ROW(MSPTasks[[#Headers],[ID]])))))</f>
        <v>17FF+1d</v>
      </c>
      <c r="J19" s="24" t="str">
        <f aca="false">IF(IFERROR(INDEX(tsk_Name,(ROW()-ROW(MSPTasks[[#Headers],[ID]])))="",TRUE()),"",IF(INDEX(tsk_IsSummary,(ROW()-ROW(MSPTasks[[#Headers],[ID]]))),"",INDEX(tsk_UIDPredecessors,(ROW()-ROW(MSPTasks[[#Headers],[ID]])))))</f>
        <v>17FF+1d</v>
      </c>
      <c r="K19" s="24" t="str">
        <f aca="false">IF(IFERROR(INDEX(tsk_Name,(ROW()-ROW(MSPTasks[[#Headers],[ID]])))="",TRUE()),"",INDEX(tsk_ResourceNames,(ROW()-ROW(MSPTasks[[#Headers],[ID]])))&amp;"")</f>
        <v>Casey Kim[50%]</v>
      </c>
      <c r="L19" s="24" t="n">
        <f aca="false">IF(IFERROR(INDEX(tsk_Name,(ROW()-ROW(MSPTasks[[#Headers],[ID]])))="",TRUE()),"",IF(INDEX(tsk_IsSummary,(ROW()-ROW(MSPTasks[[#Headers],[ID]]))),"",ROUND(INDEX(tsk_Progress,(ROW()-ROW(MSPTasks[[#Headers],[ID]])))*100,0)))</f>
        <v>0</v>
      </c>
      <c r="M19" s="137" t="str">
        <f aca="false">IF(IFERROR(INDEX(tsk_Name,(ROW()-ROW(MSPTasks[[#Headers],[ID]])))="",TRUE()),"",IF(N(INDEX(tsk_ActStart,(ROW()-ROW(MSPTasks[[#Headers],[ID]]))))=0,"",INDEX(tsk_ActStart,(ROW()-ROW(MSPTasks[[#Headers],[ID]])))))</f>
        <v/>
      </c>
      <c r="N19" s="137" t="str">
        <f aca="false">IF(IFERROR(INDEX(tsk_Name,(ROW()-ROW(MSPTasks[[#Headers],[ID]])))="",TRUE()),"",IF(N(INDEX(tsk_ActFinish,(ROW()-ROW(MSPTasks[[#Headers],[ID]]))))=0,"",INDEX(tsk_ActFinish,(ROW()-ROW(MSPTasks[[#Headers],[ID]])))))</f>
        <v/>
      </c>
      <c r="O19" s="137" t="n">
        <f aca="false">IF(IFERROR(INDEX(tsk_Name,(ROW()-ROW(MSPTasks[[#Headers],[ID]])))="",TRUE()),"",INDEX(tsk_PlanStart,(ROW()-ROW(MSPTasks[[#Headers],[ID]]))))</f>
        <v>46322</v>
      </c>
      <c r="P19" s="137" t="n">
        <f aca="false">IF(IFERROR(INDEX(tsk_Name,(ROW()-ROW(MSPTasks[[#Headers],[ID]])))="",TRUE()),"",INDEX(tsk_PlanFinish,(ROW()-ROW(MSPTasks[[#Headers],[ID]]))))</f>
        <v>46324</v>
      </c>
      <c r="Q19" s="24" t="str">
        <f aca="false">IF(IFERROR(INDEX(tsk_Name,(ROW()-ROW(MSPTasks[[#Headers],[ID]])))="",TRUE()),"",IF(INDEX(tsk_BaseDuration,(ROW()-ROW(MSPTasks[[#Headers],[ID]])))="","",N(INDEX(tsk_BaseDuration,(ROW()-ROW(MSPTasks[[#Headers],[ID]]))))&amp;"d"))</f>
        <v/>
      </c>
      <c r="R19" s="24" t="str">
        <f aca="false">IF(IFERROR(INDEX(tsk_Name,(ROW()-ROW(MSPTasks[[#Headers],[ID]])))="",TRUE()),"",IF(INDEX(tsk_BaseWork,(ROW()-ROW(MSPTasks[[#Headers],[ID]])))="","",N(INDEX(tsk_BaseWork,(ROW()-ROW(MSPTasks[[#Headers],[ID]]))))&amp;"h"))</f>
        <v/>
      </c>
      <c r="S19" s="24" t="str">
        <f aca="false">IF(IFERROR(INDEX(tsk_Name,(ROW()-ROW(MSPTasks[[#Headers],[ID]])))="",TRUE()),"",IF(INDEX(tsk_BaseCost,(ROW()-ROW(MSPTasks[[#Headers],[ID]])))="","",N(INDEX(tsk_BaseCost,(ROW()-ROW(MSPTasks[[#Headers],[ID]]))))))</f>
        <v/>
      </c>
      <c r="T19" s="24" t="str">
        <f aca="false">IF(IFERROR(INDEX(tsk_Name,(ROW()-ROW(MSPTasks[[#Headers],[ID]])))="",TRUE()),"",IF(INDEX(tsk_IsSummary,(ROW()-ROW(MSPTasks[[#Headers],[ID]]))),"",IF(N(INDEX(tsk_ActCostInput,(ROW()-ROW(MSPTasks[[#Headers],[ID]]))))=0,"",INDEX(tsk_ActCostInput,(ROW()-ROW(MSPTasks[[#Headers],[ID]]))))))</f>
        <v/>
      </c>
      <c r="U1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19" s="137" t="str">
        <f aca="false">IF(IFERROR(INDEX(tsk_Name,(ROW()-ROW(MSPTasks[[#Headers],[ID]])))="",TRUE()),"",IF(OR(INDEX(tsk_IsSummary,(ROW()-ROW(MSPTasks[[#Headers],[ID]]))),INDEX(tsk_Mode,(ROW()-ROW(MSPTasks[[#Headers],[ID]])))="Manual"),"",IF(N(INDEX(tsk_ConstraintCode,(ROW()-ROW(MSPTasks[[#Headers],[ID]]))))&lt;2,"",INDEX(tsk_Constraint,(ROW()-ROW(MSPTasks[[#Headers],[ID]]))))))</f>
        <v/>
      </c>
      <c r="W19" s="137" t="str">
        <f aca="false">IF(IFERROR(INDEX(tsk_Name,(ROW()-ROW(MSPTasks[[#Headers],[ID]])))="",TRUE()),"",IF(N(INDEX(tsk_Deadline,(ROW()-ROW(MSPTasks[[#Headers],[ID]]))))=0,"",INDEX(tsk_Deadline,(ROW()-ROW(MSPTasks[[#Headers],[ID]])))))</f>
        <v/>
      </c>
      <c r="X19" s="24" t="str">
        <f aca="false">IF(IFERROR(INDEX(tsk_Name,(ROW()-ROW(MSPTasks[[#Headers],[ID]])))="",TRUE()),"",IF(INDEX(tsk_IsSummary,(ROW()-ROW(MSPTasks[[#Headers],[ID]]))),"",INDEX(tsk_Sprint,(ROW()-ROW(MSPTasks[[#Headers],[ID]])))&amp;""))</f>
        <v>Sprint 5</v>
      </c>
      <c r="Y19" s="85" t="n">
        <f aca="false">IF(IFERROR(INDEX(tsk_Name,(ROW()-ROW(MSPTasks[[#Headers],[ID]])))="",TRUE()),"",IF(INDEX(tsk_IsSummary,(ROW()-ROW(MSPTasks[[#Headers],[ID]]))),"",IF(N(INDEX(tsk_StoryPoints,(ROW()-ROW(MSPTasks[[#Headers],[ID]]))))=0,"",INDEX(tsk_StoryPoints,(ROW()-ROW(MSPTasks[[#Headers],[ID]]))))))</f>
        <v>3</v>
      </c>
      <c r="Z19" s="24" t="str">
        <f aca="false">IF(IFERROR(INDEX(tsk_Name,(ROW()-ROW(MSPTasks[[#Headers],[ID]])))="",TRUE()),"",INDEX(tsk_Notes,(ROW()-ROW(MSPTasks[[#Headers],[ID]])))&amp;"")</f>
        <v>Finish-to-Finish + 1 day; 50% units.</v>
      </c>
    </row>
    <row r="20" customFormat="false" ht="15" hidden="false" customHeight="false" outlineLevel="0" collapsed="false">
      <c r="A20" s="24" t="n">
        <f aca="false">IF(IFERROR(INDEX(tsk_Name,(ROW()-ROW(MSPTasks[[#Headers],[ID]])))="",TRUE()),"",INDEX(tsk_ID,(ROW()-ROW(MSPTasks[[#Headers],[ID]]))))</f>
        <v>19</v>
      </c>
      <c r="B20" s="24" t="n">
        <f aca="false">IF(IFERROR(INDEX(tsk_Name,(ROW()-ROW(MSPTasks[[#Headers],[ID]])))="",TRUE()),"",INDEX(tsk_UID,(ROW()-ROW(MSPTasks[[#Headers],[ID]]))))</f>
        <v>19</v>
      </c>
      <c r="C20" s="24" t="str">
        <f aca="false">IF(IFERROR(INDEX(tsk_Name,(ROW()-ROW(MSPTasks[[#Headers],[ID]])))="",TRUE()),"",INDEX(tsk_Name,(ROW()-ROW(MSPTasks[[#Headers],[ID]]))))</f>
        <v>Build complete</v>
      </c>
      <c r="D20" s="24" t="n">
        <f aca="false">IF(IFERROR(INDEX(tsk_Name,(ROW()-ROW(MSPTasks[[#Headers],[ID]])))="",TRUE()),"",INDEX(tsk_Level,(ROW()-ROW(MSPTasks[[#Headers],[ID]]))))</f>
        <v>2</v>
      </c>
      <c r="E20" s="24" t="str">
        <f aca="false">IF(IFERROR(INDEX(tsk_Name,(ROW()-ROW(MSPTasks[[#Headers],[ID]])))="",TRUE()),"",IF(INDEX(tsk_Mode,(ROW()-ROW(MSPTasks[[#Headers],[ID]])))="Manual","Manually Scheduled","Auto Scheduled"))</f>
        <v>Auto Scheduled</v>
      </c>
      <c r="F20" s="24" t="str">
        <f aca="false">IF(IFERROR(INDEX(tsk_Name,(ROW()-ROW(MSPTasks[[#Headers],[ID]])))="",TRUE()),"",IF(INDEX(tsk_IsSummary,(ROW()-ROW(MSPTasks[[#Headers],[ID]]))),"",N(INDEX(tsk_Duration,(ROW()-ROW(MSPTasks[[#Headers],[ID]]))))&amp;"d"))</f>
        <v>0d</v>
      </c>
      <c r="G20" s="137" t="n">
        <f aca="false">IF(IFERROR(INDEX(tsk_Name,(ROW()-ROW(MSPTasks[[#Headers],[ID]])))="",TRUE()),"",INDEX(tsk_FcStart,(ROW()-ROW(MSPTasks[[#Headers],[ID]]))))</f>
        <v>46335</v>
      </c>
      <c r="H20" s="137" t="n">
        <f aca="false">IF(IFERROR(INDEX(tsk_Name,(ROW()-ROW(MSPTasks[[#Headers],[ID]])))="",TRUE()),"",INDEX(tsk_FcFinish,(ROW()-ROW(MSPTasks[[#Headers],[ID]]))))</f>
        <v>46335</v>
      </c>
      <c r="I20" s="24" t="str">
        <f aca="false">IF(IFERROR(INDEX(tsk_Name,(ROW()-ROW(MSPTasks[[#Headers],[ID]])))="",TRUE()),"",IF(INDEX(tsk_IsSummary,(ROW()-ROW(MSPTasks[[#Headers],[ID]]))),"",INDEX(tsk_Predecessors,(ROW()-ROW(MSPTasks[[#Headers],[ID]])))))</f>
        <v>14,18</v>
      </c>
      <c r="J20" s="24" t="str">
        <f aca="false">IF(IFERROR(INDEX(tsk_Name,(ROW()-ROW(MSPTasks[[#Headers],[ID]])))="",TRUE()),"",IF(INDEX(tsk_IsSummary,(ROW()-ROW(MSPTasks[[#Headers],[ID]]))),"",INDEX(tsk_UIDPredecessors,(ROW()-ROW(MSPTasks[[#Headers],[ID]])))))</f>
        <v>14,18</v>
      </c>
      <c r="K20" s="24" t="str">
        <f aca="false">IF(IFERROR(INDEX(tsk_Name,(ROW()-ROW(MSPTasks[[#Headers],[ID]])))="",TRUE()),"",INDEX(tsk_ResourceNames,(ROW()-ROW(MSPTasks[[#Headers],[ID]])))&amp;"")</f>
        <v/>
      </c>
      <c r="L20" s="24" t="n">
        <f aca="false">IF(IFERROR(INDEX(tsk_Name,(ROW()-ROW(MSPTasks[[#Headers],[ID]])))="",TRUE()),"",IF(INDEX(tsk_IsSummary,(ROW()-ROW(MSPTasks[[#Headers],[ID]]))),"",ROUND(INDEX(tsk_Progress,(ROW()-ROW(MSPTasks[[#Headers],[ID]])))*100,0)))</f>
        <v>0</v>
      </c>
      <c r="M20" s="137" t="str">
        <f aca="false">IF(IFERROR(INDEX(tsk_Name,(ROW()-ROW(MSPTasks[[#Headers],[ID]])))="",TRUE()),"",IF(N(INDEX(tsk_ActStart,(ROW()-ROW(MSPTasks[[#Headers],[ID]]))))=0,"",INDEX(tsk_ActStart,(ROW()-ROW(MSPTasks[[#Headers],[ID]])))))</f>
        <v/>
      </c>
      <c r="N20" s="137" t="str">
        <f aca="false">IF(IFERROR(INDEX(tsk_Name,(ROW()-ROW(MSPTasks[[#Headers],[ID]])))="",TRUE()),"",IF(N(INDEX(tsk_ActFinish,(ROW()-ROW(MSPTasks[[#Headers],[ID]]))))=0,"",INDEX(tsk_ActFinish,(ROW()-ROW(MSPTasks[[#Headers],[ID]])))))</f>
        <v/>
      </c>
      <c r="O20" s="137" t="n">
        <f aca="false">IF(IFERROR(INDEX(tsk_Name,(ROW()-ROW(MSPTasks[[#Headers],[ID]])))="",TRUE()),"",INDEX(tsk_PlanStart,(ROW()-ROW(MSPTasks[[#Headers],[ID]]))))</f>
        <v>46325</v>
      </c>
      <c r="P20" s="137" t="n">
        <f aca="false">IF(IFERROR(INDEX(tsk_Name,(ROW()-ROW(MSPTasks[[#Headers],[ID]])))="",TRUE()),"",INDEX(tsk_PlanFinish,(ROW()-ROW(MSPTasks[[#Headers],[ID]]))))</f>
        <v>46325</v>
      </c>
      <c r="Q20" s="24" t="str">
        <f aca="false">IF(IFERROR(INDEX(tsk_Name,(ROW()-ROW(MSPTasks[[#Headers],[ID]])))="",TRUE()),"",IF(INDEX(tsk_BaseDuration,(ROW()-ROW(MSPTasks[[#Headers],[ID]])))="","",N(INDEX(tsk_BaseDuration,(ROW()-ROW(MSPTasks[[#Headers],[ID]]))))&amp;"d"))</f>
        <v/>
      </c>
      <c r="R20" s="24" t="str">
        <f aca="false">IF(IFERROR(INDEX(tsk_Name,(ROW()-ROW(MSPTasks[[#Headers],[ID]])))="",TRUE()),"",IF(INDEX(tsk_BaseWork,(ROW()-ROW(MSPTasks[[#Headers],[ID]])))="","",N(INDEX(tsk_BaseWork,(ROW()-ROW(MSPTasks[[#Headers],[ID]]))))&amp;"h"))</f>
        <v/>
      </c>
      <c r="S20" s="24" t="str">
        <f aca="false">IF(IFERROR(INDEX(tsk_Name,(ROW()-ROW(MSPTasks[[#Headers],[ID]])))="",TRUE()),"",IF(INDEX(tsk_BaseCost,(ROW()-ROW(MSPTasks[[#Headers],[ID]])))="","",N(INDEX(tsk_BaseCost,(ROW()-ROW(MSPTasks[[#Headers],[ID]]))))))</f>
        <v/>
      </c>
      <c r="T20" s="24" t="str">
        <f aca="false">IF(IFERROR(INDEX(tsk_Name,(ROW()-ROW(MSPTasks[[#Headers],[ID]])))="",TRUE()),"",IF(INDEX(tsk_IsSummary,(ROW()-ROW(MSPTasks[[#Headers],[ID]]))),"",IF(N(INDEX(tsk_ActCostInput,(ROW()-ROW(MSPTasks[[#Headers],[ID]]))))=0,"",INDEX(tsk_ActCostInput,(ROW()-ROW(MSPTasks[[#Headers],[ID]]))))))</f>
        <v/>
      </c>
      <c r="U2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0" s="137" t="str">
        <f aca="false">IF(IFERROR(INDEX(tsk_Name,(ROW()-ROW(MSPTasks[[#Headers],[ID]])))="",TRUE()),"",IF(OR(INDEX(tsk_IsSummary,(ROW()-ROW(MSPTasks[[#Headers],[ID]]))),INDEX(tsk_Mode,(ROW()-ROW(MSPTasks[[#Headers],[ID]])))="Manual"),"",IF(N(INDEX(tsk_ConstraintCode,(ROW()-ROW(MSPTasks[[#Headers],[ID]]))))&lt;2,"",INDEX(tsk_Constraint,(ROW()-ROW(MSPTasks[[#Headers],[ID]]))))))</f>
        <v/>
      </c>
      <c r="W20" s="137" t="n">
        <f aca="false">IF(IFERROR(INDEX(tsk_Name,(ROW()-ROW(MSPTasks[[#Headers],[ID]])))="",TRUE()),"",IF(N(INDEX(tsk_Deadline,(ROW()-ROW(MSPTasks[[#Headers],[ID]]))))=0,"",INDEX(tsk_Deadline,(ROW()-ROW(MSPTasks[[#Headers],[ID]])))))</f>
        <v>46332</v>
      </c>
      <c r="X20" s="24" t="str">
        <f aca="false">IF(IFERROR(INDEX(tsk_Name,(ROW()-ROW(MSPTasks[[#Headers],[ID]])))="",TRUE()),"",IF(INDEX(tsk_IsSummary,(ROW()-ROW(MSPTasks[[#Headers],[ID]]))),"",INDEX(tsk_Sprint,(ROW()-ROW(MSPTasks[[#Headers],[ID]])))&amp;""))</f>
        <v>Sprint 5</v>
      </c>
      <c r="Y20" s="24" t="str">
        <f aca="false">IF(IFERROR(INDEX(tsk_Name,(ROW()-ROW(MSPTasks[[#Headers],[ID]])))="",TRUE()),"",IF(INDEX(tsk_IsSummary,(ROW()-ROW(MSPTasks[[#Headers],[ID]]))),"",IF(N(INDEX(tsk_StoryPoints,(ROW()-ROW(MSPTasks[[#Headers],[ID]]))))=0,"",INDEX(tsk_StoryPoints,(ROW()-ROW(MSPTasks[[#Headers],[ID]]))))))</f>
        <v/>
      </c>
      <c r="Z20" s="24" t="str">
        <f aca="false">IF(IFERROR(INDEX(tsk_Name,(ROW()-ROW(MSPTasks[[#Headers],[ID]])))="",TRUE()),"",INDEX(tsk_Notes,(ROW()-ROW(MSPTasks[[#Headers],[ID]])))&amp;"")</f>
        <v>Milestone with a deadline of 06-Nov (see Deadline Check).</v>
      </c>
    </row>
    <row r="21" customFormat="false" ht="15" hidden="false" customHeight="false" outlineLevel="0" collapsed="false">
      <c r="A21" s="24" t="n">
        <f aca="false">IF(IFERROR(INDEX(tsk_Name,(ROW()-ROW(MSPTasks[[#Headers],[ID]])))="",TRUE()),"",INDEX(tsk_ID,(ROW()-ROW(MSPTasks[[#Headers],[ID]]))))</f>
        <v>20</v>
      </c>
      <c r="B21" s="24" t="n">
        <f aca="false">IF(IFERROR(INDEX(tsk_Name,(ROW()-ROW(MSPTasks[[#Headers],[ID]])))="",TRUE()),"",INDEX(tsk_UID,(ROW()-ROW(MSPTasks[[#Headers],[ID]]))))</f>
        <v>20</v>
      </c>
      <c r="C21" s="24" t="str">
        <f aca="false">IF(IFERROR(INDEX(tsk_Name,(ROW()-ROW(MSPTasks[[#Headers],[ID]])))="",TRUE()),"",INDEX(tsk_Name,(ROW()-ROW(MSPTasks[[#Headers],[ID]]))))</f>
        <v>Test &amp; Release</v>
      </c>
      <c r="D21" s="24" t="n">
        <f aca="false">IF(IFERROR(INDEX(tsk_Name,(ROW()-ROW(MSPTasks[[#Headers],[ID]])))="",TRUE()),"",INDEX(tsk_Level,(ROW()-ROW(MSPTasks[[#Headers],[ID]]))))</f>
        <v>1</v>
      </c>
      <c r="E21" s="24" t="str">
        <f aca="false">IF(IFERROR(INDEX(tsk_Name,(ROW()-ROW(MSPTasks[[#Headers],[ID]])))="",TRUE()),"",IF(INDEX(tsk_Mode,(ROW()-ROW(MSPTasks[[#Headers],[ID]])))="Manual","Manually Scheduled","Auto Scheduled"))</f>
        <v>Auto Scheduled</v>
      </c>
      <c r="F21" s="24" t="str">
        <f aca="false">IF(IFERROR(INDEX(tsk_Name,(ROW()-ROW(MSPTasks[[#Headers],[ID]])))="",TRUE()),"",IF(INDEX(tsk_IsSummary,(ROW()-ROW(MSPTasks[[#Headers],[ID]]))),"",N(INDEX(tsk_Duration,(ROW()-ROW(MSPTasks[[#Headers],[ID]]))))&amp;"d"))</f>
        <v/>
      </c>
      <c r="G21" s="137" t="n">
        <f aca="false">IF(IFERROR(INDEX(tsk_Name,(ROW()-ROW(MSPTasks[[#Headers],[ID]])))="",TRUE()),"",INDEX(tsk_FcStart,(ROW()-ROW(MSPTasks[[#Headers],[ID]]))))</f>
        <v>46336</v>
      </c>
      <c r="H21" s="137" t="n">
        <f aca="false">IF(IFERROR(INDEX(tsk_Name,(ROW()-ROW(MSPTasks[[#Headers],[ID]])))="",TRUE()),"",INDEX(tsk_FcFinish,(ROW()-ROW(MSPTasks[[#Headers],[ID]]))))</f>
        <v>46391</v>
      </c>
      <c r="I21" s="24" t="str">
        <f aca="false">IF(IFERROR(INDEX(tsk_Name,(ROW()-ROW(MSPTasks[[#Headers],[ID]])))="",TRUE()),"",IF(INDEX(tsk_IsSummary,(ROW()-ROW(MSPTasks[[#Headers],[ID]]))),"",INDEX(tsk_Predecessors,(ROW()-ROW(MSPTasks[[#Headers],[ID]])))))</f>
        <v/>
      </c>
      <c r="J21" s="24" t="str">
        <f aca="false">IF(IFERROR(INDEX(tsk_Name,(ROW()-ROW(MSPTasks[[#Headers],[ID]])))="",TRUE()),"",IF(INDEX(tsk_IsSummary,(ROW()-ROW(MSPTasks[[#Headers],[ID]]))),"",INDEX(tsk_UIDPredecessors,(ROW()-ROW(MSPTasks[[#Headers],[ID]])))))</f>
        <v/>
      </c>
      <c r="K21" s="24" t="str">
        <f aca="false">IF(IFERROR(INDEX(tsk_Name,(ROW()-ROW(MSPTasks[[#Headers],[ID]])))="",TRUE()),"",INDEX(tsk_ResourceNames,(ROW()-ROW(MSPTasks[[#Headers],[ID]])))&amp;"")</f>
        <v/>
      </c>
      <c r="L21" s="24" t="str">
        <f aca="false">IF(IFERROR(INDEX(tsk_Name,(ROW()-ROW(MSPTasks[[#Headers],[ID]])))="",TRUE()),"",IF(INDEX(tsk_IsSummary,(ROW()-ROW(MSPTasks[[#Headers],[ID]]))),"",ROUND(INDEX(tsk_Progress,(ROW()-ROW(MSPTasks[[#Headers],[ID]])))*100,0)))</f>
        <v/>
      </c>
      <c r="M21" s="137" t="str">
        <f aca="false">IF(IFERROR(INDEX(tsk_Name,(ROW()-ROW(MSPTasks[[#Headers],[ID]])))="",TRUE()),"",IF(N(INDEX(tsk_ActStart,(ROW()-ROW(MSPTasks[[#Headers],[ID]]))))=0,"",INDEX(tsk_ActStart,(ROW()-ROW(MSPTasks[[#Headers],[ID]])))))</f>
        <v/>
      </c>
      <c r="N21" s="137" t="str">
        <f aca="false">IF(IFERROR(INDEX(tsk_Name,(ROW()-ROW(MSPTasks[[#Headers],[ID]])))="",TRUE()),"",IF(N(INDEX(tsk_ActFinish,(ROW()-ROW(MSPTasks[[#Headers],[ID]]))))=0,"",INDEX(tsk_ActFinish,(ROW()-ROW(MSPTasks[[#Headers],[ID]])))))</f>
        <v/>
      </c>
      <c r="O21" s="137" t="n">
        <f aca="false">IF(IFERROR(INDEX(tsk_Name,(ROW()-ROW(MSPTasks[[#Headers],[ID]])))="",TRUE()),"",INDEX(tsk_PlanStart,(ROW()-ROW(MSPTasks[[#Headers],[ID]]))))</f>
        <v>46328</v>
      </c>
      <c r="P21" s="137" t="n">
        <f aca="false">IF(IFERROR(INDEX(tsk_Name,(ROW()-ROW(MSPTasks[[#Headers],[ID]])))="",TRUE()),"",INDEX(tsk_PlanFinish,(ROW()-ROW(MSPTasks[[#Headers],[ID]]))))</f>
        <v>46391</v>
      </c>
      <c r="Q21" s="24" t="str">
        <f aca="false">IF(IFERROR(INDEX(tsk_Name,(ROW()-ROW(MSPTasks[[#Headers],[ID]])))="",TRUE()),"",IF(INDEX(tsk_BaseDuration,(ROW()-ROW(MSPTasks[[#Headers],[ID]])))="","",N(INDEX(tsk_BaseDuration,(ROW()-ROW(MSPTasks[[#Headers],[ID]]))))&amp;"d"))</f>
        <v/>
      </c>
      <c r="R21" s="24" t="str">
        <f aca="false">IF(IFERROR(INDEX(tsk_Name,(ROW()-ROW(MSPTasks[[#Headers],[ID]])))="",TRUE()),"",IF(INDEX(tsk_BaseWork,(ROW()-ROW(MSPTasks[[#Headers],[ID]])))="","",N(INDEX(tsk_BaseWork,(ROW()-ROW(MSPTasks[[#Headers],[ID]]))))&amp;"h"))</f>
        <v/>
      </c>
      <c r="S21" s="24" t="str">
        <f aca="false">IF(IFERROR(INDEX(tsk_Name,(ROW()-ROW(MSPTasks[[#Headers],[ID]])))="",TRUE()),"",IF(INDEX(tsk_BaseCost,(ROW()-ROW(MSPTasks[[#Headers],[ID]])))="","",N(INDEX(tsk_BaseCost,(ROW()-ROW(MSPTasks[[#Headers],[ID]]))))))</f>
        <v/>
      </c>
      <c r="T21" s="24" t="str">
        <f aca="false">IF(IFERROR(INDEX(tsk_Name,(ROW()-ROW(MSPTasks[[#Headers],[ID]])))="",TRUE()),"",IF(INDEX(tsk_IsSummary,(ROW()-ROW(MSPTasks[[#Headers],[ID]]))),"",IF(N(INDEX(tsk_ActCostInput,(ROW()-ROW(MSPTasks[[#Headers],[ID]]))))=0,"",INDEX(tsk_ActCostInput,(ROW()-ROW(MSPTasks[[#Headers],[ID]]))))))</f>
        <v/>
      </c>
      <c r="U2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21" s="137" t="str">
        <f aca="false">IF(IFERROR(INDEX(tsk_Name,(ROW()-ROW(MSPTasks[[#Headers],[ID]])))="",TRUE()),"",IF(OR(INDEX(tsk_IsSummary,(ROW()-ROW(MSPTasks[[#Headers],[ID]]))),INDEX(tsk_Mode,(ROW()-ROW(MSPTasks[[#Headers],[ID]])))="Manual"),"",IF(N(INDEX(tsk_ConstraintCode,(ROW()-ROW(MSPTasks[[#Headers],[ID]]))))&lt;2,"",INDEX(tsk_Constraint,(ROW()-ROW(MSPTasks[[#Headers],[ID]]))))))</f>
        <v/>
      </c>
      <c r="W21" s="137" t="str">
        <f aca="false">IF(IFERROR(INDEX(tsk_Name,(ROW()-ROW(MSPTasks[[#Headers],[ID]])))="",TRUE()),"",IF(N(INDEX(tsk_Deadline,(ROW()-ROW(MSPTasks[[#Headers],[ID]]))))=0,"",INDEX(tsk_Deadline,(ROW()-ROW(MSPTasks[[#Headers],[ID]])))))</f>
        <v/>
      </c>
      <c r="X21" s="24" t="str">
        <f aca="false">IF(IFERROR(INDEX(tsk_Name,(ROW()-ROW(MSPTasks[[#Headers],[ID]])))="",TRUE()),"",IF(INDEX(tsk_IsSummary,(ROW()-ROW(MSPTasks[[#Headers],[ID]]))),"",INDEX(tsk_Sprint,(ROW()-ROW(MSPTasks[[#Headers],[ID]])))&amp;""))</f>
        <v/>
      </c>
      <c r="Y21" s="24" t="str">
        <f aca="false">IF(IFERROR(INDEX(tsk_Name,(ROW()-ROW(MSPTasks[[#Headers],[ID]])))="",TRUE()),"",IF(INDEX(tsk_IsSummary,(ROW()-ROW(MSPTasks[[#Headers],[ID]]))),"",IF(N(INDEX(tsk_StoryPoints,(ROW()-ROW(MSPTasks[[#Headers],[ID]]))))=0,"",INDEX(tsk_StoryPoints,(ROW()-ROW(MSPTasks[[#Headers],[ID]]))))))</f>
        <v/>
      </c>
      <c r="Z21" s="24" t="str">
        <f aca="false">IF(IFERROR(INDEX(tsk_Name,(ROW()-ROW(MSPTasks[[#Headers],[ID]])))="",TRUE()),"",INDEX(tsk_Notes,(ROW()-ROW(MSPTasks[[#Headers],[ID]])))&amp;"")</f>
        <v/>
      </c>
    </row>
    <row r="22" customFormat="false" ht="15" hidden="false" customHeight="false" outlineLevel="0" collapsed="false">
      <c r="A22" s="24" t="n">
        <f aca="false">IF(IFERROR(INDEX(tsk_Name,(ROW()-ROW(MSPTasks[[#Headers],[ID]])))="",TRUE()),"",INDEX(tsk_ID,(ROW()-ROW(MSPTasks[[#Headers],[ID]]))))</f>
        <v>21</v>
      </c>
      <c r="B22" s="24" t="n">
        <f aca="false">IF(IFERROR(INDEX(tsk_Name,(ROW()-ROW(MSPTasks[[#Headers],[ID]])))="",TRUE()),"",INDEX(tsk_UID,(ROW()-ROW(MSPTasks[[#Headers],[ID]]))))</f>
        <v>21</v>
      </c>
      <c r="C22" s="24" t="str">
        <f aca="false">IF(IFERROR(INDEX(tsk_Name,(ROW()-ROW(MSPTasks[[#Headers],[ID]])))="",TRUE()),"",INDEX(tsk_Name,(ROW()-ROW(MSPTasks[[#Headers],[ID]]))))</f>
        <v>System integration testing</v>
      </c>
      <c r="D22" s="24" t="n">
        <f aca="false">IF(IFERROR(INDEX(tsk_Name,(ROW()-ROW(MSPTasks[[#Headers],[ID]])))="",TRUE()),"",INDEX(tsk_Level,(ROW()-ROW(MSPTasks[[#Headers],[ID]]))))</f>
        <v>2</v>
      </c>
      <c r="E22" s="24" t="str">
        <f aca="false">IF(IFERROR(INDEX(tsk_Name,(ROW()-ROW(MSPTasks[[#Headers],[ID]])))="",TRUE()),"",IF(INDEX(tsk_Mode,(ROW()-ROW(MSPTasks[[#Headers],[ID]])))="Manual","Manually Scheduled","Auto Scheduled"))</f>
        <v>Auto Scheduled</v>
      </c>
      <c r="F22" s="24" t="str">
        <f aca="false">IF(IFERROR(INDEX(tsk_Name,(ROW()-ROW(MSPTasks[[#Headers],[ID]])))="",TRUE()),"",IF(INDEX(tsk_IsSummary,(ROW()-ROW(MSPTasks[[#Headers],[ID]]))),"",N(INDEX(tsk_Duration,(ROW()-ROW(MSPTasks[[#Headers],[ID]]))))&amp;"d"))</f>
        <v>8d</v>
      </c>
      <c r="G22" s="137" t="n">
        <f aca="false">IF(IFERROR(INDEX(tsk_Name,(ROW()-ROW(MSPTasks[[#Headers],[ID]])))="",TRUE()),"",INDEX(tsk_FcStart,(ROW()-ROW(MSPTasks[[#Headers],[ID]]))))</f>
        <v>46336</v>
      </c>
      <c r="H22" s="137" t="n">
        <f aca="false">IF(IFERROR(INDEX(tsk_Name,(ROW()-ROW(MSPTasks[[#Headers],[ID]])))="",TRUE()),"",INDEX(tsk_FcFinish,(ROW()-ROW(MSPTasks[[#Headers],[ID]]))))</f>
        <v>46345</v>
      </c>
      <c r="I22" s="24" t="str">
        <f aca="false">IF(IFERROR(INDEX(tsk_Name,(ROW()-ROW(MSPTasks[[#Headers],[ID]])))="",TRUE()),"",IF(INDEX(tsk_IsSummary,(ROW()-ROW(MSPTasks[[#Headers],[ID]]))),"",INDEX(tsk_Predecessors,(ROW()-ROW(MSPTasks[[#Headers],[ID]])))))</f>
        <v>19</v>
      </c>
      <c r="J22" s="24" t="str">
        <f aca="false">IF(IFERROR(INDEX(tsk_Name,(ROW()-ROW(MSPTasks[[#Headers],[ID]])))="",TRUE()),"",IF(INDEX(tsk_IsSummary,(ROW()-ROW(MSPTasks[[#Headers],[ID]]))),"",INDEX(tsk_UIDPredecessors,(ROW()-ROW(MSPTasks[[#Headers],[ID]])))))</f>
        <v>19</v>
      </c>
      <c r="K22" s="24" t="str">
        <f aca="false">IF(IFERROR(INDEX(tsk_Name,(ROW()-ROW(MSPTasks[[#Headers],[ID]])))="",TRUE()),"",INDEX(tsk_ResourceNames,(ROW()-ROW(MSPTasks[[#Headers],[ID]])))&amp;"")</f>
        <v>Taylor Morgan, Sam Rivera[50%]</v>
      </c>
      <c r="L22" s="24" t="n">
        <f aca="false">IF(IFERROR(INDEX(tsk_Name,(ROW()-ROW(MSPTasks[[#Headers],[ID]])))="",TRUE()),"",IF(INDEX(tsk_IsSummary,(ROW()-ROW(MSPTasks[[#Headers],[ID]]))),"",ROUND(INDEX(tsk_Progress,(ROW()-ROW(MSPTasks[[#Headers],[ID]])))*100,0)))</f>
        <v>0</v>
      </c>
      <c r="M22" s="137" t="str">
        <f aca="false">IF(IFERROR(INDEX(tsk_Name,(ROW()-ROW(MSPTasks[[#Headers],[ID]])))="",TRUE()),"",IF(N(INDEX(tsk_ActStart,(ROW()-ROW(MSPTasks[[#Headers],[ID]]))))=0,"",INDEX(tsk_ActStart,(ROW()-ROW(MSPTasks[[#Headers],[ID]])))))</f>
        <v/>
      </c>
      <c r="N22" s="137" t="str">
        <f aca="false">IF(IFERROR(INDEX(tsk_Name,(ROW()-ROW(MSPTasks[[#Headers],[ID]])))="",TRUE()),"",IF(N(INDEX(tsk_ActFinish,(ROW()-ROW(MSPTasks[[#Headers],[ID]]))))=0,"",INDEX(tsk_ActFinish,(ROW()-ROW(MSPTasks[[#Headers],[ID]])))))</f>
        <v/>
      </c>
      <c r="O22" s="137" t="n">
        <f aca="false">IF(IFERROR(INDEX(tsk_Name,(ROW()-ROW(MSPTasks[[#Headers],[ID]])))="",TRUE()),"",INDEX(tsk_PlanStart,(ROW()-ROW(MSPTasks[[#Headers],[ID]]))))</f>
        <v>46328</v>
      </c>
      <c r="P22" s="137" t="n">
        <f aca="false">IF(IFERROR(INDEX(tsk_Name,(ROW()-ROW(MSPTasks[[#Headers],[ID]])))="",TRUE()),"",INDEX(tsk_PlanFinish,(ROW()-ROW(MSPTasks[[#Headers],[ID]]))))</f>
        <v>46337</v>
      </c>
      <c r="Q22" s="24" t="str">
        <f aca="false">IF(IFERROR(INDEX(tsk_Name,(ROW()-ROW(MSPTasks[[#Headers],[ID]])))="",TRUE()),"",IF(INDEX(tsk_BaseDuration,(ROW()-ROW(MSPTasks[[#Headers],[ID]])))="","",N(INDEX(tsk_BaseDuration,(ROW()-ROW(MSPTasks[[#Headers],[ID]]))))&amp;"d"))</f>
        <v/>
      </c>
      <c r="R22" s="24" t="str">
        <f aca="false">IF(IFERROR(INDEX(tsk_Name,(ROW()-ROW(MSPTasks[[#Headers],[ID]])))="",TRUE()),"",IF(INDEX(tsk_BaseWork,(ROW()-ROW(MSPTasks[[#Headers],[ID]])))="","",N(INDEX(tsk_BaseWork,(ROW()-ROW(MSPTasks[[#Headers],[ID]]))))&amp;"h"))</f>
        <v/>
      </c>
      <c r="S22" s="24" t="str">
        <f aca="false">IF(IFERROR(INDEX(tsk_Name,(ROW()-ROW(MSPTasks[[#Headers],[ID]])))="",TRUE()),"",IF(INDEX(tsk_BaseCost,(ROW()-ROW(MSPTasks[[#Headers],[ID]])))="","",N(INDEX(tsk_BaseCost,(ROW()-ROW(MSPTasks[[#Headers],[ID]]))))))</f>
        <v/>
      </c>
      <c r="T22" s="24" t="str">
        <f aca="false">IF(IFERROR(INDEX(tsk_Name,(ROW()-ROW(MSPTasks[[#Headers],[ID]])))="",TRUE()),"",IF(INDEX(tsk_IsSummary,(ROW()-ROW(MSPTasks[[#Headers],[ID]]))),"",IF(N(INDEX(tsk_ActCostInput,(ROW()-ROW(MSPTasks[[#Headers],[ID]]))))=0,"",INDEX(tsk_ActCostInput,(ROW()-ROW(MSPTasks[[#Headers],[ID]]))))))</f>
        <v/>
      </c>
      <c r="U2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2" s="137" t="str">
        <f aca="false">IF(IFERROR(INDEX(tsk_Name,(ROW()-ROW(MSPTasks[[#Headers],[ID]])))="",TRUE()),"",IF(OR(INDEX(tsk_IsSummary,(ROW()-ROW(MSPTasks[[#Headers],[ID]]))),INDEX(tsk_Mode,(ROW()-ROW(MSPTasks[[#Headers],[ID]])))="Manual"),"",IF(N(INDEX(tsk_ConstraintCode,(ROW()-ROW(MSPTasks[[#Headers],[ID]]))))&lt;2,"",INDEX(tsk_Constraint,(ROW()-ROW(MSPTasks[[#Headers],[ID]]))))))</f>
        <v/>
      </c>
      <c r="W22" s="137" t="str">
        <f aca="false">IF(IFERROR(INDEX(tsk_Name,(ROW()-ROW(MSPTasks[[#Headers],[ID]])))="",TRUE()),"",IF(N(INDEX(tsk_Deadline,(ROW()-ROW(MSPTasks[[#Headers],[ID]]))))=0,"",INDEX(tsk_Deadline,(ROW()-ROW(MSPTasks[[#Headers],[ID]])))))</f>
        <v/>
      </c>
      <c r="X22" s="24" t="str">
        <f aca="false">IF(IFERROR(INDEX(tsk_Name,(ROW()-ROW(MSPTasks[[#Headers],[ID]])))="",TRUE()),"",IF(INDEX(tsk_IsSummary,(ROW()-ROW(MSPTasks[[#Headers],[ID]]))),"",INDEX(tsk_Sprint,(ROW()-ROW(MSPTasks[[#Headers],[ID]])))&amp;""))</f>
        <v>Sprint 5</v>
      </c>
      <c r="Y22" s="85" t="n">
        <f aca="false">IF(IFERROR(INDEX(tsk_Name,(ROW()-ROW(MSPTasks[[#Headers],[ID]])))="",TRUE()),"",IF(INDEX(tsk_IsSummary,(ROW()-ROW(MSPTasks[[#Headers],[ID]]))),"",IF(N(INDEX(tsk_StoryPoints,(ROW()-ROW(MSPTasks[[#Headers],[ID]]))))=0,"",INDEX(tsk_StoryPoints,(ROW()-ROW(MSPTasks[[#Headers],[ID]]))))))</f>
        <v>8</v>
      </c>
      <c r="Z22" s="24" t="str">
        <f aca="false">IF(IFERROR(INDEX(tsk_Name,(ROW()-ROW(MSPTasks[[#Headers],[ID]])))="",TRUE()),"",INDEX(tsk_Notes,(ROW()-ROW(MSPTasks[[#Headers],[ID]])))&amp;"")</f>
        <v/>
      </c>
    </row>
    <row r="23" customFormat="false" ht="15" hidden="false" customHeight="false" outlineLevel="0" collapsed="false">
      <c r="A23" s="24" t="n">
        <f aca="false">IF(IFERROR(INDEX(tsk_Name,(ROW()-ROW(MSPTasks[[#Headers],[ID]])))="",TRUE()),"",INDEX(tsk_ID,(ROW()-ROW(MSPTasks[[#Headers],[ID]]))))</f>
        <v>22</v>
      </c>
      <c r="B23" s="24" t="n">
        <f aca="false">IF(IFERROR(INDEX(tsk_Name,(ROW()-ROW(MSPTasks[[#Headers],[ID]])))="",TRUE()),"",INDEX(tsk_UID,(ROW()-ROW(MSPTasks[[#Headers],[ID]]))))</f>
        <v>22</v>
      </c>
      <c r="C23" s="24" t="str">
        <f aca="false">IF(IFERROR(INDEX(tsk_Name,(ROW()-ROW(MSPTasks[[#Headers],[ID]])))="",TRUE()),"",INDEX(tsk_Name,(ROW()-ROW(MSPTasks[[#Headers],[ID]]))))</f>
        <v>User acceptance testing</v>
      </c>
      <c r="D23" s="24" t="n">
        <f aca="false">IF(IFERROR(INDEX(tsk_Name,(ROW()-ROW(MSPTasks[[#Headers],[ID]])))="",TRUE()),"",INDEX(tsk_Level,(ROW()-ROW(MSPTasks[[#Headers],[ID]]))))</f>
        <v>2</v>
      </c>
      <c r="E23" s="24" t="str">
        <f aca="false">IF(IFERROR(INDEX(tsk_Name,(ROW()-ROW(MSPTasks[[#Headers],[ID]])))="",TRUE()),"",IF(INDEX(tsk_Mode,(ROW()-ROW(MSPTasks[[#Headers],[ID]])))="Manual","Manually Scheduled","Auto Scheduled"))</f>
        <v>Auto Scheduled</v>
      </c>
      <c r="F23" s="24" t="str">
        <f aca="false">IF(IFERROR(INDEX(tsk_Name,(ROW()-ROW(MSPTasks[[#Headers],[ID]])))="",TRUE()),"",IF(INDEX(tsk_IsSummary,(ROW()-ROW(MSPTasks[[#Headers],[ID]]))),"",N(INDEX(tsk_Duration,(ROW()-ROW(MSPTasks[[#Headers],[ID]]))))&amp;"d"))</f>
        <v>6d</v>
      </c>
      <c r="G23" s="137" t="n">
        <f aca="false">IF(IFERROR(INDEX(tsk_Name,(ROW()-ROW(MSPTasks[[#Headers],[ID]])))="",TRUE()),"",INDEX(tsk_FcStart,(ROW()-ROW(MSPTasks[[#Headers],[ID]]))))</f>
        <v>46363</v>
      </c>
      <c r="H23" s="137" t="n">
        <f aca="false">IF(IFERROR(INDEX(tsk_Name,(ROW()-ROW(MSPTasks[[#Headers],[ID]])))="",TRUE()),"",INDEX(tsk_FcFinish,(ROW()-ROW(MSPTasks[[#Headers],[ID]]))))</f>
        <v>46370</v>
      </c>
      <c r="I23" s="24" t="str">
        <f aca="false">IF(IFERROR(INDEX(tsk_Name,(ROW()-ROW(MSPTasks[[#Headers],[ID]])))="",TRUE()),"",IF(INDEX(tsk_IsSummary,(ROW()-ROW(MSPTasks[[#Headers],[ID]]))),"",INDEX(tsk_Predecessors,(ROW()-ROW(MSPTasks[[#Headers],[ID]])))))</f>
        <v>21</v>
      </c>
      <c r="J23" s="24" t="str">
        <f aca="false">IF(IFERROR(INDEX(tsk_Name,(ROW()-ROW(MSPTasks[[#Headers],[ID]])))="",TRUE()),"",IF(INDEX(tsk_IsSummary,(ROW()-ROW(MSPTasks[[#Headers],[ID]]))),"",INDEX(tsk_UIDPredecessors,(ROW()-ROW(MSPTasks[[#Headers],[ID]])))))</f>
        <v>21</v>
      </c>
      <c r="K23" s="24" t="str">
        <f aca="false">IF(IFERROR(INDEX(tsk_Name,(ROW()-ROW(MSPTasks[[#Headers],[ID]])))="",TRUE()),"",INDEX(tsk_ResourceNames,(ROW()-ROW(MSPTasks[[#Headers],[ID]])))&amp;"")</f>
        <v>Morgan Patel, Taylor Morgan</v>
      </c>
      <c r="L23" s="24" t="n">
        <f aca="false">IF(IFERROR(INDEX(tsk_Name,(ROW()-ROW(MSPTasks[[#Headers],[ID]])))="",TRUE()),"",IF(INDEX(tsk_IsSummary,(ROW()-ROW(MSPTasks[[#Headers],[ID]]))),"",ROUND(INDEX(tsk_Progress,(ROW()-ROW(MSPTasks[[#Headers],[ID]])))*100,0)))</f>
        <v>0</v>
      </c>
      <c r="M23" s="137" t="str">
        <f aca="false">IF(IFERROR(INDEX(tsk_Name,(ROW()-ROW(MSPTasks[[#Headers],[ID]])))="",TRUE()),"",IF(N(INDEX(tsk_ActStart,(ROW()-ROW(MSPTasks[[#Headers],[ID]]))))=0,"",INDEX(tsk_ActStart,(ROW()-ROW(MSPTasks[[#Headers],[ID]])))))</f>
        <v/>
      </c>
      <c r="N23" s="137" t="str">
        <f aca="false">IF(IFERROR(INDEX(tsk_Name,(ROW()-ROW(MSPTasks[[#Headers],[ID]])))="",TRUE()),"",IF(N(INDEX(tsk_ActFinish,(ROW()-ROW(MSPTasks[[#Headers],[ID]]))))=0,"",INDEX(tsk_ActFinish,(ROW()-ROW(MSPTasks[[#Headers],[ID]])))))</f>
        <v/>
      </c>
      <c r="O23" s="137" t="n">
        <f aca="false">IF(IFERROR(INDEX(tsk_Name,(ROW()-ROW(MSPTasks[[#Headers],[ID]])))="",TRUE()),"",INDEX(tsk_PlanStart,(ROW()-ROW(MSPTasks[[#Headers],[ID]]))))</f>
        <v>46363</v>
      </c>
      <c r="P23" s="137" t="n">
        <f aca="false">IF(IFERROR(INDEX(tsk_Name,(ROW()-ROW(MSPTasks[[#Headers],[ID]])))="",TRUE()),"",INDEX(tsk_PlanFinish,(ROW()-ROW(MSPTasks[[#Headers],[ID]]))))</f>
        <v>46370</v>
      </c>
      <c r="Q23" s="24" t="str">
        <f aca="false">IF(IFERROR(INDEX(tsk_Name,(ROW()-ROW(MSPTasks[[#Headers],[ID]])))="",TRUE()),"",IF(INDEX(tsk_BaseDuration,(ROW()-ROW(MSPTasks[[#Headers],[ID]])))="","",N(INDEX(tsk_BaseDuration,(ROW()-ROW(MSPTasks[[#Headers],[ID]]))))&amp;"d"))</f>
        <v/>
      </c>
      <c r="R23" s="24" t="str">
        <f aca="false">IF(IFERROR(INDEX(tsk_Name,(ROW()-ROW(MSPTasks[[#Headers],[ID]])))="",TRUE()),"",IF(INDEX(tsk_BaseWork,(ROW()-ROW(MSPTasks[[#Headers],[ID]])))="","",N(INDEX(tsk_BaseWork,(ROW()-ROW(MSPTasks[[#Headers],[ID]]))))&amp;"h"))</f>
        <v/>
      </c>
      <c r="S23" s="24" t="str">
        <f aca="false">IF(IFERROR(INDEX(tsk_Name,(ROW()-ROW(MSPTasks[[#Headers],[ID]])))="",TRUE()),"",IF(INDEX(tsk_BaseCost,(ROW()-ROW(MSPTasks[[#Headers],[ID]])))="","",N(INDEX(tsk_BaseCost,(ROW()-ROW(MSPTasks[[#Headers],[ID]]))))))</f>
        <v/>
      </c>
      <c r="T23" s="24" t="str">
        <f aca="false">IF(IFERROR(INDEX(tsk_Name,(ROW()-ROW(MSPTasks[[#Headers],[ID]])))="",TRUE()),"",IF(INDEX(tsk_IsSummary,(ROW()-ROW(MSPTasks[[#Headers],[ID]]))),"",IF(N(INDEX(tsk_ActCostInput,(ROW()-ROW(MSPTasks[[#Headers],[ID]]))))=0,"",INDEX(tsk_ActCostInput,(ROW()-ROW(MSPTasks[[#Headers],[ID]]))))))</f>
        <v/>
      </c>
      <c r="U2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Start No Earlier Than</v>
      </c>
      <c r="V23" s="137" t="n">
        <f aca="false">IF(IFERROR(INDEX(tsk_Name,(ROW()-ROW(MSPTasks[[#Headers],[ID]])))="",TRUE()),"",IF(OR(INDEX(tsk_IsSummary,(ROW()-ROW(MSPTasks[[#Headers],[ID]]))),INDEX(tsk_Mode,(ROW()-ROW(MSPTasks[[#Headers],[ID]])))="Manual"),"",IF(N(INDEX(tsk_ConstraintCode,(ROW()-ROW(MSPTasks[[#Headers],[ID]]))))&lt;2,"",INDEX(tsk_Constraint,(ROW()-ROW(MSPTasks[[#Headers],[ID]]))))))</f>
        <v>46363</v>
      </c>
      <c r="W23" s="137" t="str">
        <f aca="false">IF(IFERROR(INDEX(tsk_Name,(ROW()-ROW(MSPTasks[[#Headers],[ID]])))="",TRUE()),"",IF(N(INDEX(tsk_Deadline,(ROW()-ROW(MSPTasks[[#Headers],[ID]]))))=0,"",INDEX(tsk_Deadline,(ROW()-ROW(MSPTasks[[#Headers],[ID]])))))</f>
        <v/>
      </c>
      <c r="X23" s="24" t="str">
        <f aca="false">IF(IFERROR(INDEX(tsk_Name,(ROW()-ROW(MSPTasks[[#Headers],[ID]])))="",TRUE()),"",IF(INDEX(tsk_IsSummary,(ROW()-ROW(MSPTasks[[#Headers],[ID]]))),"",INDEX(tsk_Sprint,(ROW()-ROW(MSPTasks[[#Headers],[ID]])))&amp;""))</f>
        <v>Sprint 7</v>
      </c>
      <c r="Y23" s="85" t="n">
        <f aca="false">IF(IFERROR(INDEX(tsk_Name,(ROW()-ROW(MSPTasks[[#Headers],[ID]])))="",TRUE()),"",IF(INDEX(tsk_IsSummary,(ROW()-ROW(MSPTasks[[#Headers],[ID]]))),"",IF(N(INDEX(tsk_StoryPoints,(ROW()-ROW(MSPTasks[[#Headers],[ID]]))))=0,"",INDEX(tsk_StoryPoints,(ROW()-ROW(MSPTasks[[#Headers],[ID]]))))))</f>
        <v>5</v>
      </c>
      <c r="Z23" s="24" t="str">
        <f aca="false">IF(IFERROR(INDEX(tsk_Name,(ROW()-ROW(MSPTasks[[#Headers],[ID]])))="",TRUE()),"",INDEX(tsk_Notes,(ROW()-ROW(MSPTasks[[#Headers],[ID]])))&amp;"")</f>
        <v>Constraint: Start No Earlier Than 07-Dec (client availability).</v>
      </c>
    </row>
    <row r="24" customFormat="false" ht="15" hidden="false" customHeight="false" outlineLevel="0" collapsed="false">
      <c r="A24" s="24" t="n">
        <f aca="false">IF(IFERROR(INDEX(tsk_Name,(ROW()-ROW(MSPTasks[[#Headers],[ID]])))="",TRUE()),"",INDEX(tsk_ID,(ROW()-ROW(MSPTasks[[#Headers],[ID]]))))</f>
        <v>23</v>
      </c>
      <c r="B24" s="24" t="n">
        <f aca="false">IF(IFERROR(INDEX(tsk_Name,(ROW()-ROW(MSPTasks[[#Headers],[ID]])))="",TRUE()),"",INDEX(tsk_UID,(ROW()-ROW(MSPTasks[[#Headers],[ID]]))))</f>
        <v>23</v>
      </c>
      <c r="C24" s="24" t="str">
        <f aca="false">IF(IFERROR(INDEX(tsk_Name,(ROW()-ROW(MSPTasks[[#Headers],[ID]])))="",TRUE()),"",INDEX(tsk_Name,(ROW()-ROW(MSPTasks[[#Headers],[ID]]))))</f>
        <v>Training &amp; user guides</v>
      </c>
      <c r="D24" s="24" t="n">
        <f aca="false">IF(IFERROR(INDEX(tsk_Name,(ROW()-ROW(MSPTasks[[#Headers],[ID]])))="",TRUE()),"",INDEX(tsk_Level,(ROW()-ROW(MSPTasks[[#Headers],[ID]]))))</f>
        <v>2</v>
      </c>
      <c r="E24" s="24" t="str">
        <f aca="false">IF(IFERROR(INDEX(tsk_Name,(ROW()-ROW(MSPTasks[[#Headers],[ID]])))="",TRUE()),"",IF(INDEX(tsk_Mode,(ROW()-ROW(MSPTasks[[#Headers],[ID]])))="Manual","Manually Scheduled","Auto Scheduled"))</f>
        <v>Auto Scheduled</v>
      </c>
      <c r="F24" s="24" t="str">
        <f aca="false">IF(IFERROR(INDEX(tsk_Name,(ROW()-ROW(MSPTasks[[#Headers],[ID]])))="",TRUE()),"",IF(INDEX(tsk_IsSummary,(ROW()-ROW(MSPTasks[[#Headers],[ID]]))),"",N(INDEX(tsk_Duration,(ROW()-ROW(MSPTasks[[#Headers],[ID]]))))&amp;"d"))</f>
        <v>5d</v>
      </c>
      <c r="G24" s="137" t="n">
        <f aca="false">IF(IFERROR(INDEX(tsk_Name,(ROW()-ROW(MSPTasks[[#Headers],[ID]])))="",TRUE()),"",INDEX(tsk_FcStart,(ROW()-ROW(MSPTasks[[#Headers],[ID]]))))</f>
        <v>46338</v>
      </c>
      <c r="H24" s="137" t="n">
        <f aca="false">IF(IFERROR(INDEX(tsk_Name,(ROW()-ROW(MSPTasks[[#Headers],[ID]])))="",TRUE()),"",INDEX(tsk_FcFinish,(ROW()-ROW(MSPTasks[[#Headers],[ID]]))))</f>
        <v>46344</v>
      </c>
      <c r="I24" s="24" t="str">
        <f aca="false">IF(IFERROR(INDEX(tsk_Name,(ROW()-ROW(MSPTasks[[#Headers],[ID]])))="",TRUE()),"",IF(INDEX(tsk_IsSummary,(ROW()-ROW(MSPTasks[[#Headers],[ID]]))),"",INDEX(tsk_Predecessors,(ROW()-ROW(MSPTasks[[#Headers],[ID]])))))</f>
        <v>21SS+2d</v>
      </c>
      <c r="J24" s="24" t="str">
        <f aca="false">IF(IFERROR(INDEX(tsk_Name,(ROW()-ROW(MSPTasks[[#Headers],[ID]])))="",TRUE()),"",IF(INDEX(tsk_IsSummary,(ROW()-ROW(MSPTasks[[#Headers],[ID]]))),"",INDEX(tsk_UIDPredecessors,(ROW()-ROW(MSPTasks[[#Headers],[ID]])))))</f>
        <v>21SS+2d</v>
      </c>
      <c r="K24" s="24" t="str">
        <f aca="false">IF(IFERROR(INDEX(tsk_Name,(ROW()-ROW(MSPTasks[[#Headers],[ID]])))="",TRUE()),"",INDEX(tsk_ResourceNames,(ROW()-ROW(MSPTasks[[#Headers],[ID]])))&amp;"")</f>
        <v>Casey Kim[50%]</v>
      </c>
      <c r="L24" s="24" t="n">
        <f aca="false">IF(IFERROR(INDEX(tsk_Name,(ROW()-ROW(MSPTasks[[#Headers],[ID]])))="",TRUE()),"",IF(INDEX(tsk_IsSummary,(ROW()-ROW(MSPTasks[[#Headers],[ID]]))),"",ROUND(INDEX(tsk_Progress,(ROW()-ROW(MSPTasks[[#Headers],[ID]])))*100,0)))</f>
        <v>0</v>
      </c>
      <c r="M24" s="137" t="str">
        <f aca="false">IF(IFERROR(INDEX(tsk_Name,(ROW()-ROW(MSPTasks[[#Headers],[ID]])))="",TRUE()),"",IF(N(INDEX(tsk_ActStart,(ROW()-ROW(MSPTasks[[#Headers],[ID]]))))=0,"",INDEX(tsk_ActStart,(ROW()-ROW(MSPTasks[[#Headers],[ID]])))))</f>
        <v/>
      </c>
      <c r="N24" s="137" t="str">
        <f aca="false">IF(IFERROR(INDEX(tsk_Name,(ROW()-ROW(MSPTasks[[#Headers],[ID]])))="",TRUE()),"",IF(N(INDEX(tsk_ActFinish,(ROW()-ROW(MSPTasks[[#Headers],[ID]]))))=0,"",INDEX(tsk_ActFinish,(ROW()-ROW(MSPTasks[[#Headers],[ID]])))))</f>
        <v/>
      </c>
      <c r="O24" s="137" t="n">
        <f aca="false">IF(IFERROR(INDEX(tsk_Name,(ROW()-ROW(MSPTasks[[#Headers],[ID]])))="",TRUE()),"",INDEX(tsk_PlanStart,(ROW()-ROW(MSPTasks[[#Headers],[ID]]))))</f>
        <v>46330</v>
      </c>
      <c r="P24" s="137" t="n">
        <f aca="false">IF(IFERROR(INDEX(tsk_Name,(ROW()-ROW(MSPTasks[[#Headers],[ID]])))="",TRUE()),"",INDEX(tsk_PlanFinish,(ROW()-ROW(MSPTasks[[#Headers],[ID]]))))</f>
        <v>46336</v>
      </c>
      <c r="Q24" s="24" t="str">
        <f aca="false">IF(IFERROR(INDEX(tsk_Name,(ROW()-ROW(MSPTasks[[#Headers],[ID]])))="",TRUE()),"",IF(INDEX(tsk_BaseDuration,(ROW()-ROW(MSPTasks[[#Headers],[ID]])))="","",N(INDEX(tsk_BaseDuration,(ROW()-ROW(MSPTasks[[#Headers],[ID]]))))&amp;"d"))</f>
        <v/>
      </c>
      <c r="R24" s="24" t="str">
        <f aca="false">IF(IFERROR(INDEX(tsk_Name,(ROW()-ROW(MSPTasks[[#Headers],[ID]])))="",TRUE()),"",IF(INDEX(tsk_BaseWork,(ROW()-ROW(MSPTasks[[#Headers],[ID]])))="","",N(INDEX(tsk_BaseWork,(ROW()-ROW(MSPTasks[[#Headers],[ID]]))))&amp;"h"))</f>
        <v/>
      </c>
      <c r="S24" s="24" t="str">
        <f aca="false">IF(IFERROR(INDEX(tsk_Name,(ROW()-ROW(MSPTasks[[#Headers],[ID]])))="",TRUE()),"",IF(INDEX(tsk_BaseCost,(ROW()-ROW(MSPTasks[[#Headers],[ID]])))="","",N(INDEX(tsk_BaseCost,(ROW()-ROW(MSPTasks[[#Headers],[ID]]))))))</f>
        <v/>
      </c>
      <c r="T24" s="24" t="str">
        <f aca="false">IF(IFERROR(INDEX(tsk_Name,(ROW()-ROW(MSPTasks[[#Headers],[ID]])))="",TRUE()),"",IF(INDEX(tsk_IsSummary,(ROW()-ROW(MSPTasks[[#Headers],[ID]]))),"",IF(N(INDEX(tsk_ActCostInput,(ROW()-ROW(MSPTasks[[#Headers],[ID]]))))=0,"",INDEX(tsk_ActCostInput,(ROW()-ROW(MSPTasks[[#Headers],[ID]]))))))</f>
        <v/>
      </c>
      <c r="U2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4" s="137" t="str">
        <f aca="false">IF(IFERROR(INDEX(tsk_Name,(ROW()-ROW(MSPTasks[[#Headers],[ID]])))="",TRUE()),"",IF(OR(INDEX(tsk_IsSummary,(ROW()-ROW(MSPTasks[[#Headers],[ID]]))),INDEX(tsk_Mode,(ROW()-ROW(MSPTasks[[#Headers],[ID]])))="Manual"),"",IF(N(INDEX(tsk_ConstraintCode,(ROW()-ROW(MSPTasks[[#Headers],[ID]]))))&lt;2,"",INDEX(tsk_Constraint,(ROW()-ROW(MSPTasks[[#Headers],[ID]]))))))</f>
        <v/>
      </c>
      <c r="W24" s="137" t="str">
        <f aca="false">IF(IFERROR(INDEX(tsk_Name,(ROW()-ROW(MSPTasks[[#Headers],[ID]])))="",TRUE()),"",IF(N(INDEX(tsk_Deadline,(ROW()-ROW(MSPTasks[[#Headers],[ID]]))))=0,"",INDEX(tsk_Deadline,(ROW()-ROW(MSPTasks[[#Headers],[ID]])))))</f>
        <v/>
      </c>
      <c r="X24" s="24" t="str">
        <f aca="false">IF(IFERROR(INDEX(tsk_Name,(ROW()-ROW(MSPTasks[[#Headers],[ID]])))="",TRUE()),"",IF(INDEX(tsk_IsSummary,(ROW()-ROW(MSPTasks[[#Headers],[ID]]))),"",INDEX(tsk_Sprint,(ROW()-ROW(MSPTasks[[#Headers],[ID]])))&amp;""))</f>
        <v>Sprint 5</v>
      </c>
      <c r="Y24" s="85" t="n">
        <f aca="false">IF(IFERROR(INDEX(tsk_Name,(ROW()-ROW(MSPTasks[[#Headers],[ID]])))="",TRUE()),"",IF(INDEX(tsk_IsSummary,(ROW()-ROW(MSPTasks[[#Headers],[ID]]))),"",IF(N(INDEX(tsk_StoryPoints,(ROW()-ROW(MSPTasks[[#Headers],[ID]]))))=0,"",INDEX(tsk_StoryPoints,(ROW()-ROW(MSPTasks[[#Headers],[ID]]))))))</f>
        <v>3</v>
      </c>
      <c r="Z24" s="24" t="str">
        <f aca="false">IF(IFERROR(INDEX(tsk_Name,(ROW()-ROW(MSPTasks[[#Headers],[ID]])))="",TRUE()),"",INDEX(tsk_Notes,(ROW()-ROW(MSPTasks[[#Headers],[ID]])))&amp;"")</f>
        <v/>
      </c>
    </row>
    <row r="25" customFormat="false" ht="15" hidden="false" customHeight="false" outlineLevel="0" collapsed="false">
      <c r="A25" s="24" t="n">
        <f aca="false">IF(IFERROR(INDEX(tsk_Name,(ROW()-ROW(MSPTasks[[#Headers],[ID]])))="",TRUE()),"",INDEX(tsk_ID,(ROW()-ROW(MSPTasks[[#Headers],[ID]]))))</f>
        <v>24</v>
      </c>
      <c r="B25" s="24" t="n">
        <f aca="false">IF(IFERROR(INDEX(tsk_Name,(ROW()-ROW(MSPTasks[[#Headers],[ID]])))="",TRUE()),"",INDEX(tsk_UID,(ROW()-ROW(MSPTasks[[#Headers],[ID]]))))</f>
        <v>24</v>
      </c>
      <c r="C25" s="24" t="str">
        <f aca="false">IF(IFERROR(INDEX(tsk_Name,(ROW()-ROW(MSPTasks[[#Headers],[ID]])))="",TRUE()),"",INDEX(tsk_Name,(ROW()-ROW(MSPTasks[[#Headers],[ID]]))))</f>
        <v>Go-live readiness review</v>
      </c>
      <c r="D25" s="24" t="n">
        <f aca="false">IF(IFERROR(INDEX(tsk_Name,(ROW()-ROW(MSPTasks[[#Headers],[ID]])))="",TRUE()),"",INDEX(tsk_Level,(ROW()-ROW(MSPTasks[[#Headers],[ID]]))))</f>
        <v>2</v>
      </c>
      <c r="E25" s="24" t="str">
        <f aca="false">IF(IFERROR(INDEX(tsk_Name,(ROW()-ROW(MSPTasks[[#Headers],[ID]])))="",TRUE()),"",IF(INDEX(tsk_Mode,(ROW()-ROW(MSPTasks[[#Headers],[ID]])))="Manual","Manually Scheduled","Auto Scheduled"))</f>
        <v>Auto Scheduled</v>
      </c>
      <c r="F25" s="24" t="str">
        <f aca="false">IF(IFERROR(INDEX(tsk_Name,(ROW()-ROW(MSPTasks[[#Headers],[ID]])))="",TRUE()),"",IF(INDEX(tsk_IsSummary,(ROW()-ROW(MSPTasks[[#Headers],[ID]]))),"",N(INDEX(tsk_Duration,(ROW()-ROW(MSPTasks[[#Headers],[ID]]))))&amp;"d"))</f>
        <v>1d</v>
      </c>
      <c r="G25" s="137" t="n">
        <f aca="false">IF(IFERROR(INDEX(tsk_Name,(ROW()-ROW(MSPTasks[[#Headers],[ID]])))="",TRUE()),"",INDEX(tsk_FcStart,(ROW()-ROW(MSPTasks[[#Headers],[ID]]))))</f>
        <v>46371</v>
      </c>
      <c r="H25" s="137" t="n">
        <f aca="false">IF(IFERROR(INDEX(tsk_Name,(ROW()-ROW(MSPTasks[[#Headers],[ID]])))="",TRUE()),"",INDEX(tsk_FcFinish,(ROW()-ROW(MSPTasks[[#Headers],[ID]]))))</f>
        <v>46371</v>
      </c>
      <c r="I25" s="24" t="str">
        <f aca="false">IF(IFERROR(INDEX(tsk_Name,(ROW()-ROW(MSPTasks[[#Headers],[ID]])))="",TRUE()),"",IF(INDEX(tsk_IsSummary,(ROW()-ROW(MSPTasks[[#Headers],[ID]]))),"",INDEX(tsk_Predecessors,(ROW()-ROW(MSPTasks[[#Headers],[ID]])))))</f>
        <v>22,23,21</v>
      </c>
      <c r="J25" s="24" t="str">
        <f aca="false">IF(IFERROR(INDEX(tsk_Name,(ROW()-ROW(MSPTasks[[#Headers],[ID]])))="",TRUE()),"",IF(INDEX(tsk_IsSummary,(ROW()-ROW(MSPTasks[[#Headers],[ID]]))),"",INDEX(tsk_UIDPredecessors,(ROW()-ROW(MSPTasks[[#Headers],[ID]])))))</f>
        <v>22,23,21</v>
      </c>
      <c r="K25" s="24" t="str">
        <f aca="false">IF(IFERROR(INDEX(tsk_Name,(ROW()-ROW(MSPTasks[[#Headers],[ID]])))="",TRUE()),"",INDEX(tsk_ResourceNames,(ROW()-ROW(MSPTasks[[#Headers],[ID]])))&amp;"")</f>
        <v>Priya Sharma</v>
      </c>
      <c r="L25" s="24" t="n">
        <f aca="false">IF(IFERROR(INDEX(tsk_Name,(ROW()-ROW(MSPTasks[[#Headers],[ID]])))="",TRUE()),"",IF(INDEX(tsk_IsSummary,(ROW()-ROW(MSPTasks[[#Headers],[ID]]))),"",ROUND(INDEX(tsk_Progress,(ROW()-ROW(MSPTasks[[#Headers],[ID]])))*100,0)))</f>
        <v>0</v>
      </c>
      <c r="M25" s="137" t="str">
        <f aca="false">IF(IFERROR(INDEX(tsk_Name,(ROW()-ROW(MSPTasks[[#Headers],[ID]])))="",TRUE()),"",IF(N(INDEX(tsk_ActStart,(ROW()-ROW(MSPTasks[[#Headers],[ID]]))))=0,"",INDEX(tsk_ActStart,(ROW()-ROW(MSPTasks[[#Headers],[ID]])))))</f>
        <v/>
      </c>
      <c r="N25" s="137" t="str">
        <f aca="false">IF(IFERROR(INDEX(tsk_Name,(ROW()-ROW(MSPTasks[[#Headers],[ID]])))="",TRUE()),"",IF(N(INDEX(tsk_ActFinish,(ROW()-ROW(MSPTasks[[#Headers],[ID]]))))=0,"",INDEX(tsk_ActFinish,(ROW()-ROW(MSPTasks[[#Headers],[ID]])))))</f>
        <v/>
      </c>
      <c r="O25" s="137" t="n">
        <f aca="false">IF(IFERROR(INDEX(tsk_Name,(ROW()-ROW(MSPTasks[[#Headers],[ID]])))="",TRUE()),"",INDEX(tsk_PlanStart,(ROW()-ROW(MSPTasks[[#Headers],[ID]]))))</f>
        <v>46371</v>
      </c>
      <c r="P25" s="137" t="n">
        <f aca="false">IF(IFERROR(INDEX(tsk_Name,(ROW()-ROW(MSPTasks[[#Headers],[ID]])))="",TRUE()),"",INDEX(tsk_PlanFinish,(ROW()-ROW(MSPTasks[[#Headers],[ID]]))))</f>
        <v>46371</v>
      </c>
      <c r="Q25" s="24" t="str">
        <f aca="false">IF(IFERROR(INDEX(tsk_Name,(ROW()-ROW(MSPTasks[[#Headers],[ID]])))="",TRUE()),"",IF(INDEX(tsk_BaseDuration,(ROW()-ROW(MSPTasks[[#Headers],[ID]])))="","",N(INDEX(tsk_BaseDuration,(ROW()-ROW(MSPTasks[[#Headers],[ID]]))))&amp;"d"))</f>
        <v/>
      </c>
      <c r="R25" s="24" t="str">
        <f aca="false">IF(IFERROR(INDEX(tsk_Name,(ROW()-ROW(MSPTasks[[#Headers],[ID]])))="",TRUE()),"",IF(INDEX(tsk_BaseWork,(ROW()-ROW(MSPTasks[[#Headers],[ID]])))="","",N(INDEX(tsk_BaseWork,(ROW()-ROW(MSPTasks[[#Headers],[ID]]))))&amp;"h"))</f>
        <v/>
      </c>
      <c r="S25" s="24" t="str">
        <f aca="false">IF(IFERROR(INDEX(tsk_Name,(ROW()-ROW(MSPTasks[[#Headers],[ID]])))="",TRUE()),"",IF(INDEX(tsk_BaseCost,(ROW()-ROW(MSPTasks[[#Headers],[ID]])))="","",N(INDEX(tsk_BaseCost,(ROW()-ROW(MSPTasks[[#Headers],[ID]]))))))</f>
        <v/>
      </c>
      <c r="T25" s="24" t="str">
        <f aca="false">IF(IFERROR(INDEX(tsk_Name,(ROW()-ROW(MSPTasks[[#Headers],[ID]])))="",TRUE()),"",IF(INDEX(tsk_IsSummary,(ROW()-ROW(MSPTasks[[#Headers],[ID]]))),"",IF(N(INDEX(tsk_ActCostInput,(ROW()-ROW(MSPTasks[[#Headers],[ID]]))))=0,"",INDEX(tsk_ActCostInput,(ROW()-ROW(MSPTasks[[#Headers],[ID]]))))))</f>
        <v/>
      </c>
      <c r="U2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5" s="137" t="str">
        <f aca="false">IF(IFERROR(INDEX(tsk_Name,(ROW()-ROW(MSPTasks[[#Headers],[ID]])))="",TRUE()),"",IF(OR(INDEX(tsk_IsSummary,(ROW()-ROW(MSPTasks[[#Headers],[ID]]))),INDEX(tsk_Mode,(ROW()-ROW(MSPTasks[[#Headers],[ID]])))="Manual"),"",IF(N(INDEX(tsk_ConstraintCode,(ROW()-ROW(MSPTasks[[#Headers],[ID]]))))&lt;2,"",INDEX(tsk_Constraint,(ROW()-ROW(MSPTasks[[#Headers],[ID]]))))))</f>
        <v/>
      </c>
      <c r="W25" s="137" t="str">
        <f aca="false">IF(IFERROR(INDEX(tsk_Name,(ROW()-ROW(MSPTasks[[#Headers],[ID]])))="",TRUE()),"",IF(N(INDEX(tsk_Deadline,(ROW()-ROW(MSPTasks[[#Headers],[ID]]))))=0,"",INDEX(tsk_Deadline,(ROW()-ROW(MSPTasks[[#Headers],[ID]])))))</f>
        <v/>
      </c>
      <c r="X25" s="24" t="str">
        <f aca="false">IF(IFERROR(INDEX(tsk_Name,(ROW()-ROW(MSPTasks[[#Headers],[ID]])))="",TRUE()),"",IF(INDEX(tsk_IsSummary,(ROW()-ROW(MSPTasks[[#Headers],[ID]]))),"",INDEX(tsk_Sprint,(ROW()-ROW(MSPTasks[[#Headers],[ID]])))&amp;""))</f>
        <v>Sprint 8</v>
      </c>
      <c r="Y25" s="85" t="n">
        <f aca="false">IF(IFERROR(INDEX(tsk_Name,(ROW()-ROW(MSPTasks[[#Headers],[ID]])))="",TRUE()),"",IF(INDEX(tsk_IsSummary,(ROW()-ROW(MSPTasks[[#Headers],[ID]]))),"",IF(N(INDEX(tsk_StoryPoints,(ROW()-ROW(MSPTasks[[#Headers],[ID]]))))=0,"",INDEX(tsk_StoryPoints,(ROW()-ROW(MSPTasks[[#Headers],[ID]]))))))</f>
        <v>1</v>
      </c>
      <c r="Z25" s="24" t="str">
        <f aca="false">IF(IFERROR(INDEX(tsk_Name,(ROW()-ROW(MSPTasks[[#Headers],[ID]])))="",TRUE()),"",INDEX(tsk_Notes,(ROW()-ROW(MSPTasks[[#Headers],[ID]])))&amp;"")</f>
        <v>Three predecessors.</v>
      </c>
    </row>
    <row r="26" customFormat="false" ht="15" hidden="false" customHeight="false" outlineLevel="0" collapsed="false">
      <c r="A26" s="24" t="n">
        <f aca="false">IF(IFERROR(INDEX(tsk_Name,(ROW()-ROW(MSPTasks[[#Headers],[ID]])))="",TRUE()),"",INDEX(tsk_ID,(ROW()-ROW(MSPTasks[[#Headers],[ID]]))))</f>
        <v>25</v>
      </c>
      <c r="B26" s="24" t="n">
        <f aca="false">IF(IFERROR(INDEX(tsk_Name,(ROW()-ROW(MSPTasks[[#Headers],[ID]])))="",TRUE()),"",INDEX(tsk_UID,(ROW()-ROW(MSPTasks[[#Headers],[ID]]))))</f>
        <v>25</v>
      </c>
      <c r="C26" s="24" t="str">
        <f aca="false">IF(IFERROR(INDEX(tsk_Name,(ROW()-ROW(MSPTasks[[#Headers],[ID]])))="",TRUE()),"",INDEX(tsk_Name,(ROW()-ROW(MSPTasks[[#Headers],[ID]]))))</f>
        <v>Go-live</v>
      </c>
      <c r="D26" s="24" t="n">
        <f aca="false">IF(IFERROR(INDEX(tsk_Name,(ROW()-ROW(MSPTasks[[#Headers],[ID]])))="",TRUE()),"",INDEX(tsk_Level,(ROW()-ROW(MSPTasks[[#Headers],[ID]]))))</f>
        <v>2</v>
      </c>
      <c r="E26" s="24" t="str">
        <f aca="false">IF(IFERROR(INDEX(tsk_Name,(ROW()-ROW(MSPTasks[[#Headers],[ID]])))="",TRUE()),"",IF(INDEX(tsk_Mode,(ROW()-ROW(MSPTasks[[#Headers],[ID]])))="Manual","Manually Scheduled","Auto Scheduled"))</f>
        <v>Auto Scheduled</v>
      </c>
      <c r="F26" s="24" t="str">
        <f aca="false">IF(IFERROR(INDEX(tsk_Name,(ROW()-ROW(MSPTasks[[#Headers],[ID]])))="",TRUE()),"",IF(INDEX(tsk_IsSummary,(ROW()-ROW(MSPTasks[[#Headers],[ID]]))),"",N(INDEX(tsk_Duration,(ROW()-ROW(MSPTasks[[#Headers],[ID]]))))&amp;"d"))</f>
        <v>0d</v>
      </c>
      <c r="G26" s="137" t="n">
        <f aca="false">IF(IFERROR(INDEX(tsk_Name,(ROW()-ROW(MSPTasks[[#Headers],[ID]])))="",TRUE()),"",INDEX(tsk_FcStart,(ROW()-ROW(MSPTasks[[#Headers],[ID]]))))</f>
        <v>46371</v>
      </c>
      <c r="H26" s="137" t="n">
        <f aca="false">IF(IFERROR(INDEX(tsk_Name,(ROW()-ROW(MSPTasks[[#Headers],[ID]])))="",TRUE()),"",INDEX(tsk_FcFinish,(ROW()-ROW(MSPTasks[[#Headers],[ID]]))))</f>
        <v>46371</v>
      </c>
      <c r="I26" s="24" t="str">
        <f aca="false">IF(IFERROR(INDEX(tsk_Name,(ROW()-ROW(MSPTasks[[#Headers],[ID]])))="",TRUE()),"",IF(INDEX(tsk_IsSummary,(ROW()-ROW(MSPTasks[[#Headers],[ID]]))),"",INDEX(tsk_Predecessors,(ROW()-ROW(MSPTasks[[#Headers],[ID]])))))</f>
        <v>24</v>
      </c>
      <c r="J26" s="24" t="str">
        <f aca="false">IF(IFERROR(INDEX(tsk_Name,(ROW()-ROW(MSPTasks[[#Headers],[ID]])))="",TRUE()),"",IF(INDEX(tsk_IsSummary,(ROW()-ROW(MSPTasks[[#Headers],[ID]]))),"",INDEX(tsk_UIDPredecessors,(ROW()-ROW(MSPTasks[[#Headers],[ID]])))))</f>
        <v>24</v>
      </c>
      <c r="K26" s="24" t="str">
        <f aca="false">IF(IFERROR(INDEX(tsk_Name,(ROW()-ROW(MSPTasks[[#Headers],[ID]])))="",TRUE()),"",INDEX(tsk_ResourceNames,(ROW()-ROW(MSPTasks[[#Headers],[ID]])))&amp;"")</f>
        <v/>
      </c>
      <c r="L26" s="24" t="n">
        <f aca="false">IF(IFERROR(INDEX(tsk_Name,(ROW()-ROW(MSPTasks[[#Headers],[ID]])))="",TRUE()),"",IF(INDEX(tsk_IsSummary,(ROW()-ROW(MSPTasks[[#Headers],[ID]]))),"",ROUND(INDEX(tsk_Progress,(ROW()-ROW(MSPTasks[[#Headers],[ID]])))*100,0)))</f>
        <v>0</v>
      </c>
      <c r="M26" s="137" t="str">
        <f aca="false">IF(IFERROR(INDEX(tsk_Name,(ROW()-ROW(MSPTasks[[#Headers],[ID]])))="",TRUE()),"",IF(N(INDEX(tsk_ActStart,(ROW()-ROW(MSPTasks[[#Headers],[ID]]))))=0,"",INDEX(tsk_ActStart,(ROW()-ROW(MSPTasks[[#Headers],[ID]])))))</f>
        <v/>
      </c>
      <c r="N26" s="137" t="str">
        <f aca="false">IF(IFERROR(INDEX(tsk_Name,(ROW()-ROW(MSPTasks[[#Headers],[ID]])))="",TRUE()),"",IF(N(INDEX(tsk_ActFinish,(ROW()-ROW(MSPTasks[[#Headers],[ID]]))))=0,"",INDEX(tsk_ActFinish,(ROW()-ROW(MSPTasks[[#Headers],[ID]])))))</f>
        <v/>
      </c>
      <c r="O26" s="137" t="n">
        <f aca="false">IF(IFERROR(INDEX(tsk_Name,(ROW()-ROW(MSPTasks[[#Headers],[ID]])))="",TRUE()),"",INDEX(tsk_PlanStart,(ROW()-ROW(MSPTasks[[#Headers],[ID]]))))</f>
        <v>46371</v>
      </c>
      <c r="P26" s="137" t="n">
        <f aca="false">IF(IFERROR(INDEX(tsk_Name,(ROW()-ROW(MSPTasks[[#Headers],[ID]])))="",TRUE()),"",INDEX(tsk_PlanFinish,(ROW()-ROW(MSPTasks[[#Headers],[ID]]))))</f>
        <v>46371</v>
      </c>
      <c r="Q26" s="24" t="str">
        <f aca="false">IF(IFERROR(INDEX(tsk_Name,(ROW()-ROW(MSPTasks[[#Headers],[ID]])))="",TRUE()),"",IF(INDEX(tsk_BaseDuration,(ROW()-ROW(MSPTasks[[#Headers],[ID]])))="","",N(INDEX(tsk_BaseDuration,(ROW()-ROW(MSPTasks[[#Headers],[ID]]))))&amp;"d"))</f>
        <v/>
      </c>
      <c r="R26" s="24" t="str">
        <f aca="false">IF(IFERROR(INDEX(tsk_Name,(ROW()-ROW(MSPTasks[[#Headers],[ID]])))="",TRUE()),"",IF(INDEX(tsk_BaseWork,(ROW()-ROW(MSPTasks[[#Headers],[ID]])))="","",N(INDEX(tsk_BaseWork,(ROW()-ROW(MSPTasks[[#Headers],[ID]]))))&amp;"h"))</f>
        <v/>
      </c>
      <c r="S26" s="24" t="str">
        <f aca="false">IF(IFERROR(INDEX(tsk_Name,(ROW()-ROW(MSPTasks[[#Headers],[ID]])))="",TRUE()),"",IF(INDEX(tsk_BaseCost,(ROW()-ROW(MSPTasks[[#Headers],[ID]])))="","",N(INDEX(tsk_BaseCost,(ROW()-ROW(MSPTasks[[#Headers],[ID]]))))))</f>
        <v/>
      </c>
      <c r="T26" s="24" t="str">
        <f aca="false">IF(IFERROR(INDEX(tsk_Name,(ROW()-ROW(MSPTasks[[#Headers],[ID]])))="",TRUE()),"",IF(INDEX(tsk_IsSummary,(ROW()-ROW(MSPTasks[[#Headers],[ID]]))),"",IF(N(INDEX(tsk_ActCostInput,(ROW()-ROW(MSPTasks[[#Headers],[ID]]))))=0,"",INDEX(tsk_ActCostInput,(ROW()-ROW(MSPTasks[[#Headers],[ID]]))))))</f>
        <v/>
      </c>
      <c r="U2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6" s="137" t="str">
        <f aca="false">IF(IFERROR(INDEX(tsk_Name,(ROW()-ROW(MSPTasks[[#Headers],[ID]])))="",TRUE()),"",IF(OR(INDEX(tsk_IsSummary,(ROW()-ROW(MSPTasks[[#Headers],[ID]]))),INDEX(tsk_Mode,(ROW()-ROW(MSPTasks[[#Headers],[ID]])))="Manual"),"",IF(N(INDEX(tsk_ConstraintCode,(ROW()-ROW(MSPTasks[[#Headers],[ID]]))))&lt;2,"",INDEX(tsk_Constraint,(ROW()-ROW(MSPTasks[[#Headers],[ID]]))))))</f>
        <v/>
      </c>
      <c r="W26" s="137" t="n">
        <f aca="false">IF(IFERROR(INDEX(tsk_Name,(ROW()-ROW(MSPTasks[[#Headers],[ID]])))="",TRUE()),"",IF(N(INDEX(tsk_Deadline,(ROW()-ROW(MSPTasks[[#Headers],[ID]]))))=0,"",INDEX(tsk_Deadline,(ROW()-ROW(MSPTasks[[#Headers],[ID]])))))</f>
        <v>46374</v>
      </c>
      <c r="X26" s="24" t="str">
        <f aca="false">IF(IFERROR(INDEX(tsk_Name,(ROW()-ROW(MSPTasks[[#Headers],[ID]])))="",TRUE()),"",IF(INDEX(tsk_IsSummary,(ROW()-ROW(MSPTasks[[#Headers],[ID]]))),"",INDEX(tsk_Sprint,(ROW()-ROW(MSPTasks[[#Headers],[ID]])))&amp;""))</f>
        <v>Sprint 8</v>
      </c>
      <c r="Y26" s="24" t="str">
        <f aca="false">IF(IFERROR(INDEX(tsk_Name,(ROW()-ROW(MSPTasks[[#Headers],[ID]])))="",TRUE()),"",IF(INDEX(tsk_IsSummary,(ROW()-ROW(MSPTasks[[#Headers],[ID]]))),"",IF(N(INDEX(tsk_StoryPoints,(ROW()-ROW(MSPTasks[[#Headers],[ID]]))))=0,"",INDEX(tsk_StoryPoints,(ROW()-ROW(MSPTasks[[#Headers],[ID]]))))))</f>
        <v/>
      </c>
      <c r="Z26" s="24" t="str">
        <f aca="false">IF(IFERROR(INDEX(tsk_Name,(ROW()-ROW(MSPTasks[[#Headers],[ID]])))="",TRUE()),"",INDEX(tsk_Notes,(ROW()-ROW(MSPTasks[[#Headers],[ID]])))&amp;"")</f>
        <v>Milestone with a deadline of 18-Dec.</v>
      </c>
    </row>
    <row r="27" customFormat="false" ht="15" hidden="false" customHeight="false" outlineLevel="0" collapsed="false">
      <c r="A27" s="24" t="n">
        <f aca="false">IF(IFERROR(INDEX(tsk_Name,(ROW()-ROW(MSPTasks[[#Headers],[ID]])))="",TRUE()),"",INDEX(tsk_ID,(ROW()-ROW(MSPTasks[[#Headers],[ID]]))))</f>
        <v>26</v>
      </c>
      <c r="B27" s="24" t="n">
        <f aca="false">IF(IFERROR(INDEX(tsk_Name,(ROW()-ROW(MSPTasks[[#Headers],[ID]])))="",TRUE()),"",INDEX(tsk_UID,(ROW()-ROW(MSPTasks[[#Headers],[ID]]))))</f>
        <v>26</v>
      </c>
      <c r="C27" s="24" t="str">
        <f aca="false">IF(IFERROR(INDEX(tsk_Name,(ROW()-ROW(MSPTasks[[#Headers],[ID]])))="",TRUE()),"",INDEX(tsk_Name,(ROW()-ROW(MSPTasks[[#Headers],[ID]]))))</f>
        <v>Hypercare support</v>
      </c>
      <c r="D27" s="24" t="n">
        <f aca="false">IF(IFERROR(INDEX(tsk_Name,(ROW()-ROW(MSPTasks[[#Headers],[ID]])))="",TRUE()),"",INDEX(tsk_Level,(ROW()-ROW(MSPTasks[[#Headers],[ID]]))))</f>
        <v>2</v>
      </c>
      <c r="E27" s="24" t="str">
        <f aca="false">IF(IFERROR(INDEX(tsk_Name,(ROW()-ROW(MSPTasks[[#Headers],[ID]])))="",TRUE()),"",IF(INDEX(tsk_Mode,(ROW()-ROW(MSPTasks[[#Headers],[ID]])))="Manual","Manually Scheduled","Auto Scheduled"))</f>
        <v>Auto Scheduled</v>
      </c>
      <c r="F27" s="24" t="str">
        <f aca="false">IF(IFERROR(INDEX(tsk_Name,(ROW()-ROW(MSPTasks[[#Headers],[ID]])))="",TRUE()),"",IF(INDEX(tsk_IsSummary,(ROW()-ROW(MSPTasks[[#Headers],[ID]]))),"",N(INDEX(tsk_Duration,(ROW()-ROW(MSPTasks[[#Headers],[ID]]))))&amp;"d"))</f>
        <v>10d</v>
      </c>
      <c r="G27" s="137" t="n">
        <f aca="false">IF(IFERROR(INDEX(tsk_Name,(ROW()-ROW(MSPTasks[[#Headers],[ID]])))="",TRUE()),"",INDEX(tsk_FcStart,(ROW()-ROW(MSPTasks[[#Headers],[ID]]))))</f>
        <v>46372</v>
      </c>
      <c r="H27" s="137" t="n">
        <f aca="false">IF(IFERROR(INDEX(tsk_Name,(ROW()-ROW(MSPTasks[[#Headers],[ID]])))="",TRUE()),"",INDEX(tsk_FcFinish,(ROW()-ROW(MSPTasks[[#Headers],[ID]]))))</f>
        <v>46391</v>
      </c>
      <c r="I27" s="24" t="str">
        <f aca="false">IF(IFERROR(INDEX(tsk_Name,(ROW()-ROW(MSPTasks[[#Headers],[ID]])))="",TRUE()),"",IF(INDEX(tsk_IsSummary,(ROW()-ROW(MSPTasks[[#Headers],[ID]]))),"",INDEX(tsk_Predecessors,(ROW()-ROW(MSPTasks[[#Headers],[ID]])))))</f>
        <v>25</v>
      </c>
      <c r="J27" s="24" t="str">
        <f aca="false">IF(IFERROR(INDEX(tsk_Name,(ROW()-ROW(MSPTasks[[#Headers],[ID]])))="",TRUE()),"",IF(INDEX(tsk_IsSummary,(ROW()-ROW(MSPTasks[[#Headers],[ID]]))),"",INDEX(tsk_UIDPredecessors,(ROW()-ROW(MSPTasks[[#Headers],[ID]])))))</f>
        <v>25</v>
      </c>
      <c r="K27" s="24" t="str">
        <f aca="false">IF(IFERROR(INDEX(tsk_Name,(ROW()-ROW(MSPTasks[[#Headers],[ID]])))="",TRUE()),"",INDEX(tsk_ResourceNames,(ROW()-ROW(MSPTasks[[#Headers],[ID]])))&amp;"")</f>
        <v>Jordan Lee[50%]</v>
      </c>
      <c r="L27" s="24" t="n">
        <f aca="false">IF(IFERROR(INDEX(tsk_Name,(ROW()-ROW(MSPTasks[[#Headers],[ID]])))="",TRUE()),"",IF(INDEX(tsk_IsSummary,(ROW()-ROW(MSPTasks[[#Headers],[ID]]))),"",ROUND(INDEX(tsk_Progress,(ROW()-ROW(MSPTasks[[#Headers],[ID]])))*100,0)))</f>
        <v>0</v>
      </c>
      <c r="M27" s="137" t="str">
        <f aca="false">IF(IFERROR(INDEX(tsk_Name,(ROW()-ROW(MSPTasks[[#Headers],[ID]])))="",TRUE()),"",IF(N(INDEX(tsk_ActStart,(ROW()-ROW(MSPTasks[[#Headers],[ID]]))))=0,"",INDEX(tsk_ActStart,(ROW()-ROW(MSPTasks[[#Headers],[ID]])))))</f>
        <v/>
      </c>
      <c r="N27" s="137" t="str">
        <f aca="false">IF(IFERROR(INDEX(tsk_Name,(ROW()-ROW(MSPTasks[[#Headers],[ID]])))="",TRUE()),"",IF(N(INDEX(tsk_ActFinish,(ROW()-ROW(MSPTasks[[#Headers],[ID]]))))=0,"",INDEX(tsk_ActFinish,(ROW()-ROW(MSPTasks[[#Headers],[ID]])))))</f>
        <v/>
      </c>
      <c r="O27" s="137" t="n">
        <f aca="false">IF(IFERROR(INDEX(tsk_Name,(ROW()-ROW(MSPTasks[[#Headers],[ID]])))="",TRUE()),"",INDEX(tsk_PlanStart,(ROW()-ROW(MSPTasks[[#Headers],[ID]]))))</f>
        <v>46372</v>
      </c>
      <c r="P27" s="137" t="n">
        <f aca="false">IF(IFERROR(INDEX(tsk_Name,(ROW()-ROW(MSPTasks[[#Headers],[ID]])))="",TRUE()),"",INDEX(tsk_PlanFinish,(ROW()-ROW(MSPTasks[[#Headers],[ID]]))))</f>
        <v>46391</v>
      </c>
      <c r="Q27" s="24" t="str">
        <f aca="false">IF(IFERROR(INDEX(tsk_Name,(ROW()-ROW(MSPTasks[[#Headers],[ID]])))="",TRUE()),"",IF(INDEX(tsk_BaseDuration,(ROW()-ROW(MSPTasks[[#Headers],[ID]])))="","",N(INDEX(tsk_BaseDuration,(ROW()-ROW(MSPTasks[[#Headers],[ID]]))))&amp;"d"))</f>
        <v/>
      </c>
      <c r="R27" s="24" t="str">
        <f aca="false">IF(IFERROR(INDEX(tsk_Name,(ROW()-ROW(MSPTasks[[#Headers],[ID]])))="",TRUE()),"",IF(INDEX(tsk_BaseWork,(ROW()-ROW(MSPTasks[[#Headers],[ID]])))="","",N(INDEX(tsk_BaseWork,(ROW()-ROW(MSPTasks[[#Headers],[ID]]))))&amp;"h"))</f>
        <v/>
      </c>
      <c r="S27" s="24" t="str">
        <f aca="false">IF(IFERROR(INDEX(tsk_Name,(ROW()-ROW(MSPTasks[[#Headers],[ID]])))="",TRUE()),"",IF(INDEX(tsk_BaseCost,(ROW()-ROW(MSPTasks[[#Headers],[ID]])))="","",N(INDEX(tsk_BaseCost,(ROW()-ROW(MSPTasks[[#Headers],[ID]]))))))</f>
        <v/>
      </c>
      <c r="T27" s="24" t="str">
        <f aca="false">IF(IFERROR(INDEX(tsk_Name,(ROW()-ROW(MSPTasks[[#Headers],[ID]])))="",TRUE()),"",IF(INDEX(tsk_IsSummary,(ROW()-ROW(MSPTasks[[#Headers],[ID]]))),"",IF(N(INDEX(tsk_ActCostInput,(ROW()-ROW(MSPTasks[[#Headers],[ID]]))))=0,"",INDEX(tsk_ActCostInput,(ROW()-ROW(MSPTasks[[#Headers],[ID]]))))))</f>
        <v/>
      </c>
      <c r="U2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7" s="137" t="str">
        <f aca="false">IF(IFERROR(INDEX(tsk_Name,(ROW()-ROW(MSPTasks[[#Headers],[ID]])))="",TRUE()),"",IF(OR(INDEX(tsk_IsSummary,(ROW()-ROW(MSPTasks[[#Headers],[ID]]))),INDEX(tsk_Mode,(ROW()-ROW(MSPTasks[[#Headers],[ID]])))="Manual"),"",IF(N(INDEX(tsk_ConstraintCode,(ROW()-ROW(MSPTasks[[#Headers],[ID]]))))&lt;2,"",INDEX(tsk_Constraint,(ROW()-ROW(MSPTasks[[#Headers],[ID]]))))))</f>
        <v/>
      </c>
      <c r="W27" s="137" t="str">
        <f aca="false">IF(IFERROR(INDEX(tsk_Name,(ROW()-ROW(MSPTasks[[#Headers],[ID]])))="",TRUE()),"",IF(N(INDEX(tsk_Deadline,(ROW()-ROW(MSPTasks[[#Headers],[ID]]))))=0,"",INDEX(tsk_Deadline,(ROW()-ROW(MSPTasks[[#Headers],[ID]])))))</f>
        <v/>
      </c>
      <c r="X27" s="24" t="str">
        <f aca="false">IF(IFERROR(INDEX(tsk_Name,(ROW()-ROW(MSPTasks[[#Headers],[ID]])))="",TRUE()),"",IF(INDEX(tsk_IsSummary,(ROW()-ROW(MSPTasks[[#Headers],[ID]]))),"",INDEX(tsk_Sprint,(ROW()-ROW(MSPTasks[[#Headers],[ID]])))&amp;""))</f>
        <v>Sprint 8</v>
      </c>
      <c r="Y27" s="85" t="n">
        <f aca="false">IF(IFERROR(INDEX(tsk_Name,(ROW()-ROW(MSPTasks[[#Headers],[ID]])))="",TRUE()),"",IF(INDEX(tsk_IsSummary,(ROW()-ROW(MSPTasks[[#Headers],[ID]]))),"",IF(N(INDEX(tsk_StoryPoints,(ROW()-ROW(MSPTasks[[#Headers],[ID]]))))=0,"",INDEX(tsk_StoryPoints,(ROW()-ROW(MSPTasks[[#Headers],[ID]]))))))</f>
        <v>5</v>
      </c>
      <c r="Z27" s="24" t="str">
        <f aca="false">IF(IFERROR(INDEX(tsk_Name,(ROW()-ROW(MSPTasks[[#Headers],[ID]])))="",TRUE()),"",INDEX(tsk_Notes,(ROW()-ROW(MSPTasks[[#Headers],[ID]])))&amp;"")</f>
        <v/>
      </c>
    </row>
    <row r="28" customFormat="false" ht="15" hidden="false" customHeight="false" outlineLevel="0" collapsed="false">
      <c r="A28" s="24" t="n">
        <f aca="false">IF(IFERROR(INDEX(tsk_Name,(ROW()-ROW(MSPTasks[[#Headers],[ID]])))="",TRUE()),"",INDEX(tsk_ID,(ROW()-ROW(MSPTasks[[#Headers],[ID]]))))</f>
        <v>27</v>
      </c>
      <c r="B28" s="24" t="n">
        <f aca="false">IF(IFERROR(INDEX(tsk_Name,(ROW()-ROW(MSPTasks[[#Headers],[ID]])))="",TRUE()),"",INDEX(tsk_UID,(ROW()-ROW(MSPTasks[[#Headers],[ID]]))))</f>
        <v>27</v>
      </c>
      <c r="C28" s="24" t="str">
        <f aca="false">IF(IFERROR(INDEX(tsk_Name,(ROW()-ROW(MSPTasks[[#Headers],[ID]])))="",TRUE()),"",INDEX(tsk_Name,(ROW()-ROW(MSPTasks[[#Headers],[ID]]))))</f>
        <v>Project Close</v>
      </c>
      <c r="D28" s="24" t="n">
        <f aca="false">IF(IFERROR(INDEX(tsk_Name,(ROW()-ROW(MSPTasks[[#Headers],[ID]])))="",TRUE()),"",INDEX(tsk_Level,(ROW()-ROW(MSPTasks[[#Headers],[ID]]))))</f>
        <v>1</v>
      </c>
      <c r="E28" s="24" t="str">
        <f aca="false">IF(IFERROR(INDEX(tsk_Name,(ROW()-ROW(MSPTasks[[#Headers],[ID]])))="",TRUE()),"",IF(INDEX(tsk_Mode,(ROW()-ROW(MSPTasks[[#Headers],[ID]])))="Manual","Manually Scheduled","Auto Scheduled"))</f>
        <v>Auto Scheduled</v>
      </c>
      <c r="F28" s="24" t="str">
        <f aca="false">IF(IFERROR(INDEX(tsk_Name,(ROW()-ROW(MSPTasks[[#Headers],[ID]])))="",TRUE()),"",IF(INDEX(tsk_IsSummary,(ROW()-ROW(MSPTasks[[#Headers],[ID]]))),"",N(INDEX(tsk_Duration,(ROW()-ROW(MSPTasks[[#Headers],[ID]]))))&amp;"d"))</f>
        <v/>
      </c>
      <c r="G28" s="137" t="n">
        <f aca="false">IF(IFERROR(INDEX(tsk_Name,(ROW()-ROW(MSPTasks[[#Headers],[ID]])))="",TRUE()),"",INDEX(tsk_FcStart,(ROW()-ROW(MSPTasks[[#Headers],[ID]]))))</f>
        <v>46342</v>
      </c>
      <c r="H28" s="137" t="n">
        <f aca="false">IF(IFERROR(INDEX(tsk_Name,(ROW()-ROW(MSPTasks[[#Headers],[ID]])))="",TRUE()),"",INDEX(tsk_FcFinish,(ROW()-ROW(MSPTasks[[#Headers],[ID]]))))</f>
        <v>46393</v>
      </c>
      <c r="I28" s="24" t="str">
        <f aca="false">IF(IFERROR(INDEX(tsk_Name,(ROW()-ROW(MSPTasks[[#Headers],[ID]])))="",TRUE()),"",IF(INDEX(tsk_IsSummary,(ROW()-ROW(MSPTasks[[#Headers],[ID]]))),"",INDEX(tsk_Predecessors,(ROW()-ROW(MSPTasks[[#Headers],[ID]])))))</f>
        <v/>
      </c>
      <c r="J28" s="24" t="str">
        <f aca="false">IF(IFERROR(INDEX(tsk_Name,(ROW()-ROW(MSPTasks[[#Headers],[ID]])))="",TRUE()),"",IF(INDEX(tsk_IsSummary,(ROW()-ROW(MSPTasks[[#Headers],[ID]]))),"",INDEX(tsk_UIDPredecessors,(ROW()-ROW(MSPTasks[[#Headers],[ID]])))))</f>
        <v/>
      </c>
      <c r="K28" s="24" t="str">
        <f aca="false">IF(IFERROR(INDEX(tsk_Name,(ROW()-ROW(MSPTasks[[#Headers],[ID]])))="",TRUE()),"",INDEX(tsk_ResourceNames,(ROW()-ROW(MSPTasks[[#Headers],[ID]])))&amp;"")</f>
        <v/>
      </c>
      <c r="L28" s="24" t="str">
        <f aca="false">IF(IFERROR(INDEX(tsk_Name,(ROW()-ROW(MSPTasks[[#Headers],[ID]])))="",TRUE()),"",IF(INDEX(tsk_IsSummary,(ROW()-ROW(MSPTasks[[#Headers],[ID]]))),"",ROUND(INDEX(tsk_Progress,(ROW()-ROW(MSPTasks[[#Headers],[ID]])))*100,0)))</f>
        <v/>
      </c>
      <c r="M28" s="137" t="str">
        <f aca="false">IF(IFERROR(INDEX(tsk_Name,(ROW()-ROW(MSPTasks[[#Headers],[ID]])))="",TRUE()),"",IF(N(INDEX(tsk_ActStart,(ROW()-ROW(MSPTasks[[#Headers],[ID]]))))=0,"",INDEX(tsk_ActStart,(ROW()-ROW(MSPTasks[[#Headers],[ID]])))))</f>
        <v/>
      </c>
      <c r="N28" s="137" t="str">
        <f aca="false">IF(IFERROR(INDEX(tsk_Name,(ROW()-ROW(MSPTasks[[#Headers],[ID]])))="",TRUE()),"",IF(N(INDEX(tsk_ActFinish,(ROW()-ROW(MSPTasks[[#Headers],[ID]]))))=0,"",INDEX(tsk_ActFinish,(ROW()-ROW(MSPTasks[[#Headers],[ID]])))))</f>
        <v/>
      </c>
      <c r="O28" s="137" t="n">
        <f aca="false">IF(IFERROR(INDEX(tsk_Name,(ROW()-ROW(MSPTasks[[#Headers],[ID]])))="",TRUE()),"",INDEX(tsk_PlanStart,(ROW()-ROW(MSPTasks[[#Headers],[ID]]))))</f>
        <v>46342</v>
      </c>
      <c r="P28" s="137" t="n">
        <f aca="false">IF(IFERROR(INDEX(tsk_Name,(ROW()-ROW(MSPTasks[[#Headers],[ID]])))="",TRUE()),"",INDEX(tsk_PlanFinish,(ROW()-ROW(MSPTasks[[#Headers],[ID]]))))</f>
        <v>46393</v>
      </c>
      <c r="Q28" s="24" t="str">
        <f aca="false">IF(IFERROR(INDEX(tsk_Name,(ROW()-ROW(MSPTasks[[#Headers],[ID]])))="",TRUE()),"",IF(INDEX(tsk_BaseDuration,(ROW()-ROW(MSPTasks[[#Headers],[ID]])))="","",N(INDEX(tsk_BaseDuration,(ROW()-ROW(MSPTasks[[#Headers],[ID]]))))&amp;"d"))</f>
        <v/>
      </c>
      <c r="R28" s="24" t="str">
        <f aca="false">IF(IFERROR(INDEX(tsk_Name,(ROW()-ROW(MSPTasks[[#Headers],[ID]])))="",TRUE()),"",IF(INDEX(tsk_BaseWork,(ROW()-ROW(MSPTasks[[#Headers],[ID]])))="","",N(INDEX(tsk_BaseWork,(ROW()-ROW(MSPTasks[[#Headers],[ID]]))))&amp;"h"))</f>
        <v/>
      </c>
      <c r="S28" s="24" t="str">
        <f aca="false">IF(IFERROR(INDEX(tsk_Name,(ROW()-ROW(MSPTasks[[#Headers],[ID]])))="",TRUE()),"",IF(INDEX(tsk_BaseCost,(ROW()-ROW(MSPTasks[[#Headers],[ID]])))="","",N(INDEX(tsk_BaseCost,(ROW()-ROW(MSPTasks[[#Headers],[ID]]))))))</f>
        <v/>
      </c>
      <c r="T28" s="24" t="str">
        <f aca="false">IF(IFERROR(INDEX(tsk_Name,(ROW()-ROW(MSPTasks[[#Headers],[ID]])))="",TRUE()),"",IF(INDEX(tsk_IsSummary,(ROW()-ROW(MSPTasks[[#Headers],[ID]]))),"",IF(N(INDEX(tsk_ActCostInput,(ROW()-ROW(MSPTasks[[#Headers],[ID]]))))=0,"",INDEX(tsk_ActCostInput,(ROW()-ROW(MSPTasks[[#Headers],[ID]]))))))</f>
        <v/>
      </c>
      <c r="U2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28" s="137" t="str">
        <f aca="false">IF(IFERROR(INDEX(tsk_Name,(ROW()-ROW(MSPTasks[[#Headers],[ID]])))="",TRUE()),"",IF(OR(INDEX(tsk_IsSummary,(ROW()-ROW(MSPTasks[[#Headers],[ID]]))),INDEX(tsk_Mode,(ROW()-ROW(MSPTasks[[#Headers],[ID]])))="Manual"),"",IF(N(INDEX(tsk_ConstraintCode,(ROW()-ROW(MSPTasks[[#Headers],[ID]]))))&lt;2,"",INDEX(tsk_Constraint,(ROW()-ROW(MSPTasks[[#Headers],[ID]]))))))</f>
        <v/>
      </c>
      <c r="W28" s="137" t="str">
        <f aca="false">IF(IFERROR(INDEX(tsk_Name,(ROW()-ROW(MSPTasks[[#Headers],[ID]])))="",TRUE()),"",IF(N(INDEX(tsk_Deadline,(ROW()-ROW(MSPTasks[[#Headers],[ID]]))))=0,"",INDEX(tsk_Deadline,(ROW()-ROW(MSPTasks[[#Headers],[ID]])))))</f>
        <v/>
      </c>
      <c r="X28" s="24" t="str">
        <f aca="false">IF(IFERROR(INDEX(tsk_Name,(ROW()-ROW(MSPTasks[[#Headers],[ID]])))="",TRUE()),"",IF(INDEX(tsk_IsSummary,(ROW()-ROW(MSPTasks[[#Headers],[ID]]))),"",INDEX(tsk_Sprint,(ROW()-ROW(MSPTasks[[#Headers],[ID]])))&amp;""))</f>
        <v/>
      </c>
      <c r="Y28" s="24" t="str">
        <f aca="false">IF(IFERROR(INDEX(tsk_Name,(ROW()-ROW(MSPTasks[[#Headers],[ID]])))="",TRUE()),"",IF(INDEX(tsk_IsSummary,(ROW()-ROW(MSPTasks[[#Headers],[ID]]))),"",IF(N(INDEX(tsk_StoryPoints,(ROW()-ROW(MSPTasks[[#Headers],[ID]]))))=0,"",INDEX(tsk_StoryPoints,(ROW()-ROW(MSPTasks[[#Headers],[ID]]))))))</f>
        <v/>
      </c>
      <c r="Z28" s="24" t="str">
        <f aca="false">IF(IFERROR(INDEX(tsk_Name,(ROW()-ROW(MSPTasks[[#Headers],[ID]])))="",TRUE()),"",INDEX(tsk_Notes,(ROW()-ROW(MSPTasks[[#Headers],[ID]])))&amp;"")</f>
        <v/>
      </c>
    </row>
    <row r="29" customFormat="false" ht="15" hidden="false" customHeight="false" outlineLevel="0" collapsed="false">
      <c r="A29" s="24" t="n">
        <f aca="false">IF(IFERROR(INDEX(tsk_Name,(ROW()-ROW(MSPTasks[[#Headers],[ID]])))="",TRUE()),"",INDEX(tsk_ID,(ROW()-ROW(MSPTasks[[#Headers],[ID]]))))</f>
        <v>28</v>
      </c>
      <c r="B29" s="24" t="n">
        <f aca="false">IF(IFERROR(INDEX(tsk_Name,(ROW()-ROW(MSPTasks[[#Headers],[ID]])))="",TRUE()),"",INDEX(tsk_UID,(ROW()-ROW(MSPTasks[[#Headers],[ID]]))))</f>
        <v>28</v>
      </c>
      <c r="C29" s="24" t="str">
        <f aca="false">IF(IFERROR(INDEX(tsk_Name,(ROW()-ROW(MSPTasks[[#Headers],[ID]])))="",TRUE()),"",INDEX(tsk_Name,(ROW()-ROW(MSPTasks[[#Headers],[ID]]))))</f>
        <v>Steering committee update</v>
      </c>
      <c r="D29" s="24" t="n">
        <f aca="false">IF(IFERROR(INDEX(tsk_Name,(ROW()-ROW(MSPTasks[[#Headers],[ID]])))="",TRUE()),"",INDEX(tsk_Level,(ROW()-ROW(MSPTasks[[#Headers],[ID]]))))</f>
        <v>2</v>
      </c>
      <c r="E29" s="24" t="str">
        <f aca="false">IF(IFERROR(INDEX(tsk_Name,(ROW()-ROW(MSPTasks[[#Headers],[ID]])))="",TRUE()),"",IF(INDEX(tsk_Mode,(ROW()-ROW(MSPTasks[[#Headers],[ID]])))="Manual","Manually Scheduled","Auto Scheduled"))</f>
        <v>Manually Scheduled</v>
      </c>
      <c r="F29" s="24" t="str">
        <f aca="false">IF(IFERROR(INDEX(tsk_Name,(ROW()-ROW(MSPTasks[[#Headers],[ID]])))="",TRUE()),"",IF(INDEX(tsk_IsSummary,(ROW()-ROW(MSPTasks[[#Headers],[ID]]))),"",N(INDEX(tsk_Duration,(ROW()-ROW(MSPTasks[[#Headers],[ID]]))))&amp;"d"))</f>
        <v>1d</v>
      </c>
      <c r="G29" s="137" t="n">
        <f aca="false">IF(IFERROR(INDEX(tsk_Name,(ROW()-ROW(MSPTasks[[#Headers],[ID]])))="",TRUE()),"",INDEX(tsk_FcStart,(ROW()-ROW(MSPTasks[[#Headers],[ID]]))))</f>
        <v>46342</v>
      </c>
      <c r="H29" s="137" t="n">
        <f aca="false">IF(IFERROR(INDEX(tsk_Name,(ROW()-ROW(MSPTasks[[#Headers],[ID]])))="",TRUE()),"",INDEX(tsk_FcFinish,(ROW()-ROW(MSPTasks[[#Headers],[ID]]))))</f>
        <v>46342</v>
      </c>
      <c r="I29" s="24" t="str">
        <f aca="false">IF(IFERROR(INDEX(tsk_Name,(ROW()-ROW(MSPTasks[[#Headers],[ID]])))="",TRUE()),"",IF(INDEX(tsk_IsSummary,(ROW()-ROW(MSPTasks[[#Headers],[ID]]))),"",INDEX(tsk_Predecessors,(ROW()-ROW(MSPTasks[[#Headers],[ID]])))))</f>
        <v/>
      </c>
      <c r="J29" s="24" t="str">
        <f aca="false">IF(IFERROR(INDEX(tsk_Name,(ROW()-ROW(MSPTasks[[#Headers],[ID]])))="",TRUE()),"",IF(INDEX(tsk_IsSummary,(ROW()-ROW(MSPTasks[[#Headers],[ID]]))),"",INDEX(tsk_UIDPredecessors,(ROW()-ROW(MSPTasks[[#Headers],[ID]])))))</f>
        <v/>
      </c>
      <c r="K29" s="24" t="str">
        <f aca="false">IF(IFERROR(INDEX(tsk_Name,(ROW()-ROW(MSPTasks[[#Headers],[ID]])))="",TRUE()),"",INDEX(tsk_ResourceNames,(ROW()-ROW(MSPTasks[[#Headers],[ID]])))&amp;"")</f>
        <v>Priya Sharma</v>
      </c>
      <c r="L29" s="24" t="n">
        <f aca="false">IF(IFERROR(INDEX(tsk_Name,(ROW()-ROW(MSPTasks[[#Headers],[ID]])))="",TRUE()),"",IF(INDEX(tsk_IsSummary,(ROW()-ROW(MSPTasks[[#Headers],[ID]]))),"",ROUND(INDEX(tsk_Progress,(ROW()-ROW(MSPTasks[[#Headers],[ID]])))*100,0)))</f>
        <v>0</v>
      </c>
      <c r="M29" s="137" t="str">
        <f aca="false">IF(IFERROR(INDEX(tsk_Name,(ROW()-ROW(MSPTasks[[#Headers],[ID]])))="",TRUE()),"",IF(N(INDEX(tsk_ActStart,(ROW()-ROW(MSPTasks[[#Headers],[ID]]))))=0,"",INDEX(tsk_ActStart,(ROW()-ROW(MSPTasks[[#Headers],[ID]])))))</f>
        <v/>
      </c>
      <c r="N29" s="137" t="str">
        <f aca="false">IF(IFERROR(INDEX(tsk_Name,(ROW()-ROW(MSPTasks[[#Headers],[ID]])))="",TRUE()),"",IF(N(INDEX(tsk_ActFinish,(ROW()-ROW(MSPTasks[[#Headers],[ID]]))))=0,"",INDEX(tsk_ActFinish,(ROW()-ROW(MSPTasks[[#Headers],[ID]])))))</f>
        <v/>
      </c>
      <c r="O29" s="137" t="n">
        <f aca="false">IF(IFERROR(INDEX(tsk_Name,(ROW()-ROW(MSPTasks[[#Headers],[ID]])))="",TRUE()),"",INDEX(tsk_PlanStart,(ROW()-ROW(MSPTasks[[#Headers],[ID]]))))</f>
        <v>46342</v>
      </c>
      <c r="P29" s="137" t="n">
        <f aca="false">IF(IFERROR(INDEX(tsk_Name,(ROW()-ROW(MSPTasks[[#Headers],[ID]])))="",TRUE()),"",INDEX(tsk_PlanFinish,(ROW()-ROW(MSPTasks[[#Headers],[ID]]))))</f>
        <v>46342</v>
      </c>
      <c r="Q29" s="24" t="str">
        <f aca="false">IF(IFERROR(INDEX(tsk_Name,(ROW()-ROW(MSPTasks[[#Headers],[ID]])))="",TRUE()),"",IF(INDEX(tsk_BaseDuration,(ROW()-ROW(MSPTasks[[#Headers],[ID]])))="","",N(INDEX(tsk_BaseDuration,(ROW()-ROW(MSPTasks[[#Headers],[ID]]))))&amp;"d"))</f>
        <v/>
      </c>
      <c r="R29" s="24" t="str">
        <f aca="false">IF(IFERROR(INDEX(tsk_Name,(ROW()-ROW(MSPTasks[[#Headers],[ID]])))="",TRUE()),"",IF(INDEX(tsk_BaseWork,(ROW()-ROW(MSPTasks[[#Headers],[ID]])))="","",N(INDEX(tsk_BaseWork,(ROW()-ROW(MSPTasks[[#Headers],[ID]]))))&amp;"h"))</f>
        <v/>
      </c>
      <c r="S29" s="24" t="str">
        <f aca="false">IF(IFERROR(INDEX(tsk_Name,(ROW()-ROW(MSPTasks[[#Headers],[ID]])))="",TRUE()),"",IF(INDEX(tsk_BaseCost,(ROW()-ROW(MSPTasks[[#Headers],[ID]])))="","",N(INDEX(tsk_BaseCost,(ROW()-ROW(MSPTasks[[#Headers],[ID]]))))))</f>
        <v/>
      </c>
      <c r="T29" s="24" t="str">
        <f aca="false">IF(IFERROR(INDEX(tsk_Name,(ROW()-ROW(MSPTasks[[#Headers],[ID]])))="",TRUE()),"",IF(INDEX(tsk_IsSummary,(ROW()-ROW(MSPTasks[[#Headers],[ID]]))),"",IF(N(INDEX(tsk_ActCostInput,(ROW()-ROW(MSPTasks[[#Headers],[ID]]))))=0,"",INDEX(tsk_ActCostInput,(ROW()-ROW(MSPTasks[[#Headers],[ID]]))))))</f>
        <v/>
      </c>
      <c r="U2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29" s="137" t="str">
        <f aca="false">IF(IFERROR(INDEX(tsk_Name,(ROW()-ROW(MSPTasks[[#Headers],[ID]])))="",TRUE()),"",IF(OR(INDEX(tsk_IsSummary,(ROW()-ROW(MSPTasks[[#Headers],[ID]]))),INDEX(tsk_Mode,(ROW()-ROW(MSPTasks[[#Headers],[ID]])))="Manual"),"",IF(N(INDEX(tsk_ConstraintCode,(ROW()-ROW(MSPTasks[[#Headers],[ID]]))))&lt;2,"",INDEX(tsk_Constraint,(ROW()-ROW(MSPTasks[[#Headers],[ID]]))))))</f>
        <v/>
      </c>
      <c r="W29" s="137" t="str">
        <f aca="false">IF(IFERROR(INDEX(tsk_Name,(ROW()-ROW(MSPTasks[[#Headers],[ID]])))="",TRUE()),"",IF(N(INDEX(tsk_Deadline,(ROW()-ROW(MSPTasks[[#Headers],[ID]]))))=0,"",INDEX(tsk_Deadline,(ROW()-ROW(MSPTasks[[#Headers],[ID]])))))</f>
        <v/>
      </c>
      <c r="X29" s="24" t="str">
        <f aca="false">IF(IFERROR(INDEX(tsk_Name,(ROW()-ROW(MSPTasks[[#Headers],[ID]])))="",TRUE()),"",IF(INDEX(tsk_IsSummary,(ROW()-ROW(MSPTasks[[#Headers],[ID]]))),"",INDEX(tsk_Sprint,(ROW()-ROW(MSPTasks[[#Headers],[ID]])))&amp;""))</f>
        <v>Sprint 6</v>
      </c>
      <c r="Y29" s="85" t="n">
        <f aca="false">IF(IFERROR(INDEX(tsk_Name,(ROW()-ROW(MSPTasks[[#Headers],[ID]])))="",TRUE()),"",IF(INDEX(tsk_IsSummary,(ROW()-ROW(MSPTasks[[#Headers],[ID]]))),"",IF(N(INDEX(tsk_StoryPoints,(ROW()-ROW(MSPTasks[[#Headers],[ID]]))))=0,"",INDEX(tsk_StoryPoints,(ROW()-ROW(MSPTasks[[#Headers],[ID]]))))))</f>
        <v>1</v>
      </c>
      <c r="Z29" s="24" t="str">
        <f aca="false">IF(IFERROR(INDEX(tsk_Name,(ROW()-ROW(MSPTasks[[#Headers],[ID]])))="",TRUE()),"",INDEX(tsk_Notes,(ROW()-ROW(MSPTasks[[#Headers],[ID]])))&amp;"")</f>
        <v>Manual mode example: fixed on its Constraint Date.</v>
      </c>
    </row>
    <row r="30" customFormat="false" ht="15" hidden="false" customHeight="false" outlineLevel="0" collapsed="false">
      <c r="A30" s="24" t="n">
        <f aca="false">IF(IFERROR(INDEX(tsk_Name,(ROW()-ROW(MSPTasks[[#Headers],[ID]])))="",TRUE()),"",INDEX(tsk_ID,(ROW()-ROW(MSPTasks[[#Headers],[ID]]))))</f>
        <v>29</v>
      </c>
      <c r="B30" s="24" t="n">
        <f aca="false">IF(IFERROR(INDEX(tsk_Name,(ROW()-ROW(MSPTasks[[#Headers],[ID]])))="",TRUE()),"",INDEX(tsk_UID,(ROW()-ROW(MSPTasks[[#Headers],[ID]]))))</f>
        <v>29</v>
      </c>
      <c r="C30" s="24" t="str">
        <f aca="false">IF(IFERROR(INDEX(tsk_Name,(ROW()-ROW(MSPTasks[[#Headers],[ID]])))="",TRUE()),"",INDEX(tsk_Name,(ROW()-ROW(MSPTasks[[#Headers],[ID]]))))</f>
        <v>Lessons learned</v>
      </c>
      <c r="D30" s="24" t="n">
        <f aca="false">IF(IFERROR(INDEX(tsk_Name,(ROW()-ROW(MSPTasks[[#Headers],[ID]])))="",TRUE()),"",INDEX(tsk_Level,(ROW()-ROW(MSPTasks[[#Headers],[ID]]))))</f>
        <v>2</v>
      </c>
      <c r="E30" s="24" t="str">
        <f aca="false">IF(IFERROR(INDEX(tsk_Name,(ROW()-ROW(MSPTasks[[#Headers],[ID]])))="",TRUE()),"",IF(INDEX(tsk_Mode,(ROW()-ROW(MSPTasks[[#Headers],[ID]])))="Manual","Manually Scheduled","Auto Scheduled"))</f>
        <v>Auto Scheduled</v>
      </c>
      <c r="F30" s="24" t="str">
        <f aca="false">IF(IFERROR(INDEX(tsk_Name,(ROW()-ROW(MSPTasks[[#Headers],[ID]])))="",TRUE()),"",IF(INDEX(tsk_IsSummary,(ROW()-ROW(MSPTasks[[#Headers],[ID]]))),"",N(INDEX(tsk_Duration,(ROW()-ROW(MSPTasks[[#Headers],[ID]]))))&amp;"d"))</f>
        <v>2d</v>
      </c>
      <c r="G30" s="137" t="n">
        <f aca="false">IF(IFERROR(INDEX(tsk_Name,(ROW()-ROW(MSPTasks[[#Headers],[ID]])))="",TRUE()),"",INDEX(tsk_FcStart,(ROW()-ROW(MSPTasks[[#Headers],[ID]]))))</f>
        <v>46392</v>
      </c>
      <c r="H30" s="137" t="n">
        <f aca="false">IF(IFERROR(INDEX(tsk_Name,(ROW()-ROW(MSPTasks[[#Headers],[ID]])))="",TRUE()),"",INDEX(tsk_FcFinish,(ROW()-ROW(MSPTasks[[#Headers],[ID]]))))</f>
        <v>46393</v>
      </c>
      <c r="I30" s="24" t="str">
        <f aca="false">IF(IFERROR(INDEX(tsk_Name,(ROW()-ROW(MSPTasks[[#Headers],[ID]])))="",TRUE()),"",IF(INDEX(tsk_IsSummary,(ROW()-ROW(MSPTasks[[#Headers],[ID]]))),"",INDEX(tsk_Predecessors,(ROW()-ROW(MSPTasks[[#Headers],[ID]])))))</f>
        <v>26</v>
      </c>
      <c r="J30" s="24" t="str">
        <f aca="false">IF(IFERROR(INDEX(tsk_Name,(ROW()-ROW(MSPTasks[[#Headers],[ID]])))="",TRUE()),"",IF(INDEX(tsk_IsSummary,(ROW()-ROW(MSPTasks[[#Headers],[ID]]))),"",INDEX(tsk_UIDPredecessors,(ROW()-ROW(MSPTasks[[#Headers],[ID]])))))</f>
        <v>26</v>
      </c>
      <c r="K30" s="24" t="str">
        <f aca="false">IF(IFERROR(INDEX(tsk_Name,(ROW()-ROW(MSPTasks[[#Headers],[ID]])))="",TRUE()),"",INDEX(tsk_ResourceNames,(ROW()-ROW(MSPTasks[[#Headers],[ID]])))&amp;"")</f>
        <v>Priya Sharma</v>
      </c>
      <c r="L30" s="24" t="n">
        <f aca="false">IF(IFERROR(INDEX(tsk_Name,(ROW()-ROW(MSPTasks[[#Headers],[ID]])))="",TRUE()),"",IF(INDEX(tsk_IsSummary,(ROW()-ROW(MSPTasks[[#Headers],[ID]]))),"",ROUND(INDEX(tsk_Progress,(ROW()-ROW(MSPTasks[[#Headers],[ID]])))*100,0)))</f>
        <v>0</v>
      </c>
      <c r="M30" s="137" t="str">
        <f aca="false">IF(IFERROR(INDEX(tsk_Name,(ROW()-ROW(MSPTasks[[#Headers],[ID]])))="",TRUE()),"",IF(N(INDEX(tsk_ActStart,(ROW()-ROW(MSPTasks[[#Headers],[ID]]))))=0,"",INDEX(tsk_ActStart,(ROW()-ROW(MSPTasks[[#Headers],[ID]])))))</f>
        <v/>
      </c>
      <c r="N30" s="137" t="str">
        <f aca="false">IF(IFERROR(INDEX(tsk_Name,(ROW()-ROW(MSPTasks[[#Headers],[ID]])))="",TRUE()),"",IF(N(INDEX(tsk_ActFinish,(ROW()-ROW(MSPTasks[[#Headers],[ID]]))))=0,"",INDEX(tsk_ActFinish,(ROW()-ROW(MSPTasks[[#Headers],[ID]])))))</f>
        <v/>
      </c>
      <c r="O30" s="137" t="n">
        <f aca="false">IF(IFERROR(INDEX(tsk_Name,(ROW()-ROW(MSPTasks[[#Headers],[ID]])))="",TRUE()),"",INDEX(tsk_PlanStart,(ROW()-ROW(MSPTasks[[#Headers],[ID]]))))</f>
        <v>46392</v>
      </c>
      <c r="P30" s="137" t="n">
        <f aca="false">IF(IFERROR(INDEX(tsk_Name,(ROW()-ROW(MSPTasks[[#Headers],[ID]])))="",TRUE()),"",INDEX(tsk_PlanFinish,(ROW()-ROW(MSPTasks[[#Headers],[ID]]))))</f>
        <v>46393</v>
      </c>
      <c r="Q30" s="24" t="str">
        <f aca="false">IF(IFERROR(INDEX(tsk_Name,(ROW()-ROW(MSPTasks[[#Headers],[ID]])))="",TRUE()),"",IF(INDEX(tsk_BaseDuration,(ROW()-ROW(MSPTasks[[#Headers],[ID]])))="","",N(INDEX(tsk_BaseDuration,(ROW()-ROW(MSPTasks[[#Headers],[ID]]))))&amp;"d"))</f>
        <v/>
      </c>
      <c r="R30" s="24" t="str">
        <f aca="false">IF(IFERROR(INDEX(tsk_Name,(ROW()-ROW(MSPTasks[[#Headers],[ID]])))="",TRUE()),"",IF(INDEX(tsk_BaseWork,(ROW()-ROW(MSPTasks[[#Headers],[ID]])))="","",N(INDEX(tsk_BaseWork,(ROW()-ROW(MSPTasks[[#Headers],[ID]]))))&amp;"h"))</f>
        <v/>
      </c>
      <c r="S30" s="24" t="str">
        <f aca="false">IF(IFERROR(INDEX(tsk_Name,(ROW()-ROW(MSPTasks[[#Headers],[ID]])))="",TRUE()),"",IF(INDEX(tsk_BaseCost,(ROW()-ROW(MSPTasks[[#Headers],[ID]])))="","",N(INDEX(tsk_BaseCost,(ROW()-ROW(MSPTasks[[#Headers],[ID]]))))))</f>
        <v/>
      </c>
      <c r="T30" s="24" t="str">
        <f aca="false">IF(IFERROR(INDEX(tsk_Name,(ROW()-ROW(MSPTasks[[#Headers],[ID]])))="",TRUE()),"",IF(INDEX(tsk_IsSummary,(ROW()-ROW(MSPTasks[[#Headers],[ID]]))),"",IF(N(INDEX(tsk_ActCostInput,(ROW()-ROW(MSPTasks[[#Headers],[ID]]))))=0,"",INDEX(tsk_ActCostInput,(ROW()-ROW(MSPTasks[[#Headers],[ID]]))))))</f>
        <v/>
      </c>
      <c r="U3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30" s="137" t="str">
        <f aca="false">IF(IFERROR(INDEX(tsk_Name,(ROW()-ROW(MSPTasks[[#Headers],[ID]])))="",TRUE()),"",IF(OR(INDEX(tsk_IsSummary,(ROW()-ROW(MSPTasks[[#Headers],[ID]]))),INDEX(tsk_Mode,(ROW()-ROW(MSPTasks[[#Headers],[ID]])))="Manual"),"",IF(N(INDEX(tsk_ConstraintCode,(ROW()-ROW(MSPTasks[[#Headers],[ID]]))))&lt;2,"",INDEX(tsk_Constraint,(ROW()-ROW(MSPTasks[[#Headers],[ID]]))))))</f>
        <v/>
      </c>
      <c r="W30" s="137" t="str">
        <f aca="false">IF(IFERROR(INDEX(tsk_Name,(ROW()-ROW(MSPTasks[[#Headers],[ID]])))="",TRUE()),"",IF(N(INDEX(tsk_Deadline,(ROW()-ROW(MSPTasks[[#Headers],[ID]]))))=0,"",INDEX(tsk_Deadline,(ROW()-ROW(MSPTasks[[#Headers],[ID]])))))</f>
        <v/>
      </c>
      <c r="X30" s="24" t="str">
        <f aca="false">IF(IFERROR(INDEX(tsk_Name,(ROW()-ROW(MSPTasks[[#Headers],[ID]])))="",TRUE()),"",IF(INDEX(tsk_IsSummary,(ROW()-ROW(MSPTasks[[#Headers],[ID]]))),"",INDEX(tsk_Sprint,(ROW()-ROW(MSPTasks[[#Headers],[ID]])))&amp;""))</f>
        <v>Sprint 9</v>
      </c>
      <c r="Y30" s="85" t="n">
        <f aca="false">IF(IFERROR(INDEX(tsk_Name,(ROW()-ROW(MSPTasks[[#Headers],[ID]])))="",TRUE()),"",IF(INDEX(tsk_IsSummary,(ROW()-ROW(MSPTasks[[#Headers],[ID]]))),"",IF(N(INDEX(tsk_StoryPoints,(ROW()-ROW(MSPTasks[[#Headers],[ID]]))))=0,"",INDEX(tsk_StoryPoints,(ROW()-ROW(MSPTasks[[#Headers],[ID]]))))))</f>
        <v>2</v>
      </c>
      <c r="Z30" s="24" t="str">
        <f aca="false">IF(IFERROR(INDEX(tsk_Name,(ROW()-ROW(MSPTasks[[#Headers],[ID]])))="",TRUE()),"",INDEX(tsk_Notes,(ROW()-ROW(MSPTasks[[#Headers],[ID]])))&amp;"")</f>
        <v/>
      </c>
    </row>
    <row r="31" customFormat="false" ht="15" hidden="false" customHeight="false" outlineLevel="0" collapsed="false">
      <c r="A31" s="24" t="n">
        <f aca="false">IF(IFERROR(INDEX(tsk_Name,(ROW()-ROW(MSPTasks[[#Headers],[ID]])))="",TRUE()),"",INDEX(tsk_ID,(ROW()-ROW(MSPTasks[[#Headers],[ID]]))))</f>
        <v>30</v>
      </c>
      <c r="B31" s="24" t="n">
        <f aca="false">IF(IFERROR(INDEX(tsk_Name,(ROW()-ROW(MSPTasks[[#Headers],[ID]])))="",TRUE()),"",INDEX(tsk_UID,(ROW()-ROW(MSPTasks[[#Headers],[ID]]))))</f>
        <v>30</v>
      </c>
      <c r="C31" s="24" t="str">
        <f aca="false">IF(IFERROR(INDEX(tsk_Name,(ROW()-ROW(MSPTasks[[#Headers],[ID]])))="",TRUE()),"",INDEX(tsk_Name,(ROW()-ROW(MSPTasks[[#Headers],[ID]]))))</f>
        <v>Project closed</v>
      </c>
      <c r="D31" s="24" t="n">
        <f aca="false">IF(IFERROR(INDEX(tsk_Name,(ROW()-ROW(MSPTasks[[#Headers],[ID]])))="",TRUE()),"",INDEX(tsk_Level,(ROW()-ROW(MSPTasks[[#Headers],[ID]]))))</f>
        <v>2</v>
      </c>
      <c r="E31" s="24" t="str">
        <f aca="false">IF(IFERROR(INDEX(tsk_Name,(ROW()-ROW(MSPTasks[[#Headers],[ID]])))="",TRUE()),"",IF(INDEX(tsk_Mode,(ROW()-ROW(MSPTasks[[#Headers],[ID]])))="Manual","Manually Scheduled","Auto Scheduled"))</f>
        <v>Auto Scheduled</v>
      </c>
      <c r="F31" s="24" t="str">
        <f aca="false">IF(IFERROR(INDEX(tsk_Name,(ROW()-ROW(MSPTasks[[#Headers],[ID]])))="",TRUE()),"",IF(INDEX(tsk_IsSummary,(ROW()-ROW(MSPTasks[[#Headers],[ID]]))),"",N(INDEX(tsk_Duration,(ROW()-ROW(MSPTasks[[#Headers],[ID]]))))&amp;"d"))</f>
        <v>0d</v>
      </c>
      <c r="G31" s="137" t="n">
        <f aca="false">IF(IFERROR(INDEX(tsk_Name,(ROW()-ROW(MSPTasks[[#Headers],[ID]])))="",TRUE()),"",INDEX(tsk_FcStart,(ROW()-ROW(MSPTasks[[#Headers],[ID]]))))</f>
        <v>46393</v>
      </c>
      <c r="H31" s="137" t="n">
        <f aca="false">IF(IFERROR(INDEX(tsk_Name,(ROW()-ROW(MSPTasks[[#Headers],[ID]])))="",TRUE()),"",INDEX(tsk_FcFinish,(ROW()-ROW(MSPTasks[[#Headers],[ID]]))))</f>
        <v>46393</v>
      </c>
      <c r="I31" s="24" t="str">
        <f aca="false">IF(IFERROR(INDEX(tsk_Name,(ROW()-ROW(MSPTasks[[#Headers],[ID]])))="",TRUE()),"",IF(INDEX(tsk_IsSummary,(ROW()-ROW(MSPTasks[[#Headers],[ID]]))),"",INDEX(tsk_Predecessors,(ROW()-ROW(MSPTasks[[#Headers],[ID]])))))</f>
        <v>29</v>
      </c>
      <c r="J31" s="24" t="str">
        <f aca="false">IF(IFERROR(INDEX(tsk_Name,(ROW()-ROW(MSPTasks[[#Headers],[ID]])))="",TRUE()),"",IF(INDEX(tsk_IsSummary,(ROW()-ROW(MSPTasks[[#Headers],[ID]]))),"",INDEX(tsk_UIDPredecessors,(ROW()-ROW(MSPTasks[[#Headers],[ID]])))))</f>
        <v>29</v>
      </c>
      <c r="K31" s="24" t="str">
        <f aca="false">IF(IFERROR(INDEX(tsk_Name,(ROW()-ROW(MSPTasks[[#Headers],[ID]])))="",TRUE()),"",INDEX(tsk_ResourceNames,(ROW()-ROW(MSPTasks[[#Headers],[ID]])))&amp;"")</f>
        <v/>
      </c>
      <c r="L31" s="24" t="n">
        <f aca="false">IF(IFERROR(INDEX(tsk_Name,(ROW()-ROW(MSPTasks[[#Headers],[ID]])))="",TRUE()),"",IF(INDEX(tsk_IsSummary,(ROW()-ROW(MSPTasks[[#Headers],[ID]]))),"",ROUND(INDEX(tsk_Progress,(ROW()-ROW(MSPTasks[[#Headers],[ID]])))*100,0)))</f>
        <v>0</v>
      </c>
      <c r="M31" s="137" t="str">
        <f aca="false">IF(IFERROR(INDEX(tsk_Name,(ROW()-ROW(MSPTasks[[#Headers],[ID]])))="",TRUE()),"",IF(N(INDEX(tsk_ActStart,(ROW()-ROW(MSPTasks[[#Headers],[ID]]))))=0,"",INDEX(tsk_ActStart,(ROW()-ROW(MSPTasks[[#Headers],[ID]])))))</f>
        <v/>
      </c>
      <c r="N31" s="137" t="str">
        <f aca="false">IF(IFERROR(INDEX(tsk_Name,(ROW()-ROW(MSPTasks[[#Headers],[ID]])))="",TRUE()),"",IF(N(INDEX(tsk_ActFinish,(ROW()-ROW(MSPTasks[[#Headers],[ID]]))))=0,"",INDEX(tsk_ActFinish,(ROW()-ROW(MSPTasks[[#Headers],[ID]])))))</f>
        <v/>
      </c>
      <c r="O31" s="137" t="n">
        <f aca="false">IF(IFERROR(INDEX(tsk_Name,(ROW()-ROW(MSPTasks[[#Headers],[ID]])))="",TRUE()),"",INDEX(tsk_PlanStart,(ROW()-ROW(MSPTasks[[#Headers],[ID]]))))</f>
        <v>46393</v>
      </c>
      <c r="P31" s="137" t="n">
        <f aca="false">IF(IFERROR(INDEX(tsk_Name,(ROW()-ROW(MSPTasks[[#Headers],[ID]])))="",TRUE()),"",INDEX(tsk_PlanFinish,(ROW()-ROW(MSPTasks[[#Headers],[ID]]))))</f>
        <v>46393</v>
      </c>
      <c r="Q31" s="24" t="str">
        <f aca="false">IF(IFERROR(INDEX(tsk_Name,(ROW()-ROW(MSPTasks[[#Headers],[ID]])))="",TRUE()),"",IF(INDEX(tsk_BaseDuration,(ROW()-ROW(MSPTasks[[#Headers],[ID]])))="","",N(INDEX(tsk_BaseDuration,(ROW()-ROW(MSPTasks[[#Headers],[ID]]))))&amp;"d"))</f>
        <v/>
      </c>
      <c r="R31" s="24" t="str">
        <f aca="false">IF(IFERROR(INDEX(tsk_Name,(ROW()-ROW(MSPTasks[[#Headers],[ID]])))="",TRUE()),"",IF(INDEX(tsk_BaseWork,(ROW()-ROW(MSPTasks[[#Headers],[ID]])))="","",N(INDEX(tsk_BaseWork,(ROW()-ROW(MSPTasks[[#Headers],[ID]]))))&amp;"h"))</f>
        <v/>
      </c>
      <c r="S31" s="24" t="str">
        <f aca="false">IF(IFERROR(INDEX(tsk_Name,(ROW()-ROW(MSPTasks[[#Headers],[ID]])))="",TRUE()),"",IF(INDEX(tsk_BaseCost,(ROW()-ROW(MSPTasks[[#Headers],[ID]])))="","",N(INDEX(tsk_BaseCost,(ROW()-ROW(MSPTasks[[#Headers],[ID]]))))))</f>
        <v/>
      </c>
      <c r="T31" s="24" t="str">
        <f aca="false">IF(IFERROR(INDEX(tsk_Name,(ROW()-ROW(MSPTasks[[#Headers],[ID]])))="",TRUE()),"",IF(INDEX(tsk_IsSummary,(ROW()-ROW(MSPTasks[[#Headers],[ID]]))),"",IF(N(INDEX(tsk_ActCostInput,(ROW()-ROW(MSPTasks[[#Headers],[ID]]))))=0,"",INDEX(tsk_ActCostInput,(ROW()-ROW(MSPTasks[[#Headers],[ID]]))))))</f>
        <v/>
      </c>
      <c r="U3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As Soon As Possible</v>
      </c>
      <c r="V31" s="137" t="str">
        <f aca="false">IF(IFERROR(INDEX(tsk_Name,(ROW()-ROW(MSPTasks[[#Headers],[ID]])))="",TRUE()),"",IF(OR(INDEX(tsk_IsSummary,(ROW()-ROW(MSPTasks[[#Headers],[ID]]))),INDEX(tsk_Mode,(ROW()-ROW(MSPTasks[[#Headers],[ID]])))="Manual"),"",IF(N(INDEX(tsk_ConstraintCode,(ROW()-ROW(MSPTasks[[#Headers],[ID]]))))&lt;2,"",INDEX(tsk_Constraint,(ROW()-ROW(MSPTasks[[#Headers],[ID]]))))))</f>
        <v/>
      </c>
      <c r="W31" s="137" t="str">
        <f aca="false">IF(IFERROR(INDEX(tsk_Name,(ROW()-ROW(MSPTasks[[#Headers],[ID]])))="",TRUE()),"",IF(N(INDEX(tsk_Deadline,(ROW()-ROW(MSPTasks[[#Headers],[ID]]))))=0,"",INDEX(tsk_Deadline,(ROW()-ROW(MSPTasks[[#Headers],[ID]])))))</f>
        <v/>
      </c>
      <c r="X31" s="24" t="str">
        <f aca="false">IF(IFERROR(INDEX(tsk_Name,(ROW()-ROW(MSPTasks[[#Headers],[ID]])))="",TRUE()),"",IF(INDEX(tsk_IsSummary,(ROW()-ROW(MSPTasks[[#Headers],[ID]]))),"",INDEX(tsk_Sprint,(ROW()-ROW(MSPTasks[[#Headers],[ID]])))&amp;""))</f>
        <v>Sprint 9</v>
      </c>
      <c r="Y31" s="24" t="str">
        <f aca="false">IF(IFERROR(INDEX(tsk_Name,(ROW()-ROW(MSPTasks[[#Headers],[ID]])))="",TRUE()),"",IF(INDEX(tsk_IsSummary,(ROW()-ROW(MSPTasks[[#Headers],[ID]]))),"",IF(N(INDEX(tsk_StoryPoints,(ROW()-ROW(MSPTasks[[#Headers],[ID]]))))=0,"",INDEX(tsk_StoryPoints,(ROW()-ROW(MSPTasks[[#Headers],[ID]]))))))</f>
        <v/>
      </c>
      <c r="Z31" s="24" t="str">
        <f aca="false">IF(IFERROR(INDEX(tsk_Name,(ROW()-ROW(MSPTasks[[#Headers],[ID]])))="",TRUE()),"",INDEX(tsk_Notes,(ROW()-ROW(MSPTasks[[#Headers],[ID]])))&amp;"")</f>
        <v>Milestone</v>
      </c>
    </row>
    <row r="32" customFormat="false" ht="15" hidden="false" customHeight="false" outlineLevel="0" collapsed="false">
      <c r="A32" s="24" t="str">
        <f aca="false">IF(IFERROR(INDEX(tsk_Name,(ROW()-ROW(MSPTasks[[#Headers],[ID]])))="",TRUE()),"",INDEX(tsk_ID,(ROW()-ROW(MSPTasks[[#Headers],[ID]]))))</f>
        <v/>
      </c>
      <c r="B32" s="24" t="str">
        <f aca="false">IF(IFERROR(INDEX(tsk_Name,(ROW()-ROW(MSPTasks[[#Headers],[ID]])))="",TRUE()),"",INDEX(tsk_UID,(ROW()-ROW(MSPTasks[[#Headers],[ID]]))))</f>
        <v/>
      </c>
      <c r="C32" s="24" t="str">
        <f aca="false">IF(IFERROR(INDEX(tsk_Name,(ROW()-ROW(MSPTasks[[#Headers],[ID]])))="",TRUE()),"",INDEX(tsk_Name,(ROW()-ROW(MSPTasks[[#Headers],[ID]]))))</f>
        <v/>
      </c>
      <c r="D32" s="24" t="str">
        <f aca="false">IF(IFERROR(INDEX(tsk_Name,(ROW()-ROW(MSPTasks[[#Headers],[ID]])))="",TRUE()),"",INDEX(tsk_Level,(ROW()-ROW(MSPTasks[[#Headers],[ID]]))))</f>
        <v/>
      </c>
      <c r="E32" s="24" t="str">
        <f aca="false">IF(IFERROR(INDEX(tsk_Name,(ROW()-ROW(MSPTasks[[#Headers],[ID]])))="",TRUE()),"",IF(INDEX(tsk_Mode,(ROW()-ROW(MSPTasks[[#Headers],[ID]])))="Manual","Manually Scheduled","Auto Scheduled"))</f>
        <v/>
      </c>
      <c r="F32" s="24" t="str">
        <f aca="false">IF(IFERROR(INDEX(tsk_Name,(ROW()-ROW(MSPTasks[[#Headers],[ID]])))="",TRUE()),"",IF(INDEX(tsk_IsSummary,(ROW()-ROW(MSPTasks[[#Headers],[ID]]))),"",N(INDEX(tsk_Duration,(ROW()-ROW(MSPTasks[[#Headers],[ID]]))))&amp;"d"))</f>
        <v/>
      </c>
      <c r="G32" s="137" t="str">
        <f aca="false">IF(IFERROR(INDEX(tsk_Name,(ROW()-ROW(MSPTasks[[#Headers],[ID]])))="",TRUE()),"",INDEX(tsk_FcStart,(ROW()-ROW(MSPTasks[[#Headers],[ID]]))))</f>
        <v/>
      </c>
      <c r="H32" s="137" t="str">
        <f aca="false">IF(IFERROR(INDEX(tsk_Name,(ROW()-ROW(MSPTasks[[#Headers],[ID]])))="",TRUE()),"",INDEX(tsk_FcFinish,(ROW()-ROW(MSPTasks[[#Headers],[ID]]))))</f>
        <v/>
      </c>
      <c r="I32" s="24" t="str">
        <f aca="false">IF(IFERROR(INDEX(tsk_Name,(ROW()-ROW(MSPTasks[[#Headers],[ID]])))="",TRUE()),"",IF(INDEX(tsk_IsSummary,(ROW()-ROW(MSPTasks[[#Headers],[ID]]))),"",INDEX(tsk_Predecessors,(ROW()-ROW(MSPTasks[[#Headers],[ID]])))))</f>
        <v/>
      </c>
      <c r="J32" s="24" t="str">
        <f aca="false">IF(IFERROR(INDEX(tsk_Name,(ROW()-ROW(MSPTasks[[#Headers],[ID]])))="",TRUE()),"",IF(INDEX(tsk_IsSummary,(ROW()-ROW(MSPTasks[[#Headers],[ID]]))),"",INDEX(tsk_UIDPredecessors,(ROW()-ROW(MSPTasks[[#Headers],[ID]])))))</f>
        <v/>
      </c>
      <c r="K32" s="24" t="str">
        <f aca="false">IF(IFERROR(INDEX(tsk_Name,(ROW()-ROW(MSPTasks[[#Headers],[ID]])))="",TRUE()),"",INDEX(tsk_ResourceNames,(ROW()-ROW(MSPTasks[[#Headers],[ID]])))&amp;"")</f>
        <v/>
      </c>
      <c r="L32" s="24" t="str">
        <f aca="false">IF(IFERROR(INDEX(tsk_Name,(ROW()-ROW(MSPTasks[[#Headers],[ID]])))="",TRUE()),"",IF(INDEX(tsk_IsSummary,(ROW()-ROW(MSPTasks[[#Headers],[ID]]))),"",ROUND(INDEX(tsk_Progress,(ROW()-ROW(MSPTasks[[#Headers],[ID]])))*100,0)))</f>
        <v/>
      </c>
      <c r="M32" s="137" t="str">
        <f aca="false">IF(IFERROR(INDEX(tsk_Name,(ROW()-ROW(MSPTasks[[#Headers],[ID]])))="",TRUE()),"",IF(N(INDEX(tsk_ActStart,(ROW()-ROW(MSPTasks[[#Headers],[ID]]))))=0,"",INDEX(tsk_ActStart,(ROW()-ROW(MSPTasks[[#Headers],[ID]])))))</f>
        <v/>
      </c>
      <c r="N32" s="137" t="str">
        <f aca="false">IF(IFERROR(INDEX(tsk_Name,(ROW()-ROW(MSPTasks[[#Headers],[ID]])))="",TRUE()),"",IF(N(INDEX(tsk_ActFinish,(ROW()-ROW(MSPTasks[[#Headers],[ID]]))))=0,"",INDEX(tsk_ActFinish,(ROW()-ROW(MSPTasks[[#Headers],[ID]])))))</f>
        <v/>
      </c>
      <c r="O32" s="137" t="str">
        <f aca="false">IF(IFERROR(INDEX(tsk_Name,(ROW()-ROW(MSPTasks[[#Headers],[ID]])))="",TRUE()),"",INDEX(tsk_PlanStart,(ROW()-ROW(MSPTasks[[#Headers],[ID]]))))</f>
        <v/>
      </c>
      <c r="P32" s="137" t="str">
        <f aca="false">IF(IFERROR(INDEX(tsk_Name,(ROW()-ROW(MSPTasks[[#Headers],[ID]])))="",TRUE()),"",INDEX(tsk_PlanFinish,(ROW()-ROW(MSPTasks[[#Headers],[ID]]))))</f>
        <v/>
      </c>
      <c r="Q32" s="24" t="str">
        <f aca="false">IF(IFERROR(INDEX(tsk_Name,(ROW()-ROW(MSPTasks[[#Headers],[ID]])))="",TRUE()),"",IF(INDEX(tsk_BaseDuration,(ROW()-ROW(MSPTasks[[#Headers],[ID]])))="","",N(INDEX(tsk_BaseDuration,(ROW()-ROW(MSPTasks[[#Headers],[ID]]))))&amp;"d"))</f>
        <v/>
      </c>
      <c r="R32" s="24" t="str">
        <f aca="false">IF(IFERROR(INDEX(tsk_Name,(ROW()-ROW(MSPTasks[[#Headers],[ID]])))="",TRUE()),"",IF(INDEX(tsk_BaseWork,(ROW()-ROW(MSPTasks[[#Headers],[ID]])))="","",N(INDEX(tsk_BaseWork,(ROW()-ROW(MSPTasks[[#Headers],[ID]]))))&amp;"h"))</f>
        <v/>
      </c>
      <c r="S32" s="24" t="str">
        <f aca="false">IF(IFERROR(INDEX(tsk_Name,(ROW()-ROW(MSPTasks[[#Headers],[ID]])))="",TRUE()),"",IF(INDEX(tsk_BaseCost,(ROW()-ROW(MSPTasks[[#Headers],[ID]])))="","",N(INDEX(tsk_BaseCost,(ROW()-ROW(MSPTasks[[#Headers],[ID]]))))))</f>
        <v/>
      </c>
      <c r="T32" s="24" t="str">
        <f aca="false">IF(IFERROR(INDEX(tsk_Name,(ROW()-ROW(MSPTasks[[#Headers],[ID]])))="",TRUE()),"",IF(INDEX(tsk_IsSummary,(ROW()-ROW(MSPTasks[[#Headers],[ID]]))),"",IF(N(INDEX(tsk_ActCostInput,(ROW()-ROW(MSPTasks[[#Headers],[ID]]))))=0,"",INDEX(tsk_ActCostInput,(ROW()-ROW(MSPTasks[[#Headers],[ID]]))))))</f>
        <v/>
      </c>
      <c r="U3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2" s="137" t="str">
        <f aca="false">IF(IFERROR(INDEX(tsk_Name,(ROW()-ROW(MSPTasks[[#Headers],[ID]])))="",TRUE()),"",IF(OR(INDEX(tsk_IsSummary,(ROW()-ROW(MSPTasks[[#Headers],[ID]]))),INDEX(tsk_Mode,(ROW()-ROW(MSPTasks[[#Headers],[ID]])))="Manual"),"",IF(N(INDEX(tsk_ConstraintCode,(ROW()-ROW(MSPTasks[[#Headers],[ID]]))))&lt;2,"",INDEX(tsk_Constraint,(ROW()-ROW(MSPTasks[[#Headers],[ID]]))))))</f>
        <v/>
      </c>
      <c r="W32" s="137" t="str">
        <f aca="false">IF(IFERROR(INDEX(tsk_Name,(ROW()-ROW(MSPTasks[[#Headers],[ID]])))="",TRUE()),"",IF(N(INDEX(tsk_Deadline,(ROW()-ROW(MSPTasks[[#Headers],[ID]]))))=0,"",INDEX(tsk_Deadline,(ROW()-ROW(MSPTasks[[#Headers],[ID]])))))</f>
        <v/>
      </c>
      <c r="X32" s="24" t="str">
        <f aca="false">IF(IFERROR(INDEX(tsk_Name,(ROW()-ROW(MSPTasks[[#Headers],[ID]])))="",TRUE()),"",IF(INDEX(tsk_IsSummary,(ROW()-ROW(MSPTasks[[#Headers],[ID]]))),"",INDEX(tsk_Sprint,(ROW()-ROW(MSPTasks[[#Headers],[ID]])))&amp;""))</f>
        <v/>
      </c>
      <c r="Y32" s="24" t="str">
        <f aca="false">IF(IFERROR(INDEX(tsk_Name,(ROW()-ROW(MSPTasks[[#Headers],[ID]])))="",TRUE()),"",IF(INDEX(tsk_IsSummary,(ROW()-ROW(MSPTasks[[#Headers],[ID]]))),"",IF(N(INDEX(tsk_StoryPoints,(ROW()-ROW(MSPTasks[[#Headers],[ID]]))))=0,"",INDEX(tsk_StoryPoints,(ROW()-ROW(MSPTasks[[#Headers],[ID]]))))))</f>
        <v/>
      </c>
      <c r="Z32" s="24" t="str">
        <f aca="false">IF(IFERROR(INDEX(tsk_Name,(ROW()-ROW(MSPTasks[[#Headers],[ID]])))="",TRUE()),"",INDEX(tsk_Notes,(ROW()-ROW(MSPTasks[[#Headers],[ID]])))&amp;"")</f>
        <v/>
      </c>
    </row>
    <row r="33" customFormat="false" ht="15" hidden="false" customHeight="false" outlineLevel="0" collapsed="false">
      <c r="A33" s="24" t="str">
        <f aca="false">IF(IFERROR(INDEX(tsk_Name,(ROW()-ROW(MSPTasks[[#Headers],[ID]])))="",TRUE()),"",INDEX(tsk_ID,(ROW()-ROW(MSPTasks[[#Headers],[ID]]))))</f>
        <v/>
      </c>
      <c r="B33" s="24" t="str">
        <f aca="false">IF(IFERROR(INDEX(tsk_Name,(ROW()-ROW(MSPTasks[[#Headers],[ID]])))="",TRUE()),"",INDEX(tsk_UID,(ROW()-ROW(MSPTasks[[#Headers],[ID]]))))</f>
        <v/>
      </c>
      <c r="C33" s="24" t="str">
        <f aca="false">IF(IFERROR(INDEX(tsk_Name,(ROW()-ROW(MSPTasks[[#Headers],[ID]])))="",TRUE()),"",INDEX(tsk_Name,(ROW()-ROW(MSPTasks[[#Headers],[ID]]))))</f>
        <v/>
      </c>
      <c r="D33" s="24" t="str">
        <f aca="false">IF(IFERROR(INDEX(tsk_Name,(ROW()-ROW(MSPTasks[[#Headers],[ID]])))="",TRUE()),"",INDEX(tsk_Level,(ROW()-ROW(MSPTasks[[#Headers],[ID]]))))</f>
        <v/>
      </c>
      <c r="E33" s="24" t="str">
        <f aca="false">IF(IFERROR(INDEX(tsk_Name,(ROW()-ROW(MSPTasks[[#Headers],[ID]])))="",TRUE()),"",IF(INDEX(tsk_Mode,(ROW()-ROW(MSPTasks[[#Headers],[ID]])))="Manual","Manually Scheduled","Auto Scheduled"))</f>
        <v/>
      </c>
      <c r="F33" s="24" t="str">
        <f aca="false">IF(IFERROR(INDEX(tsk_Name,(ROW()-ROW(MSPTasks[[#Headers],[ID]])))="",TRUE()),"",IF(INDEX(tsk_IsSummary,(ROW()-ROW(MSPTasks[[#Headers],[ID]]))),"",N(INDEX(tsk_Duration,(ROW()-ROW(MSPTasks[[#Headers],[ID]]))))&amp;"d"))</f>
        <v/>
      </c>
      <c r="G33" s="137" t="str">
        <f aca="false">IF(IFERROR(INDEX(tsk_Name,(ROW()-ROW(MSPTasks[[#Headers],[ID]])))="",TRUE()),"",INDEX(tsk_FcStart,(ROW()-ROW(MSPTasks[[#Headers],[ID]]))))</f>
        <v/>
      </c>
      <c r="H33" s="137" t="str">
        <f aca="false">IF(IFERROR(INDEX(tsk_Name,(ROW()-ROW(MSPTasks[[#Headers],[ID]])))="",TRUE()),"",INDEX(tsk_FcFinish,(ROW()-ROW(MSPTasks[[#Headers],[ID]]))))</f>
        <v/>
      </c>
      <c r="I33" s="24" t="str">
        <f aca="false">IF(IFERROR(INDEX(tsk_Name,(ROW()-ROW(MSPTasks[[#Headers],[ID]])))="",TRUE()),"",IF(INDEX(tsk_IsSummary,(ROW()-ROW(MSPTasks[[#Headers],[ID]]))),"",INDEX(tsk_Predecessors,(ROW()-ROW(MSPTasks[[#Headers],[ID]])))))</f>
        <v/>
      </c>
      <c r="J33" s="24" t="str">
        <f aca="false">IF(IFERROR(INDEX(tsk_Name,(ROW()-ROW(MSPTasks[[#Headers],[ID]])))="",TRUE()),"",IF(INDEX(tsk_IsSummary,(ROW()-ROW(MSPTasks[[#Headers],[ID]]))),"",INDEX(tsk_UIDPredecessors,(ROW()-ROW(MSPTasks[[#Headers],[ID]])))))</f>
        <v/>
      </c>
      <c r="K33" s="24" t="str">
        <f aca="false">IF(IFERROR(INDEX(tsk_Name,(ROW()-ROW(MSPTasks[[#Headers],[ID]])))="",TRUE()),"",INDEX(tsk_ResourceNames,(ROW()-ROW(MSPTasks[[#Headers],[ID]])))&amp;"")</f>
        <v/>
      </c>
      <c r="L33" s="24" t="str">
        <f aca="false">IF(IFERROR(INDEX(tsk_Name,(ROW()-ROW(MSPTasks[[#Headers],[ID]])))="",TRUE()),"",IF(INDEX(tsk_IsSummary,(ROW()-ROW(MSPTasks[[#Headers],[ID]]))),"",ROUND(INDEX(tsk_Progress,(ROW()-ROW(MSPTasks[[#Headers],[ID]])))*100,0)))</f>
        <v/>
      </c>
      <c r="M33" s="137" t="str">
        <f aca="false">IF(IFERROR(INDEX(tsk_Name,(ROW()-ROW(MSPTasks[[#Headers],[ID]])))="",TRUE()),"",IF(N(INDEX(tsk_ActStart,(ROW()-ROW(MSPTasks[[#Headers],[ID]]))))=0,"",INDEX(tsk_ActStart,(ROW()-ROW(MSPTasks[[#Headers],[ID]])))))</f>
        <v/>
      </c>
      <c r="N33" s="137" t="str">
        <f aca="false">IF(IFERROR(INDEX(tsk_Name,(ROW()-ROW(MSPTasks[[#Headers],[ID]])))="",TRUE()),"",IF(N(INDEX(tsk_ActFinish,(ROW()-ROW(MSPTasks[[#Headers],[ID]]))))=0,"",INDEX(tsk_ActFinish,(ROW()-ROW(MSPTasks[[#Headers],[ID]])))))</f>
        <v/>
      </c>
      <c r="O33" s="137" t="str">
        <f aca="false">IF(IFERROR(INDEX(tsk_Name,(ROW()-ROW(MSPTasks[[#Headers],[ID]])))="",TRUE()),"",INDEX(tsk_PlanStart,(ROW()-ROW(MSPTasks[[#Headers],[ID]]))))</f>
        <v/>
      </c>
      <c r="P33" s="137" t="str">
        <f aca="false">IF(IFERROR(INDEX(tsk_Name,(ROW()-ROW(MSPTasks[[#Headers],[ID]])))="",TRUE()),"",INDEX(tsk_PlanFinish,(ROW()-ROW(MSPTasks[[#Headers],[ID]]))))</f>
        <v/>
      </c>
      <c r="Q33" s="24" t="str">
        <f aca="false">IF(IFERROR(INDEX(tsk_Name,(ROW()-ROW(MSPTasks[[#Headers],[ID]])))="",TRUE()),"",IF(INDEX(tsk_BaseDuration,(ROW()-ROW(MSPTasks[[#Headers],[ID]])))="","",N(INDEX(tsk_BaseDuration,(ROW()-ROW(MSPTasks[[#Headers],[ID]]))))&amp;"d"))</f>
        <v/>
      </c>
      <c r="R33" s="24" t="str">
        <f aca="false">IF(IFERROR(INDEX(tsk_Name,(ROW()-ROW(MSPTasks[[#Headers],[ID]])))="",TRUE()),"",IF(INDEX(tsk_BaseWork,(ROW()-ROW(MSPTasks[[#Headers],[ID]])))="","",N(INDEX(tsk_BaseWork,(ROW()-ROW(MSPTasks[[#Headers],[ID]]))))&amp;"h"))</f>
        <v/>
      </c>
      <c r="S33" s="24" t="str">
        <f aca="false">IF(IFERROR(INDEX(tsk_Name,(ROW()-ROW(MSPTasks[[#Headers],[ID]])))="",TRUE()),"",IF(INDEX(tsk_BaseCost,(ROW()-ROW(MSPTasks[[#Headers],[ID]])))="","",N(INDEX(tsk_BaseCost,(ROW()-ROW(MSPTasks[[#Headers],[ID]]))))))</f>
        <v/>
      </c>
      <c r="T33" s="24" t="str">
        <f aca="false">IF(IFERROR(INDEX(tsk_Name,(ROW()-ROW(MSPTasks[[#Headers],[ID]])))="",TRUE()),"",IF(INDEX(tsk_IsSummary,(ROW()-ROW(MSPTasks[[#Headers],[ID]]))),"",IF(N(INDEX(tsk_ActCostInput,(ROW()-ROW(MSPTasks[[#Headers],[ID]]))))=0,"",INDEX(tsk_ActCostInput,(ROW()-ROW(MSPTasks[[#Headers],[ID]]))))))</f>
        <v/>
      </c>
      <c r="U3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3" s="137" t="str">
        <f aca="false">IF(IFERROR(INDEX(tsk_Name,(ROW()-ROW(MSPTasks[[#Headers],[ID]])))="",TRUE()),"",IF(OR(INDEX(tsk_IsSummary,(ROW()-ROW(MSPTasks[[#Headers],[ID]]))),INDEX(tsk_Mode,(ROW()-ROW(MSPTasks[[#Headers],[ID]])))="Manual"),"",IF(N(INDEX(tsk_ConstraintCode,(ROW()-ROW(MSPTasks[[#Headers],[ID]]))))&lt;2,"",INDEX(tsk_Constraint,(ROW()-ROW(MSPTasks[[#Headers],[ID]]))))))</f>
        <v/>
      </c>
      <c r="W33" s="137" t="str">
        <f aca="false">IF(IFERROR(INDEX(tsk_Name,(ROW()-ROW(MSPTasks[[#Headers],[ID]])))="",TRUE()),"",IF(N(INDEX(tsk_Deadline,(ROW()-ROW(MSPTasks[[#Headers],[ID]]))))=0,"",INDEX(tsk_Deadline,(ROW()-ROW(MSPTasks[[#Headers],[ID]])))))</f>
        <v/>
      </c>
      <c r="X33" s="24" t="str">
        <f aca="false">IF(IFERROR(INDEX(tsk_Name,(ROW()-ROW(MSPTasks[[#Headers],[ID]])))="",TRUE()),"",IF(INDEX(tsk_IsSummary,(ROW()-ROW(MSPTasks[[#Headers],[ID]]))),"",INDEX(tsk_Sprint,(ROW()-ROW(MSPTasks[[#Headers],[ID]])))&amp;""))</f>
        <v/>
      </c>
      <c r="Y33" s="24" t="str">
        <f aca="false">IF(IFERROR(INDEX(tsk_Name,(ROW()-ROW(MSPTasks[[#Headers],[ID]])))="",TRUE()),"",IF(INDEX(tsk_IsSummary,(ROW()-ROW(MSPTasks[[#Headers],[ID]]))),"",IF(N(INDEX(tsk_StoryPoints,(ROW()-ROW(MSPTasks[[#Headers],[ID]]))))=0,"",INDEX(tsk_StoryPoints,(ROW()-ROW(MSPTasks[[#Headers],[ID]]))))))</f>
        <v/>
      </c>
      <c r="Z33" s="24" t="str">
        <f aca="false">IF(IFERROR(INDEX(tsk_Name,(ROW()-ROW(MSPTasks[[#Headers],[ID]])))="",TRUE()),"",INDEX(tsk_Notes,(ROW()-ROW(MSPTasks[[#Headers],[ID]])))&amp;"")</f>
        <v/>
      </c>
    </row>
    <row r="34" customFormat="false" ht="15" hidden="false" customHeight="false" outlineLevel="0" collapsed="false">
      <c r="A34" s="24" t="str">
        <f aca="false">IF(IFERROR(INDEX(tsk_Name,(ROW()-ROW(MSPTasks[[#Headers],[ID]])))="",TRUE()),"",INDEX(tsk_ID,(ROW()-ROW(MSPTasks[[#Headers],[ID]]))))</f>
        <v/>
      </c>
      <c r="B34" s="24" t="str">
        <f aca="false">IF(IFERROR(INDEX(tsk_Name,(ROW()-ROW(MSPTasks[[#Headers],[ID]])))="",TRUE()),"",INDEX(tsk_UID,(ROW()-ROW(MSPTasks[[#Headers],[ID]]))))</f>
        <v/>
      </c>
      <c r="C34" s="24" t="str">
        <f aca="false">IF(IFERROR(INDEX(tsk_Name,(ROW()-ROW(MSPTasks[[#Headers],[ID]])))="",TRUE()),"",INDEX(tsk_Name,(ROW()-ROW(MSPTasks[[#Headers],[ID]]))))</f>
        <v/>
      </c>
      <c r="D34" s="24" t="str">
        <f aca="false">IF(IFERROR(INDEX(tsk_Name,(ROW()-ROW(MSPTasks[[#Headers],[ID]])))="",TRUE()),"",INDEX(tsk_Level,(ROW()-ROW(MSPTasks[[#Headers],[ID]]))))</f>
        <v/>
      </c>
      <c r="E34" s="24" t="str">
        <f aca="false">IF(IFERROR(INDEX(tsk_Name,(ROW()-ROW(MSPTasks[[#Headers],[ID]])))="",TRUE()),"",IF(INDEX(tsk_Mode,(ROW()-ROW(MSPTasks[[#Headers],[ID]])))="Manual","Manually Scheduled","Auto Scheduled"))</f>
        <v/>
      </c>
      <c r="F34" s="24" t="str">
        <f aca="false">IF(IFERROR(INDEX(tsk_Name,(ROW()-ROW(MSPTasks[[#Headers],[ID]])))="",TRUE()),"",IF(INDEX(tsk_IsSummary,(ROW()-ROW(MSPTasks[[#Headers],[ID]]))),"",N(INDEX(tsk_Duration,(ROW()-ROW(MSPTasks[[#Headers],[ID]]))))&amp;"d"))</f>
        <v/>
      </c>
      <c r="G34" s="137" t="str">
        <f aca="false">IF(IFERROR(INDEX(tsk_Name,(ROW()-ROW(MSPTasks[[#Headers],[ID]])))="",TRUE()),"",INDEX(tsk_FcStart,(ROW()-ROW(MSPTasks[[#Headers],[ID]]))))</f>
        <v/>
      </c>
      <c r="H34" s="137" t="str">
        <f aca="false">IF(IFERROR(INDEX(tsk_Name,(ROW()-ROW(MSPTasks[[#Headers],[ID]])))="",TRUE()),"",INDEX(tsk_FcFinish,(ROW()-ROW(MSPTasks[[#Headers],[ID]]))))</f>
        <v/>
      </c>
      <c r="I34" s="24" t="str">
        <f aca="false">IF(IFERROR(INDEX(tsk_Name,(ROW()-ROW(MSPTasks[[#Headers],[ID]])))="",TRUE()),"",IF(INDEX(tsk_IsSummary,(ROW()-ROW(MSPTasks[[#Headers],[ID]]))),"",INDEX(tsk_Predecessors,(ROW()-ROW(MSPTasks[[#Headers],[ID]])))))</f>
        <v/>
      </c>
      <c r="J34" s="24" t="str">
        <f aca="false">IF(IFERROR(INDEX(tsk_Name,(ROW()-ROW(MSPTasks[[#Headers],[ID]])))="",TRUE()),"",IF(INDEX(tsk_IsSummary,(ROW()-ROW(MSPTasks[[#Headers],[ID]]))),"",INDEX(tsk_UIDPredecessors,(ROW()-ROW(MSPTasks[[#Headers],[ID]])))))</f>
        <v/>
      </c>
      <c r="K34" s="24" t="str">
        <f aca="false">IF(IFERROR(INDEX(tsk_Name,(ROW()-ROW(MSPTasks[[#Headers],[ID]])))="",TRUE()),"",INDEX(tsk_ResourceNames,(ROW()-ROW(MSPTasks[[#Headers],[ID]])))&amp;"")</f>
        <v/>
      </c>
      <c r="L34" s="24" t="str">
        <f aca="false">IF(IFERROR(INDEX(tsk_Name,(ROW()-ROW(MSPTasks[[#Headers],[ID]])))="",TRUE()),"",IF(INDEX(tsk_IsSummary,(ROW()-ROW(MSPTasks[[#Headers],[ID]]))),"",ROUND(INDEX(tsk_Progress,(ROW()-ROW(MSPTasks[[#Headers],[ID]])))*100,0)))</f>
        <v/>
      </c>
      <c r="M34" s="137" t="str">
        <f aca="false">IF(IFERROR(INDEX(tsk_Name,(ROW()-ROW(MSPTasks[[#Headers],[ID]])))="",TRUE()),"",IF(N(INDEX(tsk_ActStart,(ROW()-ROW(MSPTasks[[#Headers],[ID]]))))=0,"",INDEX(tsk_ActStart,(ROW()-ROW(MSPTasks[[#Headers],[ID]])))))</f>
        <v/>
      </c>
      <c r="N34" s="137" t="str">
        <f aca="false">IF(IFERROR(INDEX(tsk_Name,(ROW()-ROW(MSPTasks[[#Headers],[ID]])))="",TRUE()),"",IF(N(INDEX(tsk_ActFinish,(ROW()-ROW(MSPTasks[[#Headers],[ID]]))))=0,"",INDEX(tsk_ActFinish,(ROW()-ROW(MSPTasks[[#Headers],[ID]])))))</f>
        <v/>
      </c>
      <c r="O34" s="137" t="str">
        <f aca="false">IF(IFERROR(INDEX(tsk_Name,(ROW()-ROW(MSPTasks[[#Headers],[ID]])))="",TRUE()),"",INDEX(tsk_PlanStart,(ROW()-ROW(MSPTasks[[#Headers],[ID]]))))</f>
        <v/>
      </c>
      <c r="P34" s="137" t="str">
        <f aca="false">IF(IFERROR(INDEX(tsk_Name,(ROW()-ROW(MSPTasks[[#Headers],[ID]])))="",TRUE()),"",INDEX(tsk_PlanFinish,(ROW()-ROW(MSPTasks[[#Headers],[ID]]))))</f>
        <v/>
      </c>
      <c r="Q34" s="24" t="str">
        <f aca="false">IF(IFERROR(INDEX(tsk_Name,(ROW()-ROW(MSPTasks[[#Headers],[ID]])))="",TRUE()),"",IF(INDEX(tsk_BaseDuration,(ROW()-ROW(MSPTasks[[#Headers],[ID]])))="","",N(INDEX(tsk_BaseDuration,(ROW()-ROW(MSPTasks[[#Headers],[ID]]))))&amp;"d"))</f>
        <v/>
      </c>
      <c r="R34" s="24" t="str">
        <f aca="false">IF(IFERROR(INDEX(tsk_Name,(ROW()-ROW(MSPTasks[[#Headers],[ID]])))="",TRUE()),"",IF(INDEX(tsk_BaseWork,(ROW()-ROW(MSPTasks[[#Headers],[ID]])))="","",N(INDEX(tsk_BaseWork,(ROW()-ROW(MSPTasks[[#Headers],[ID]]))))&amp;"h"))</f>
        <v/>
      </c>
      <c r="S34" s="24" t="str">
        <f aca="false">IF(IFERROR(INDEX(tsk_Name,(ROW()-ROW(MSPTasks[[#Headers],[ID]])))="",TRUE()),"",IF(INDEX(tsk_BaseCost,(ROW()-ROW(MSPTasks[[#Headers],[ID]])))="","",N(INDEX(tsk_BaseCost,(ROW()-ROW(MSPTasks[[#Headers],[ID]]))))))</f>
        <v/>
      </c>
      <c r="T34" s="24" t="str">
        <f aca="false">IF(IFERROR(INDEX(tsk_Name,(ROW()-ROW(MSPTasks[[#Headers],[ID]])))="",TRUE()),"",IF(INDEX(tsk_IsSummary,(ROW()-ROW(MSPTasks[[#Headers],[ID]]))),"",IF(N(INDEX(tsk_ActCostInput,(ROW()-ROW(MSPTasks[[#Headers],[ID]]))))=0,"",INDEX(tsk_ActCostInput,(ROW()-ROW(MSPTasks[[#Headers],[ID]]))))))</f>
        <v/>
      </c>
      <c r="U3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4" s="137" t="str">
        <f aca="false">IF(IFERROR(INDEX(tsk_Name,(ROW()-ROW(MSPTasks[[#Headers],[ID]])))="",TRUE()),"",IF(OR(INDEX(tsk_IsSummary,(ROW()-ROW(MSPTasks[[#Headers],[ID]]))),INDEX(tsk_Mode,(ROW()-ROW(MSPTasks[[#Headers],[ID]])))="Manual"),"",IF(N(INDEX(tsk_ConstraintCode,(ROW()-ROW(MSPTasks[[#Headers],[ID]]))))&lt;2,"",INDEX(tsk_Constraint,(ROW()-ROW(MSPTasks[[#Headers],[ID]]))))))</f>
        <v/>
      </c>
      <c r="W34" s="137" t="str">
        <f aca="false">IF(IFERROR(INDEX(tsk_Name,(ROW()-ROW(MSPTasks[[#Headers],[ID]])))="",TRUE()),"",IF(N(INDEX(tsk_Deadline,(ROW()-ROW(MSPTasks[[#Headers],[ID]]))))=0,"",INDEX(tsk_Deadline,(ROW()-ROW(MSPTasks[[#Headers],[ID]])))))</f>
        <v/>
      </c>
      <c r="X34" s="24" t="str">
        <f aca="false">IF(IFERROR(INDEX(tsk_Name,(ROW()-ROW(MSPTasks[[#Headers],[ID]])))="",TRUE()),"",IF(INDEX(tsk_IsSummary,(ROW()-ROW(MSPTasks[[#Headers],[ID]]))),"",INDEX(tsk_Sprint,(ROW()-ROW(MSPTasks[[#Headers],[ID]])))&amp;""))</f>
        <v/>
      </c>
      <c r="Y34" s="24" t="str">
        <f aca="false">IF(IFERROR(INDEX(tsk_Name,(ROW()-ROW(MSPTasks[[#Headers],[ID]])))="",TRUE()),"",IF(INDEX(tsk_IsSummary,(ROW()-ROW(MSPTasks[[#Headers],[ID]]))),"",IF(N(INDEX(tsk_StoryPoints,(ROW()-ROW(MSPTasks[[#Headers],[ID]]))))=0,"",INDEX(tsk_StoryPoints,(ROW()-ROW(MSPTasks[[#Headers],[ID]]))))))</f>
        <v/>
      </c>
      <c r="Z34" s="24" t="str">
        <f aca="false">IF(IFERROR(INDEX(tsk_Name,(ROW()-ROW(MSPTasks[[#Headers],[ID]])))="",TRUE()),"",INDEX(tsk_Notes,(ROW()-ROW(MSPTasks[[#Headers],[ID]])))&amp;"")</f>
        <v/>
      </c>
    </row>
    <row r="35" customFormat="false" ht="15" hidden="false" customHeight="false" outlineLevel="0" collapsed="false">
      <c r="A35" s="24" t="str">
        <f aca="false">IF(IFERROR(INDEX(tsk_Name,(ROW()-ROW(MSPTasks[[#Headers],[ID]])))="",TRUE()),"",INDEX(tsk_ID,(ROW()-ROW(MSPTasks[[#Headers],[ID]]))))</f>
        <v/>
      </c>
      <c r="B35" s="24" t="str">
        <f aca="false">IF(IFERROR(INDEX(tsk_Name,(ROW()-ROW(MSPTasks[[#Headers],[ID]])))="",TRUE()),"",INDEX(tsk_UID,(ROW()-ROW(MSPTasks[[#Headers],[ID]]))))</f>
        <v/>
      </c>
      <c r="C35" s="24" t="str">
        <f aca="false">IF(IFERROR(INDEX(tsk_Name,(ROW()-ROW(MSPTasks[[#Headers],[ID]])))="",TRUE()),"",INDEX(tsk_Name,(ROW()-ROW(MSPTasks[[#Headers],[ID]]))))</f>
        <v/>
      </c>
      <c r="D35" s="24" t="str">
        <f aca="false">IF(IFERROR(INDEX(tsk_Name,(ROW()-ROW(MSPTasks[[#Headers],[ID]])))="",TRUE()),"",INDEX(tsk_Level,(ROW()-ROW(MSPTasks[[#Headers],[ID]]))))</f>
        <v/>
      </c>
      <c r="E35" s="24" t="str">
        <f aca="false">IF(IFERROR(INDEX(tsk_Name,(ROW()-ROW(MSPTasks[[#Headers],[ID]])))="",TRUE()),"",IF(INDEX(tsk_Mode,(ROW()-ROW(MSPTasks[[#Headers],[ID]])))="Manual","Manually Scheduled","Auto Scheduled"))</f>
        <v/>
      </c>
      <c r="F35" s="24" t="str">
        <f aca="false">IF(IFERROR(INDEX(tsk_Name,(ROW()-ROW(MSPTasks[[#Headers],[ID]])))="",TRUE()),"",IF(INDEX(tsk_IsSummary,(ROW()-ROW(MSPTasks[[#Headers],[ID]]))),"",N(INDEX(tsk_Duration,(ROW()-ROW(MSPTasks[[#Headers],[ID]]))))&amp;"d"))</f>
        <v/>
      </c>
      <c r="G35" s="137" t="str">
        <f aca="false">IF(IFERROR(INDEX(tsk_Name,(ROW()-ROW(MSPTasks[[#Headers],[ID]])))="",TRUE()),"",INDEX(tsk_FcStart,(ROW()-ROW(MSPTasks[[#Headers],[ID]]))))</f>
        <v/>
      </c>
      <c r="H35" s="137" t="str">
        <f aca="false">IF(IFERROR(INDEX(tsk_Name,(ROW()-ROW(MSPTasks[[#Headers],[ID]])))="",TRUE()),"",INDEX(tsk_FcFinish,(ROW()-ROW(MSPTasks[[#Headers],[ID]]))))</f>
        <v/>
      </c>
      <c r="I35" s="24" t="str">
        <f aca="false">IF(IFERROR(INDEX(tsk_Name,(ROW()-ROW(MSPTasks[[#Headers],[ID]])))="",TRUE()),"",IF(INDEX(tsk_IsSummary,(ROW()-ROW(MSPTasks[[#Headers],[ID]]))),"",INDEX(tsk_Predecessors,(ROW()-ROW(MSPTasks[[#Headers],[ID]])))))</f>
        <v/>
      </c>
      <c r="J35" s="24" t="str">
        <f aca="false">IF(IFERROR(INDEX(tsk_Name,(ROW()-ROW(MSPTasks[[#Headers],[ID]])))="",TRUE()),"",IF(INDEX(tsk_IsSummary,(ROW()-ROW(MSPTasks[[#Headers],[ID]]))),"",INDEX(tsk_UIDPredecessors,(ROW()-ROW(MSPTasks[[#Headers],[ID]])))))</f>
        <v/>
      </c>
      <c r="K35" s="24" t="str">
        <f aca="false">IF(IFERROR(INDEX(tsk_Name,(ROW()-ROW(MSPTasks[[#Headers],[ID]])))="",TRUE()),"",INDEX(tsk_ResourceNames,(ROW()-ROW(MSPTasks[[#Headers],[ID]])))&amp;"")</f>
        <v/>
      </c>
      <c r="L35" s="24" t="str">
        <f aca="false">IF(IFERROR(INDEX(tsk_Name,(ROW()-ROW(MSPTasks[[#Headers],[ID]])))="",TRUE()),"",IF(INDEX(tsk_IsSummary,(ROW()-ROW(MSPTasks[[#Headers],[ID]]))),"",ROUND(INDEX(tsk_Progress,(ROW()-ROW(MSPTasks[[#Headers],[ID]])))*100,0)))</f>
        <v/>
      </c>
      <c r="M35" s="137" t="str">
        <f aca="false">IF(IFERROR(INDEX(tsk_Name,(ROW()-ROW(MSPTasks[[#Headers],[ID]])))="",TRUE()),"",IF(N(INDEX(tsk_ActStart,(ROW()-ROW(MSPTasks[[#Headers],[ID]]))))=0,"",INDEX(tsk_ActStart,(ROW()-ROW(MSPTasks[[#Headers],[ID]])))))</f>
        <v/>
      </c>
      <c r="N35" s="137" t="str">
        <f aca="false">IF(IFERROR(INDEX(tsk_Name,(ROW()-ROW(MSPTasks[[#Headers],[ID]])))="",TRUE()),"",IF(N(INDEX(tsk_ActFinish,(ROW()-ROW(MSPTasks[[#Headers],[ID]]))))=0,"",INDEX(tsk_ActFinish,(ROW()-ROW(MSPTasks[[#Headers],[ID]])))))</f>
        <v/>
      </c>
      <c r="O35" s="137" t="str">
        <f aca="false">IF(IFERROR(INDEX(tsk_Name,(ROW()-ROW(MSPTasks[[#Headers],[ID]])))="",TRUE()),"",INDEX(tsk_PlanStart,(ROW()-ROW(MSPTasks[[#Headers],[ID]]))))</f>
        <v/>
      </c>
      <c r="P35" s="137" t="str">
        <f aca="false">IF(IFERROR(INDEX(tsk_Name,(ROW()-ROW(MSPTasks[[#Headers],[ID]])))="",TRUE()),"",INDEX(tsk_PlanFinish,(ROW()-ROW(MSPTasks[[#Headers],[ID]]))))</f>
        <v/>
      </c>
      <c r="Q35" s="24" t="str">
        <f aca="false">IF(IFERROR(INDEX(tsk_Name,(ROW()-ROW(MSPTasks[[#Headers],[ID]])))="",TRUE()),"",IF(INDEX(tsk_BaseDuration,(ROW()-ROW(MSPTasks[[#Headers],[ID]])))="","",N(INDEX(tsk_BaseDuration,(ROW()-ROW(MSPTasks[[#Headers],[ID]]))))&amp;"d"))</f>
        <v/>
      </c>
      <c r="R35" s="24" t="str">
        <f aca="false">IF(IFERROR(INDEX(tsk_Name,(ROW()-ROW(MSPTasks[[#Headers],[ID]])))="",TRUE()),"",IF(INDEX(tsk_BaseWork,(ROW()-ROW(MSPTasks[[#Headers],[ID]])))="","",N(INDEX(tsk_BaseWork,(ROW()-ROW(MSPTasks[[#Headers],[ID]]))))&amp;"h"))</f>
        <v/>
      </c>
      <c r="S35" s="24" t="str">
        <f aca="false">IF(IFERROR(INDEX(tsk_Name,(ROW()-ROW(MSPTasks[[#Headers],[ID]])))="",TRUE()),"",IF(INDEX(tsk_BaseCost,(ROW()-ROW(MSPTasks[[#Headers],[ID]])))="","",N(INDEX(tsk_BaseCost,(ROW()-ROW(MSPTasks[[#Headers],[ID]]))))))</f>
        <v/>
      </c>
      <c r="T35" s="24" t="str">
        <f aca="false">IF(IFERROR(INDEX(tsk_Name,(ROW()-ROW(MSPTasks[[#Headers],[ID]])))="",TRUE()),"",IF(INDEX(tsk_IsSummary,(ROW()-ROW(MSPTasks[[#Headers],[ID]]))),"",IF(N(INDEX(tsk_ActCostInput,(ROW()-ROW(MSPTasks[[#Headers],[ID]]))))=0,"",INDEX(tsk_ActCostInput,(ROW()-ROW(MSPTasks[[#Headers],[ID]]))))))</f>
        <v/>
      </c>
      <c r="U3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5" s="137" t="str">
        <f aca="false">IF(IFERROR(INDEX(tsk_Name,(ROW()-ROW(MSPTasks[[#Headers],[ID]])))="",TRUE()),"",IF(OR(INDEX(tsk_IsSummary,(ROW()-ROW(MSPTasks[[#Headers],[ID]]))),INDEX(tsk_Mode,(ROW()-ROW(MSPTasks[[#Headers],[ID]])))="Manual"),"",IF(N(INDEX(tsk_ConstraintCode,(ROW()-ROW(MSPTasks[[#Headers],[ID]]))))&lt;2,"",INDEX(tsk_Constraint,(ROW()-ROW(MSPTasks[[#Headers],[ID]]))))))</f>
        <v/>
      </c>
      <c r="W35" s="137" t="str">
        <f aca="false">IF(IFERROR(INDEX(tsk_Name,(ROW()-ROW(MSPTasks[[#Headers],[ID]])))="",TRUE()),"",IF(N(INDEX(tsk_Deadline,(ROW()-ROW(MSPTasks[[#Headers],[ID]]))))=0,"",INDEX(tsk_Deadline,(ROW()-ROW(MSPTasks[[#Headers],[ID]])))))</f>
        <v/>
      </c>
      <c r="X35" s="24" t="str">
        <f aca="false">IF(IFERROR(INDEX(tsk_Name,(ROW()-ROW(MSPTasks[[#Headers],[ID]])))="",TRUE()),"",IF(INDEX(tsk_IsSummary,(ROW()-ROW(MSPTasks[[#Headers],[ID]]))),"",INDEX(tsk_Sprint,(ROW()-ROW(MSPTasks[[#Headers],[ID]])))&amp;""))</f>
        <v/>
      </c>
      <c r="Y35" s="24" t="str">
        <f aca="false">IF(IFERROR(INDEX(tsk_Name,(ROW()-ROW(MSPTasks[[#Headers],[ID]])))="",TRUE()),"",IF(INDEX(tsk_IsSummary,(ROW()-ROW(MSPTasks[[#Headers],[ID]]))),"",IF(N(INDEX(tsk_StoryPoints,(ROW()-ROW(MSPTasks[[#Headers],[ID]]))))=0,"",INDEX(tsk_StoryPoints,(ROW()-ROW(MSPTasks[[#Headers],[ID]]))))))</f>
        <v/>
      </c>
      <c r="Z35" s="24" t="str">
        <f aca="false">IF(IFERROR(INDEX(tsk_Name,(ROW()-ROW(MSPTasks[[#Headers],[ID]])))="",TRUE()),"",INDEX(tsk_Notes,(ROW()-ROW(MSPTasks[[#Headers],[ID]])))&amp;"")</f>
        <v/>
      </c>
    </row>
    <row r="36" customFormat="false" ht="15" hidden="false" customHeight="false" outlineLevel="0" collapsed="false">
      <c r="A36" s="24" t="str">
        <f aca="false">IF(IFERROR(INDEX(tsk_Name,(ROW()-ROW(MSPTasks[[#Headers],[ID]])))="",TRUE()),"",INDEX(tsk_ID,(ROW()-ROW(MSPTasks[[#Headers],[ID]]))))</f>
        <v/>
      </c>
      <c r="B36" s="24" t="str">
        <f aca="false">IF(IFERROR(INDEX(tsk_Name,(ROW()-ROW(MSPTasks[[#Headers],[ID]])))="",TRUE()),"",INDEX(tsk_UID,(ROW()-ROW(MSPTasks[[#Headers],[ID]]))))</f>
        <v/>
      </c>
      <c r="C36" s="24" t="str">
        <f aca="false">IF(IFERROR(INDEX(tsk_Name,(ROW()-ROW(MSPTasks[[#Headers],[ID]])))="",TRUE()),"",INDEX(tsk_Name,(ROW()-ROW(MSPTasks[[#Headers],[ID]]))))</f>
        <v/>
      </c>
      <c r="D36" s="24" t="str">
        <f aca="false">IF(IFERROR(INDEX(tsk_Name,(ROW()-ROW(MSPTasks[[#Headers],[ID]])))="",TRUE()),"",INDEX(tsk_Level,(ROW()-ROW(MSPTasks[[#Headers],[ID]]))))</f>
        <v/>
      </c>
      <c r="E36" s="24" t="str">
        <f aca="false">IF(IFERROR(INDEX(tsk_Name,(ROW()-ROW(MSPTasks[[#Headers],[ID]])))="",TRUE()),"",IF(INDEX(tsk_Mode,(ROW()-ROW(MSPTasks[[#Headers],[ID]])))="Manual","Manually Scheduled","Auto Scheduled"))</f>
        <v/>
      </c>
      <c r="F36" s="24" t="str">
        <f aca="false">IF(IFERROR(INDEX(tsk_Name,(ROW()-ROW(MSPTasks[[#Headers],[ID]])))="",TRUE()),"",IF(INDEX(tsk_IsSummary,(ROW()-ROW(MSPTasks[[#Headers],[ID]]))),"",N(INDEX(tsk_Duration,(ROW()-ROW(MSPTasks[[#Headers],[ID]]))))&amp;"d"))</f>
        <v/>
      </c>
      <c r="G36" s="137" t="str">
        <f aca="false">IF(IFERROR(INDEX(tsk_Name,(ROW()-ROW(MSPTasks[[#Headers],[ID]])))="",TRUE()),"",INDEX(tsk_FcStart,(ROW()-ROW(MSPTasks[[#Headers],[ID]]))))</f>
        <v/>
      </c>
      <c r="H36" s="137" t="str">
        <f aca="false">IF(IFERROR(INDEX(tsk_Name,(ROW()-ROW(MSPTasks[[#Headers],[ID]])))="",TRUE()),"",INDEX(tsk_FcFinish,(ROW()-ROW(MSPTasks[[#Headers],[ID]]))))</f>
        <v/>
      </c>
      <c r="I36" s="24" t="str">
        <f aca="false">IF(IFERROR(INDEX(tsk_Name,(ROW()-ROW(MSPTasks[[#Headers],[ID]])))="",TRUE()),"",IF(INDEX(tsk_IsSummary,(ROW()-ROW(MSPTasks[[#Headers],[ID]]))),"",INDEX(tsk_Predecessors,(ROW()-ROW(MSPTasks[[#Headers],[ID]])))))</f>
        <v/>
      </c>
      <c r="J36" s="24" t="str">
        <f aca="false">IF(IFERROR(INDEX(tsk_Name,(ROW()-ROW(MSPTasks[[#Headers],[ID]])))="",TRUE()),"",IF(INDEX(tsk_IsSummary,(ROW()-ROW(MSPTasks[[#Headers],[ID]]))),"",INDEX(tsk_UIDPredecessors,(ROW()-ROW(MSPTasks[[#Headers],[ID]])))))</f>
        <v/>
      </c>
      <c r="K36" s="24" t="str">
        <f aca="false">IF(IFERROR(INDEX(tsk_Name,(ROW()-ROW(MSPTasks[[#Headers],[ID]])))="",TRUE()),"",INDEX(tsk_ResourceNames,(ROW()-ROW(MSPTasks[[#Headers],[ID]])))&amp;"")</f>
        <v/>
      </c>
      <c r="L36" s="24" t="str">
        <f aca="false">IF(IFERROR(INDEX(tsk_Name,(ROW()-ROW(MSPTasks[[#Headers],[ID]])))="",TRUE()),"",IF(INDEX(tsk_IsSummary,(ROW()-ROW(MSPTasks[[#Headers],[ID]]))),"",ROUND(INDEX(tsk_Progress,(ROW()-ROW(MSPTasks[[#Headers],[ID]])))*100,0)))</f>
        <v/>
      </c>
      <c r="M36" s="137" t="str">
        <f aca="false">IF(IFERROR(INDEX(tsk_Name,(ROW()-ROW(MSPTasks[[#Headers],[ID]])))="",TRUE()),"",IF(N(INDEX(tsk_ActStart,(ROW()-ROW(MSPTasks[[#Headers],[ID]]))))=0,"",INDEX(tsk_ActStart,(ROW()-ROW(MSPTasks[[#Headers],[ID]])))))</f>
        <v/>
      </c>
      <c r="N36" s="137" t="str">
        <f aca="false">IF(IFERROR(INDEX(tsk_Name,(ROW()-ROW(MSPTasks[[#Headers],[ID]])))="",TRUE()),"",IF(N(INDEX(tsk_ActFinish,(ROW()-ROW(MSPTasks[[#Headers],[ID]]))))=0,"",INDEX(tsk_ActFinish,(ROW()-ROW(MSPTasks[[#Headers],[ID]])))))</f>
        <v/>
      </c>
      <c r="O36" s="137" t="str">
        <f aca="false">IF(IFERROR(INDEX(tsk_Name,(ROW()-ROW(MSPTasks[[#Headers],[ID]])))="",TRUE()),"",INDEX(tsk_PlanStart,(ROW()-ROW(MSPTasks[[#Headers],[ID]]))))</f>
        <v/>
      </c>
      <c r="P36" s="137" t="str">
        <f aca="false">IF(IFERROR(INDEX(tsk_Name,(ROW()-ROW(MSPTasks[[#Headers],[ID]])))="",TRUE()),"",INDEX(tsk_PlanFinish,(ROW()-ROW(MSPTasks[[#Headers],[ID]]))))</f>
        <v/>
      </c>
      <c r="Q36" s="24" t="str">
        <f aca="false">IF(IFERROR(INDEX(tsk_Name,(ROW()-ROW(MSPTasks[[#Headers],[ID]])))="",TRUE()),"",IF(INDEX(tsk_BaseDuration,(ROW()-ROW(MSPTasks[[#Headers],[ID]])))="","",N(INDEX(tsk_BaseDuration,(ROW()-ROW(MSPTasks[[#Headers],[ID]]))))&amp;"d"))</f>
        <v/>
      </c>
      <c r="R36" s="24" t="str">
        <f aca="false">IF(IFERROR(INDEX(tsk_Name,(ROW()-ROW(MSPTasks[[#Headers],[ID]])))="",TRUE()),"",IF(INDEX(tsk_BaseWork,(ROW()-ROW(MSPTasks[[#Headers],[ID]])))="","",N(INDEX(tsk_BaseWork,(ROW()-ROW(MSPTasks[[#Headers],[ID]]))))&amp;"h"))</f>
        <v/>
      </c>
      <c r="S36" s="24" t="str">
        <f aca="false">IF(IFERROR(INDEX(tsk_Name,(ROW()-ROW(MSPTasks[[#Headers],[ID]])))="",TRUE()),"",IF(INDEX(tsk_BaseCost,(ROW()-ROW(MSPTasks[[#Headers],[ID]])))="","",N(INDEX(tsk_BaseCost,(ROW()-ROW(MSPTasks[[#Headers],[ID]]))))))</f>
        <v/>
      </c>
      <c r="T36" s="24" t="str">
        <f aca="false">IF(IFERROR(INDEX(tsk_Name,(ROW()-ROW(MSPTasks[[#Headers],[ID]])))="",TRUE()),"",IF(INDEX(tsk_IsSummary,(ROW()-ROW(MSPTasks[[#Headers],[ID]]))),"",IF(N(INDEX(tsk_ActCostInput,(ROW()-ROW(MSPTasks[[#Headers],[ID]]))))=0,"",INDEX(tsk_ActCostInput,(ROW()-ROW(MSPTasks[[#Headers],[ID]]))))))</f>
        <v/>
      </c>
      <c r="U3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6" s="137" t="str">
        <f aca="false">IF(IFERROR(INDEX(tsk_Name,(ROW()-ROW(MSPTasks[[#Headers],[ID]])))="",TRUE()),"",IF(OR(INDEX(tsk_IsSummary,(ROW()-ROW(MSPTasks[[#Headers],[ID]]))),INDEX(tsk_Mode,(ROW()-ROW(MSPTasks[[#Headers],[ID]])))="Manual"),"",IF(N(INDEX(tsk_ConstraintCode,(ROW()-ROW(MSPTasks[[#Headers],[ID]]))))&lt;2,"",INDEX(tsk_Constraint,(ROW()-ROW(MSPTasks[[#Headers],[ID]]))))))</f>
        <v/>
      </c>
      <c r="W36" s="137" t="str">
        <f aca="false">IF(IFERROR(INDEX(tsk_Name,(ROW()-ROW(MSPTasks[[#Headers],[ID]])))="",TRUE()),"",IF(N(INDEX(tsk_Deadline,(ROW()-ROW(MSPTasks[[#Headers],[ID]]))))=0,"",INDEX(tsk_Deadline,(ROW()-ROW(MSPTasks[[#Headers],[ID]])))))</f>
        <v/>
      </c>
      <c r="X36" s="24" t="str">
        <f aca="false">IF(IFERROR(INDEX(tsk_Name,(ROW()-ROW(MSPTasks[[#Headers],[ID]])))="",TRUE()),"",IF(INDEX(tsk_IsSummary,(ROW()-ROW(MSPTasks[[#Headers],[ID]]))),"",INDEX(tsk_Sprint,(ROW()-ROW(MSPTasks[[#Headers],[ID]])))&amp;""))</f>
        <v/>
      </c>
      <c r="Y36" s="24" t="str">
        <f aca="false">IF(IFERROR(INDEX(tsk_Name,(ROW()-ROW(MSPTasks[[#Headers],[ID]])))="",TRUE()),"",IF(INDEX(tsk_IsSummary,(ROW()-ROW(MSPTasks[[#Headers],[ID]]))),"",IF(N(INDEX(tsk_StoryPoints,(ROW()-ROW(MSPTasks[[#Headers],[ID]]))))=0,"",INDEX(tsk_StoryPoints,(ROW()-ROW(MSPTasks[[#Headers],[ID]]))))))</f>
        <v/>
      </c>
      <c r="Z36" s="24" t="str">
        <f aca="false">IF(IFERROR(INDEX(tsk_Name,(ROW()-ROW(MSPTasks[[#Headers],[ID]])))="",TRUE()),"",INDEX(tsk_Notes,(ROW()-ROW(MSPTasks[[#Headers],[ID]])))&amp;"")</f>
        <v/>
      </c>
    </row>
    <row r="37" customFormat="false" ht="15" hidden="false" customHeight="false" outlineLevel="0" collapsed="false">
      <c r="A37" s="24" t="str">
        <f aca="false">IF(IFERROR(INDEX(tsk_Name,(ROW()-ROW(MSPTasks[[#Headers],[ID]])))="",TRUE()),"",INDEX(tsk_ID,(ROW()-ROW(MSPTasks[[#Headers],[ID]]))))</f>
        <v/>
      </c>
      <c r="B37" s="24" t="str">
        <f aca="false">IF(IFERROR(INDEX(tsk_Name,(ROW()-ROW(MSPTasks[[#Headers],[ID]])))="",TRUE()),"",INDEX(tsk_UID,(ROW()-ROW(MSPTasks[[#Headers],[ID]]))))</f>
        <v/>
      </c>
      <c r="C37" s="24" t="str">
        <f aca="false">IF(IFERROR(INDEX(tsk_Name,(ROW()-ROW(MSPTasks[[#Headers],[ID]])))="",TRUE()),"",INDEX(tsk_Name,(ROW()-ROW(MSPTasks[[#Headers],[ID]]))))</f>
        <v/>
      </c>
      <c r="D37" s="24" t="str">
        <f aca="false">IF(IFERROR(INDEX(tsk_Name,(ROW()-ROW(MSPTasks[[#Headers],[ID]])))="",TRUE()),"",INDEX(tsk_Level,(ROW()-ROW(MSPTasks[[#Headers],[ID]]))))</f>
        <v/>
      </c>
      <c r="E37" s="24" t="str">
        <f aca="false">IF(IFERROR(INDEX(tsk_Name,(ROW()-ROW(MSPTasks[[#Headers],[ID]])))="",TRUE()),"",IF(INDEX(tsk_Mode,(ROW()-ROW(MSPTasks[[#Headers],[ID]])))="Manual","Manually Scheduled","Auto Scheduled"))</f>
        <v/>
      </c>
      <c r="F37" s="24" t="str">
        <f aca="false">IF(IFERROR(INDEX(tsk_Name,(ROW()-ROW(MSPTasks[[#Headers],[ID]])))="",TRUE()),"",IF(INDEX(tsk_IsSummary,(ROW()-ROW(MSPTasks[[#Headers],[ID]]))),"",N(INDEX(tsk_Duration,(ROW()-ROW(MSPTasks[[#Headers],[ID]]))))&amp;"d"))</f>
        <v/>
      </c>
      <c r="G37" s="137" t="str">
        <f aca="false">IF(IFERROR(INDEX(tsk_Name,(ROW()-ROW(MSPTasks[[#Headers],[ID]])))="",TRUE()),"",INDEX(tsk_FcStart,(ROW()-ROW(MSPTasks[[#Headers],[ID]]))))</f>
        <v/>
      </c>
      <c r="H37" s="137" t="str">
        <f aca="false">IF(IFERROR(INDEX(tsk_Name,(ROW()-ROW(MSPTasks[[#Headers],[ID]])))="",TRUE()),"",INDEX(tsk_FcFinish,(ROW()-ROW(MSPTasks[[#Headers],[ID]]))))</f>
        <v/>
      </c>
      <c r="I37" s="24" t="str">
        <f aca="false">IF(IFERROR(INDEX(tsk_Name,(ROW()-ROW(MSPTasks[[#Headers],[ID]])))="",TRUE()),"",IF(INDEX(tsk_IsSummary,(ROW()-ROW(MSPTasks[[#Headers],[ID]]))),"",INDEX(tsk_Predecessors,(ROW()-ROW(MSPTasks[[#Headers],[ID]])))))</f>
        <v/>
      </c>
      <c r="J37" s="24" t="str">
        <f aca="false">IF(IFERROR(INDEX(tsk_Name,(ROW()-ROW(MSPTasks[[#Headers],[ID]])))="",TRUE()),"",IF(INDEX(tsk_IsSummary,(ROW()-ROW(MSPTasks[[#Headers],[ID]]))),"",INDEX(tsk_UIDPredecessors,(ROW()-ROW(MSPTasks[[#Headers],[ID]])))))</f>
        <v/>
      </c>
      <c r="K37" s="24" t="str">
        <f aca="false">IF(IFERROR(INDEX(tsk_Name,(ROW()-ROW(MSPTasks[[#Headers],[ID]])))="",TRUE()),"",INDEX(tsk_ResourceNames,(ROW()-ROW(MSPTasks[[#Headers],[ID]])))&amp;"")</f>
        <v/>
      </c>
      <c r="L37" s="24" t="str">
        <f aca="false">IF(IFERROR(INDEX(tsk_Name,(ROW()-ROW(MSPTasks[[#Headers],[ID]])))="",TRUE()),"",IF(INDEX(tsk_IsSummary,(ROW()-ROW(MSPTasks[[#Headers],[ID]]))),"",ROUND(INDEX(tsk_Progress,(ROW()-ROW(MSPTasks[[#Headers],[ID]])))*100,0)))</f>
        <v/>
      </c>
      <c r="M37" s="137" t="str">
        <f aca="false">IF(IFERROR(INDEX(tsk_Name,(ROW()-ROW(MSPTasks[[#Headers],[ID]])))="",TRUE()),"",IF(N(INDEX(tsk_ActStart,(ROW()-ROW(MSPTasks[[#Headers],[ID]]))))=0,"",INDEX(tsk_ActStart,(ROW()-ROW(MSPTasks[[#Headers],[ID]])))))</f>
        <v/>
      </c>
      <c r="N37" s="137" t="str">
        <f aca="false">IF(IFERROR(INDEX(tsk_Name,(ROW()-ROW(MSPTasks[[#Headers],[ID]])))="",TRUE()),"",IF(N(INDEX(tsk_ActFinish,(ROW()-ROW(MSPTasks[[#Headers],[ID]]))))=0,"",INDEX(tsk_ActFinish,(ROW()-ROW(MSPTasks[[#Headers],[ID]])))))</f>
        <v/>
      </c>
      <c r="O37" s="137" t="str">
        <f aca="false">IF(IFERROR(INDEX(tsk_Name,(ROW()-ROW(MSPTasks[[#Headers],[ID]])))="",TRUE()),"",INDEX(tsk_PlanStart,(ROW()-ROW(MSPTasks[[#Headers],[ID]]))))</f>
        <v/>
      </c>
      <c r="P37" s="137" t="str">
        <f aca="false">IF(IFERROR(INDEX(tsk_Name,(ROW()-ROW(MSPTasks[[#Headers],[ID]])))="",TRUE()),"",INDEX(tsk_PlanFinish,(ROW()-ROW(MSPTasks[[#Headers],[ID]]))))</f>
        <v/>
      </c>
      <c r="Q37" s="24" t="str">
        <f aca="false">IF(IFERROR(INDEX(tsk_Name,(ROW()-ROW(MSPTasks[[#Headers],[ID]])))="",TRUE()),"",IF(INDEX(tsk_BaseDuration,(ROW()-ROW(MSPTasks[[#Headers],[ID]])))="","",N(INDEX(tsk_BaseDuration,(ROW()-ROW(MSPTasks[[#Headers],[ID]]))))&amp;"d"))</f>
        <v/>
      </c>
      <c r="R37" s="24" t="str">
        <f aca="false">IF(IFERROR(INDEX(tsk_Name,(ROW()-ROW(MSPTasks[[#Headers],[ID]])))="",TRUE()),"",IF(INDEX(tsk_BaseWork,(ROW()-ROW(MSPTasks[[#Headers],[ID]])))="","",N(INDEX(tsk_BaseWork,(ROW()-ROW(MSPTasks[[#Headers],[ID]]))))&amp;"h"))</f>
        <v/>
      </c>
      <c r="S37" s="24" t="str">
        <f aca="false">IF(IFERROR(INDEX(tsk_Name,(ROW()-ROW(MSPTasks[[#Headers],[ID]])))="",TRUE()),"",IF(INDEX(tsk_BaseCost,(ROW()-ROW(MSPTasks[[#Headers],[ID]])))="","",N(INDEX(tsk_BaseCost,(ROW()-ROW(MSPTasks[[#Headers],[ID]]))))))</f>
        <v/>
      </c>
      <c r="T37" s="24" t="str">
        <f aca="false">IF(IFERROR(INDEX(tsk_Name,(ROW()-ROW(MSPTasks[[#Headers],[ID]])))="",TRUE()),"",IF(INDEX(tsk_IsSummary,(ROW()-ROW(MSPTasks[[#Headers],[ID]]))),"",IF(N(INDEX(tsk_ActCostInput,(ROW()-ROW(MSPTasks[[#Headers],[ID]]))))=0,"",INDEX(tsk_ActCostInput,(ROW()-ROW(MSPTasks[[#Headers],[ID]]))))))</f>
        <v/>
      </c>
      <c r="U3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7" s="137" t="str">
        <f aca="false">IF(IFERROR(INDEX(tsk_Name,(ROW()-ROW(MSPTasks[[#Headers],[ID]])))="",TRUE()),"",IF(OR(INDEX(tsk_IsSummary,(ROW()-ROW(MSPTasks[[#Headers],[ID]]))),INDEX(tsk_Mode,(ROW()-ROW(MSPTasks[[#Headers],[ID]])))="Manual"),"",IF(N(INDEX(tsk_ConstraintCode,(ROW()-ROW(MSPTasks[[#Headers],[ID]]))))&lt;2,"",INDEX(tsk_Constraint,(ROW()-ROW(MSPTasks[[#Headers],[ID]]))))))</f>
        <v/>
      </c>
      <c r="W37" s="137" t="str">
        <f aca="false">IF(IFERROR(INDEX(tsk_Name,(ROW()-ROW(MSPTasks[[#Headers],[ID]])))="",TRUE()),"",IF(N(INDEX(tsk_Deadline,(ROW()-ROW(MSPTasks[[#Headers],[ID]]))))=0,"",INDEX(tsk_Deadline,(ROW()-ROW(MSPTasks[[#Headers],[ID]])))))</f>
        <v/>
      </c>
      <c r="X37" s="24" t="str">
        <f aca="false">IF(IFERROR(INDEX(tsk_Name,(ROW()-ROW(MSPTasks[[#Headers],[ID]])))="",TRUE()),"",IF(INDEX(tsk_IsSummary,(ROW()-ROW(MSPTasks[[#Headers],[ID]]))),"",INDEX(tsk_Sprint,(ROW()-ROW(MSPTasks[[#Headers],[ID]])))&amp;""))</f>
        <v/>
      </c>
      <c r="Y37" s="24" t="str">
        <f aca="false">IF(IFERROR(INDEX(tsk_Name,(ROW()-ROW(MSPTasks[[#Headers],[ID]])))="",TRUE()),"",IF(INDEX(tsk_IsSummary,(ROW()-ROW(MSPTasks[[#Headers],[ID]]))),"",IF(N(INDEX(tsk_StoryPoints,(ROW()-ROW(MSPTasks[[#Headers],[ID]]))))=0,"",INDEX(tsk_StoryPoints,(ROW()-ROW(MSPTasks[[#Headers],[ID]]))))))</f>
        <v/>
      </c>
      <c r="Z37" s="24" t="str">
        <f aca="false">IF(IFERROR(INDEX(tsk_Name,(ROW()-ROW(MSPTasks[[#Headers],[ID]])))="",TRUE()),"",INDEX(tsk_Notes,(ROW()-ROW(MSPTasks[[#Headers],[ID]])))&amp;"")</f>
        <v/>
      </c>
    </row>
    <row r="38" customFormat="false" ht="15" hidden="false" customHeight="false" outlineLevel="0" collapsed="false">
      <c r="A38" s="24" t="str">
        <f aca="false">IF(IFERROR(INDEX(tsk_Name,(ROW()-ROW(MSPTasks[[#Headers],[ID]])))="",TRUE()),"",INDEX(tsk_ID,(ROW()-ROW(MSPTasks[[#Headers],[ID]]))))</f>
        <v/>
      </c>
      <c r="B38" s="24" t="str">
        <f aca="false">IF(IFERROR(INDEX(tsk_Name,(ROW()-ROW(MSPTasks[[#Headers],[ID]])))="",TRUE()),"",INDEX(tsk_UID,(ROW()-ROW(MSPTasks[[#Headers],[ID]]))))</f>
        <v/>
      </c>
      <c r="C38" s="24" t="str">
        <f aca="false">IF(IFERROR(INDEX(tsk_Name,(ROW()-ROW(MSPTasks[[#Headers],[ID]])))="",TRUE()),"",INDEX(tsk_Name,(ROW()-ROW(MSPTasks[[#Headers],[ID]]))))</f>
        <v/>
      </c>
      <c r="D38" s="24" t="str">
        <f aca="false">IF(IFERROR(INDEX(tsk_Name,(ROW()-ROW(MSPTasks[[#Headers],[ID]])))="",TRUE()),"",INDEX(tsk_Level,(ROW()-ROW(MSPTasks[[#Headers],[ID]]))))</f>
        <v/>
      </c>
      <c r="E38" s="24" t="str">
        <f aca="false">IF(IFERROR(INDEX(tsk_Name,(ROW()-ROW(MSPTasks[[#Headers],[ID]])))="",TRUE()),"",IF(INDEX(tsk_Mode,(ROW()-ROW(MSPTasks[[#Headers],[ID]])))="Manual","Manually Scheduled","Auto Scheduled"))</f>
        <v/>
      </c>
      <c r="F38" s="24" t="str">
        <f aca="false">IF(IFERROR(INDEX(tsk_Name,(ROW()-ROW(MSPTasks[[#Headers],[ID]])))="",TRUE()),"",IF(INDEX(tsk_IsSummary,(ROW()-ROW(MSPTasks[[#Headers],[ID]]))),"",N(INDEX(tsk_Duration,(ROW()-ROW(MSPTasks[[#Headers],[ID]]))))&amp;"d"))</f>
        <v/>
      </c>
      <c r="G38" s="137" t="str">
        <f aca="false">IF(IFERROR(INDEX(tsk_Name,(ROW()-ROW(MSPTasks[[#Headers],[ID]])))="",TRUE()),"",INDEX(tsk_FcStart,(ROW()-ROW(MSPTasks[[#Headers],[ID]]))))</f>
        <v/>
      </c>
      <c r="H38" s="137" t="str">
        <f aca="false">IF(IFERROR(INDEX(tsk_Name,(ROW()-ROW(MSPTasks[[#Headers],[ID]])))="",TRUE()),"",INDEX(tsk_FcFinish,(ROW()-ROW(MSPTasks[[#Headers],[ID]]))))</f>
        <v/>
      </c>
      <c r="I38" s="24" t="str">
        <f aca="false">IF(IFERROR(INDEX(tsk_Name,(ROW()-ROW(MSPTasks[[#Headers],[ID]])))="",TRUE()),"",IF(INDEX(tsk_IsSummary,(ROW()-ROW(MSPTasks[[#Headers],[ID]]))),"",INDEX(tsk_Predecessors,(ROW()-ROW(MSPTasks[[#Headers],[ID]])))))</f>
        <v/>
      </c>
      <c r="J38" s="24" t="str">
        <f aca="false">IF(IFERROR(INDEX(tsk_Name,(ROW()-ROW(MSPTasks[[#Headers],[ID]])))="",TRUE()),"",IF(INDEX(tsk_IsSummary,(ROW()-ROW(MSPTasks[[#Headers],[ID]]))),"",INDEX(tsk_UIDPredecessors,(ROW()-ROW(MSPTasks[[#Headers],[ID]])))))</f>
        <v/>
      </c>
      <c r="K38" s="24" t="str">
        <f aca="false">IF(IFERROR(INDEX(tsk_Name,(ROW()-ROW(MSPTasks[[#Headers],[ID]])))="",TRUE()),"",INDEX(tsk_ResourceNames,(ROW()-ROW(MSPTasks[[#Headers],[ID]])))&amp;"")</f>
        <v/>
      </c>
      <c r="L38" s="24" t="str">
        <f aca="false">IF(IFERROR(INDEX(tsk_Name,(ROW()-ROW(MSPTasks[[#Headers],[ID]])))="",TRUE()),"",IF(INDEX(tsk_IsSummary,(ROW()-ROW(MSPTasks[[#Headers],[ID]]))),"",ROUND(INDEX(tsk_Progress,(ROW()-ROW(MSPTasks[[#Headers],[ID]])))*100,0)))</f>
        <v/>
      </c>
      <c r="M38" s="137" t="str">
        <f aca="false">IF(IFERROR(INDEX(tsk_Name,(ROW()-ROW(MSPTasks[[#Headers],[ID]])))="",TRUE()),"",IF(N(INDEX(tsk_ActStart,(ROW()-ROW(MSPTasks[[#Headers],[ID]]))))=0,"",INDEX(tsk_ActStart,(ROW()-ROW(MSPTasks[[#Headers],[ID]])))))</f>
        <v/>
      </c>
      <c r="N38" s="137" t="str">
        <f aca="false">IF(IFERROR(INDEX(tsk_Name,(ROW()-ROW(MSPTasks[[#Headers],[ID]])))="",TRUE()),"",IF(N(INDEX(tsk_ActFinish,(ROW()-ROW(MSPTasks[[#Headers],[ID]]))))=0,"",INDEX(tsk_ActFinish,(ROW()-ROW(MSPTasks[[#Headers],[ID]])))))</f>
        <v/>
      </c>
      <c r="O38" s="137" t="str">
        <f aca="false">IF(IFERROR(INDEX(tsk_Name,(ROW()-ROW(MSPTasks[[#Headers],[ID]])))="",TRUE()),"",INDEX(tsk_PlanStart,(ROW()-ROW(MSPTasks[[#Headers],[ID]]))))</f>
        <v/>
      </c>
      <c r="P38" s="137" t="str">
        <f aca="false">IF(IFERROR(INDEX(tsk_Name,(ROW()-ROW(MSPTasks[[#Headers],[ID]])))="",TRUE()),"",INDEX(tsk_PlanFinish,(ROW()-ROW(MSPTasks[[#Headers],[ID]]))))</f>
        <v/>
      </c>
      <c r="Q38" s="24" t="str">
        <f aca="false">IF(IFERROR(INDEX(tsk_Name,(ROW()-ROW(MSPTasks[[#Headers],[ID]])))="",TRUE()),"",IF(INDEX(tsk_BaseDuration,(ROW()-ROW(MSPTasks[[#Headers],[ID]])))="","",N(INDEX(tsk_BaseDuration,(ROW()-ROW(MSPTasks[[#Headers],[ID]]))))&amp;"d"))</f>
        <v/>
      </c>
      <c r="R38" s="24" t="str">
        <f aca="false">IF(IFERROR(INDEX(tsk_Name,(ROW()-ROW(MSPTasks[[#Headers],[ID]])))="",TRUE()),"",IF(INDEX(tsk_BaseWork,(ROW()-ROW(MSPTasks[[#Headers],[ID]])))="","",N(INDEX(tsk_BaseWork,(ROW()-ROW(MSPTasks[[#Headers],[ID]]))))&amp;"h"))</f>
        <v/>
      </c>
      <c r="S38" s="24" t="str">
        <f aca="false">IF(IFERROR(INDEX(tsk_Name,(ROW()-ROW(MSPTasks[[#Headers],[ID]])))="",TRUE()),"",IF(INDEX(tsk_BaseCost,(ROW()-ROW(MSPTasks[[#Headers],[ID]])))="","",N(INDEX(tsk_BaseCost,(ROW()-ROW(MSPTasks[[#Headers],[ID]]))))))</f>
        <v/>
      </c>
      <c r="T38" s="24" t="str">
        <f aca="false">IF(IFERROR(INDEX(tsk_Name,(ROW()-ROW(MSPTasks[[#Headers],[ID]])))="",TRUE()),"",IF(INDEX(tsk_IsSummary,(ROW()-ROW(MSPTasks[[#Headers],[ID]]))),"",IF(N(INDEX(tsk_ActCostInput,(ROW()-ROW(MSPTasks[[#Headers],[ID]]))))=0,"",INDEX(tsk_ActCostInput,(ROW()-ROW(MSPTasks[[#Headers],[ID]]))))))</f>
        <v/>
      </c>
      <c r="U3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8" s="137" t="str">
        <f aca="false">IF(IFERROR(INDEX(tsk_Name,(ROW()-ROW(MSPTasks[[#Headers],[ID]])))="",TRUE()),"",IF(OR(INDEX(tsk_IsSummary,(ROW()-ROW(MSPTasks[[#Headers],[ID]]))),INDEX(tsk_Mode,(ROW()-ROW(MSPTasks[[#Headers],[ID]])))="Manual"),"",IF(N(INDEX(tsk_ConstraintCode,(ROW()-ROW(MSPTasks[[#Headers],[ID]]))))&lt;2,"",INDEX(tsk_Constraint,(ROW()-ROW(MSPTasks[[#Headers],[ID]]))))))</f>
        <v/>
      </c>
      <c r="W38" s="137" t="str">
        <f aca="false">IF(IFERROR(INDEX(tsk_Name,(ROW()-ROW(MSPTasks[[#Headers],[ID]])))="",TRUE()),"",IF(N(INDEX(tsk_Deadline,(ROW()-ROW(MSPTasks[[#Headers],[ID]]))))=0,"",INDEX(tsk_Deadline,(ROW()-ROW(MSPTasks[[#Headers],[ID]])))))</f>
        <v/>
      </c>
      <c r="X38" s="24" t="str">
        <f aca="false">IF(IFERROR(INDEX(tsk_Name,(ROW()-ROW(MSPTasks[[#Headers],[ID]])))="",TRUE()),"",IF(INDEX(tsk_IsSummary,(ROW()-ROW(MSPTasks[[#Headers],[ID]]))),"",INDEX(tsk_Sprint,(ROW()-ROW(MSPTasks[[#Headers],[ID]])))&amp;""))</f>
        <v/>
      </c>
      <c r="Y38" s="24" t="str">
        <f aca="false">IF(IFERROR(INDEX(tsk_Name,(ROW()-ROW(MSPTasks[[#Headers],[ID]])))="",TRUE()),"",IF(INDEX(tsk_IsSummary,(ROW()-ROW(MSPTasks[[#Headers],[ID]]))),"",IF(N(INDEX(tsk_StoryPoints,(ROW()-ROW(MSPTasks[[#Headers],[ID]]))))=0,"",INDEX(tsk_StoryPoints,(ROW()-ROW(MSPTasks[[#Headers],[ID]]))))))</f>
        <v/>
      </c>
      <c r="Z38" s="24" t="str">
        <f aca="false">IF(IFERROR(INDEX(tsk_Name,(ROW()-ROW(MSPTasks[[#Headers],[ID]])))="",TRUE()),"",INDEX(tsk_Notes,(ROW()-ROW(MSPTasks[[#Headers],[ID]])))&amp;"")</f>
        <v/>
      </c>
    </row>
    <row r="39" customFormat="false" ht="15" hidden="false" customHeight="false" outlineLevel="0" collapsed="false">
      <c r="A39" s="24" t="str">
        <f aca="false">IF(IFERROR(INDEX(tsk_Name,(ROW()-ROW(MSPTasks[[#Headers],[ID]])))="",TRUE()),"",INDEX(tsk_ID,(ROW()-ROW(MSPTasks[[#Headers],[ID]]))))</f>
        <v/>
      </c>
      <c r="B39" s="24" t="str">
        <f aca="false">IF(IFERROR(INDEX(tsk_Name,(ROW()-ROW(MSPTasks[[#Headers],[ID]])))="",TRUE()),"",INDEX(tsk_UID,(ROW()-ROW(MSPTasks[[#Headers],[ID]]))))</f>
        <v/>
      </c>
      <c r="C39" s="24" t="str">
        <f aca="false">IF(IFERROR(INDEX(tsk_Name,(ROW()-ROW(MSPTasks[[#Headers],[ID]])))="",TRUE()),"",INDEX(tsk_Name,(ROW()-ROW(MSPTasks[[#Headers],[ID]]))))</f>
        <v/>
      </c>
      <c r="D39" s="24" t="str">
        <f aca="false">IF(IFERROR(INDEX(tsk_Name,(ROW()-ROW(MSPTasks[[#Headers],[ID]])))="",TRUE()),"",INDEX(tsk_Level,(ROW()-ROW(MSPTasks[[#Headers],[ID]]))))</f>
        <v/>
      </c>
      <c r="E39" s="24" t="str">
        <f aca="false">IF(IFERROR(INDEX(tsk_Name,(ROW()-ROW(MSPTasks[[#Headers],[ID]])))="",TRUE()),"",IF(INDEX(tsk_Mode,(ROW()-ROW(MSPTasks[[#Headers],[ID]])))="Manual","Manually Scheduled","Auto Scheduled"))</f>
        <v/>
      </c>
      <c r="F39" s="24" t="str">
        <f aca="false">IF(IFERROR(INDEX(tsk_Name,(ROW()-ROW(MSPTasks[[#Headers],[ID]])))="",TRUE()),"",IF(INDEX(tsk_IsSummary,(ROW()-ROW(MSPTasks[[#Headers],[ID]]))),"",N(INDEX(tsk_Duration,(ROW()-ROW(MSPTasks[[#Headers],[ID]]))))&amp;"d"))</f>
        <v/>
      </c>
      <c r="G39" s="137" t="str">
        <f aca="false">IF(IFERROR(INDEX(tsk_Name,(ROW()-ROW(MSPTasks[[#Headers],[ID]])))="",TRUE()),"",INDEX(tsk_FcStart,(ROW()-ROW(MSPTasks[[#Headers],[ID]]))))</f>
        <v/>
      </c>
      <c r="H39" s="137" t="str">
        <f aca="false">IF(IFERROR(INDEX(tsk_Name,(ROW()-ROW(MSPTasks[[#Headers],[ID]])))="",TRUE()),"",INDEX(tsk_FcFinish,(ROW()-ROW(MSPTasks[[#Headers],[ID]]))))</f>
        <v/>
      </c>
      <c r="I39" s="24" t="str">
        <f aca="false">IF(IFERROR(INDEX(tsk_Name,(ROW()-ROW(MSPTasks[[#Headers],[ID]])))="",TRUE()),"",IF(INDEX(tsk_IsSummary,(ROW()-ROW(MSPTasks[[#Headers],[ID]]))),"",INDEX(tsk_Predecessors,(ROW()-ROW(MSPTasks[[#Headers],[ID]])))))</f>
        <v/>
      </c>
      <c r="J39" s="24" t="str">
        <f aca="false">IF(IFERROR(INDEX(tsk_Name,(ROW()-ROW(MSPTasks[[#Headers],[ID]])))="",TRUE()),"",IF(INDEX(tsk_IsSummary,(ROW()-ROW(MSPTasks[[#Headers],[ID]]))),"",INDEX(tsk_UIDPredecessors,(ROW()-ROW(MSPTasks[[#Headers],[ID]])))))</f>
        <v/>
      </c>
      <c r="K39" s="24" t="str">
        <f aca="false">IF(IFERROR(INDEX(tsk_Name,(ROW()-ROW(MSPTasks[[#Headers],[ID]])))="",TRUE()),"",INDEX(tsk_ResourceNames,(ROW()-ROW(MSPTasks[[#Headers],[ID]])))&amp;"")</f>
        <v/>
      </c>
      <c r="L39" s="24" t="str">
        <f aca="false">IF(IFERROR(INDEX(tsk_Name,(ROW()-ROW(MSPTasks[[#Headers],[ID]])))="",TRUE()),"",IF(INDEX(tsk_IsSummary,(ROW()-ROW(MSPTasks[[#Headers],[ID]]))),"",ROUND(INDEX(tsk_Progress,(ROW()-ROW(MSPTasks[[#Headers],[ID]])))*100,0)))</f>
        <v/>
      </c>
      <c r="M39" s="137" t="str">
        <f aca="false">IF(IFERROR(INDEX(tsk_Name,(ROW()-ROW(MSPTasks[[#Headers],[ID]])))="",TRUE()),"",IF(N(INDEX(tsk_ActStart,(ROW()-ROW(MSPTasks[[#Headers],[ID]]))))=0,"",INDEX(tsk_ActStart,(ROW()-ROW(MSPTasks[[#Headers],[ID]])))))</f>
        <v/>
      </c>
      <c r="N39" s="137" t="str">
        <f aca="false">IF(IFERROR(INDEX(tsk_Name,(ROW()-ROW(MSPTasks[[#Headers],[ID]])))="",TRUE()),"",IF(N(INDEX(tsk_ActFinish,(ROW()-ROW(MSPTasks[[#Headers],[ID]]))))=0,"",INDEX(tsk_ActFinish,(ROW()-ROW(MSPTasks[[#Headers],[ID]])))))</f>
        <v/>
      </c>
      <c r="O39" s="137" t="str">
        <f aca="false">IF(IFERROR(INDEX(tsk_Name,(ROW()-ROW(MSPTasks[[#Headers],[ID]])))="",TRUE()),"",INDEX(tsk_PlanStart,(ROW()-ROW(MSPTasks[[#Headers],[ID]]))))</f>
        <v/>
      </c>
      <c r="P39" s="137" t="str">
        <f aca="false">IF(IFERROR(INDEX(tsk_Name,(ROW()-ROW(MSPTasks[[#Headers],[ID]])))="",TRUE()),"",INDEX(tsk_PlanFinish,(ROW()-ROW(MSPTasks[[#Headers],[ID]]))))</f>
        <v/>
      </c>
      <c r="Q39" s="24" t="str">
        <f aca="false">IF(IFERROR(INDEX(tsk_Name,(ROW()-ROW(MSPTasks[[#Headers],[ID]])))="",TRUE()),"",IF(INDEX(tsk_BaseDuration,(ROW()-ROW(MSPTasks[[#Headers],[ID]])))="","",N(INDEX(tsk_BaseDuration,(ROW()-ROW(MSPTasks[[#Headers],[ID]]))))&amp;"d"))</f>
        <v/>
      </c>
      <c r="R39" s="24" t="str">
        <f aca="false">IF(IFERROR(INDEX(tsk_Name,(ROW()-ROW(MSPTasks[[#Headers],[ID]])))="",TRUE()),"",IF(INDEX(tsk_BaseWork,(ROW()-ROW(MSPTasks[[#Headers],[ID]])))="","",N(INDEX(tsk_BaseWork,(ROW()-ROW(MSPTasks[[#Headers],[ID]]))))&amp;"h"))</f>
        <v/>
      </c>
      <c r="S39" s="24" t="str">
        <f aca="false">IF(IFERROR(INDEX(tsk_Name,(ROW()-ROW(MSPTasks[[#Headers],[ID]])))="",TRUE()),"",IF(INDEX(tsk_BaseCost,(ROW()-ROW(MSPTasks[[#Headers],[ID]])))="","",N(INDEX(tsk_BaseCost,(ROW()-ROW(MSPTasks[[#Headers],[ID]]))))))</f>
        <v/>
      </c>
      <c r="T39" s="24" t="str">
        <f aca="false">IF(IFERROR(INDEX(tsk_Name,(ROW()-ROW(MSPTasks[[#Headers],[ID]])))="",TRUE()),"",IF(INDEX(tsk_IsSummary,(ROW()-ROW(MSPTasks[[#Headers],[ID]]))),"",IF(N(INDEX(tsk_ActCostInput,(ROW()-ROW(MSPTasks[[#Headers],[ID]]))))=0,"",INDEX(tsk_ActCostInput,(ROW()-ROW(MSPTasks[[#Headers],[ID]]))))))</f>
        <v/>
      </c>
      <c r="U3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39" s="137" t="str">
        <f aca="false">IF(IFERROR(INDEX(tsk_Name,(ROW()-ROW(MSPTasks[[#Headers],[ID]])))="",TRUE()),"",IF(OR(INDEX(tsk_IsSummary,(ROW()-ROW(MSPTasks[[#Headers],[ID]]))),INDEX(tsk_Mode,(ROW()-ROW(MSPTasks[[#Headers],[ID]])))="Manual"),"",IF(N(INDEX(tsk_ConstraintCode,(ROW()-ROW(MSPTasks[[#Headers],[ID]]))))&lt;2,"",INDEX(tsk_Constraint,(ROW()-ROW(MSPTasks[[#Headers],[ID]]))))))</f>
        <v/>
      </c>
      <c r="W39" s="137" t="str">
        <f aca="false">IF(IFERROR(INDEX(tsk_Name,(ROW()-ROW(MSPTasks[[#Headers],[ID]])))="",TRUE()),"",IF(N(INDEX(tsk_Deadline,(ROW()-ROW(MSPTasks[[#Headers],[ID]]))))=0,"",INDEX(tsk_Deadline,(ROW()-ROW(MSPTasks[[#Headers],[ID]])))))</f>
        <v/>
      </c>
      <c r="X39" s="24" t="str">
        <f aca="false">IF(IFERROR(INDEX(tsk_Name,(ROW()-ROW(MSPTasks[[#Headers],[ID]])))="",TRUE()),"",IF(INDEX(tsk_IsSummary,(ROW()-ROW(MSPTasks[[#Headers],[ID]]))),"",INDEX(tsk_Sprint,(ROW()-ROW(MSPTasks[[#Headers],[ID]])))&amp;""))</f>
        <v/>
      </c>
      <c r="Y39" s="24" t="str">
        <f aca="false">IF(IFERROR(INDEX(tsk_Name,(ROW()-ROW(MSPTasks[[#Headers],[ID]])))="",TRUE()),"",IF(INDEX(tsk_IsSummary,(ROW()-ROW(MSPTasks[[#Headers],[ID]]))),"",IF(N(INDEX(tsk_StoryPoints,(ROW()-ROW(MSPTasks[[#Headers],[ID]]))))=0,"",INDEX(tsk_StoryPoints,(ROW()-ROW(MSPTasks[[#Headers],[ID]]))))))</f>
        <v/>
      </c>
      <c r="Z39" s="24" t="str">
        <f aca="false">IF(IFERROR(INDEX(tsk_Name,(ROW()-ROW(MSPTasks[[#Headers],[ID]])))="",TRUE()),"",INDEX(tsk_Notes,(ROW()-ROW(MSPTasks[[#Headers],[ID]])))&amp;"")</f>
        <v/>
      </c>
    </row>
    <row r="40" customFormat="false" ht="15" hidden="false" customHeight="false" outlineLevel="0" collapsed="false">
      <c r="A40" s="24" t="str">
        <f aca="false">IF(IFERROR(INDEX(tsk_Name,(ROW()-ROW(MSPTasks[[#Headers],[ID]])))="",TRUE()),"",INDEX(tsk_ID,(ROW()-ROW(MSPTasks[[#Headers],[ID]]))))</f>
        <v/>
      </c>
      <c r="B40" s="24" t="str">
        <f aca="false">IF(IFERROR(INDEX(tsk_Name,(ROW()-ROW(MSPTasks[[#Headers],[ID]])))="",TRUE()),"",INDEX(tsk_UID,(ROW()-ROW(MSPTasks[[#Headers],[ID]]))))</f>
        <v/>
      </c>
      <c r="C40" s="24" t="str">
        <f aca="false">IF(IFERROR(INDEX(tsk_Name,(ROW()-ROW(MSPTasks[[#Headers],[ID]])))="",TRUE()),"",INDEX(tsk_Name,(ROW()-ROW(MSPTasks[[#Headers],[ID]]))))</f>
        <v/>
      </c>
      <c r="D40" s="24" t="str">
        <f aca="false">IF(IFERROR(INDEX(tsk_Name,(ROW()-ROW(MSPTasks[[#Headers],[ID]])))="",TRUE()),"",INDEX(tsk_Level,(ROW()-ROW(MSPTasks[[#Headers],[ID]]))))</f>
        <v/>
      </c>
      <c r="E40" s="24" t="str">
        <f aca="false">IF(IFERROR(INDEX(tsk_Name,(ROW()-ROW(MSPTasks[[#Headers],[ID]])))="",TRUE()),"",IF(INDEX(tsk_Mode,(ROW()-ROW(MSPTasks[[#Headers],[ID]])))="Manual","Manually Scheduled","Auto Scheduled"))</f>
        <v/>
      </c>
      <c r="F40" s="24" t="str">
        <f aca="false">IF(IFERROR(INDEX(tsk_Name,(ROW()-ROW(MSPTasks[[#Headers],[ID]])))="",TRUE()),"",IF(INDEX(tsk_IsSummary,(ROW()-ROW(MSPTasks[[#Headers],[ID]]))),"",N(INDEX(tsk_Duration,(ROW()-ROW(MSPTasks[[#Headers],[ID]]))))&amp;"d"))</f>
        <v/>
      </c>
      <c r="G40" s="137" t="str">
        <f aca="false">IF(IFERROR(INDEX(tsk_Name,(ROW()-ROW(MSPTasks[[#Headers],[ID]])))="",TRUE()),"",INDEX(tsk_FcStart,(ROW()-ROW(MSPTasks[[#Headers],[ID]]))))</f>
        <v/>
      </c>
      <c r="H40" s="137" t="str">
        <f aca="false">IF(IFERROR(INDEX(tsk_Name,(ROW()-ROW(MSPTasks[[#Headers],[ID]])))="",TRUE()),"",INDEX(tsk_FcFinish,(ROW()-ROW(MSPTasks[[#Headers],[ID]]))))</f>
        <v/>
      </c>
      <c r="I40" s="24" t="str">
        <f aca="false">IF(IFERROR(INDEX(tsk_Name,(ROW()-ROW(MSPTasks[[#Headers],[ID]])))="",TRUE()),"",IF(INDEX(tsk_IsSummary,(ROW()-ROW(MSPTasks[[#Headers],[ID]]))),"",INDEX(tsk_Predecessors,(ROW()-ROW(MSPTasks[[#Headers],[ID]])))))</f>
        <v/>
      </c>
      <c r="J40" s="24" t="str">
        <f aca="false">IF(IFERROR(INDEX(tsk_Name,(ROW()-ROW(MSPTasks[[#Headers],[ID]])))="",TRUE()),"",IF(INDEX(tsk_IsSummary,(ROW()-ROW(MSPTasks[[#Headers],[ID]]))),"",INDEX(tsk_UIDPredecessors,(ROW()-ROW(MSPTasks[[#Headers],[ID]])))))</f>
        <v/>
      </c>
      <c r="K40" s="24" t="str">
        <f aca="false">IF(IFERROR(INDEX(tsk_Name,(ROW()-ROW(MSPTasks[[#Headers],[ID]])))="",TRUE()),"",INDEX(tsk_ResourceNames,(ROW()-ROW(MSPTasks[[#Headers],[ID]])))&amp;"")</f>
        <v/>
      </c>
      <c r="L40" s="24" t="str">
        <f aca="false">IF(IFERROR(INDEX(tsk_Name,(ROW()-ROW(MSPTasks[[#Headers],[ID]])))="",TRUE()),"",IF(INDEX(tsk_IsSummary,(ROW()-ROW(MSPTasks[[#Headers],[ID]]))),"",ROUND(INDEX(tsk_Progress,(ROW()-ROW(MSPTasks[[#Headers],[ID]])))*100,0)))</f>
        <v/>
      </c>
      <c r="M40" s="137" t="str">
        <f aca="false">IF(IFERROR(INDEX(tsk_Name,(ROW()-ROW(MSPTasks[[#Headers],[ID]])))="",TRUE()),"",IF(N(INDEX(tsk_ActStart,(ROW()-ROW(MSPTasks[[#Headers],[ID]]))))=0,"",INDEX(tsk_ActStart,(ROW()-ROW(MSPTasks[[#Headers],[ID]])))))</f>
        <v/>
      </c>
      <c r="N40" s="137" t="str">
        <f aca="false">IF(IFERROR(INDEX(tsk_Name,(ROW()-ROW(MSPTasks[[#Headers],[ID]])))="",TRUE()),"",IF(N(INDEX(tsk_ActFinish,(ROW()-ROW(MSPTasks[[#Headers],[ID]]))))=0,"",INDEX(tsk_ActFinish,(ROW()-ROW(MSPTasks[[#Headers],[ID]])))))</f>
        <v/>
      </c>
      <c r="O40" s="137" t="str">
        <f aca="false">IF(IFERROR(INDEX(tsk_Name,(ROW()-ROW(MSPTasks[[#Headers],[ID]])))="",TRUE()),"",INDEX(tsk_PlanStart,(ROW()-ROW(MSPTasks[[#Headers],[ID]]))))</f>
        <v/>
      </c>
      <c r="P40" s="137" t="str">
        <f aca="false">IF(IFERROR(INDEX(tsk_Name,(ROW()-ROW(MSPTasks[[#Headers],[ID]])))="",TRUE()),"",INDEX(tsk_PlanFinish,(ROW()-ROW(MSPTasks[[#Headers],[ID]]))))</f>
        <v/>
      </c>
      <c r="Q40" s="24" t="str">
        <f aca="false">IF(IFERROR(INDEX(tsk_Name,(ROW()-ROW(MSPTasks[[#Headers],[ID]])))="",TRUE()),"",IF(INDEX(tsk_BaseDuration,(ROW()-ROW(MSPTasks[[#Headers],[ID]])))="","",N(INDEX(tsk_BaseDuration,(ROW()-ROW(MSPTasks[[#Headers],[ID]]))))&amp;"d"))</f>
        <v/>
      </c>
      <c r="R40" s="24" t="str">
        <f aca="false">IF(IFERROR(INDEX(tsk_Name,(ROW()-ROW(MSPTasks[[#Headers],[ID]])))="",TRUE()),"",IF(INDEX(tsk_BaseWork,(ROW()-ROW(MSPTasks[[#Headers],[ID]])))="","",N(INDEX(tsk_BaseWork,(ROW()-ROW(MSPTasks[[#Headers],[ID]]))))&amp;"h"))</f>
        <v/>
      </c>
      <c r="S40" s="24" t="str">
        <f aca="false">IF(IFERROR(INDEX(tsk_Name,(ROW()-ROW(MSPTasks[[#Headers],[ID]])))="",TRUE()),"",IF(INDEX(tsk_BaseCost,(ROW()-ROW(MSPTasks[[#Headers],[ID]])))="","",N(INDEX(tsk_BaseCost,(ROW()-ROW(MSPTasks[[#Headers],[ID]]))))))</f>
        <v/>
      </c>
      <c r="T40" s="24" t="str">
        <f aca="false">IF(IFERROR(INDEX(tsk_Name,(ROW()-ROW(MSPTasks[[#Headers],[ID]])))="",TRUE()),"",IF(INDEX(tsk_IsSummary,(ROW()-ROW(MSPTasks[[#Headers],[ID]]))),"",IF(N(INDEX(tsk_ActCostInput,(ROW()-ROW(MSPTasks[[#Headers],[ID]]))))=0,"",INDEX(tsk_ActCostInput,(ROW()-ROW(MSPTasks[[#Headers],[ID]]))))))</f>
        <v/>
      </c>
      <c r="U4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0" s="137" t="str">
        <f aca="false">IF(IFERROR(INDEX(tsk_Name,(ROW()-ROW(MSPTasks[[#Headers],[ID]])))="",TRUE()),"",IF(OR(INDEX(tsk_IsSummary,(ROW()-ROW(MSPTasks[[#Headers],[ID]]))),INDEX(tsk_Mode,(ROW()-ROW(MSPTasks[[#Headers],[ID]])))="Manual"),"",IF(N(INDEX(tsk_ConstraintCode,(ROW()-ROW(MSPTasks[[#Headers],[ID]]))))&lt;2,"",INDEX(tsk_Constraint,(ROW()-ROW(MSPTasks[[#Headers],[ID]]))))))</f>
        <v/>
      </c>
      <c r="W40" s="137" t="str">
        <f aca="false">IF(IFERROR(INDEX(tsk_Name,(ROW()-ROW(MSPTasks[[#Headers],[ID]])))="",TRUE()),"",IF(N(INDEX(tsk_Deadline,(ROW()-ROW(MSPTasks[[#Headers],[ID]]))))=0,"",INDEX(tsk_Deadline,(ROW()-ROW(MSPTasks[[#Headers],[ID]])))))</f>
        <v/>
      </c>
      <c r="X40" s="24" t="str">
        <f aca="false">IF(IFERROR(INDEX(tsk_Name,(ROW()-ROW(MSPTasks[[#Headers],[ID]])))="",TRUE()),"",IF(INDEX(tsk_IsSummary,(ROW()-ROW(MSPTasks[[#Headers],[ID]]))),"",INDEX(tsk_Sprint,(ROW()-ROW(MSPTasks[[#Headers],[ID]])))&amp;""))</f>
        <v/>
      </c>
      <c r="Y40" s="24" t="str">
        <f aca="false">IF(IFERROR(INDEX(tsk_Name,(ROW()-ROW(MSPTasks[[#Headers],[ID]])))="",TRUE()),"",IF(INDEX(tsk_IsSummary,(ROW()-ROW(MSPTasks[[#Headers],[ID]]))),"",IF(N(INDEX(tsk_StoryPoints,(ROW()-ROW(MSPTasks[[#Headers],[ID]]))))=0,"",INDEX(tsk_StoryPoints,(ROW()-ROW(MSPTasks[[#Headers],[ID]]))))))</f>
        <v/>
      </c>
      <c r="Z40" s="24" t="str">
        <f aca="false">IF(IFERROR(INDEX(tsk_Name,(ROW()-ROW(MSPTasks[[#Headers],[ID]])))="",TRUE()),"",INDEX(tsk_Notes,(ROW()-ROW(MSPTasks[[#Headers],[ID]])))&amp;"")</f>
        <v/>
      </c>
    </row>
    <row r="41" customFormat="false" ht="15" hidden="false" customHeight="false" outlineLevel="0" collapsed="false">
      <c r="A41" s="24" t="str">
        <f aca="false">IF(IFERROR(INDEX(tsk_Name,(ROW()-ROW(MSPTasks[[#Headers],[ID]])))="",TRUE()),"",INDEX(tsk_ID,(ROW()-ROW(MSPTasks[[#Headers],[ID]]))))</f>
        <v/>
      </c>
      <c r="B41" s="24" t="str">
        <f aca="false">IF(IFERROR(INDEX(tsk_Name,(ROW()-ROW(MSPTasks[[#Headers],[ID]])))="",TRUE()),"",INDEX(tsk_UID,(ROW()-ROW(MSPTasks[[#Headers],[ID]]))))</f>
        <v/>
      </c>
      <c r="C41" s="24" t="str">
        <f aca="false">IF(IFERROR(INDEX(tsk_Name,(ROW()-ROW(MSPTasks[[#Headers],[ID]])))="",TRUE()),"",INDEX(tsk_Name,(ROW()-ROW(MSPTasks[[#Headers],[ID]]))))</f>
        <v/>
      </c>
      <c r="D41" s="24" t="str">
        <f aca="false">IF(IFERROR(INDEX(tsk_Name,(ROW()-ROW(MSPTasks[[#Headers],[ID]])))="",TRUE()),"",INDEX(tsk_Level,(ROW()-ROW(MSPTasks[[#Headers],[ID]]))))</f>
        <v/>
      </c>
      <c r="E41" s="24" t="str">
        <f aca="false">IF(IFERROR(INDEX(tsk_Name,(ROW()-ROW(MSPTasks[[#Headers],[ID]])))="",TRUE()),"",IF(INDEX(tsk_Mode,(ROW()-ROW(MSPTasks[[#Headers],[ID]])))="Manual","Manually Scheduled","Auto Scheduled"))</f>
        <v/>
      </c>
      <c r="F41" s="24" t="str">
        <f aca="false">IF(IFERROR(INDEX(tsk_Name,(ROW()-ROW(MSPTasks[[#Headers],[ID]])))="",TRUE()),"",IF(INDEX(tsk_IsSummary,(ROW()-ROW(MSPTasks[[#Headers],[ID]]))),"",N(INDEX(tsk_Duration,(ROW()-ROW(MSPTasks[[#Headers],[ID]]))))&amp;"d"))</f>
        <v/>
      </c>
      <c r="G41" s="137" t="str">
        <f aca="false">IF(IFERROR(INDEX(tsk_Name,(ROW()-ROW(MSPTasks[[#Headers],[ID]])))="",TRUE()),"",INDEX(tsk_FcStart,(ROW()-ROW(MSPTasks[[#Headers],[ID]]))))</f>
        <v/>
      </c>
      <c r="H41" s="137" t="str">
        <f aca="false">IF(IFERROR(INDEX(tsk_Name,(ROW()-ROW(MSPTasks[[#Headers],[ID]])))="",TRUE()),"",INDEX(tsk_FcFinish,(ROW()-ROW(MSPTasks[[#Headers],[ID]]))))</f>
        <v/>
      </c>
      <c r="I41" s="24" t="str">
        <f aca="false">IF(IFERROR(INDEX(tsk_Name,(ROW()-ROW(MSPTasks[[#Headers],[ID]])))="",TRUE()),"",IF(INDEX(tsk_IsSummary,(ROW()-ROW(MSPTasks[[#Headers],[ID]]))),"",INDEX(tsk_Predecessors,(ROW()-ROW(MSPTasks[[#Headers],[ID]])))))</f>
        <v/>
      </c>
      <c r="J41" s="24" t="str">
        <f aca="false">IF(IFERROR(INDEX(tsk_Name,(ROW()-ROW(MSPTasks[[#Headers],[ID]])))="",TRUE()),"",IF(INDEX(tsk_IsSummary,(ROW()-ROW(MSPTasks[[#Headers],[ID]]))),"",INDEX(tsk_UIDPredecessors,(ROW()-ROW(MSPTasks[[#Headers],[ID]])))))</f>
        <v/>
      </c>
      <c r="K41" s="24" t="str">
        <f aca="false">IF(IFERROR(INDEX(tsk_Name,(ROW()-ROW(MSPTasks[[#Headers],[ID]])))="",TRUE()),"",INDEX(tsk_ResourceNames,(ROW()-ROW(MSPTasks[[#Headers],[ID]])))&amp;"")</f>
        <v/>
      </c>
      <c r="L41" s="24" t="str">
        <f aca="false">IF(IFERROR(INDEX(tsk_Name,(ROW()-ROW(MSPTasks[[#Headers],[ID]])))="",TRUE()),"",IF(INDEX(tsk_IsSummary,(ROW()-ROW(MSPTasks[[#Headers],[ID]]))),"",ROUND(INDEX(tsk_Progress,(ROW()-ROW(MSPTasks[[#Headers],[ID]])))*100,0)))</f>
        <v/>
      </c>
      <c r="M41" s="137" t="str">
        <f aca="false">IF(IFERROR(INDEX(tsk_Name,(ROW()-ROW(MSPTasks[[#Headers],[ID]])))="",TRUE()),"",IF(N(INDEX(tsk_ActStart,(ROW()-ROW(MSPTasks[[#Headers],[ID]]))))=0,"",INDEX(tsk_ActStart,(ROW()-ROW(MSPTasks[[#Headers],[ID]])))))</f>
        <v/>
      </c>
      <c r="N41" s="137" t="str">
        <f aca="false">IF(IFERROR(INDEX(tsk_Name,(ROW()-ROW(MSPTasks[[#Headers],[ID]])))="",TRUE()),"",IF(N(INDEX(tsk_ActFinish,(ROW()-ROW(MSPTasks[[#Headers],[ID]]))))=0,"",INDEX(tsk_ActFinish,(ROW()-ROW(MSPTasks[[#Headers],[ID]])))))</f>
        <v/>
      </c>
      <c r="O41" s="137" t="str">
        <f aca="false">IF(IFERROR(INDEX(tsk_Name,(ROW()-ROW(MSPTasks[[#Headers],[ID]])))="",TRUE()),"",INDEX(tsk_PlanStart,(ROW()-ROW(MSPTasks[[#Headers],[ID]]))))</f>
        <v/>
      </c>
      <c r="P41" s="137" t="str">
        <f aca="false">IF(IFERROR(INDEX(tsk_Name,(ROW()-ROW(MSPTasks[[#Headers],[ID]])))="",TRUE()),"",INDEX(tsk_PlanFinish,(ROW()-ROW(MSPTasks[[#Headers],[ID]]))))</f>
        <v/>
      </c>
      <c r="Q41" s="24" t="str">
        <f aca="false">IF(IFERROR(INDEX(tsk_Name,(ROW()-ROW(MSPTasks[[#Headers],[ID]])))="",TRUE()),"",IF(INDEX(tsk_BaseDuration,(ROW()-ROW(MSPTasks[[#Headers],[ID]])))="","",N(INDEX(tsk_BaseDuration,(ROW()-ROW(MSPTasks[[#Headers],[ID]]))))&amp;"d"))</f>
        <v/>
      </c>
      <c r="R41" s="24" t="str">
        <f aca="false">IF(IFERROR(INDEX(tsk_Name,(ROW()-ROW(MSPTasks[[#Headers],[ID]])))="",TRUE()),"",IF(INDEX(tsk_BaseWork,(ROW()-ROW(MSPTasks[[#Headers],[ID]])))="","",N(INDEX(tsk_BaseWork,(ROW()-ROW(MSPTasks[[#Headers],[ID]]))))&amp;"h"))</f>
        <v/>
      </c>
      <c r="S41" s="24" t="str">
        <f aca="false">IF(IFERROR(INDEX(tsk_Name,(ROW()-ROW(MSPTasks[[#Headers],[ID]])))="",TRUE()),"",IF(INDEX(tsk_BaseCost,(ROW()-ROW(MSPTasks[[#Headers],[ID]])))="","",N(INDEX(tsk_BaseCost,(ROW()-ROW(MSPTasks[[#Headers],[ID]]))))))</f>
        <v/>
      </c>
      <c r="T41" s="24" t="str">
        <f aca="false">IF(IFERROR(INDEX(tsk_Name,(ROW()-ROW(MSPTasks[[#Headers],[ID]])))="",TRUE()),"",IF(INDEX(tsk_IsSummary,(ROW()-ROW(MSPTasks[[#Headers],[ID]]))),"",IF(N(INDEX(tsk_ActCostInput,(ROW()-ROW(MSPTasks[[#Headers],[ID]]))))=0,"",INDEX(tsk_ActCostInput,(ROW()-ROW(MSPTasks[[#Headers],[ID]]))))))</f>
        <v/>
      </c>
      <c r="U4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1" s="137" t="str">
        <f aca="false">IF(IFERROR(INDEX(tsk_Name,(ROW()-ROW(MSPTasks[[#Headers],[ID]])))="",TRUE()),"",IF(OR(INDEX(tsk_IsSummary,(ROW()-ROW(MSPTasks[[#Headers],[ID]]))),INDEX(tsk_Mode,(ROW()-ROW(MSPTasks[[#Headers],[ID]])))="Manual"),"",IF(N(INDEX(tsk_ConstraintCode,(ROW()-ROW(MSPTasks[[#Headers],[ID]]))))&lt;2,"",INDEX(tsk_Constraint,(ROW()-ROW(MSPTasks[[#Headers],[ID]]))))))</f>
        <v/>
      </c>
      <c r="W41" s="137" t="str">
        <f aca="false">IF(IFERROR(INDEX(tsk_Name,(ROW()-ROW(MSPTasks[[#Headers],[ID]])))="",TRUE()),"",IF(N(INDEX(tsk_Deadline,(ROW()-ROW(MSPTasks[[#Headers],[ID]]))))=0,"",INDEX(tsk_Deadline,(ROW()-ROW(MSPTasks[[#Headers],[ID]])))))</f>
        <v/>
      </c>
      <c r="X41" s="24" t="str">
        <f aca="false">IF(IFERROR(INDEX(tsk_Name,(ROW()-ROW(MSPTasks[[#Headers],[ID]])))="",TRUE()),"",IF(INDEX(tsk_IsSummary,(ROW()-ROW(MSPTasks[[#Headers],[ID]]))),"",INDEX(tsk_Sprint,(ROW()-ROW(MSPTasks[[#Headers],[ID]])))&amp;""))</f>
        <v/>
      </c>
      <c r="Y41" s="24" t="str">
        <f aca="false">IF(IFERROR(INDEX(tsk_Name,(ROW()-ROW(MSPTasks[[#Headers],[ID]])))="",TRUE()),"",IF(INDEX(tsk_IsSummary,(ROW()-ROW(MSPTasks[[#Headers],[ID]]))),"",IF(N(INDEX(tsk_StoryPoints,(ROW()-ROW(MSPTasks[[#Headers],[ID]]))))=0,"",INDEX(tsk_StoryPoints,(ROW()-ROW(MSPTasks[[#Headers],[ID]]))))))</f>
        <v/>
      </c>
      <c r="Z41" s="24" t="str">
        <f aca="false">IF(IFERROR(INDEX(tsk_Name,(ROW()-ROW(MSPTasks[[#Headers],[ID]])))="",TRUE()),"",INDEX(tsk_Notes,(ROW()-ROW(MSPTasks[[#Headers],[ID]])))&amp;"")</f>
        <v/>
      </c>
    </row>
    <row r="42" customFormat="false" ht="15" hidden="false" customHeight="false" outlineLevel="0" collapsed="false">
      <c r="A42" s="24" t="str">
        <f aca="false">IF(IFERROR(INDEX(tsk_Name,(ROW()-ROW(MSPTasks[[#Headers],[ID]])))="",TRUE()),"",INDEX(tsk_ID,(ROW()-ROW(MSPTasks[[#Headers],[ID]]))))</f>
        <v/>
      </c>
      <c r="B42" s="24" t="str">
        <f aca="false">IF(IFERROR(INDEX(tsk_Name,(ROW()-ROW(MSPTasks[[#Headers],[ID]])))="",TRUE()),"",INDEX(tsk_UID,(ROW()-ROW(MSPTasks[[#Headers],[ID]]))))</f>
        <v/>
      </c>
      <c r="C42" s="24" t="str">
        <f aca="false">IF(IFERROR(INDEX(tsk_Name,(ROW()-ROW(MSPTasks[[#Headers],[ID]])))="",TRUE()),"",INDEX(tsk_Name,(ROW()-ROW(MSPTasks[[#Headers],[ID]]))))</f>
        <v/>
      </c>
      <c r="D42" s="24" t="str">
        <f aca="false">IF(IFERROR(INDEX(tsk_Name,(ROW()-ROW(MSPTasks[[#Headers],[ID]])))="",TRUE()),"",INDEX(tsk_Level,(ROW()-ROW(MSPTasks[[#Headers],[ID]]))))</f>
        <v/>
      </c>
      <c r="E42" s="24" t="str">
        <f aca="false">IF(IFERROR(INDEX(tsk_Name,(ROW()-ROW(MSPTasks[[#Headers],[ID]])))="",TRUE()),"",IF(INDEX(tsk_Mode,(ROW()-ROW(MSPTasks[[#Headers],[ID]])))="Manual","Manually Scheduled","Auto Scheduled"))</f>
        <v/>
      </c>
      <c r="F42" s="24" t="str">
        <f aca="false">IF(IFERROR(INDEX(tsk_Name,(ROW()-ROW(MSPTasks[[#Headers],[ID]])))="",TRUE()),"",IF(INDEX(tsk_IsSummary,(ROW()-ROW(MSPTasks[[#Headers],[ID]]))),"",N(INDEX(tsk_Duration,(ROW()-ROW(MSPTasks[[#Headers],[ID]]))))&amp;"d"))</f>
        <v/>
      </c>
      <c r="G42" s="137" t="str">
        <f aca="false">IF(IFERROR(INDEX(tsk_Name,(ROW()-ROW(MSPTasks[[#Headers],[ID]])))="",TRUE()),"",INDEX(tsk_FcStart,(ROW()-ROW(MSPTasks[[#Headers],[ID]]))))</f>
        <v/>
      </c>
      <c r="H42" s="137" t="str">
        <f aca="false">IF(IFERROR(INDEX(tsk_Name,(ROW()-ROW(MSPTasks[[#Headers],[ID]])))="",TRUE()),"",INDEX(tsk_FcFinish,(ROW()-ROW(MSPTasks[[#Headers],[ID]]))))</f>
        <v/>
      </c>
      <c r="I42" s="24" t="str">
        <f aca="false">IF(IFERROR(INDEX(tsk_Name,(ROW()-ROW(MSPTasks[[#Headers],[ID]])))="",TRUE()),"",IF(INDEX(tsk_IsSummary,(ROW()-ROW(MSPTasks[[#Headers],[ID]]))),"",INDEX(tsk_Predecessors,(ROW()-ROW(MSPTasks[[#Headers],[ID]])))))</f>
        <v/>
      </c>
      <c r="J42" s="24" t="str">
        <f aca="false">IF(IFERROR(INDEX(tsk_Name,(ROW()-ROW(MSPTasks[[#Headers],[ID]])))="",TRUE()),"",IF(INDEX(tsk_IsSummary,(ROW()-ROW(MSPTasks[[#Headers],[ID]]))),"",INDEX(tsk_UIDPredecessors,(ROW()-ROW(MSPTasks[[#Headers],[ID]])))))</f>
        <v/>
      </c>
      <c r="K42" s="24" t="str">
        <f aca="false">IF(IFERROR(INDEX(tsk_Name,(ROW()-ROW(MSPTasks[[#Headers],[ID]])))="",TRUE()),"",INDEX(tsk_ResourceNames,(ROW()-ROW(MSPTasks[[#Headers],[ID]])))&amp;"")</f>
        <v/>
      </c>
      <c r="L42" s="24" t="str">
        <f aca="false">IF(IFERROR(INDEX(tsk_Name,(ROW()-ROW(MSPTasks[[#Headers],[ID]])))="",TRUE()),"",IF(INDEX(tsk_IsSummary,(ROW()-ROW(MSPTasks[[#Headers],[ID]]))),"",ROUND(INDEX(tsk_Progress,(ROW()-ROW(MSPTasks[[#Headers],[ID]])))*100,0)))</f>
        <v/>
      </c>
      <c r="M42" s="137" t="str">
        <f aca="false">IF(IFERROR(INDEX(tsk_Name,(ROW()-ROW(MSPTasks[[#Headers],[ID]])))="",TRUE()),"",IF(N(INDEX(tsk_ActStart,(ROW()-ROW(MSPTasks[[#Headers],[ID]]))))=0,"",INDEX(tsk_ActStart,(ROW()-ROW(MSPTasks[[#Headers],[ID]])))))</f>
        <v/>
      </c>
      <c r="N42" s="137" t="str">
        <f aca="false">IF(IFERROR(INDEX(tsk_Name,(ROW()-ROW(MSPTasks[[#Headers],[ID]])))="",TRUE()),"",IF(N(INDEX(tsk_ActFinish,(ROW()-ROW(MSPTasks[[#Headers],[ID]]))))=0,"",INDEX(tsk_ActFinish,(ROW()-ROW(MSPTasks[[#Headers],[ID]])))))</f>
        <v/>
      </c>
      <c r="O42" s="137" t="str">
        <f aca="false">IF(IFERROR(INDEX(tsk_Name,(ROW()-ROW(MSPTasks[[#Headers],[ID]])))="",TRUE()),"",INDEX(tsk_PlanStart,(ROW()-ROW(MSPTasks[[#Headers],[ID]]))))</f>
        <v/>
      </c>
      <c r="P42" s="137" t="str">
        <f aca="false">IF(IFERROR(INDEX(tsk_Name,(ROW()-ROW(MSPTasks[[#Headers],[ID]])))="",TRUE()),"",INDEX(tsk_PlanFinish,(ROW()-ROW(MSPTasks[[#Headers],[ID]]))))</f>
        <v/>
      </c>
      <c r="Q42" s="24" t="str">
        <f aca="false">IF(IFERROR(INDEX(tsk_Name,(ROW()-ROW(MSPTasks[[#Headers],[ID]])))="",TRUE()),"",IF(INDEX(tsk_BaseDuration,(ROW()-ROW(MSPTasks[[#Headers],[ID]])))="","",N(INDEX(tsk_BaseDuration,(ROW()-ROW(MSPTasks[[#Headers],[ID]]))))&amp;"d"))</f>
        <v/>
      </c>
      <c r="R42" s="24" t="str">
        <f aca="false">IF(IFERROR(INDEX(tsk_Name,(ROW()-ROW(MSPTasks[[#Headers],[ID]])))="",TRUE()),"",IF(INDEX(tsk_BaseWork,(ROW()-ROW(MSPTasks[[#Headers],[ID]])))="","",N(INDEX(tsk_BaseWork,(ROW()-ROW(MSPTasks[[#Headers],[ID]]))))&amp;"h"))</f>
        <v/>
      </c>
      <c r="S42" s="24" t="str">
        <f aca="false">IF(IFERROR(INDEX(tsk_Name,(ROW()-ROW(MSPTasks[[#Headers],[ID]])))="",TRUE()),"",IF(INDEX(tsk_BaseCost,(ROW()-ROW(MSPTasks[[#Headers],[ID]])))="","",N(INDEX(tsk_BaseCost,(ROW()-ROW(MSPTasks[[#Headers],[ID]]))))))</f>
        <v/>
      </c>
      <c r="T42" s="24" t="str">
        <f aca="false">IF(IFERROR(INDEX(tsk_Name,(ROW()-ROW(MSPTasks[[#Headers],[ID]])))="",TRUE()),"",IF(INDEX(tsk_IsSummary,(ROW()-ROW(MSPTasks[[#Headers],[ID]]))),"",IF(N(INDEX(tsk_ActCostInput,(ROW()-ROW(MSPTasks[[#Headers],[ID]]))))=0,"",INDEX(tsk_ActCostInput,(ROW()-ROW(MSPTasks[[#Headers],[ID]]))))))</f>
        <v/>
      </c>
      <c r="U4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2" s="137" t="str">
        <f aca="false">IF(IFERROR(INDEX(tsk_Name,(ROW()-ROW(MSPTasks[[#Headers],[ID]])))="",TRUE()),"",IF(OR(INDEX(tsk_IsSummary,(ROW()-ROW(MSPTasks[[#Headers],[ID]]))),INDEX(tsk_Mode,(ROW()-ROW(MSPTasks[[#Headers],[ID]])))="Manual"),"",IF(N(INDEX(tsk_ConstraintCode,(ROW()-ROW(MSPTasks[[#Headers],[ID]]))))&lt;2,"",INDEX(tsk_Constraint,(ROW()-ROW(MSPTasks[[#Headers],[ID]]))))))</f>
        <v/>
      </c>
      <c r="W42" s="137" t="str">
        <f aca="false">IF(IFERROR(INDEX(tsk_Name,(ROW()-ROW(MSPTasks[[#Headers],[ID]])))="",TRUE()),"",IF(N(INDEX(tsk_Deadline,(ROW()-ROW(MSPTasks[[#Headers],[ID]]))))=0,"",INDEX(tsk_Deadline,(ROW()-ROW(MSPTasks[[#Headers],[ID]])))))</f>
        <v/>
      </c>
      <c r="X42" s="24" t="str">
        <f aca="false">IF(IFERROR(INDEX(tsk_Name,(ROW()-ROW(MSPTasks[[#Headers],[ID]])))="",TRUE()),"",IF(INDEX(tsk_IsSummary,(ROW()-ROW(MSPTasks[[#Headers],[ID]]))),"",INDEX(tsk_Sprint,(ROW()-ROW(MSPTasks[[#Headers],[ID]])))&amp;""))</f>
        <v/>
      </c>
      <c r="Y42" s="24" t="str">
        <f aca="false">IF(IFERROR(INDEX(tsk_Name,(ROW()-ROW(MSPTasks[[#Headers],[ID]])))="",TRUE()),"",IF(INDEX(tsk_IsSummary,(ROW()-ROW(MSPTasks[[#Headers],[ID]]))),"",IF(N(INDEX(tsk_StoryPoints,(ROW()-ROW(MSPTasks[[#Headers],[ID]]))))=0,"",INDEX(tsk_StoryPoints,(ROW()-ROW(MSPTasks[[#Headers],[ID]]))))))</f>
        <v/>
      </c>
      <c r="Z42" s="24" t="str">
        <f aca="false">IF(IFERROR(INDEX(tsk_Name,(ROW()-ROW(MSPTasks[[#Headers],[ID]])))="",TRUE()),"",INDEX(tsk_Notes,(ROW()-ROW(MSPTasks[[#Headers],[ID]])))&amp;"")</f>
        <v/>
      </c>
    </row>
    <row r="43" customFormat="false" ht="15" hidden="false" customHeight="false" outlineLevel="0" collapsed="false">
      <c r="A43" s="24" t="str">
        <f aca="false">IF(IFERROR(INDEX(tsk_Name,(ROW()-ROW(MSPTasks[[#Headers],[ID]])))="",TRUE()),"",INDEX(tsk_ID,(ROW()-ROW(MSPTasks[[#Headers],[ID]]))))</f>
        <v/>
      </c>
      <c r="B43" s="24" t="str">
        <f aca="false">IF(IFERROR(INDEX(tsk_Name,(ROW()-ROW(MSPTasks[[#Headers],[ID]])))="",TRUE()),"",INDEX(tsk_UID,(ROW()-ROW(MSPTasks[[#Headers],[ID]]))))</f>
        <v/>
      </c>
      <c r="C43" s="24" t="str">
        <f aca="false">IF(IFERROR(INDEX(tsk_Name,(ROW()-ROW(MSPTasks[[#Headers],[ID]])))="",TRUE()),"",INDEX(tsk_Name,(ROW()-ROW(MSPTasks[[#Headers],[ID]]))))</f>
        <v/>
      </c>
      <c r="D43" s="24" t="str">
        <f aca="false">IF(IFERROR(INDEX(tsk_Name,(ROW()-ROW(MSPTasks[[#Headers],[ID]])))="",TRUE()),"",INDEX(tsk_Level,(ROW()-ROW(MSPTasks[[#Headers],[ID]]))))</f>
        <v/>
      </c>
      <c r="E43" s="24" t="str">
        <f aca="false">IF(IFERROR(INDEX(tsk_Name,(ROW()-ROW(MSPTasks[[#Headers],[ID]])))="",TRUE()),"",IF(INDEX(tsk_Mode,(ROW()-ROW(MSPTasks[[#Headers],[ID]])))="Manual","Manually Scheduled","Auto Scheduled"))</f>
        <v/>
      </c>
      <c r="F43" s="24" t="str">
        <f aca="false">IF(IFERROR(INDEX(tsk_Name,(ROW()-ROW(MSPTasks[[#Headers],[ID]])))="",TRUE()),"",IF(INDEX(tsk_IsSummary,(ROW()-ROW(MSPTasks[[#Headers],[ID]]))),"",N(INDEX(tsk_Duration,(ROW()-ROW(MSPTasks[[#Headers],[ID]]))))&amp;"d"))</f>
        <v/>
      </c>
      <c r="G43" s="137" t="str">
        <f aca="false">IF(IFERROR(INDEX(tsk_Name,(ROW()-ROW(MSPTasks[[#Headers],[ID]])))="",TRUE()),"",INDEX(tsk_FcStart,(ROW()-ROW(MSPTasks[[#Headers],[ID]]))))</f>
        <v/>
      </c>
      <c r="H43" s="137" t="str">
        <f aca="false">IF(IFERROR(INDEX(tsk_Name,(ROW()-ROW(MSPTasks[[#Headers],[ID]])))="",TRUE()),"",INDEX(tsk_FcFinish,(ROW()-ROW(MSPTasks[[#Headers],[ID]]))))</f>
        <v/>
      </c>
      <c r="I43" s="24" t="str">
        <f aca="false">IF(IFERROR(INDEX(tsk_Name,(ROW()-ROW(MSPTasks[[#Headers],[ID]])))="",TRUE()),"",IF(INDEX(tsk_IsSummary,(ROW()-ROW(MSPTasks[[#Headers],[ID]]))),"",INDEX(tsk_Predecessors,(ROW()-ROW(MSPTasks[[#Headers],[ID]])))))</f>
        <v/>
      </c>
      <c r="J43" s="24" t="str">
        <f aca="false">IF(IFERROR(INDEX(tsk_Name,(ROW()-ROW(MSPTasks[[#Headers],[ID]])))="",TRUE()),"",IF(INDEX(tsk_IsSummary,(ROW()-ROW(MSPTasks[[#Headers],[ID]]))),"",INDEX(tsk_UIDPredecessors,(ROW()-ROW(MSPTasks[[#Headers],[ID]])))))</f>
        <v/>
      </c>
      <c r="K43" s="24" t="str">
        <f aca="false">IF(IFERROR(INDEX(tsk_Name,(ROW()-ROW(MSPTasks[[#Headers],[ID]])))="",TRUE()),"",INDEX(tsk_ResourceNames,(ROW()-ROW(MSPTasks[[#Headers],[ID]])))&amp;"")</f>
        <v/>
      </c>
      <c r="L43" s="24" t="str">
        <f aca="false">IF(IFERROR(INDEX(tsk_Name,(ROW()-ROW(MSPTasks[[#Headers],[ID]])))="",TRUE()),"",IF(INDEX(tsk_IsSummary,(ROW()-ROW(MSPTasks[[#Headers],[ID]]))),"",ROUND(INDEX(tsk_Progress,(ROW()-ROW(MSPTasks[[#Headers],[ID]])))*100,0)))</f>
        <v/>
      </c>
      <c r="M43" s="137" t="str">
        <f aca="false">IF(IFERROR(INDEX(tsk_Name,(ROW()-ROW(MSPTasks[[#Headers],[ID]])))="",TRUE()),"",IF(N(INDEX(tsk_ActStart,(ROW()-ROW(MSPTasks[[#Headers],[ID]]))))=0,"",INDEX(tsk_ActStart,(ROW()-ROW(MSPTasks[[#Headers],[ID]])))))</f>
        <v/>
      </c>
      <c r="N43" s="137" t="str">
        <f aca="false">IF(IFERROR(INDEX(tsk_Name,(ROW()-ROW(MSPTasks[[#Headers],[ID]])))="",TRUE()),"",IF(N(INDEX(tsk_ActFinish,(ROW()-ROW(MSPTasks[[#Headers],[ID]]))))=0,"",INDEX(tsk_ActFinish,(ROW()-ROW(MSPTasks[[#Headers],[ID]])))))</f>
        <v/>
      </c>
      <c r="O43" s="137" t="str">
        <f aca="false">IF(IFERROR(INDEX(tsk_Name,(ROW()-ROW(MSPTasks[[#Headers],[ID]])))="",TRUE()),"",INDEX(tsk_PlanStart,(ROW()-ROW(MSPTasks[[#Headers],[ID]]))))</f>
        <v/>
      </c>
      <c r="P43" s="137" t="str">
        <f aca="false">IF(IFERROR(INDEX(tsk_Name,(ROW()-ROW(MSPTasks[[#Headers],[ID]])))="",TRUE()),"",INDEX(tsk_PlanFinish,(ROW()-ROW(MSPTasks[[#Headers],[ID]]))))</f>
        <v/>
      </c>
      <c r="Q43" s="24" t="str">
        <f aca="false">IF(IFERROR(INDEX(tsk_Name,(ROW()-ROW(MSPTasks[[#Headers],[ID]])))="",TRUE()),"",IF(INDEX(tsk_BaseDuration,(ROW()-ROW(MSPTasks[[#Headers],[ID]])))="","",N(INDEX(tsk_BaseDuration,(ROW()-ROW(MSPTasks[[#Headers],[ID]]))))&amp;"d"))</f>
        <v/>
      </c>
      <c r="R43" s="24" t="str">
        <f aca="false">IF(IFERROR(INDEX(tsk_Name,(ROW()-ROW(MSPTasks[[#Headers],[ID]])))="",TRUE()),"",IF(INDEX(tsk_BaseWork,(ROW()-ROW(MSPTasks[[#Headers],[ID]])))="","",N(INDEX(tsk_BaseWork,(ROW()-ROW(MSPTasks[[#Headers],[ID]]))))&amp;"h"))</f>
        <v/>
      </c>
      <c r="S43" s="24" t="str">
        <f aca="false">IF(IFERROR(INDEX(tsk_Name,(ROW()-ROW(MSPTasks[[#Headers],[ID]])))="",TRUE()),"",IF(INDEX(tsk_BaseCost,(ROW()-ROW(MSPTasks[[#Headers],[ID]])))="","",N(INDEX(tsk_BaseCost,(ROW()-ROW(MSPTasks[[#Headers],[ID]]))))))</f>
        <v/>
      </c>
      <c r="T43" s="24" t="str">
        <f aca="false">IF(IFERROR(INDEX(tsk_Name,(ROW()-ROW(MSPTasks[[#Headers],[ID]])))="",TRUE()),"",IF(INDEX(tsk_IsSummary,(ROW()-ROW(MSPTasks[[#Headers],[ID]]))),"",IF(N(INDEX(tsk_ActCostInput,(ROW()-ROW(MSPTasks[[#Headers],[ID]]))))=0,"",INDEX(tsk_ActCostInput,(ROW()-ROW(MSPTasks[[#Headers],[ID]]))))))</f>
        <v/>
      </c>
      <c r="U4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3" s="137" t="str">
        <f aca="false">IF(IFERROR(INDEX(tsk_Name,(ROW()-ROW(MSPTasks[[#Headers],[ID]])))="",TRUE()),"",IF(OR(INDEX(tsk_IsSummary,(ROW()-ROW(MSPTasks[[#Headers],[ID]]))),INDEX(tsk_Mode,(ROW()-ROW(MSPTasks[[#Headers],[ID]])))="Manual"),"",IF(N(INDEX(tsk_ConstraintCode,(ROW()-ROW(MSPTasks[[#Headers],[ID]]))))&lt;2,"",INDEX(tsk_Constraint,(ROW()-ROW(MSPTasks[[#Headers],[ID]]))))))</f>
        <v/>
      </c>
      <c r="W43" s="137" t="str">
        <f aca="false">IF(IFERROR(INDEX(tsk_Name,(ROW()-ROW(MSPTasks[[#Headers],[ID]])))="",TRUE()),"",IF(N(INDEX(tsk_Deadline,(ROW()-ROW(MSPTasks[[#Headers],[ID]]))))=0,"",INDEX(tsk_Deadline,(ROW()-ROW(MSPTasks[[#Headers],[ID]])))))</f>
        <v/>
      </c>
      <c r="X43" s="24" t="str">
        <f aca="false">IF(IFERROR(INDEX(tsk_Name,(ROW()-ROW(MSPTasks[[#Headers],[ID]])))="",TRUE()),"",IF(INDEX(tsk_IsSummary,(ROW()-ROW(MSPTasks[[#Headers],[ID]]))),"",INDEX(tsk_Sprint,(ROW()-ROW(MSPTasks[[#Headers],[ID]])))&amp;""))</f>
        <v/>
      </c>
      <c r="Y43" s="24" t="str">
        <f aca="false">IF(IFERROR(INDEX(tsk_Name,(ROW()-ROW(MSPTasks[[#Headers],[ID]])))="",TRUE()),"",IF(INDEX(tsk_IsSummary,(ROW()-ROW(MSPTasks[[#Headers],[ID]]))),"",IF(N(INDEX(tsk_StoryPoints,(ROW()-ROW(MSPTasks[[#Headers],[ID]]))))=0,"",INDEX(tsk_StoryPoints,(ROW()-ROW(MSPTasks[[#Headers],[ID]]))))))</f>
        <v/>
      </c>
      <c r="Z43" s="24" t="str">
        <f aca="false">IF(IFERROR(INDEX(tsk_Name,(ROW()-ROW(MSPTasks[[#Headers],[ID]])))="",TRUE()),"",INDEX(tsk_Notes,(ROW()-ROW(MSPTasks[[#Headers],[ID]])))&amp;"")</f>
        <v/>
      </c>
    </row>
    <row r="44" customFormat="false" ht="15" hidden="false" customHeight="false" outlineLevel="0" collapsed="false">
      <c r="A44" s="24" t="str">
        <f aca="false">IF(IFERROR(INDEX(tsk_Name,(ROW()-ROW(MSPTasks[[#Headers],[ID]])))="",TRUE()),"",INDEX(tsk_ID,(ROW()-ROW(MSPTasks[[#Headers],[ID]]))))</f>
        <v/>
      </c>
      <c r="B44" s="24" t="str">
        <f aca="false">IF(IFERROR(INDEX(tsk_Name,(ROW()-ROW(MSPTasks[[#Headers],[ID]])))="",TRUE()),"",INDEX(tsk_UID,(ROW()-ROW(MSPTasks[[#Headers],[ID]]))))</f>
        <v/>
      </c>
      <c r="C44" s="24" t="str">
        <f aca="false">IF(IFERROR(INDEX(tsk_Name,(ROW()-ROW(MSPTasks[[#Headers],[ID]])))="",TRUE()),"",INDEX(tsk_Name,(ROW()-ROW(MSPTasks[[#Headers],[ID]]))))</f>
        <v/>
      </c>
      <c r="D44" s="24" t="str">
        <f aca="false">IF(IFERROR(INDEX(tsk_Name,(ROW()-ROW(MSPTasks[[#Headers],[ID]])))="",TRUE()),"",INDEX(tsk_Level,(ROW()-ROW(MSPTasks[[#Headers],[ID]]))))</f>
        <v/>
      </c>
      <c r="E44" s="24" t="str">
        <f aca="false">IF(IFERROR(INDEX(tsk_Name,(ROW()-ROW(MSPTasks[[#Headers],[ID]])))="",TRUE()),"",IF(INDEX(tsk_Mode,(ROW()-ROW(MSPTasks[[#Headers],[ID]])))="Manual","Manually Scheduled","Auto Scheduled"))</f>
        <v/>
      </c>
      <c r="F44" s="24" t="str">
        <f aca="false">IF(IFERROR(INDEX(tsk_Name,(ROW()-ROW(MSPTasks[[#Headers],[ID]])))="",TRUE()),"",IF(INDEX(tsk_IsSummary,(ROW()-ROW(MSPTasks[[#Headers],[ID]]))),"",N(INDEX(tsk_Duration,(ROW()-ROW(MSPTasks[[#Headers],[ID]]))))&amp;"d"))</f>
        <v/>
      </c>
      <c r="G44" s="137" t="str">
        <f aca="false">IF(IFERROR(INDEX(tsk_Name,(ROW()-ROW(MSPTasks[[#Headers],[ID]])))="",TRUE()),"",INDEX(tsk_FcStart,(ROW()-ROW(MSPTasks[[#Headers],[ID]]))))</f>
        <v/>
      </c>
      <c r="H44" s="137" t="str">
        <f aca="false">IF(IFERROR(INDEX(tsk_Name,(ROW()-ROW(MSPTasks[[#Headers],[ID]])))="",TRUE()),"",INDEX(tsk_FcFinish,(ROW()-ROW(MSPTasks[[#Headers],[ID]]))))</f>
        <v/>
      </c>
      <c r="I44" s="24" t="str">
        <f aca="false">IF(IFERROR(INDEX(tsk_Name,(ROW()-ROW(MSPTasks[[#Headers],[ID]])))="",TRUE()),"",IF(INDEX(tsk_IsSummary,(ROW()-ROW(MSPTasks[[#Headers],[ID]]))),"",INDEX(tsk_Predecessors,(ROW()-ROW(MSPTasks[[#Headers],[ID]])))))</f>
        <v/>
      </c>
      <c r="J44" s="24" t="str">
        <f aca="false">IF(IFERROR(INDEX(tsk_Name,(ROW()-ROW(MSPTasks[[#Headers],[ID]])))="",TRUE()),"",IF(INDEX(tsk_IsSummary,(ROW()-ROW(MSPTasks[[#Headers],[ID]]))),"",INDEX(tsk_UIDPredecessors,(ROW()-ROW(MSPTasks[[#Headers],[ID]])))))</f>
        <v/>
      </c>
      <c r="K44" s="24" t="str">
        <f aca="false">IF(IFERROR(INDEX(tsk_Name,(ROW()-ROW(MSPTasks[[#Headers],[ID]])))="",TRUE()),"",INDEX(tsk_ResourceNames,(ROW()-ROW(MSPTasks[[#Headers],[ID]])))&amp;"")</f>
        <v/>
      </c>
      <c r="L44" s="24" t="str">
        <f aca="false">IF(IFERROR(INDEX(tsk_Name,(ROW()-ROW(MSPTasks[[#Headers],[ID]])))="",TRUE()),"",IF(INDEX(tsk_IsSummary,(ROW()-ROW(MSPTasks[[#Headers],[ID]]))),"",ROUND(INDEX(tsk_Progress,(ROW()-ROW(MSPTasks[[#Headers],[ID]])))*100,0)))</f>
        <v/>
      </c>
      <c r="M44" s="137" t="str">
        <f aca="false">IF(IFERROR(INDEX(tsk_Name,(ROW()-ROW(MSPTasks[[#Headers],[ID]])))="",TRUE()),"",IF(N(INDEX(tsk_ActStart,(ROW()-ROW(MSPTasks[[#Headers],[ID]]))))=0,"",INDEX(tsk_ActStart,(ROW()-ROW(MSPTasks[[#Headers],[ID]])))))</f>
        <v/>
      </c>
      <c r="N44" s="137" t="str">
        <f aca="false">IF(IFERROR(INDEX(tsk_Name,(ROW()-ROW(MSPTasks[[#Headers],[ID]])))="",TRUE()),"",IF(N(INDEX(tsk_ActFinish,(ROW()-ROW(MSPTasks[[#Headers],[ID]]))))=0,"",INDEX(tsk_ActFinish,(ROW()-ROW(MSPTasks[[#Headers],[ID]])))))</f>
        <v/>
      </c>
      <c r="O44" s="137" t="str">
        <f aca="false">IF(IFERROR(INDEX(tsk_Name,(ROW()-ROW(MSPTasks[[#Headers],[ID]])))="",TRUE()),"",INDEX(tsk_PlanStart,(ROW()-ROW(MSPTasks[[#Headers],[ID]]))))</f>
        <v/>
      </c>
      <c r="P44" s="137" t="str">
        <f aca="false">IF(IFERROR(INDEX(tsk_Name,(ROW()-ROW(MSPTasks[[#Headers],[ID]])))="",TRUE()),"",INDEX(tsk_PlanFinish,(ROW()-ROW(MSPTasks[[#Headers],[ID]]))))</f>
        <v/>
      </c>
      <c r="Q44" s="24" t="str">
        <f aca="false">IF(IFERROR(INDEX(tsk_Name,(ROW()-ROW(MSPTasks[[#Headers],[ID]])))="",TRUE()),"",IF(INDEX(tsk_BaseDuration,(ROW()-ROW(MSPTasks[[#Headers],[ID]])))="","",N(INDEX(tsk_BaseDuration,(ROW()-ROW(MSPTasks[[#Headers],[ID]]))))&amp;"d"))</f>
        <v/>
      </c>
      <c r="R44" s="24" t="str">
        <f aca="false">IF(IFERROR(INDEX(tsk_Name,(ROW()-ROW(MSPTasks[[#Headers],[ID]])))="",TRUE()),"",IF(INDEX(tsk_BaseWork,(ROW()-ROW(MSPTasks[[#Headers],[ID]])))="","",N(INDEX(tsk_BaseWork,(ROW()-ROW(MSPTasks[[#Headers],[ID]]))))&amp;"h"))</f>
        <v/>
      </c>
      <c r="S44" s="24" t="str">
        <f aca="false">IF(IFERROR(INDEX(tsk_Name,(ROW()-ROW(MSPTasks[[#Headers],[ID]])))="",TRUE()),"",IF(INDEX(tsk_BaseCost,(ROW()-ROW(MSPTasks[[#Headers],[ID]])))="","",N(INDEX(tsk_BaseCost,(ROW()-ROW(MSPTasks[[#Headers],[ID]]))))))</f>
        <v/>
      </c>
      <c r="T44" s="24" t="str">
        <f aca="false">IF(IFERROR(INDEX(tsk_Name,(ROW()-ROW(MSPTasks[[#Headers],[ID]])))="",TRUE()),"",IF(INDEX(tsk_IsSummary,(ROW()-ROW(MSPTasks[[#Headers],[ID]]))),"",IF(N(INDEX(tsk_ActCostInput,(ROW()-ROW(MSPTasks[[#Headers],[ID]]))))=0,"",INDEX(tsk_ActCostInput,(ROW()-ROW(MSPTasks[[#Headers],[ID]]))))))</f>
        <v/>
      </c>
      <c r="U4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4" s="137" t="str">
        <f aca="false">IF(IFERROR(INDEX(tsk_Name,(ROW()-ROW(MSPTasks[[#Headers],[ID]])))="",TRUE()),"",IF(OR(INDEX(tsk_IsSummary,(ROW()-ROW(MSPTasks[[#Headers],[ID]]))),INDEX(tsk_Mode,(ROW()-ROW(MSPTasks[[#Headers],[ID]])))="Manual"),"",IF(N(INDEX(tsk_ConstraintCode,(ROW()-ROW(MSPTasks[[#Headers],[ID]]))))&lt;2,"",INDEX(tsk_Constraint,(ROW()-ROW(MSPTasks[[#Headers],[ID]]))))))</f>
        <v/>
      </c>
      <c r="W44" s="137" t="str">
        <f aca="false">IF(IFERROR(INDEX(tsk_Name,(ROW()-ROW(MSPTasks[[#Headers],[ID]])))="",TRUE()),"",IF(N(INDEX(tsk_Deadline,(ROW()-ROW(MSPTasks[[#Headers],[ID]]))))=0,"",INDEX(tsk_Deadline,(ROW()-ROW(MSPTasks[[#Headers],[ID]])))))</f>
        <v/>
      </c>
      <c r="X44" s="24" t="str">
        <f aca="false">IF(IFERROR(INDEX(tsk_Name,(ROW()-ROW(MSPTasks[[#Headers],[ID]])))="",TRUE()),"",IF(INDEX(tsk_IsSummary,(ROW()-ROW(MSPTasks[[#Headers],[ID]]))),"",INDEX(tsk_Sprint,(ROW()-ROW(MSPTasks[[#Headers],[ID]])))&amp;""))</f>
        <v/>
      </c>
      <c r="Y44" s="24" t="str">
        <f aca="false">IF(IFERROR(INDEX(tsk_Name,(ROW()-ROW(MSPTasks[[#Headers],[ID]])))="",TRUE()),"",IF(INDEX(tsk_IsSummary,(ROW()-ROW(MSPTasks[[#Headers],[ID]]))),"",IF(N(INDEX(tsk_StoryPoints,(ROW()-ROW(MSPTasks[[#Headers],[ID]]))))=0,"",INDEX(tsk_StoryPoints,(ROW()-ROW(MSPTasks[[#Headers],[ID]]))))))</f>
        <v/>
      </c>
      <c r="Z44" s="24" t="str">
        <f aca="false">IF(IFERROR(INDEX(tsk_Name,(ROW()-ROW(MSPTasks[[#Headers],[ID]])))="",TRUE()),"",INDEX(tsk_Notes,(ROW()-ROW(MSPTasks[[#Headers],[ID]])))&amp;"")</f>
        <v/>
      </c>
    </row>
    <row r="45" customFormat="false" ht="15" hidden="false" customHeight="false" outlineLevel="0" collapsed="false">
      <c r="A45" s="24" t="str">
        <f aca="false">IF(IFERROR(INDEX(tsk_Name,(ROW()-ROW(MSPTasks[[#Headers],[ID]])))="",TRUE()),"",INDEX(tsk_ID,(ROW()-ROW(MSPTasks[[#Headers],[ID]]))))</f>
        <v/>
      </c>
      <c r="B45" s="24" t="str">
        <f aca="false">IF(IFERROR(INDEX(tsk_Name,(ROW()-ROW(MSPTasks[[#Headers],[ID]])))="",TRUE()),"",INDEX(tsk_UID,(ROW()-ROW(MSPTasks[[#Headers],[ID]]))))</f>
        <v/>
      </c>
      <c r="C45" s="24" t="str">
        <f aca="false">IF(IFERROR(INDEX(tsk_Name,(ROW()-ROW(MSPTasks[[#Headers],[ID]])))="",TRUE()),"",INDEX(tsk_Name,(ROW()-ROW(MSPTasks[[#Headers],[ID]]))))</f>
        <v/>
      </c>
      <c r="D45" s="24" t="str">
        <f aca="false">IF(IFERROR(INDEX(tsk_Name,(ROW()-ROW(MSPTasks[[#Headers],[ID]])))="",TRUE()),"",INDEX(tsk_Level,(ROW()-ROW(MSPTasks[[#Headers],[ID]]))))</f>
        <v/>
      </c>
      <c r="E45" s="24" t="str">
        <f aca="false">IF(IFERROR(INDEX(tsk_Name,(ROW()-ROW(MSPTasks[[#Headers],[ID]])))="",TRUE()),"",IF(INDEX(tsk_Mode,(ROW()-ROW(MSPTasks[[#Headers],[ID]])))="Manual","Manually Scheduled","Auto Scheduled"))</f>
        <v/>
      </c>
      <c r="F45" s="24" t="str">
        <f aca="false">IF(IFERROR(INDEX(tsk_Name,(ROW()-ROW(MSPTasks[[#Headers],[ID]])))="",TRUE()),"",IF(INDEX(tsk_IsSummary,(ROW()-ROW(MSPTasks[[#Headers],[ID]]))),"",N(INDEX(tsk_Duration,(ROW()-ROW(MSPTasks[[#Headers],[ID]]))))&amp;"d"))</f>
        <v/>
      </c>
      <c r="G45" s="137" t="str">
        <f aca="false">IF(IFERROR(INDEX(tsk_Name,(ROW()-ROW(MSPTasks[[#Headers],[ID]])))="",TRUE()),"",INDEX(tsk_FcStart,(ROW()-ROW(MSPTasks[[#Headers],[ID]]))))</f>
        <v/>
      </c>
      <c r="H45" s="137" t="str">
        <f aca="false">IF(IFERROR(INDEX(tsk_Name,(ROW()-ROW(MSPTasks[[#Headers],[ID]])))="",TRUE()),"",INDEX(tsk_FcFinish,(ROW()-ROW(MSPTasks[[#Headers],[ID]]))))</f>
        <v/>
      </c>
      <c r="I45" s="24" t="str">
        <f aca="false">IF(IFERROR(INDEX(tsk_Name,(ROW()-ROW(MSPTasks[[#Headers],[ID]])))="",TRUE()),"",IF(INDEX(tsk_IsSummary,(ROW()-ROW(MSPTasks[[#Headers],[ID]]))),"",INDEX(tsk_Predecessors,(ROW()-ROW(MSPTasks[[#Headers],[ID]])))))</f>
        <v/>
      </c>
      <c r="J45" s="24" t="str">
        <f aca="false">IF(IFERROR(INDEX(tsk_Name,(ROW()-ROW(MSPTasks[[#Headers],[ID]])))="",TRUE()),"",IF(INDEX(tsk_IsSummary,(ROW()-ROW(MSPTasks[[#Headers],[ID]]))),"",INDEX(tsk_UIDPredecessors,(ROW()-ROW(MSPTasks[[#Headers],[ID]])))))</f>
        <v/>
      </c>
      <c r="K45" s="24" t="str">
        <f aca="false">IF(IFERROR(INDEX(tsk_Name,(ROW()-ROW(MSPTasks[[#Headers],[ID]])))="",TRUE()),"",INDEX(tsk_ResourceNames,(ROW()-ROW(MSPTasks[[#Headers],[ID]])))&amp;"")</f>
        <v/>
      </c>
      <c r="L45" s="24" t="str">
        <f aca="false">IF(IFERROR(INDEX(tsk_Name,(ROW()-ROW(MSPTasks[[#Headers],[ID]])))="",TRUE()),"",IF(INDEX(tsk_IsSummary,(ROW()-ROW(MSPTasks[[#Headers],[ID]]))),"",ROUND(INDEX(tsk_Progress,(ROW()-ROW(MSPTasks[[#Headers],[ID]])))*100,0)))</f>
        <v/>
      </c>
      <c r="M45" s="137" t="str">
        <f aca="false">IF(IFERROR(INDEX(tsk_Name,(ROW()-ROW(MSPTasks[[#Headers],[ID]])))="",TRUE()),"",IF(N(INDEX(tsk_ActStart,(ROW()-ROW(MSPTasks[[#Headers],[ID]]))))=0,"",INDEX(tsk_ActStart,(ROW()-ROW(MSPTasks[[#Headers],[ID]])))))</f>
        <v/>
      </c>
      <c r="N45" s="137" t="str">
        <f aca="false">IF(IFERROR(INDEX(tsk_Name,(ROW()-ROW(MSPTasks[[#Headers],[ID]])))="",TRUE()),"",IF(N(INDEX(tsk_ActFinish,(ROW()-ROW(MSPTasks[[#Headers],[ID]]))))=0,"",INDEX(tsk_ActFinish,(ROW()-ROW(MSPTasks[[#Headers],[ID]])))))</f>
        <v/>
      </c>
      <c r="O45" s="137" t="str">
        <f aca="false">IF(IFERROR(INDEX(tsk_Name,(ROW()-ROW(MSPTasks[[#Headers],[ID]])))="",TRUE()),"",INDEX(tsk_PlanStart,(ROW()-ROW(MSPTasks[[#Headers],[ID]]))))</f>
        <v/>
      </c>
      <c r="P45" s="137" t="str">
        <f aca="false">IF(IFERROR(INDEX(tsk_Name,(ROW()-ROW(MSPTasks[[#Headers],[ID]])))="",TRUE()),"",INDEX(tsk_PlanFinish,(ROW()-ROW(MSPTasks[[#Headers],[ID]]))))</f>
        <v/>
      </c>
      <c r="Q45" s="24" t="str">
        <f aca="false">IF(IFERROR(INDEX(tsk_Name,(ROW()-ROW(MSPTasks[[#Headers],[ID]])))="",TRUE()),"",IF(INDEX(tsk_BaseDuration,(ROW()-ROW(MSPTasks[[#Headers],[ID]])))="","",N(INDEX(tsk_BaseDuration,(ROW()-ROW(MSPTasks[[#Headers],[ID]]))))&amp;"d"))</f>
        <v/>
      </c>
      <c r="R45" s="24" t="str">
        <f aca="false">IF(IFERROR(INDEX(tsk_Name,(ROW()-ROW(MSPTasks[[#Headers],[ID]])))="",TRUE()),"",IF(INDEX(tsk_BaseWork,(ROW()-ROW(MSPTasks[[#Headers],[ID]])))="","",N(INDEX(tsk_BaseWork,(ROW()-ROW(MSPTasks[[#Headers],[ID]]))))&amp;"h"))</f>
        <v/>
      </c>
      <c r="S45" s="24" t="str">
        <f aca="false">IF(IFERROR(INDEX(tsk_Name,(ROW()-ROW(MSPTasks[[#Headers],[ID]])))="",TRUE()),"",IF(INDEX(tsk_BaseCost,(ROW()-ROW(MSPTasks[[#Headers],[ID]])))="","",N(INDEX(tsk_BaseCost,(ROW()-ROW(MSPTasks[[#Headers],[ID]]))))))</f>
        <v/>
      </c>
      <c r="T45" s="24" t="str">
        <f aca="false">IF(IFERROR(INDEX(tsk_Name,(ROW()-ROW(MSPTasks[[#Headers],[ID]])))="",TRUE()),"",IF(INDEX(tsk_IsSummary,(ROW()-ROW(MSPTasks[[#Headers],[ID]]))),"",IF(N(INDEX(tsk_ActCostInput,(ROW()-ROW(MSPTasks[[#Headers],[ID]]))))=0,"",INDEX(tsk_ActCostInput,(ROW()-ROW(MSPTasks[[#Headers],[ID]]))))))</f>
        <v/>
      </c>
      <c r="U4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5" s="137" t="str">
        <f aca="false">IF(IFERROR(INDEX(tsk_Name,(ROW()-ROW(MSPTasks[[#Headers],[ID]])))="",TRUE()),"",IF(OR(INDEX(tsk_IsSummary,(ROW()-ROW(MSPTasks[[#Headers],[ID]]))),INDEX(tsk_Mode,(ROW()-ROW(MSPTasks[[#Headers],[ID]])))="Manual"),"",IF(N(INDEX(tsk_ConstraintCode,(ROW()-ROW(MSPTasks[[#Headers],[ID]]))))&lt;2,"",INDEX(tsk_Constraint,(ROW()-ROW(MSPTasks[[#Headers],[ID]]))))))</f>
        <v/>
      </c>
      <c r="W45" s="137" t="str">
        <f aca="false">IF(IFERROR(INDEX(tsk_Name,(ROW()-ROW(MSPTasks[[#Headers],[ID]])))="",TRUE()),"",IF(N(INDEX(tsk_Deadline,(ROW()-ROW(MSPTasks[[#Headers],[ID]]))))=0,"",INDEX(tsk_Deadline,(ROW()-ROW(MSPTasks[[#Headers],[ID]])))))</f>
        <v/>
      </c>
      <c r="X45" s="24" t="str">
        <f aca="false">IF(IFERROR(INDEX(tsk_Name,(ROW()-ROW(MSPTasks[[#Headers],[ID]])))="",TRUE()),"",IF(INDEX(tsk_IsSummary,(ROW()-ROW(MSPTasks[[#Headers],[ID]]))),"",INDEX(tsk_Sprint,(ROW()-ROW(MSPTasks[[#Headers],[ID]])))&amp;""))</f>
        <v/>
      </c>
      <c r="Y45" s="24" t="str">
        <f aca="false">IF(IFERROR(INDEX(tsk_Name,(ROW()-ROW(MSPTasks[[#Headers],[ID]])))="",TRUE()),"",IF(INDEX(tsk_IsSummary,(ROW()-ROW(MSPTasks[[#Headers],[ID]]))),"",IF(N(INDEX(tsk_StoryPoints,(ROW()-ROW(MSPTasks[[#Headers],[ID]]))))=0,"",INDEX(tsk_StoryPoints,(ROW()-ROW(MSPTasks[[#Headers],[ID]]))))))</f>
        <v/>
      </c>
      <c r="Z45" s="24" t="str">
        <f aca="false">IF(IFERROR(INDEX(tsk_Name,(ROW()-ROW(MSPTasks[[#Headers],[ID]])))="",TRUE()),"",INDEX(tsk_Notes,(ROW()-ROW(MSPTasks[[#Headers],[ID]])))&amp;"")</f>
        <v/>
      </c>
    </row>
    <row r="46" customFormat="false" ht="15" hidden="false" customHeight="false" outlineLevel="0" collapsed="false">
      <c r="A46" s="24" t="str">
        <f aca="false">IF(IFERROR(INDEX(tsk_Name,(ROW()-ROW(MSPTasks[[#Headers],[ID]])))="",TRUE()),"",INDEX(tsk_ID,(ROW()-ROW(MSPTasks[[#Headers],[ID]]))))</f>
        <v/>
      </c>
      <c r="B46" s="24" t="str">
        <f aca="false">IF(IFERROR(INDEX(tsk_Name,(ROW()-ROW(MSPTasks[[#Headers],[ID]])))="",TRUE()),"",INDEX(tsk_UID,(ROW()-ROW(MSPTasks[[#Headers],[ID]]))))</f>
        <v/>
      </c>
      <c r="C46" s="24" t="str">
        <f aca="false">IF(IFERROR(INDEX(tsk_Name,(ROW()-ROW(MSPTasks[[#Headers],[ID]])))="",TRUE()),"",INDEX(tsk_Name,(ROW()-ROW(MSPTasks[[#Headers],[ID]]))))</f>
        <v/>
      </c>
      <c r="D46" s="24" t="str">
        <f aca="false">IF(IFERROR(INDEX(tsk_Name,(ROW()-ROW(MSPTasks[[#Headers],[ID]])))="",TRUE()),"",INDEX(tsk_Level,(ROW()-ROW(MSPTasks[[#Headers],[ID]]))))</f>
        <v/>
      </c>
      <c r="E46" s="24" t="str">
        <f aca="false">IF(IFERROR(INDEX(tsk_Name,(ROW()-ROW(MSPTasks[[#Headers],[ID]])))="",TRUE()),"",IF(INDEX(tsk_Mode,(ROW()-ROW(MSPTasks[[#Headers],[ID]])))="Manual","Manually Scheduled","Auto Scheduled"))</f>
        <v/>
      </c>
      <c r="F46" s="24" t="str">
        <f aca="false">IF(IFERROR(INDEX(tsk_Name,(ROW()-ROW(MSPTasks[[#Headers],[ID]])))="",TRUE()),"",IF(INDEX(tsk_IsSummary,(ROW()-ROW(MSPTasks[[#Headers],[ID]]))),"",N(INDEX(tsk_Duration,(ROW()-ROW(MSPTasks[[#Headers],[ID]]))))&amp;"d"))</f>
        <v/>
      </c>
      <c r="G46" s="137" t="str">
        <f aca="false">IF(IFERROR(INDEX(tsk_Name,(ROW()-ROW(MSPTasks[[#Headers],[ID]])))="",TRUE()),"",INDEX(tsk_FcStart,(ROW()-ROW(MSPTasks[[#Headers],[ID]]))))</f>
        <v/>
      </c>
      <c r="H46" s="137" t="str">
        <f aca="false">IF(IFERROR(INDEX(tsk_Name,(ROW()-ROW(MSPTasks[[#Headers],[ID]])))="",TRUE()),"",INDEX(tsk_FcFinish,(ROW()-ROW(MSPTasks[[#Headers],[ID]]))))</f>
        <v/>
      </c>
      <c r="I46" s="24" t="str">
        <f aca="false">IF(IFERROR(INDEX(tsk_Name,(ROW()-ROW(MSPTasks[[#Headers],[ID]])))="",TRUE()),"",IF(INDEX(tsk_IsSummary,(ROW()-ROW(MSPTasks[[#Headers],[ID]]))),"",INDEX(tsk_Predecessors,(ROW()-ROW(MSPTasks[[#Headers],[ID]])))))</f>
        <v/>
      </c>
      <c r="J46" s="24" t="str">
        <f aca="false">IF(IFERROR(INDEX(tsk_Name,(ROW()-ROW(MSPTasks[[#Headers],[ID]])))="",TRUE()),"",IF(INDEX(tsk_IsSummary,(ROW()-ROW(MSPTasks[[#Headers],[ID]]))),"",INDEX(tsk_UIDPredecessors,(ROW()-ROW(MSPTasks[[#Headers],[ID]])))))</f>
        <v/>
      </c>
      <c r="K46" s="24" t="str">
        <f aca="false">IF(IFERROR(INDEX(tsk_Name,(ROW()-ROW(MSPTasks[[#Headers],[ID]])))="",TRUE()),"",INDEX(tsk_ResourceNames,(ROW()-ROW(MSPTasks[[#Headers],[ID]])))&amp;"")</f>
        <v/>
      </c>
      <c r="L46" s="24" t="str">
        <f aca="false">IF(IFERROR(INDEX(tsk_Name,(ROW()-ROW(MSPTasks[[#Headers],[ID]])))="",TRUE()),"",IF(INDEX(tsk_IsSummary,(ROW()-ROW(MSPTasks[[#Headers],[ID]]))),"",ROUND(INDEX(tsk_Progress,(ROW()-ROW(MSPTasks[[#Headers],[ID]])))*100,0)))</f>
        <v/>
      </c>
      <c r="M46" s="137" t="str">
        <f aca="false">IF(IFERROR(INDEX(tsk_Name,(ROW()-ROW(MSPTasks[[#Headers],[ID]])))="",TRUE()),"",IF(N(INDEX(tsk_ActStart,(ROW()-ROW(MSPTasks[[#Headers],[ID]]))))=0,"",INDEX(tsk_ActStart,(ROW()-ROW(MSPTasks[[#Headers],[ID]])))))</f>
        <v/>
      </c>
      <c r="N46" s="137" t="str">
        <f aca="false">IF(IFERROR(INDEX(tsk_Name,(ROW()-ROW(MSPTasks[[#Headers],[ID]])))="",TRUE()),"",IF(N(INDEX(tsk_ActFinish,(ROW()-ROW(MSPTasks[[#Headers],[ID]]))))=0,"",INDEX(tsk_ActFinish,(ROW()-ROW(MSPTasks[[#Headers],[ID]])))))</f>
        <v/>
      </c>
      <c r="O46" s="137" t="str">
        <f aca="false">IF(IFERROR(INDEX(tsk_Name,(ROW()-ROW(MSPTasks[[#Headers],[ID]])))="",TRUE()),"",INDEX(tsk_PlanStart,(ROW()-ROW(MSPTasks[[#Headers],[ID]]))))</f>
        <v/>
      </c>
      <c r="P46" s="137" t="str">
        <f aca="false">IF(IFERROR(INDEX(tsk_Name,(ROW()-ROW(MSPTasks[[#Headers],[ID]])))="",TRUE()),"",INDEX(tsk_PlanFinish,(ROW()-ROW(MSPTasks[[#Headers],[ID]]))))</f>
        <v/>
      </c>
      <c r="Q46" s="24" t="str">
        <f aca="false">IF(IFERROR(INDEX(tsk_Name,(ROW()-ROW(MSPTasks[[#Headers],[ID]])))="",TRUE()),"",IF(INDEX(tsk_BaseDuration,(ROW()-ROW(MSPTasks[[#Headers],[ID]])))="","",N(INDEX(tsk_BaseDuration,(ROW()-ROW(MSPTasks[[#Headers],[ID]]))))&amp;"d"))</f>
        <v/>
      </c>
      <c r="R46" s="24" t="str">
        <f aca="false">IF(IFERROR(INDEX(tsk_Name,(ROW()-ROW(MSPTasks[[#Headers],[ID]])))="",TRUE()),"",IF(INDEX(tsk_BaseWork,(ROW()-ROW(MSPTasks[[#Headers],[ID]])))="","",N(INDEX(tsk_BaseWork,(ROW()-ROW(MSPTasks[[#Headers],[ID]]))))&amp;"h"))</f>
        <v/>
      </c>
      <c r="S46" s="24" t="str">
        <f aca="false">IF(IFERROR(INDEX(tsk_Name,(ROW()-ROW(MSPTasks[[#Headers],[ID]])))="",TRUE()),"",IF(INDEX(tsk_BaseCost,(ROW()-ROW(MSPTasks[[#Headers],[ID]])))="","",N(INDEX(tsk_BaseCost,(ROW()-ROW(MSPTasks[[#Headers],[ID]]))))))</f>
        <v/>
      </c>
      <c r="T46" s="24" t="str">
        <f aca="false">IF(IFERROR(INDEX(tsk_Name,(ROW()-ROW(MSPTasks[[#Headers],[ID]])))="",TRUE()),"",IF(INDEX(tsk_IsSummary,(ROW()-ROW(MSPTasks[[#Headers],[ID]]))),"",IF(N(INDEX(tsk_ActCostInput,(ROW()-ROW(MSPTasks[[#Headers],[ID]]))))=0,"",INDEX(tsk_ActCostInput,(ROW()-ROW(MSPTasks[[#Headers],[ID]]))))))</f>
        <v/>
      </c>
      <c r="U4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6" s="137" t="str">
        <f aca="false">IF(IFERROR(INDEX(tsk_Name,(ROW()-ROW(MSPTasks[[#Headers],[ID]])))="",TRUE()),"",IF(OR(INDEX(tsk_IsSummary,(ROW()-ROW(MSPTasks[[#Headers],[ID]]))),INDEX(tsk_Mode,(ROW()-ROW(MSPTasks[[#Headers],[ID]])))="Manual"),"",IF(N(INDEX(tsk_ConstraintCode,(ROW()-ROW(MSPTasks[[#Headers],[ID]]))))&lt;2,"",INDEX(tsk_Constraint,(ROW()-ROW(MSPTasks[[#Headers],[ID]]))))))</f>
        <v/>
      </c>
      <c r="W46" s="137" t="str">
        <f aca="false">IF(IFERROR(INDEX(tsk_Name,(ROW()-ROW(MSPTasks[[#Headers],[ID]])))="",TRUE()),"",IF(N(INDEX(tsk_Deadline,(ROW()-ROW(MSPTasks[[#Headers],[ID]]))))=0,"",INDEX(tsk_Deadline,(ROW()-ROW(MSPTasks[[#Headers],[ID]])))))</f>
        <v/>
      </c>
      <c r="X46" s="24" t="str">
        <f aca="false">IF(IFERROR(INDEX(tsk_Name,(ROW()-ROW(MSPTasks[[#Headers],[ID]])))="",TRUE()),"",IF(INDEX(tsk_IsSummary,(ROW()-ROW(MSPTasks[[#Headers],[ID]]))),"",INDEX(tsk_Sprint,(ROW()-ROW(MSPTasks[[#Headers],[ID]])))&amp;""))</f>
        <v/>
      </c>
      <c r="Y46" s="24" t="str">
        <f aca="false">IF(IFERROR(INDEX(tsk_Name,(ROW()-ROW(MSPTasks[[#Headers],[ID]])))="",TRUE()),"",IF(INDEX(tsk_IsSummary,(ROW()-ROW(MSPTasks[[#Headers],[ID]]))),"",IF(N(INDEX(tsk_StoryPoints,(ROW()-ROW(MSPTasks[[#Headers],[ID]]))))=0,"",INDEX(tsk_StoryPoints,(ROW()-ROW(MSPTasks[[#Headers],[ID]]))))))</f>
        <v/>
      </c>
      <c r="Z46" s="24" t="str">
        <f aca="false">IF(IFERROR(INDEX(tsk_Name,(ROW()-ROW(MSPTasks[[#Headers],[ID]])))="",TRUE()),"",INDEX(tsk_Notes,(ROW()-ROW(MSPTasks[[#Headers],[ID]])))&amp;"")</f>
        <v/>
      </c>
    </row>
    <row r="47" customFormat="false" ht="15" hidden="false" customHeight="false" outlineLevel="0" collapsed="false">
      <c r="A47" s="24" t="str">
        <f aca="false">IF(IFERROR(INDEX(tsk_Name,(ROW()-ROW(MSPTasks[[#Headers],[ID]])))="",TRUE()),"",INDEX(tsk_ID,(ROW()-ROW(MSPTasks[[#Headers],[ID]]))))</f>
        <v/>
      </c>
      <c r="B47" s="24" t="str">
        <f aca="false">IF(IFERROR(INDEX(tsk_Name,(ROW()-ROW(MSPTasks[[#Headers],[ID]])))="",TRUE()),"",INDEX(tsk_UID,(ROW()-ROW(MSPTasks[[#Headers],[ID]]))))</f>
        <v/>
      </c>
      <c r="C47" s="24" t="str">
        <f aca="false">IF(IFERROR(INDEX(tsk_Name,(ROW()-ROW(MSPTasks[[#Headers],[ID]])))="",TRUE()),"",INDEX(tsk_Name,(ROW()-ROW(MSPTasks[[#Headers],[ID]]))))</f>
        <v/>
      </c>
      <c r="D47" s="24" t="str">
        <f aca="false">IF(IFERROR(INDEX(tsk_Name,(ROW()-ROW(MSPTasks[[#Headers],[ID]])))="",TRUE()),"",INDEX(tsk_Level,(ROW()-ROW(MSPTasks[[#Headers],[ID]]))))</f>
        <v/>
      </c>
      <c r="E47" s="24" t="str">
        <f aca="false">IF(IFERROR(INDEX(tsk_Name,(ROW()-ROW(MSPTasks[[#Headers],[ID]])))="",TRUE()),"",IF(INDEX(tsk_Mode,(ROW()-ROW(MSPTasks[[#Headers],[ID]])))="Manual","Manually Scheduled","Auto Scheduled"))</f>
        <v/>
      </c>
      <c r="F47" s="24" t="str">
        <f aca="false">IF(IFERROR(INDEX(tsk_Name,(ROW()-ROW(MSPTasks[[#Headers],[ID]])))="",TRUE()),"",IF(INDEX(tsk_IsSummary,(ROW()-ROW(MSPTasks[[#Headers],[ID]]))),"",N(INDEX(tsk_Duration,(ROW()-ROW(MSPTasks[[#Headers],[ID]]))))&amp;"d"))</f>
        <v/>
      </c>
      <c r="G47" s="137" t="str">
        <f aca="false">IF(IFERROR(INDEX(tsk_Name,(ROW()-ROW(MSPTasks[[#Headers],[ID]])))="",TRUE()),"",INDEX(tsk_FcStart,(ROW()-ROW(MSPTasks[[#Headers],[ID]]))))</f>
        <v/>
      </c>
      <c r="H47" s="137" t="str">
        <f aca="false">IF(IFERROR(INDEX(tsk_Name,(ROW()-ROW(MSPTasks[[#Headers],[ID]])))="",TRUE()),"",INDEX(tsk_FcFinish,(ROW()-ROW(MSPTasks[[#Headers],[ID]]))))</f>
        <v/>
      </c>
      <c r="I47" s="24" t="str">
        <f aca="false">IF(IFERROR(INDEX(tsk_Name,(ROW()-ROW(MSPTasks[[#Headers],[ID]])))="",TRUE()),"",IF(INDEX(tsk_IsSummary,(ROW()-ROW(MSPTasks[[#Headers],[ID]]))),"",INDEX(tsk_Predecessors,(ROW()-ROW(MSPTasks[[#Headers],[ID]])))))</f>
        <v/>
      </c>
      <c r="J47" s="24" t="str">
        <f aca="false">IF(IFERROR(INDEX(tsk_Name,(ROW()-ROW(MSPTasks[[#Headers],[ID]])))="",TRUE()),"",IF(INDEX(tsk_IsSummary,(ROW()-ROW(MSPTasks[[#Headers],[ID]]))),"",INDEX(tsk_UIDPredecessors,(ROW()-ROW(MSPTasks[[#Headers],[ID]])))))</f>
        <v/>
      </c>
      <c r="K47" s="24" t="str">
        <f aca="false">IF(IFERROR(INDEX(tsk_Name,(ROW()-ROW(MSPTasks[[#Headers],[ID]])))="",TRUE()),"",INDEX(tsk_ResourceNames,(ROW()-ROW(MSPTasks[[#Headers],[ID]])))&amp;"")</f>
        <v/>
      </c>
      <c r="L47" s="24" t="str">
        <f aca="false">IF(IFERROR(INDEX(tsk_Name,(ROW()-ROW(MSPTasks[[#Headers],[ID]])))="",TRUE()),"",IF(INDEX(tsk_IsSummary,(ROW()-ROW(MSPTasks[[#Headers],[ID]]))),"",ROUND(INDEX(tsk_Progress,(ROW()-ROW(MSPTasks[[#Headers],[ID]])))*100,0)))</f>
        <v/>
      </c>
      <c r="M47" s="137" t="str">
        <f aca="false">IF(IFERROR(INDEX(tsk_Name,(ROW()-ROW(MSPTasks[[#Headers],[ID]])))="",TRUE()),"",IF(N(INDEX(tsk_ActStart,(ROW()-ROW(MSPTasks[[#Headers],[ID]]))))=0,"",INDEX(tsk_ActStart,(ROW()-ROW(MSPTasks[[#Headers],[ID]])))))</f>
        <v/>
      </c>
      <c r="N47" s="137" t="str">
        <f aca="false">IF(IFERROR(INDEX(tsk_Name,(ROW()-ROW(MSPTasks[[#Headers],[ID]])))="",TRUE()),"",IF(N(INDEX(tsk_ActFinish,(ROW()-ROW(MSPTasks[[#Headers],[ID]]))))=0,"",INDEX(tsk_ActFinish,(ROW()-ROW(MSPTasks[[#Headers],[ID]])))))</f>
        <v/>
      </c>
      <c r="O47" s="137" t="str">
        <f aca="false">IF(IFERROR(INDEX(tsk_Name,(ROW()-ROW(MSPTasks[[#Headers],[ID]])))="",TRUE()),"",INDEX(tsk_PlanStart,(ROW()-ROW(MSPTasks[[#Headers],[ID]]))))</f>
        <v/>
      </c>
      <c r="P47" s="137" t="str">
        <f aca="false">IF(IFERROR(INDEX(tsk_Name,(ROW()-ROW(MSPTasks[[#Headers],[ID]])))="",TRUE()),"",INDEX(tsk_PlanFinish,(ROW()-ROW(MSPTasks[[#Headers],[ID]]))))</f>
        <v/>
      </c>
      <c r="Q47" s="24" t="str">
        <f aca="false">IF(IFERROR(INDEX(tsk_Name,(ROW()-ROW(MSPTasks[[#Headers],[ID]])))="",TRUE()),"",IF(INDEX(tsk_BaseDuration,(ROW()-ROW(MSPTasks[[#Headers],[ID]])))="","",N(INDEX(tsk_BaseDuration,(ROW()-ROW(MSPTasks[[#Headers],[ID]]))))&amp;"d"))</f>
        <v/>
      </c>
      <c r="R47" s="24" t="str">
        <f aca="false">IF(IFERROR(INDEX(tsk_Name,(ROW()-ROW(MSPTasks[[#Headers],[ID]])))="",TRUE()),"",IF(INDEX(tsk_BaseWork,(ROW()-ROW(MSPTasks[[#Headers],[ID]])))="","",N(INDEX(tsk_BaseWork,(ROW()-ROW(MSPTasks[[#Headers],[ID]]))))&amp;"h"))</f>
        <v/>
      </c>
      <c r="S47" s="24" t="str">
        <f aca="false">IF(IFERROR(INDEX(tsk_Name,(ROW()-ROW(MSPTasks[[#Headers],[ID]])))="",TRUE()),"",IF(INDEX(tsk_BaseCost,(ROW()-ROW(MSPTasks[[#Headers],[ID]])))="","",N(INDEX(tsk_BaseCost,(ROW()-ROW(MSPTasks[[#Headers],[ID]]))))))</f>
        <v/>
      </c>
      <c r="T47" s="24" t="str">
        <f aca="false">IF(IFERROR(INDEX(tsk_Name,(ROW()-ROW(MSPTasks[[#Headers],[ID]])))="",TRUE()),"",IF(INDEX(tsk_IsSummary,(ROW()-ROW(MSPTasks[[#Headers],[ID]]))),"",IF(N(INDEX(tsk_ActCostInput,(ROW()-ROW(MSPTasks[[#Headers],[ID]]))))=0,"",INDEX(tsk_ActCostInput,(ROW()-ROW(MSPTasks[[#Headers],[ID]]))))))</f>
        <v/>
      </c>
      <c r="U4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7" s="137" t="str">
        <f aca="false">IF(IFERROR(INDEX(tsk_Name,(ROW()-ROW(MSPTasks[[#Headers],[ID]])))="",TRUE()),"",IF(OR(INDEX(tsk_IsSummary,(ROW()-ROW(MSPTasks[[#Headers],[ID]]))),INDEX(tsk_Mode,(ROW()-ROW(MSPTasks[[#Headers],[ID]])))="Manual"),"",IF(N(INDEX(tsk_ConstraintCode,(ROW()-ROW(MSPTasks[[#Headers],[ID]]))))&lt;2,"",INDEX(tsk_Constraint,(ROW()-ROW(MSPTasks[[#Headers],[ID]]))))))</f>
        <v/>
      </c>
      <c r="W47" s="137" t="str">
        <f aca="false">IF(IFERROR(INDEX(tsk_Name,(ROW()-ROW(MSPTasks[[#Headers],[ID]])))="",TRUE()),"",IF(N(INDEX(tsk_Deadline,(ROW()-ROW(MSPTasks[[#Headers],[ID]]))))=0,"",INDEX(tsk_Deadline,(ROW()-ROW(MSPTasks[[#Headers],[ID]])))))</f>
        <v/>
      </c>
      <c r="X47" s="24" t="str">
        <f aca="false">IF(IFERROR(INDEX(tsk_Name,(ROW()-ROW(MSPTasks[[#Headers],[ID]])))="",TRUE()),"",IF(INDEX(tsk_IsSummary,(ROW()-ROW(MSPTasks[[#Headers],[ID]]))),"",INDEX(tsk_Sprint,(ROW()-ROW(MSPTasks[[#Headers],[ID]])))&amp;""))</f>
        <v/>
      </c>
      <c r="Y47" s="24" t="str">
        <f aca="false">IF(IFERROR(INDEX(tsk_Name,(ROW()-ROW(MSPTasks[[#Headers],[ID]])))="",TRUE()),"",IF(INDEX(tsk_IsSummary,(ROW()-ROW(MSPTasks[[#Headers],[ID]]))),"",IF(N(INDEX(tsk_StoryPoints,(ROW()-ROW(MSPTasks[[#Headers],[ID]]))))=0,"",INDEX(tsk_StoryPoints,(ROW()-ROW(MSPTasks[[#Headers],[ID]]))))))</f>
        <v/>
      </c>
      <c r="Z47" s="24" t="str">
        <f aca="false">IF(IFERROR(INDEX(tsk_Name,(ROW()-ROW(MSPTasks[[#Headers],[ID]])))="",TRUE()),"",INDEX(tsk_Notes,(ROW()-ROW(MSPTasks[[#Headers],[ID]])))&amp;"")</f>
        <v/>
      </c>
    </row>
    <row r="48" customFormat="false" ht="15" hidden="false" customHeight="false" outlineLevel="0" collapsed="false">
      <c r="A48" s="24" t="str">
        <f aca="false">IF(IFERROR(INDEX(tsk_Name,(ROW()-ROW(MSPTasks[[#Headers],[ID]])))="",TRUE()),"",INDEX(tsk_ID,(ROW()-ROW(MSPTasks[[#Headers],[ID]]))))</f>
        <v/>
      </c>
      <c r="B48" s="24" t="str">
        <f aca="false">IF(IFERROR(INDEX(tsk_Name,(ROW()-ROW(MSPTasks[[#Headers],[ID]])))="",TRUE()),"",INDEX(tsk_UID,(ROW()-ROW(MSPTasks[[#Headers],[ID]]))))</f>
        <v/>
      </c>
      <c r="C48" s="24" t="str">
        <f aca="false">IF(IFERROR(INDEX(tsk_Name,(ROW()-ROW(MSPTasks[[#Headers],[ID]])))="",TRUE()),"",INDEX(tsk_Name,(ROW()-ROW(MSPTasks[[#Headers],[ID]]))))</f>
        <v/>
      </c>
      <c r="D48" s="24" t="str">
        <f aca="false">IF(IFERROR(INDEX(tsk_Name,(ROW()-ROW(MSPTasks[[#Headers],[ID]])))="",TRUE()),"",INDEX(tsk_Level,(ROW()-ROW(MSPTasks[[#Headers],[ID]]))))</f>
        <v/>
      </c>
      <c r="E48" s="24" t="str">
        <f aca="false">IF(IFERROR(INDEX(tsk_Name,(ROW()-ROW(MSPTasks[[#Headers],[ID]])))="",TRUE()),"",IF(INDEX(tsk_Mode,(ROW()-ROW(MSPTasks[[#Headers],[ID]])))="Manual","Manually Scheduled","Auto Scheduled"))</f>
        <v/>
      </c>
      <c r="F48" s="24" t="str">
        <f aca="false">IF(IFERROR(INDEX(tsk_Name,(ROW()-ROW(MSPTasks[[#Headers],[ID]])))="",TRUE()),"",IF(INDEX(tsk_IsSummary,(ROW()-ROW(MSPTasks[[#Headers],[ID]]))),"",N(INDEX(tsk_Duration,(ROW()-ROW(MSPTasks[[#Headers],[ID]]))))&amp;"d"))</f>
        <v/>
      </c>
      <c r="G48" s="137" t="str">
        <f aca="false">IF(IFERROR(INDEX(tsk_Name,(ROW()-ROW(MSPTasks[[#Headers],[ID]])))="",TRUE()),"",INDEX(tsk_FcStart,(ROW()-ROW(MSPTasks[[#Headers],[ID]]))))</f>
        <v/>
      </c>
      <c r="H48" s="137" t="str">
        <f aca="false">IF(IFERROR(INDEX(tsk_Name,(ROW()-ROW(MSPTasks[[#Headers],[ID]])))="",TRUE()),"",INDEX(tsk_FcFinish,(ROW()-ROW(MSPTasks[[#Headers],[ID]]))))</f>
        <v/>
      </c>
      <c r="I48" s="24" t="str">
        <f aca="false">IF(IFERROR(INDEX(tsk_Name,(ROW()-ROW(MSPTasks[[#Headers],[ID]])))="",TRUE()),"",IF(INDEX(tsk_IsSummary,(ROW()-ROW(MSPTasks[[#Headers],[ID]]))),"",INDEX(tsk_Predecessors,(ROW()-ROW(MSPTasks[[#Headers],[ID]])))))</f>
        <v/>
      </c>
      <c r="J48" s="24" t="str">
        <f aca="false">IF(IFERROR(INDEX(tsk_Name,(ROW()-ROW(MSPTasks[[#Headers],[ID]])))="",TRUE()),"",IF(INDEX(tsk_IsSummary,(ROW()-ROW(MSPTasks[[#Headers],[ID]]))),"",INDEX(tsk_UIDPredecessors,(ROW()-ROW(MSPTasks[[#Headers],[ID]])))))</f>
        <v/>
      </c>
      <c r="K48" s="24" t="str">
        <f aca="false">IF(IFERROR(INDEX(tsk_Name,(ROW()-ROW(MSPTasks[[#Headers],[ID]])))="",TRUE()),"",INDEX(tsk_ResourceNames,(ROW()-ROW(MSPTasks[[#Headers],[ID]])))&amp;"")</f>
        <v/>
      </c>
      <c r="L48" s="24" t="str">
        <f aca="false">IF(IFERROR(INDEX(tsk_Name,(ROW()-ROW(MSPTasks[[#Headers],[ID]])))="",TRUE()),"",IF(INDEX(tsk_IsSummary,(ROW()-ROW(MSPTasks[[#Headers],[ID]]))),"",ROUND(INDEX(tsk_Progress,(ROW()-ROW(MSPTasks[[#Headers],[ID]])))*100,0)))</f>
        <v/>
      </c>
      <c r="M48" s="137" t="str">
        <f aca="false">IF(IFERROR(INDEX(tsk_Name,(ROW()-ROW(MSPTasks[[#Headers],[ID]])))="",TRUE()),"",IF(N(INDEX(tsk_ActStart,(ROW()-ROW(MSPTasks[[#Headers],[ID]]))))=0,"",INDEX(tsk_ActStart,(ROW()-ROW(MSPTasks[[#Headers],[ID]])))))</f>
        <v/>
      </c>
      <c r="N48" s="137" t="str">
        <f aca="false">IF(IFERROR(INDEX(tsk_Name,(ROW()-ROW(MSPTasks[[#Headers],[ID]])))="",TRUE()),"",IF(N(INDEX(tsk_ActFinish,(ROW()-ROW(MSPTasks[[#Headers],[ID]]))))=0,"",INDEX(tsk_ActFinish,(ROW()-ROW(MSPTasks[[#Headers],[ID]])))))</f>
        <v/>
      </c>
      <c r="O48" s="137" t="str">
        <f aca="false">IF(IFERROR(INDEX(tsk_Name,(ROW()-ROW(MSPTasks[[#Headers],[ID]])))="",TRUE()),"",INDEX(tsk_PlanStart,(ROW()-ROW(MSPTasks[[#Headers],[ID]]))))</f>
        <v/>
      </c>
      <c r="P48" s="137" t="str">
        <f aca="false">IF(IFERROR(INDEX(tsk_Name,(ROW()-ROW(MSPTasks[[#Headers],[ID]])))="",TRUE()),"",INDEX(tsk_PlanFinish,(ROW()-ROW(MSPTasks[[#Headers],[ID]]))))</f>
        <v/>
      </c>
      <c r="Q48" s="24" t="str">
        <f aca="false">IF(IFERROR(INDEX(tsk_Name,(ROW()-ROW(MSPTasks[[#Headers],[ID]])))="",TRUE()),"",IF(INDEX(tsk_BaseDuration,(ROW()-ROW(MSPTasks[[#Headers],[ID]])))="","",N(INDEX(tsk_BaseDuration,(ROW()-ROW(MSPTasks[[#Headers],[ID]]))))&amp;"d"))</f>
        <v/>
      </c>
      <c r="R48" s="24" t="str">
        <f aca="false">IF(IFERROR(INDEX(tsk_Name,(ROW()-ROW(MSPTasks[[#Headers],[ID]])))="",TRUE()),"",IF(INDEX(tsk_BaseWork,(ROW()-ROW(MSPTasks[[#Headers],[ID]])))="","",N(INDEX(tsk_BaseWork,(ROW()-ROW(MSPTasks[[#Headers],[ID]]))))&amp;"h"))</f>
        <v/>
      </c>
      <c r="S48" s="24" t="str">
        <f aca="false">IF(IFERROR(INDEX(tsk_Name,(ROW()-ROW(MSPTasks[[#Headers],[ID]])))="",TRUE()),"",IF(INDEX(tsk_BaseCost,(ROW()-ROW(MSPTasks[[#Headers],[ID]])))="","",N(INDEX(tsk_BaseCost,(ROW()-ROW(MSPTasks[[#Headers],[ID]]))))))</f>
        <v/>
      </c>
      <c r="T48" s="24" t="str">
        <f aca="false">IF(IFERROR(INDEX(tsk_Name,(ROW()-ROW(MSPTasks[[#Headers],[ID]])))="",TRUE()),"",IF(INDEX(tsk_IsSummary,(ROW()-ROW(MSPTasks[[#Headers],[ID]]))),"",IF(N(INDEX(tsk_ActCostInput,(ROW()-ROW(MSPTasks[[#Headers],[ID]]))))=0,"",INDEX(tsk_ActCostInput,(ROW()-ROW(MSPTasks[[#Headers],[ID]]))))))</f>
        <v/>
      </c>
      <c r="U4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8" s="137" t="str">
        <f aca="false">IF(IFERROR(INDEX(tsk_Name,(ROW()-ROW(MSPTasks[[#Headers],[ID]])))="",TRUE()),"",IF(OR(INDEX(tsk_IsSummary,(ROW()-ROW(MSPTasks[[#Headers],[ID]]))),INDEX(tsk_Mode,(ROW()-ROW(MSPTasks[[#Headers],[ID]])))="Manual"),"",IF(N(INDEX(tsk_ConstraintCode,(ROW()-ROW(MSPTasks[[#Headers],[ID]]))))&lt;2,"",INDEX(tsk_Constraint,(ROW()-ROW(MSPTasks[[#Headers],[ID]]))))))</f>
        <v/>
      </c>
      <c r="W48" s="137" t="str">
        <f aca="false">IF(IFERROR(INDEX(tsk_Name,(ROW()-ROW(MSPTasks[[#Headers],[ID]])))="",TRUE()),"",IF(N(INDEX(tsk_Deadline,(ROW()-ROW(MSPTasks[[#Headers],[ID]]))))=0,"",INDEX(tsk_Deadline,(ROW()-ROW(MSPTasks[[#Headers],[ID]])))))</f>
        <v/>
      </c>
      <c r="X48" s="24" t="str">
        <f aca="false">IF(IFERROR(INDEX(tsk_Name,(ROW()-ROW(MSPTasks[[#Headers],[ID]])))="",TRUE()),"",IF(INDEX(tsk_IsSummary,(ROW()-ROW(MSPTasks[[#Headers],[ID]]))),"",INDEX(tsk_Sprint,(ROW()-ROW(MSPTasks[[#Headers],[ID]])))&amp;""))</f>
        <v/>
      </c>
      <c r="Y48" s="24" t="str">
        <f aca="false">IF(IFERROR(INDEX(tsk_Name,(ROW()-ROW(MSPTasks[[#Headers],[ID]])))="",TRUE()),"",IF(INDEX(tsk_IsSummary,(ROW()-ROW(MSPTasks[[#Headers],[ID]]))),"",IF(N(INDEX(tsk_StoryPoints,(ROW()-ROW(MSPTasks[[#Headers],[ID]]))))=0,"",INDEX(tsk_StoryPoints,(ROW()-ROW(MSPTasks[[#Headers],[ID]]))))))</f>
        <v/>
      </c>
      <c r="Z48" s="24" t="str">
        <f aca="false">IF(IFERROR(INDEX(tsk_Name,(ROW()-ROW(MSPTasks[[#Headers],[ID]])))="",TRUE()),"",INDEX(tsk_Notes,(ROW()-ROW(MSPTasks[[#Headers],[ID]])))&amp;"")</f>
        <v/>
      </c>
    </row>
    <row r="49" customFormat="false" ht="15" hidden="false" customHeight="false" outlineLevel="0" collapsed="false">
      <c r="A49" s="24" t="str">
        <f aca="false">IF(IFERROR(INDEX(tsk_Name,(ROW()-ROW(MSPTasks[[#Headers],[ID]])))="",TRUE()),"",INDEX(tsk_ID,(ROW()-ROW(MSPTasks[[#Headers],[ID]]))))</f>
        <v/>
      </c>
      <c r="B49" s="24" t="str">
        <f aca="false">IF(IFERROR(INDEX(tsk_Name,(ROW()-ROW(MSPTasks[[#Headers],[ID]])))="",TRUE()),"",INDEX(tsk_UID,(ROW()-ROW(MSPTasks[[#Headers],[ID]]))))</f>
        <v/>
      </c>
      <c r="C49" s="24" t="str">
        <f aca="false">IF(IFERROR(INDEX(tsk_Name,(ROW()-ROW(MSPTasks[[#Headers],[ID]])))="",TRUE()),"",INDEX(tsk_Name,(ROW()-ROW(MSPTasks[[#Headers],[ID]]))))</f>
        <v/>
      </c>
      <c r="D49" s="24" t="str">
        <f aca="false">IF(IFERROR(INDEX(tsk_Name,(ROW()-ROW(MSPTasks[[#Headers],[ID]])))="",TRUE()),"",INDEX(tsk_Level,(ROW()-ROW(MSPTasks[[#Headers],[ID]]))))</f>
        <v/>
      </c>
      <c r="E49" s="24" t="str">
        <f aca="false">IF(IFERROR(INDEX(tsk_Name,(ROW()-ROW(MSPTasks[[#Headers],[ID]])))="",TRUE()),"",IF(INDEX(tsk_Mode,(ROW()-ROW(MSPTasks[[#Headers],[ID]])))="Manual","Manually Scheduled","Auto Scheduled"))</f>
        <v/>
      </c>
      <c r="F49" s="24" t="str">
        <f aca="false">IF(IFERROR(INDEX(tsk_Name,(ROW()-ROW(MSPTasks[[#Headers],[ID]])))="",TRUE()),"",IF(INDEX(tsk_IsSummary,(ROW()-ROW(MSPTasks[[#Headers],[ID]]))),"",N(INDEX(tsk_Duration,(ROW()-ROW(MSPTasks[[#Headers],[ID]]))))&amp;"d"))</f>
        <v/>
      </c>
      <c r="G49" s="137" t="str">
        <f aca="false">IF(IFERROR(INDEX(tsk_Name,(ROW()-ROW(MSPTasks[[#Headers],[ID]])))="",TRUE()),"",INDEX(tsk_FcStart,(ROW()-ROW(MSPTasks[[#Headers],[ID]]))))</f>
        <v/>
      </c>
      <c r="H49" s="137" t="str">
        <f aca="false">IF(IFERROR(INDEX(tsk_Name,(ROW()-ROW(MSPTasks[[#Headers],[ID]])))="",TRUE()),"",INDEX(tsk_FcFinish,(ROW()-ROW(MSPTasks[[#Headers],[ID]]))))</f>
        <v/>
      </c>
      <c r="I49" s="24" t="str">
        <f aca="false">IF(IFERROR(INDEX(tsk_Name,(ROW()-ROW(MSPTasks[[#Headers],[ID]])))="",TRUE()),"",IF(INDEX(tsk_IsSummary,(ROW()-ROW(MSPTasks[[#Headers],[ID]]))),"",INDEX(tsk_Predecessors,(ROW()-ROW(MSPTasks[[#Headers],[ID]])))))</f>
        <v/>
      </c>
      <c r="J49" s="24" t="str">
        <f aca="false">IF(IFERROR(INDEX(tsk_Name,(ROW()-ROW(MSPTasks[[#Headers],[ID]])))="",TRUE()),"",IF(INDEX(tsk_IsSummary,(ROW()-ROW(MSPTasks[[#Headers],[ID]]))),"",INDEX(tsk_UIDPredecessors,(ROW()-ROW(MSPTasks[[#Headers],[ID]])))))</f>
        <v/>
      </c>
      <c r="K49" s="24" t="str">
        <f aca="false">IF(IFERROR(INDEX(tsk_Name,(ROW()-ROW(MSPTasks[[#Headers],[ID]])))="",TRUE()),"",INDEX(tsk_ResourceNames,(ROW()-ROW(MSPTasks[[#Headers],[ID]])))&amp;"")</f>
        <v/>
      </c>
      <c r="L49" s="24" t="str">
        <f aca="false">IF(IFERROR(INDEX(tsk_Name,(ROW()-ROW(MSPTasks[[#Headers],[ID]])))="",TRUE()),"",IF(INDEX(tsk_IsSummary,(ROW()-ROW(MSPTasks[[#Headers],[ID]]))),"",ROUND(INDEX(tsk_Progress,(ROW()-ROW(MSPTasks[[#Headers],[ID]])))*100,0)))</f>
        <v/>
      </c>
      <c r="M49" s="137" t="str">
        <f aca="false">IF(IFERROR(INDEX(tsk_Name,(ROW()-ROW(MSPTasks[[#Headers],[ID]])))="",TRUE()),"",IF(N(INDEX(tsk_ActStart,(ROW()-ROW(MSPTasks[[#Headers],[ID]]))))=0,"",INDEX(tsk_ActStart,(ROW()-ROW(MSPTasks[[#Headers],[ID]])))))</f>
        <v/>
      </c>
      <c r="N49" s="137" t="str">
        <f aca="false">IF(IFERROR(INDEX(tsk_Name,(ROW()-ROW(MSPTasks[[#Headers],[ID]])))="",TRUE()),"",IF(N(INDEX(tsk_ActFinish,(ROW()-ROW(MSPTasks[[#Headers],[ID]]))))=0,"",INDEX(tsk_ActFinish,(ROW()-ROW(MSPTasks[[#Headers],[ID]])))))</f>
        <v/>
      </c>
      <c r="O49" s="137" t="str">
        <f aca="false">IF(IFERROR(INDEX(tsk_Name,(ROW()-ROW(MSPTasks[[#Headers],[ID]])))="",TRUE()),"",INDEX(tsk_PlanStart,(ROW()-ROW(MSPTasks[[#Headers],[ID]]))))</f>
        <v/>
      </c>
      <c r="P49" s="137" t="str">
        <f aca="false">IF(IFERROR(INDEX(tsk_Name,(ROW()-ROW(MSPTasks[[#Headers],[ID]])))="",TRUE()),"",INDEX(tsk_PlanFinish,(ROW()-ROW(MSPTasks[[#Headers],[ID]]))))</f>
        <v/>
      </c>
      <c r="Q49" s="24" t="str">
        <f aca="false">IF(IFERROR(INDEX(tsk_Name,(ROW()-ROW(MSPTasks[[#Headers],[ID]])))="",TRUE()),"",IF(INDEX(tsk_BaseDuration,(ROW()-ROW(MSPTasks[[#Headers],[ID]])))="","",N(INDEX(tsk_BaseDuration,(ROW()-ROW(MSPTasks[[#Headers],[ID]]))))&amp;"d"))</f>
        <v/>
      </c>
      <c r="R49" s="24" t="str">
        <f aca="false">IF(IFERROR(INDEX(tsk_Name,(ROW()-ROW(MSPTasks[[#Headers],[ID]])))="",TRUE()),"",IF(INDEX(tsk_BaseWork,(ROW()-ROW(MSPTasks[[#Headers],[ID]])))="","",N(INDEX(tsk_BaseWork,(ROW()-ROW(MSPTasks[[#Headers],[ID]]))))&amp;"h"))</f>
        <v/>
      </c>
      <c r="S49" s="24" t="str">
        <f aca="false">IF(IFERROR(INDEX(tsk_Name,(ROW()-ROW(MSPTasks[[#Headers],[ID]])))="",TRUE()),"",IF(INDEX(tsk_BaseCost,(ROW()-ROW(MSPTasks[[#Headers],[ID]])))="","",N(INDEX(tsk_BaseCost,(ROW()-ROW(MSPTasks[[#Headers],[ID]]))))))</f>
        <v/>
      </c>
      <c r="T49" s="24" t="str">
        <f aca="false">IF(IFERROR(INDEX(tsk_Name,(ROW()-ROW(MSPTasks[[#Headers],[ID]])))="",TRUE()),"",IF(INDEX(tsk_IsSummary,(ROW()-ROW(MSPTasks[[#Headers],[ID]]))),"",IF(N(INDEX(tsk_ActCostInput,(ROW()-ROW(MSPTasks[[#Headers],[ID]]))))=0,"",INDEX(tsk_ActCostInput,(ROW()-ROW(MSPTasks[[#Headers],[ID]]))))))</f>
        <v/>
      </c>
      <c r="U4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49" s="137" t="str">
        <f aca="false">IF(IFERROR(INDEX(tsk_Name,(ROW()-ROW(MSPTasks[[#Headers],[ID]])))="",TRUE()),"",IF(OR(INDEX(tsk_IsSummary,(ROW()-ROW(MSPTasks[[#Headers],[ID]]))),INDEX(tsk_Mode,(ROW()-ROW(MSPTasks[[#Headers],[ID]])))="Manual"),"",IF(N(INDEX(tsk_ConstraintCode,(ROW()-ROW(MSPTasks[[#Headers],[ID]]))))&lt;2,"",INDEX(tsk_Constraint,(ROW()-ROW(MSPTasks[[#Headers],[ID]]))))))</f>
        <v/>
      </c>
      <c r="W49" s="137" t="str">
        <f aca="false">IF(IFERROR(INDEX(tsk_Name,(ROW()-ROW(MSPTasks[[#Headers],[ID]])))="",TRUE()),"",IF(N(INDEX(tsk_Deadline,(ROW()-ROW(MSPTasks[[#Headers],[ID]]))))=0,"",INDEX(tsk_Deadline,(ROW()-ROW(MSPTasks[[#Headers],[ID]])))))</f>
        <v/>
      </c>
      <c r="X49" s="24" t="str">
        <f aca="false">IF(IFERROR(INDEX(tsk_Name,(ROW()-ROW(MSPTasks[[#Headers],[ID]])))="",TRUE()),"",IF(INDEX(tsk_IsSummary,(ROW()-ROW(MSPTasks[[#Headers],[ID]]))),"",INDEX(tsk_Sprint,(ROW()-ROW(MSPTasks[[#Headers],[ID]])))&amp;""))</f>
        <v/>
      </c>
      <c r="Y49" s="24" t="str">
        <f aca="false">IF(IFERROR(INDEX(tsk_Name,(ROW()-ROW(MSPTasks[[#Headers],[ID]])))="",TRUE()),"",IF(INDEX(tsk_IsSummary,(ROW()-ROW(MSPTasks[[#Headers],[ID]]))),"",IF(N(INDEX(tsk_StoryPoints,(ROW()-ROW(MSPTasks[[#Headers],[ID]]))))=0,"",INDEX(tsk_StoryPoints,(ROW()-ROW(MSPTasks[[#Headers],[ID]]))))))</f>
        <v/>
      </c>
      <c r="Z49" s="24" t="str">
        <f aca="false">IF(IFERROR(INDEX(tsk_Name,(ROW()-ROW(MSPTasks[[#Headers],[ID]])))="",TRUE()),"",INDEX(tsk_Notes,(ROW()-ROW(MSPTasks[[#Headers],[ID]])))&amp;"")</f>
        <v/>
      </c>
    </row>
    <row r="50" customFormat="false" ht="15" hidden="false" customHeight="false" outlineLevel="0" collapsed="false">
      <c r="A50" s="24" t="str">
        <f aca="false">IF(IFERROR(INDEX(tsk_Name,(ROW()-ROW(MSPTasks[[#Headers],[ID]])))="",TRUE()),"",INDEX(tsk_ID,(ROW()-ROW(MSPTasks[[#Headers],[ID]]))))</f>
        <v/>
      </c>
      <c r="B50" s="24" t="str">
        <f aca="false">IF(IFERROR(INDEX(tsk_Name,(ROW()-ROW(MSPTasks[[#Headers],[ID]])))="",TRUE()),"",INDEX(tsk_UID,(ROW()-ROW(MSPTasks[[#Headers],[ID]]))))</f>
        <v/>
      </c>
      <c r="C50" s="24" t="str">
        <f aca="false">IF(IFERROR(INDEX(tsk_Name,(ROW()-ROW(MSPTasks[[#Headers],[ID]])))="",TRUE()),"",INDEX(tsk_Name,(ROW()-ROW(MSPTasks[[#Headers],[ID]]))))</f>
        <v/>
      </c>
      <c r="D50" s="24" t="str">
        <f aca="false">IF(IFERROR(INDEX(tsk_Name,(ROW()-ROW(MSPTasks[[#Headers],[ID]])))="",TRUE()),"",INDEX(tsk_Level,(ROW()-ROW(MSPTasks[[#Headers],[ID]]))))</f>
        <v/>
      </c>
      <c r="E50" s="24" t="str">
        <f aca="false">IF(IFERROR(INDEX(tsk_Name,(ROW()-ROW(MSPTasks[[#Headers],[ID]])))="",TRUE()),"",IF(INDEX(tsk_Mode,(ROW()-ROW(MSPTasks[[#Headers],[ID]])))="Manual","Manually Scheduled","Auto Scheduled"))</f>
        <v/>
      </c>
      <c r="F50" s="24" t="str">
        <f aca="false">IF(IFERROR(INDEX(tsk_Name,(ROW()-ROW(MSPTasks[[#Headers],[ID]])))="",TRUE()),"",IF(INDEX(tsk_IsSummary,(ROW()-ROW(MSPTasks[[#Headers],[ID]]))),"",N(INDEX(tsk_Duration,(ROW()-ROW(MSPTasks[[#Headers],[ID]]))))&amp;"d"))</f>
        <v/>
      </c>
      <c r="G50" s="137" t="str">
        <f aca="false">IF(IFERROR(INDEX(tsk_Name,(ROW()-ROW(MSPTasks[[#Headers],[ID]])))="",TRUE()),"",INDEX(tsk_FcStart,(ROW()-ROW(MSPTasks[[#Headers],[ID]]))))</f>
        <v/>
      </c>
      <c r="H50" s="137" t="str">
        <f aca="false">IF(IFERROR(INDEX(tsk_Name,(ROW()-ROW(MSPTasks[[#Headers],[ID]])))="",TRUE()),"",INDEX(tsk_FcFinish,(ROW()-ROW(MSPTasks[[#Headers],[ID]]))))</f>
        <v/>
      </c>
      <c r="I50" s="24" t="str">
        <f aca="false">IF(IFERROR(INDEX(tsk_Name,(ROW()-ROW(MSPTasks[[#Headers],[ID]])))="",TRUE()),"",IF(INDEX(tsk_IsSummary,(ROW()-ROW(MSPTasks[[#Headers],[ID]]))),"",INDEX(tsk_Predecessors,(ROW()-ROW(MSPTasks[[#Headers],[ID]])))))</f>
        <v/>
      </c>
      <c r="J50" s="24" t="str">
        <f aca="false">IF(IFERROR(INDEX(tsk_Name,(ROW()-ROW(MSPTasks[[#Headers],[ID]])))="",TRUE()),"",IF(INDEX(tsk_IsSummary,(ROW()-ROW(MSPTasks[[#Headers],[ID]]))),"",INDEX(tsk_UIDPredecessors,(ROW()-ROW(MSPTasks[[#Headers],[ID]])))))</f>
        <v/>
      </c>
      <c r="K50" s="24" t="str">
        <f aca="false">IF(IFERROR(INDEX(tsk_Name,(ROW()-ROW(MSPTasks[[#Headers],[ID]])))="",TRUE()),"",INDEX(tsk_ResourceNames,(ROW()-ROW(MSPTasks[[#Headers],[ID]])))&amp;"")</f>
        <v/>
      </c>
      <c r="L50" s="24" t="str">
        <f aca="false">IF(IFERROR(INDEX(tsk_Name,(ROW()-ROW(MSPTasks[[#Headers],[ID]])))="",TRUE()),"",IF(INDEX(tsk_IsSummary,(ROW()-ROW(MSPTasks[[#Headers],[ID]]))),"",ROUND(INDEX(tsk_Progress,(ROW()-ROW(MSPTasks[[#Headers],[ID]])))*100,0)))</f>
        <v/>
      </c>
      <c r="M50" s="137" t="str">
        <f aca="false">IF(IFERROR(INDEX(tsk_Name,(ROW()-ROW(MSPTasks[[#Headers],[ID]])))="",TRUE()),"",IF(N(INDEX(tsk_ActStart,(ROW()-ROW(MSPTasks[[#Headers],[ID]]))))=0,"",INDEX(tsk_ActStart,(ROW()-ROW(MSPTasks[[#Headers],[ID]])))))</f>
        <v/>
      </c>
      <c r="N50" s="137" t="str">
        <f aca="false">IF(IFERROR(INDEX(tsk_Name,(ROW()-ROW(MSPTasks[[#Headers],[ID]])))="",TRUE()),"",IF(N(INDEX(tsk_ActFinish,(ROW()-ROW(MSPTasks[[#Headers],[ID]]))))=0,"",INDEX(tsk_ActFinish,(ROW()-ROW(MSPTasks[[#Headers],[ID]])))))</f>
        <v/>
      </c>
      <c r="O50" s="137" t="str">
        <f aca="false">IF(IFERROR(INDEX(tsk_Name,(ROW()-ROW(MSPTasks[[#Headers],[ID]])))="",TRUE()),"",INDEX(tsk_PlanStart,(ROW()-ROW(MSPTasks[[#Headers],[ID]]))))</f>
        <v/>
      </c>
      <c r="P50" s="137" t="str">
        <f aca="false">IF(IFERROR(INDEX(tsk_Name,(ROW()-ROW(MSPTasks[[#Headers],[ID]])))="",TRUE()),"",INDEX(tsk_PlanFinish,(ROW()-ROW(MSPTasks[[#Headers],[ID]]))))</f>
        <v/>
      </c>
      <c r="Q50" s="24" t="str">
        <f aca="false">IF(IFERROR(INDEX(tsk_Name,(ROW()-ROW(MSPTasks[[#Headers],[ID]])))="",TRUE()),"",IF(INDEX(tsk_BaseDuration,(ROW()-ROW(MSPTasks[[#Headers],[ID]])))="","",N(INDEX(tsk_BaseDuration,(ROW()-ROW(MSPTasks[[#Headers],[ID]]))))&amp;"d"))</f>
        <v/>
      </c>
      <c r="R50" s="24" t="str">
        <f aca="false">IF(IFERROR(INDEX(tsk_Name,(ROW()-ROW(MSPTasks[[#Headers],[ID]])))="",TRUE()),"",IF(INDEX(tsk_BaseWork,(ROW()-ROW(MSPTasks[[#Headers],[ID]])))="","",N(INDEX(tsk_BaseWork,(ROW()-ROW(MSPTasks[[#Headers],[ID]]))))&amp;"h"))</f>
        <v/>
      </c>
      <c r="S50" s="24" t="str">
        <f aca="false">IF(IFERROR(INDEX(tsk_Name,(ROW()-ROW(MSPTasks[[#Headers],[ID]])))="",TRUE()),"",IF(INDEX(tsk_BaseCost,(ROW()-ROW(MSPTasks[[#Headers],[ID]])))="","",N(INDEX(tsk_BaseCost,(ROW()-ROW(MSPTasks[[#Headers],[ID]]))))))</f>
        <v/>
      </c>
      <c r="T50" s="24" t="str">
        <f aca="false">IF(IFERROR(INDEX(tsk_Name,(ROW()-ROW(MSPTasks[[#Headers],[ID]])))="",TRUE()),"",IF(INDEX(tsk_IsSummary,(ROW()-ROW(MSPTasks[[#Headers],[ID]]))),"",IF(N(INDEX(tsk_ActCostInput,(ROW()-ROW(MSPTasks[[#Headers],[ID]]))))=0,"",INDEX(tsk_ActCostInput,(ROW()-ROW(MSPTasks[[#Headers],[ID]]))))))</f>
        <v/>
      </c>
      <c r="U5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0" s="137" t="str">
        <f aca="false">IF(IFERROR(INDEX(tsk_Name,(ROW()-ROW(MSPTasks[[#Headers],[ID]])))="",TRUE()),"",IF(OR(INDEX(tsk_IsSummary,(ROW()-ROW(MSPTasks[[#Headers],[ID]]))),INDEX(tsk_Mode,(ROW()-ROW(MSPTasks[[#Headers],[ID]])))="Manual"),"",IF(N(INDEX(tsk_ConstraintCode,(ROW()-ROW(MSPTasks[[#Headers],[ID]]))))&lt;2,"",INDEX(tsk_Constraint,(ROW()-ROW(MSPTasks[[#Headers],[ID]]))))))</f>
        <v/>
      </c>
      <c r="W50" s="137" t="str">
        <f aca="false">IF(IFERROR(INDEX(tsk_Name,(ROW()-ROW(MSPTasks[[#Headers],[ID]])))="",TRUE()),"",IF(N(INDEX(tsk_Deadline,(ROW()-ROW(MSPTasks[[#Headers],[ID]]))))=0,"",INDEX(tsk_Deadline,(ROW()-ROW(MSPTasks[[#Headers],[ID]])))))</f>
        <v/>
      </c>
      <c r="X50" s="24" t="str">
        <f aca="false">IF(IFERROR(INDEX(tsk_Name,(ROW()-ROW(MSPTasks[[#Headers],[ID]])))="",TRUE()),"",IF(INDEX(tsk_IsSummary,(ROW()-ROW(MSPTasks[[#Headers],[ID]]))),"",INDEX(tsk_Sprint,(ROW()-ROW(MSPTasks[[#Headers],[ID]])))&amp;""))</f>
        <v/>
      </c>
      <c r="Y50" s="24" t="str">
        <f aca="false">IF(IFERROR(INDEX(tsk_Name,(ROW()-ROW(MSPTasks[[#Headers],[ID]])))="",TRUE()),"",IF(INDEX(tsk_IsSummary,(ROW()-ROW(MSPTasks[[#Headers],[ID]]))),"",IF(N(INDEX(tsk_StoryPoints,(ROW()-ROW(MSPTasks[[#Headers],[ID]]))))=0,"",INDEX(tsk_StoryPoints,(ROW()-ROW(MSPTasks[[#Headers],[ID]]))))))</f>
        <v/>
      </c>
      <c r="Z50" s="24" t="str">
        <f aca="false">IF(IFERROR(INDEX(tsk_Name,(ROW()-ROW(MSPTasks[[#Headers],[ID]])))="",TRUE()),"",INDEX(tsk_Notes,(ROW()-ROW(MSPTasks[[#Headers],[ID]])))&amp;"")</f>
        <v/>
      </c>
    </row>
    <row r="51" customFormat="false" ht="15" hidden="false" customHeight="false" outlineLevel="0" collapsed="false">
      <c r="A51" s="24" t="str">
        <f aca="false">IF(IFERROR(INDEX(tsk_Name,(ROW()-ROW(MSPTasks[[#Headers],[ID]])))="",TRUE()),"",INDEX(tsk_ID,(ROW()-ROW(MSPTasks[[#Headers],[ID]]))))</f>
        <v/>
      </c>
      <c r="B51" s="24" t="str">
        <f aca="false">IF(IFERROR(INDEX(tsk_Name,(ROW()-ROW(MSPTasks[[#Headers],[ID]])))="",TRUE()),"",INDEX(tsk_UID,(ROW()-ROW(MSPTasks[[#Headers],[ID]]))))</f>
        <v/>
      </c>
      <c r="C51" s="24" t="str">
        <f aca="false">IF(IFERROR(INDEX(tsk_Name,(ROW()-ROW(MSPTasks[[#Headers],[ID]])))="",TRUE()),"",INDEX(tsk_Name,(ROW()-ROW(MSPTasks[[#Headers],[ID]]))))</f>
        <v/>
      </c>
      <c r="D51" s="24" t="str">
        <f aca="false">IF(IFERROR(INDEX(tsk_Name,(ROW()-ROW(MSPTasks[[#Headers],[ID]])))="",TRUE()),"",INDEX(tsk_Level,(ROW()-ROW(MSPTasks[[#Headers],[ID]]))))</f>
        <v/>
      </c>
      <c r="E51" s="24" t="str">
        <f aca="false">IF(IFERROR(INDEX(tsk_Name,(ROW()-ROW(MSPTasks[[#Headers],[ID]])))="",TRUE()),"",IF(INDEX(tsk_Mode,(ROW()-ROW(MSPTasks[[#Headers],[ID]])))="Manual","Manually Scheduled","Auto Scheduled"))</f>
        <v/>
      </c>
      <c r="F51" s="24" t="str">
        <f aca="false">IF(IFERROR(INDEX(tsk_Name,(ROW()-ROW(MSPTasks[[#Headers],[ID]])))="",TRUE()),"",IF(INDEX(tsk_IsSummary,(ROW()-ROW(MSPTasks[[#Headers],[ID]]))),"",N(INDEX(tsk_Duration,(ROW()-ROW(MSPTasks[[#Headers],[ID]]))))&amp;"d"))</f>
        <v/>
      </c>
      <c r="G51" s="137" t="str">
        <f aca="false">IF(IFERROR(INDEX(tsk_Name,(ROW()-ROW(MSPTasks[[#Headers],[ID]])))="",TRUE()),"",INDEX(tsk_FcStart,(ROW()-ROW(MSPTasks[[#Headers],[ID]]))))</f>
        <v/>
      </c>
      <c r="H51" s="137" t="str">
        <f aca="false">IF(IFERROR(INDEX(tsk_Name,(ROW()-ROW(MSPTasks[[#Headers],[ID]])))="",TRUE()),"",INDEX(tsk_FcFinish,(ROW()-ROW(MSPTasks[[#Headers],[ID]]))))</f>
        <v/>
      </c>
      <c r="I51" s="24" t="str">
        <f aca="false">IF(IFERROR(INDEX(tsk_Name,(ROW()-ROW(MSPTasks[[#Headers],[ID]])))="",TRUE()),"",IF(INDEX(tsk_IsSummary,(ROW()-ROW(MSPTasks[[#Headers],[ID]]))),"",INDEX(tsk_Predecessors,(ROW()-ROW(MSPTasks[[#Headers],[ID]])))))</f>
        <v/>
      </c>
      <c r="J51" s="24" t="str">
        <f aca="false">IF(IFERROR(INDEX(tsk_Name,(ROW()-ROW(MSPTasks[[#Headers],[ID]])))="",TRUE()),"",IF(INDEX(tsk_IsSummary,(ROW()-ROW(MSPTasks[[#Headers],[ID]]))),"",INDEX(tsk_UIDPredecessors,(ROW()-ROW(MSPTasks[[#Headers],[ID]])))))</f>
        <v/>
      </c>
      <c r="K51" s="24" t="str">
        <f aca="false">IF(IFERROR(INDEX(tsk_Name,(ROW()-ROW(MSPTasks[[#Headers],[ID]])))="",TRUE()),"",INDEX(tsk_ResourceNames,(ROW()-ROW(MSPTasks[[#Headers],[ID]])))&amp;"")</f>
        <v/>
      </c>
      <c r="L51" s="24" t="str">
        <f aca="false">IF(IFERROR(INDEX(tsk_Name,(ROW()-ROW(MSPTasks[[#Headers],[ID]])))="",TRUE()),"",IF(INDEX(tsk_IsSummary,(ROW()-ROW(MSPTasks[[#Headers],[ID]]))),"",ROUND(INDEX(tsk_Progress,(ROW()-ROW(MSPTasks[[#Headers],[ID]])))*100,0)))</f>
        <v/>
      </c>
      <c r="M51" s="137" t="str">
        <f aca="false">IF(IFERROR(INDEX(tsk_Name,(ROW()-ROW(MSPTasks[[#Headers],[ID]])))="",TRUE()),"",IF(N(INDEX(tsk_ActStart,(ROW()-ROW(MSPTasks[[#Headers],[ID]]))))=0,"",INDEX(tsk_ActStart,(ROW()-ROW(MSPTasks[[#Headers],[ID]])))))</f>
        <v/>
      </c>
      <c r="N51" s="137" t="str">
        <f aca="false">IF(IFERROR(INDEX(tsk_Name,(ROW()-ROW(MSPTasks[[#Headers],[ID]])))="",TRUE()),"",IF(N(INDEX(tsk_ActFinish,(ROW()-ROW(MSPTasks[[#Headers],[ID]]))))=0,"",INDEX(tsk_ActFinish,(ROW()-ROW(MSPTasks[[#Headers],[ID]])))))</f>
        <v/>
      </c>
      <c r="O51" s="137" t="str">
        <f aca="false">IF(IFERROR(INDEX(tsk_Name,(ROW()-ROW(MSPTasks[[#Headers],[ID]])))="",TRUE()),"",INDEX(tsk_PlanStart,(ROW()-ROW(MSPTasks[[#Headers],[ID]]))))</f>
        <v/>
      </c>
      <c r="P51" s="137" t="str">
        <f aca="false">IF(IFERROR(INDEX(tsk_Name,(ROW()-ROW(MSPTasks[[#Headers],[ID]])))="",TRUE()),"",INDEX(tsk_PlanFinish,(ROW()-ROW(MSPTasks[[#Headers],[ID]]))))</f>
        <v/>
      </c>
      <c r="Q51" s="24" t="str">
        <f aca="false">IF(IFERROR(INDEX(tsk_Name,(ROW()-ROW(MSPTasks[[#Headers],[ID]])))="",TRUE()),"",IF(INDEX(tsk_BaseDuration,(ROW()-ROW(MSPTasks[[#Headers],[ID]])))="","",N(INDEX(tsk_BaseDuration,(ROW()-ROW(MSPTasks[[#Headers],[ID]]))))&amp;"d"))</f>
        <v/>
      </c>
      <c r="R51" s="24" t="str">
        <f aca="false">IF(IFERROR(INDEX(tsk_Name,(ROW()-ROW(MSPTasks[[#Headers],[ID]])))="",TRUE()),"",IF(INDEX(tsk_BaseWork,(ROW()-ROW(MSPTasks[[#Headers],[ID]])))="","",N(INDEX(tsk_BaseWork,(ROW()-ROW(MSPTasks[[#Headers],[ID]]))))&amp;"h"))</f>
        <v/>
      </c>
      <c r="S51" s="24" t="str">
        <f aca="false">IF(IFERROR(INDEX(tsk_Name,(ROW()-ROW(MSPTasks[[#Headers],[ID]])))="",TRUE()),"",IF(INDEX(tsk_BaseCost,(ROW()-ROW(MSPTasks[[#Headers],[ID]])))="","",N(INDEX(tsk_BaseCost,(ROW()-ROW(MSPTasks[[#Headers],[ID]]))))))</f>
        <v/>
      </c>
      <c r="T51" s="24" t="str">
        <f aca="false">IF(IFERROR(INDEX(tsk_Name,(ROW()-ROW(MSPTasks[[#Headers],[ID]])))="",TRUE()),"",IF(INDEX(tsk_IsSummary,(ROW()-ROW(MSPTasks[[#Headers],[ID]]))),"",IF(N(INDEX(tsk_ActCostInput,(ROW()-ROW(MSPTasks[[#Headers],[ID]]))))=0,"",INDEX(tsk_ActCostInput,(ROW()-ROW(MSPTasks[[#Headers],[ID]]))))))</f>
        <v/>
      </c>
      <c r="U5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1" s="137" t="str">
        <f aca="false">IF(IFERROR(INDEX(tsk_Name,(ROW()-ROW(MSPTasks[[#Headers],[ID]])))="",TRUE()),"",IF(OR(INDEX(tsk_IsSummary,(ROW()-ROW(MSPTasks[[#Headers],[ID]]))),INDEX(tsk_Mode,(ROW()-ROW(MSPTasks[[#Headers],[ID]])))="Manual"),"",IF(N(INDEX(tsk_ConstraintCode,(ROW()-ROW(MSPTasks[[#Headers],[ID]]))))&lt;2,"",INDEX(tsk_Constraint,(ROW()-ROW(MSPTasks[[#Headers],[ID]]))))))</f>
        <v/>
      </c>
      <c r="W51" s="137" t="str">
        <f aca="false">IF(IFERROR(INDEX(tsk_Name,(ROW()-ROW(MSPTasks[[#Headers],[ID]])))="",TRUE()),"",IF(N(INDEX(tsk_Deadline,(ROW()-ROW(MSPTasks[[#Headers],[ID]]))))=0,"",INDEX(tsk_Deadline,(ROW()-ROW(MSPTasks[[#Headers],[ID]])))))</f>
        <v/>
      </c>
      <c r="X51" s="24" t="str">
        <f aca="false">IF(IFERROR(INDEX(tsk_Name,(ROW()-ROW(MSPTasks[[#Headers],[ID]])))="",TRUE()),"",IF(INDEX(tsk_IsSummary,(ROW()-ROW(MSPTasks[[#Headers],[ID]]))),"",INDEX(tsk_Sprint,(ROW()-ROW(MSPTasks[[#Headers],[ID]])))&amp;""))</f>
        <v/>
      </c>
      <c r="Y51" s="24" t="str">
        <f aca="false">IF(IFERROR(INDEX(tsk_Name,(ROW()-ROW(MSPTasks[[#Headers],[ID]])))="",TRUE()),"",IF(INDEX(tsk_IsSummary,(ROW()-ROW(MSPTasks[[#Headers],[ID]]))),"",IF(N(INDEX(tsk_StoryPoints,(ROW()-ROW(MSPTasks[[#Headers],[ID]]))))=0,"",INDEX(tsk_StoryPoints,(ROW()-ROW(MSPTasks[[#Headers],[ID]]))))))</f>
        <v/>
      </c>
      <c r="Z51" s="24" t="str">
        <f aca="false">IF(IFERROR(INDEX(tsk_Name,(ROW()-ROW(MSPTasks[[#Headers],[ID]])))="",TRUE()),"",INDEX(tsk_Notes,(ROW()-ROW(MSPTasks[[#Headers],[ID]])))&amp;"")</f>
        <v/>
      </c>
    </row>
    <row r="52" customFormat="false" ht="15" hidden="false" customHeight="false" outlineLevel="0" collapsed="false">
      <c r="A52" s="24" t="str">
        <f aca="false">IF(IFERROR(INDEX(tsk_Name,(ROW()-ROW(MSPTasks[[#Headers],[ID]])))="",TRUE()),"",INDEX(tsk_ID,(ROW()-ROW(MSPTasks[[#Headers],[ID]]))))</f>
        <v/>
      </c>
      <c r="B52" s="24" t="str">
        <f aca="false">IF(IFERROR(INDEX(tsk_Name,(ROW()-ROW(MSPTasks[[#Headers],[ID]])))="",TRUE()),"",INDEX(tsk_UID,(ROW()-ROW(MSPTasks[[#Headers],[ID]]))))</f>
        <v/>
      </c>
      <c r="C52" s="24" t="str">
        <f aca="false">IF(IFERROR(INDEX(tsk_Name,(ROW()-ROW(MSPTasks[[#Headers],[ID]])))="",TRUE()),"",INDEX(tsk_Name,(ROW()-ROW(MSPTasks[[#Headers],[ID]]))))</f>
        <v/>
      </c>
      <c r="D52" s="24" t="str">
        <f aca="false">IF(IFERROR(INDEX(tsk_Name,(ROW()-ROW(MSPTasks[[#Headers],[ID]])))="",TRUE()),"",INDEX(tsk_Level,(ROW()-ROW(MSPTasks[[#Headers],[ID]]))))</f>
        <v/>
      </c>
      <c r="E52" s="24" t="str">
        <f aca="false">IF(IFERROR(INDEX(tsk_Name,(ROW()-ROW(MSPTasks[[#Headers],[ID]])))="",TRUE()),"",IF(INDEX(tsk_Mode,(ROW()-ROW(MSPTasks[[#Headers],[ID]])))="Manual","Manually Scheduled","Auto Scheduled"))</f>
        <v/>
      </c>
      <c r="F52" s="24" t="str">
        <f aca="false">IF(IFERROR(INDEX(tsk_Name,(ROW()-ROW(MSPTasks[[#Headers],[ID]])))="",TRUE()),"",IF(INDEX(tsk_IsSummary,(ROW()-ROW(MSPTasks[[#Headers],[ID]]))),"",N(INDEX(tsk_Duration,(ROW()-ROW(MSPTasks[[#Headers],[ID]]))))&amp;"d"))</f>
        <v/>
      </c>
      <c r="G52" s="137" t="str">
        <f aca="false">IF(IFERROR(INDEX(tsk_Name,(ROW()-ROW(MSPTasks[[#Headers],[ID]])))="",TRUE()),"",INDEX(tsk_FcStart,(ROW()-ROW(MSPTasks[[#Headers],[ID]]))))</f>
        <v/>
      </c>
      <c r="H52" s="137" t="str">
        <f aca="false">IF(IFERROR(INDEX(tsk_Name,(ROW()-ROW(MSPTasks[[#Headers],[ID]])))="",TRUE()),"",INDEX(tsk_FcFinish,(ROW()-ROW(MSPTasks[[#Headers],[ID]]))))</f>
        <v/>
      </c>
      <c r="I52" s="24" t="str">
        <f aca="false">IF(IFERROR(INDEX(tsk_Name,(ROW()-ROW(MSPTasks[[#Headers],[ID]])))="",TRUE()),"",IF(INDEX(tsk_IsSummary,(ROW()-ROW(MSPTasks[[#Headers],[ID]]))),"",INDEX(tsk_Predecessors,(ROW()-ROW(MSPTasks[[#Headers],[ID]])))))</f>
        <v/>
      </c>
      <c r="J52" s="24" t="str">
        <f aca="false">IF(IFERROR(INDEX(tsk_Name,(ROW()-ROW(MSPTasks[[#Headers],[ID]])))="",TRUE()),"",IF(INDEX(tsk_IsSummary,(ROW()-ROW(MSPTasks[[#Headers],[ID]]))),"",INDEX(tsk_UIDPredecessors,(ROW()-ROW(MSPTasks[[#Headers],[ID]])))))</f>
        <v/>
      </c>
      <c r="K52" s="24" t="str">
        <f aca="false">IF(IFERROR(INDEX(tsk_Name,(ROW()-ROW(MSPTasks[[#Headers],[ID]])))="",TRUE()),"",INDEX(tsk_ResourceNames,(ROW()-ROW(MSPTasks[[#Headers],[ID]])))&amp;"")</f>
        <v/>
      </c>
      <c r="L52" s="24" t="str">
        <f aca="false">IF(IFERROR(INDEX(tsk_Name,(ROW()-ROW(MSPTasks[[#Headers],[ID]])))="",TRUE()),"",IF(INDEX(tsk_IsSummary,(ROW()-ROW(MSPTasks[[#Headers],[ID]]))),"",ROUND(INDEX(tsk_Progress,(ROW()-ROW(MSPTasks[[#Headers],[ID]])))*100,0)))</f>
        <v/>
      </c>
      <c r="M52" s="137" t="str">
        <f aca="false">IF(IFERROR(INDEX(tsk_Name,(ROW()-ROW(MSPTasks[[#Headers],[ID]])))="",TRUE()),"",IF(N(INDEX(tsk_ActStart,(ROW()-ROW(MSPTasks[[#Headers],[ID]]))))=0,"",INDEX(tsk_ActStart,(ROW()-ROW(MSPTasks[[#Headers],[ID]])))))</f>
        <v/>
      </c>
      <c r="N52" s="137" t="str">
        <f aca="false">IF(IFERROR(INDEX(tsk_Name,(ROW()-ROW(MSPTasks[[#Headers],[ID]])))="",TRUE()),"",IF(N(INDEX(tsk_ActFinish,(ROW()-ROW(MSPTasks[[#Headers],[ID]]))))=0,"",INDEX(tsk_ActFinish,(ROW()-ROW(MSPTasks[[#Headers],[ID]])))))</f>
        <v/>
      </c>
      <c r="O52" s="137" t="str">
        <f aca="false">IF(IFERROR(INDEX(tsk_Name,(ROW()-ROW(MSPTasks[[#Headers],[ID]])))="",TRUE()),"",INDEX(tsk_PlanStart,(ROW()-ROW(MSPTasks[[#Headers],[ID]]))))</f>
        <v/>
      </c>
      <c r="P52" s="137" t="str">
        <f aca="false">IF(IFERROR(INDEX(tsk_Name,(ROW()-ROW(MSPTasks[[#Headers],[ID]])))="",TRUE()),"",INDEX(tsk_PlanFinish,(ROW()-ROW(MSPTasks[[#Headers],[ID]]))))</f>
        <v/>
      </c>
      <c r="Q52" s="24" t="str">
        <f aca="false">IF(IFERROR(INDEX(tsk_Name,(ROW()-ROW(MSPTasks[[#Headers],[ID]])))="",TRUE()),"",IF(INDEX(tsk_BaseDuration,(ROW()-ROW(MSPTasks[[#Headers],[ID]])))="","",N(INDEX(tsk_BaseDuration,(ROW()-ROW(MSPTasks[[#Headers],[ID]]))))&amp;"d"))</f>
        <v/>
      </c>
      <c r="R52" s="24" t="str">
        <f aca="false">IF(IFERROR(INDEX(tsk_Name,(ROW()-ROW(MSPTasks[[#Headers],[ID]])))="",TRUE()),"",IF(INDEX(tsk_BaseWork,(ROW()-ROW(MSPTasks[[#Headers],[ID]])))="","",N(INDEX(tsk_BaseWork,(ROW()-ROW(MSPTasks[[#Headers],[ID]]))))&amp;"h"))</f>
        <v/>
      </c>
      <c r="S52" s="24" t="str">
        <f aca="false">IF(IFERROR(INDEX(tsk_Name,(ROW()-ROW(MSPTasks[[#Headers],[ID]])))="",TRUE()),"",IF(INDEX(tsk_BaseCost,(ROW()-ROW(MSPTasks[[#Headers],[ID]])))="","",N(INDEX(tsk_BaseCost,(ROW()-ROW(MSPTasks[[#Headers],[ID]]))))))</f>
        <v/>
      </c>
      <c r="T52" s="24" t="str">
        <f aca="false">IF(IFERROR(INDEX(tsk_Name,(ROW()-ROW(MSPTasks[[#Headers],[ID]])))="",TRUE()),"",IF(INDEX(tsk_IsSummary,(ROW()-ROW(MSPTasks[[#Headers],[ID]]))),"",IF(N(INDEX(tsk_ActCostInput,(ROW()-ROW(MSPTasks[[#Headers],[ID]]))))=0,"",INDEX(tsk_ActCostInput,(ROW()-ROW(MSPTasks[[#Headers],[ID]]))))))</f>
        <v/>
      </c>
      <c r="U5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2" s="137" t="str">
        <f aca="false">IF(IFERROR(INDEX(tsk_Name,(ROW()-ROW(MSPTasks[[#Headers],[ID]])))="",TRUE()),"",IF(OR(INDEX(tsk_IsSummary,(ROW()-ROW(MSPTasks[[#Headers],[ID]]))),INDEX(tsk_Mode,(ROW()-ROW(MSPTasks[[#Headers],[ID]])))="Manual"),"",IF(N(INDEX(tsk_ConstraintCode,(ROW()-ROW(MSPTasks[[#Headers],[ID]]))))&lt;2,"",INDEX(tsk_Constraint,(ROW()-ROW(MSPTasks[[#Headers],[ID]]))))))</f>
        <v/>
      </c>
      <c r="W52" s="137" t="str">
        <f aca="false">IF(IFERROR(INDEX(tsk_Name,(ROW()-ROW(MSPTasks[[#Headers],[ID]])))="",TRUE()),"",IF(N(INDEX(tsk_Deadline,(ROW()-ROW(MSPTasks[[#Headers],[ID]]))))=0,"",INDEX(tsk_Deadline,(ROW()-ROW(MSPTasks[[#Headers],[ID]])))))</f>
        <v/>
      </c>
      <c r="X52" s="24" t="str">
        <f aca="false">IF(IFERROR(INDEX(tsk_Name,(ROW()-ROW(MSPTasks[[#Headers],[ID]])))="",TRUE()),"",IF(INDEX(tsk_IsSummary,(ROW()-ROW(MSPTasks[[#Headers],[ID]]))),"",INDEX(tsk_Sprint,(ROW()-ROW(MSPTasks[[#Headers],[ID]])))&amp;""))</f>
        <v/>
      </c>
      <c r="Y52" s="24" t="str">
        <f aca="false">IF(IFERROR(INDEX(tsk_Name,(ROW()-ROW(MSPTasks[[#Headers],[ID]])))="",TRUE()),"",IF(INDEX(tsk_IsSummary,(ROW()-ROW(MSPTasks[[#Headers],[ID]]))),"",IF(N(INDEX(tsk_StoryPoints,(ROW()-ROW(MSPTasks[[#Headers],[ID]]))))=0,"",INDEX(tsk_StoryPoints,(ROW()-ROW(MSPTasks[[#Headers],[ID]]))))))</f>
        <v/>
      </c>
      <c r="Z52" s="24" t="str">
        <f aca="false">IF(IFERROR(INDEX(tsk_Name,(ROW()-ROW(MSPTasks[[#Headers],[ID]])))="",TRUE()),"",INDEX(tsk_Notes,(ROW()-ROW(MSPTasks[[#Headers],[ID]])))&amp;"")</f>
        <v/>
      </c>
    </row>
    <row r="53" customFormat="false" ht="15" hidden="false" customHeight="false" outlineLevel="0" collapsed="false">
      <c r="A53" s="24" t="str">
        <f aca="false">IF(IFERROR(INDEX(tsk_Name,(ROW()-ROW(MSPTasks[[#Headers],[ID]])))="",TRUE()),"",INDEX(tsk_ID,(ROW()-ROW(MSPTasks[[#Headers],[ID]]))))</f>
        <v/>
      </c>
      <c r="B53" s="24" t="str">
        <f aca="false">IF(IFERROR(INDEX(tsk_Name,(ROW()-ROW(MSPTasks[[#Headers],[ID]])))="",TRUE()),"",INDEX(tsk_UID,(ROW()-ROW(MSPTasks[[#Headers],[ID]]))))</f>
        <v/>
      </c>
      <c r="C53" s="24" t="str">
        <f aca="false">IF(IFERROR(INDEX(tsk_Name,(ROW()-ROW(MSPTasks[[#Headers],[ID]])))="",TRUE()),"",INDEX(tsk_Name,(ROW()-ROW(MSPTasks[[#Headers],[ID]]))))</f>
        <v/>
      </c>
      <c r="D53" s="24" t="str">
        <f aca="false">IF(IFERROR(INDEX(tsk_Name,(ROW()-ROW(MSPTasks[[#Headers],[ID]])))="",TRUE()),"",INDEX(tsk_Level,(ROW()-ROW(MSPTasks[[#Headers],[ID]]))))</f>
        <v/>
      </c>
      <c r="E53" s="24" t="str">
        <f aca="false">IF(IFERROR(INDEX(tsk_Name,(ROW()-ROW(MSPTasks[[#Headers],[ID]])))="",TRUE()),"",IF(INDEX(tsk_Mode,(ROW()-ROW(MSPTasks[[#Headers],[ID]])))="Manual","Manually Scheduled","Auto Scheduled"))</f>
        <v/>
      </c>
      <c r="F53" s="24" t="str">
        <f aca="false">IF(IFERROR(INDEX(tsk_Name,(ROW()-ROW(MSPTasks[[#Headers],[ID]])))="",TRUE()),"",IF(INDEX(tsk_IsSummary,(ROW()-ROW(MSPTasks[[#Headers],[ID]]))),"",N(INDEX(tsk_Duration,(ROW()-ROW(MSPTasks[[#Headers],[ID]]))))&amp;"d"))</f>
        <v/>
      </c>
      <c r="G53" s="137" t="str">
        <f aca="false">IF(IFERROR(INDEX(tsk_Name,(ROW()-ROW(MSPTasks[[#Headers],[ID]])))="",TRUE()),"",INDEX(tsk_FcStart,(ROW()-ROW(MSPTasks[[#Headers],[ID]]))))</f>
        <v/>
      </c>
      <c r="H53" s="137" t="str">
        <f aca="false">IF(IFERROR(INDEX(tsk_Name,(ROW()-ROW(MSPTasks[[#Headers],[ID]])))="",TRUE()),"",INDEX(tsk_FcFinish,(ROW()-ROW(MSPTasks[[#Headers],[ID]]))))</f>
        <v/>
      </c>
      <c r="I53" s="24" t="str">
        <f aca="false">IF(IFERROR(INDEX(tsk_Name,(ROW()-ROW(MSPTasks[[#Headers],[ID]])))="",TRUE()),"",IF(INDEX(tsk_IsSummary,(ROW()-ROW(MSPTasks[[#Headers],[ID]]))),"",INDEX(tsk_Predecessors,(ROW()-ROW(MSPTasks[[#Headers],[ID]])))))</f>
        <v/>
      </c>
      <c r="J53" s="24" t="str">
        <f aca="false">IF(IFERROR(INDEX(tsk_Name,(ROW()-ROW(MSPTasks[[#Headers],[ID]])))="",TRUE()),"",IF(INDEX(tsk_IsSummary,(ROW()-ROW(MSPTasks[[#Headers],[ID]]))),"",INDEX(tsk_UIDPredecessors,(ROW()-ROW(MSPTasks[[#Headers],[ID]])))))</f>
        <v/>
      </c>
      <c r="K53" s="24" t="str">
        <f aca="false">IF(IFERROR(INDEX(tsk_Name,(ROW()-ROW(MSPTasks[[#Headers],[ID]])))="",TRUE()),"",INDEX(tsk_ResourceNames,(ROW()-ROW(MSPTasks[[#Headers],[ID]])))&amp;"")</f>
        <v/>
      </c>
      <c r="L53" s="24" t="str">
        <f aca="false">IF(IFERROR(INDEX(tsk_Name,(ROW()-ROW(MSPTasks[[#Headers],[ID]])))="",TRUE()),"",IF(INDEX(tsk_IsSummary,(ROW()-ROW(MSPTasks[[#Headers],[ID]]))),"",ROUND(INDEX(tsk_Progress,(ROW()-ROW(MSPTasks[[#Headers],[ID]])))*100,0)))</f>
        <v/>
      </c>
      <c r="M53" s="137" t="str">
        <f aca="false">IF(IFERROR(INDEX(tsk_Name,(ROW()-ROW(MSPTasks[[#Headers],[ID]])))="",TRUE()),"",IF(N(INDEX(tsk_ActStart,(ROW()-ROW(MSPTasks[[#Headers],[ID]]))))=0,"",INDEX(tsk_ActStart,(ROW()-ROW(MSPTasks[[#Headers],[ID]])))))</f>
        <v/>
      </c>
      <c r="N53" s="137" t="str">
        <f aca="false">IF(IFERROR(INDEX(tsk_Name,(ROW()-ROW(MSPTasks[[#Headers],[ID]])))="",TRUE()),"",IF(N(INDEX(tsk_ActFinish,(ROW()-ROW(MSPTasks[[#Headers],[ID]]))))=0,"",INDEX(tsk_ActFinish,(ROW()-ROW(MSPTasks[[#Headers],[ID]])))))</f>
        <v/>
      </c>
      <c r="O53" s="137" t="str">
        <f aca="false">IF(IFERROR(INDEX(tsk_Name,(ROW()-ROW(MSPTasks[[#Headers],[ID]])))="",TRUE()),"",INDEX(tsk_PlanStart,(ROW()-ROW(MSPTasks[[#Headers],[ID]]))))</f>
        <v/>
      </c>
      <c r="P53" s="137" t="str">
        <f aca="false">IF(IFERROR(INDEX(tsk_Name,(ROW()-ROW(MSPTasks[[#Headers],[ID]])))="",TRUE()),"",INDEX(tsk_PlanFinish,(ROW()-ROW(MSPTasks[[#Headers],[ID]]))))</f>
        <v/>
      </c>
      <c r="Q53" s="24" t="str">
        <f aca="false">IF(IFERROR(INDEX(tsk_Name,(ROW()-ROW(MSPTasks[[#Headers],[ID]])))="",TRUE()),"",IF(INDEX(tsk_BaseDuration,(ROW()-ROW(MSPTasks[[#Headers],[ID]])))="","",N(INDEX(tsk_BaseDuration,(ROW()-ROW(MSPTasks[[#Headers],[ID]]))))&amp;"d"))</f>
        <v/>
      </c>
      <c r="R53" s="24" t="str">
        <f aca="false">IF(IFERROR(INDEX(tsk_Name,(ROW()-ROW(MSPTasks[[#Headers],[ID]])))="",TRUE()),"",IF(INDEX(tsk_BaseWork,(ROW()-ROW(MSPTasks[[#Headers],[ID]])))="","",N(INDEX(tsk_BaseWork,(ROW()-ROW(MSPTasks[[#Headers],[ID]]))))&amp;"h"))</f>
        <v/>
      </c>
      <c r="S53" s="24" t="str">
        <f aca="false">IF(IFERROR(INDEX(tsk_Name,(ROW()-ROW(MSPTasks[[#Headers],[ID]])))="",TRUE()),"",IF(INDEX(tsk_BaseCost,(ROW()-ROW(MSPTasks[[#Headers],[ID]])))="","",N(INDEX(tsk_BaseCost,(ROW()-ROW(MSPTasks[[#Headers],[ID]]))))))</f>
        <v/>
      </c>
      <c r="T53" s="24" t="str">
        <f aca="false">IF(IFERROR(INDEX(tsk_Name,(ROW()-ROW(MSPTasks[[#Headers],[ID]])))="",TRUE()),"",IF(INDEX(tsk_IsSummary,(ROW()-ROW(MSPTasks[[#Headers],[ID]]))),"",IF(N(INDEX(tsk_ActCostInput,(ROW()-ROW(MSPTasks[[#Headers],[ID]]))))=0,"",INDEX(tsk_ActCostInput,(ROW()-ROW(MSPTasks[[#Headers],[ID]]))))))</f>
        <v/>
      </c>
      <c r="U5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3" s="137" t="str">
        <f aca="false">IF(IFERROR(INDEX(tsk_Name,(ROW()-ROW(MSPTasks[[#Headers],[ID]])))="",TRUE()),"",IF(OR(INDEX(tsk_IsSummary,(ROW()-ROW(MSPTasks[[#Headers],[ID]]))),INDEX(tsk_Mode,(ROW()-ROW(MSPTasks[[#Headers],[ID]])))="Manual"),"",IF(N(INDEX(tsk_ConstraintCode,(ROW()-ROW(MSPTasks[[#Headers],[ID]]))))&lt;2,"",INDEX(tsk_Constraint,(ROW()-ROW(MSPTasks[[#Headers],[ID]]))))))</f>
        <v/>
      </c>
      <c r="W53" s="137" t="str">
        <f aca="false">IF(IFERROR(INDEX(tsk_Name,(ROW()-ROW(MSPTasks[[#Headers],[ID]])))="",TRUE()),"",IF(N(INDEX(tsk_Deadline,(ROW()-ROW(MSPTasks[[#Headers],[ID]]))))=0,"",INDEX(tsk_Deadline,(ROW()-ROW(MSPTasks[[#Headers],[ID]])))))</f>
        <v/>
      </c>
      <c r="X53" s="24" t="str">
        <f aca="false">IF(IFERROR(INDEX(tsk_Name,(ROW()-ROW(MSPTasks[[#Headers],[ID]])))="",TRUE()),"",IF(INDEX(tsk_IsSummary,(ROW()-ROW(MSPTasks[[#Headers],[ID]]))),"",INDEX(tsk_Sprint,(ROW()-ROW(MSPTasks[[#Headers],[ID]])))&amp;""))</f>
        <v/>
      </c>
      <c r="Y53" s="24" t="str">
        <f aca="false">IF(IFERROR(INDEX(tsk_Name,(ROW()-ROW(MSPTasks[[#Headers],[ID]])))="",TRUE()),"",IF(INDEX(tsk_IsSummary,(ROW()-ROW(MSPTasks[[#Headers],[ID]]))),"",IF(N(INDEX(tsk_StoryPoints,(ROW()-ROW(MSPTasks[[#Headers],[ID]]))))=0,"",INDEX(tsk_StoryPoints,(ROW()-ROW(MSPTasks[[#Headers],[ID]]))))))</f>
        <v/>
      </c>
      <c r="Z53" s="24" t="str">
        <f aca="false">IF(IFERROR(INDEX(tsk_Name,(ROW()-ROW(MSPTasks[[#Headers],[ID]])))="",TRUE()),"",INDEX(tsk_Notes,(ROW()-ROW(MSPTasks[[#Headers],[ID]])))&amp;"")</f>
        <v/>
      </c>
    </row>
    <row r="54" customFormat="false" ht="15" hidden="false" customHeight="false" outlineLevel="0" collapsed="false">
      <c r="A54" s="24" t="str">
        <f aca="false">IF(IFERROR(INDEX(tsk_Name,(ROW()-ROW(MSPTasks[[#Headers],[ID]])))="",TRUE()),"",INDEX(tsk_ID,(ROW()-ROW(MSPTasks[[#Headers],[ID]]))))</f>
        <v/>
      </c>
      <c r="B54" s="24" t="str">
        <f aca="false">IF(IFERROR(INDEX(tsk_Name,(ROW()-ROW(MSPTasks[[#Headers],[ID]])))="",TRUE()),"",INDEX(tsk_UID,(ROW()-ROW(MSPTasks[[#Headers],[ID]]))))</f>
        <v/>
      </c>
      <c r="C54" s="24" t="str">
        <f aca="false">IF(IFERROR(INDEX(tsk_Name,(ROW()-ROW(MSPTasks[[#Headers],[ID]])))="",TRUE()),"",INDEX(tsk_Name,(ROW()-ROW(MSPTasks[[#Headers],[ID]]))))</f>
        <v/>
      </c>
      <c r="D54" s="24" t="str">
        <f aca="false">IF(IFERROR(INDEX(tsk_Name,(ROW()-ROW(MSPTasks[[#Headers],[ID]])))="",TRUE()),"",INDEX(tsk_Level,(ROW()-ROW(MSPTasks[[#Headers],[ID]]))))</f>
        <v/>
      </c>
      <c r="E54" s="24" t="str">
        <f aca="false">IF(IFERROR(INDEX(tsk_Name,(ROW()-ROW(MSPTasks[[#Headers],[ID]])))="",TRUE()),"",IF(INDEX(tsk_Mode,(ROW()-ROW(MSPTasks[[#Headers],[ID]])))="Manual","Manually Scheduled","Auto Scheduled"))</f>
        <v/>
      </c>
      <c r="F54" s="24" t="str">
        <f aca="false">IF(IFERROR(INDEX(tsk_Name,(ROW()-ROW(MSPTasks[[#Headers],[ID]])))="",TRUE()),"",IF(INDEX(tsk_IsSummary,(ROW()-ROW(MSPTasks[[#Headers],[ID]]))),"",N(INDEX(tsk_Duration,(ROW()-ROW(MSPTasks[[#Headers],[ID]]))))&amp;"d"))</f>
        <v/>
      </c>
      <c r="G54" s="137" t="str">
        <f aca="false">IF(IFERROR(INDEX(tsk_Name,(ROW()-ROW(MSPTasks[[#Headers],[ID]])))="",TRUE()),"",INDEX(tsk_FcStart,(ROW()-ROW(MSPTasks[[#Headers],[ID]]))))</f>
        <v/>
      </c>
      <c r="H54" s="137" t="str">
        <f aca="false">IF(IFERROR(INDEX(tsk_Name,(ROW()-ROW(MSPTasks[[#Headers],[ID]])))="",TRUE()),"",INDEX(tsk_FcFinish,(ROW()-ROW(MSPTasks[[#Headers],[ID]]))))</f>
        <v/>
      </c>
      <c r="I54" s="24" t="str">
        <f aca="false">IF(IFERROR(INDEX(tsk_Name,(ROW()-ROW(MSPTasks[[#Headers],[ID]])))="",TRUE()),"",IF(INDEX(tsk_IsSummary,(ROW()-ROW(MSPTasks[[#Headers],[ID]]))),"",INDEX(tsk_Predecessors,(ROW()-ROW(MSPTasks[[#Headers],[ID]])))))</f>
        <v/>
      </c>
      <c r="J54" s="24" t="str">
        <f aca="false">IF(IFERROR(INDEX(tsk_Name,(ROW()-ROW(MSPTasks[[#Headers],[ID]])))="",TRUE()),"",IF(INDEX(tsk_IsSummary,(ROW()-ROW(MSPTasks[[#Headers],[ID]]))),"",INDEX(tsk_UIDPredecessors,(ROW()-ROW(MSPTasks[[#Headers],[ID]])))))</f>
        <v/>
      </c>
      <c r="K54" s="24" t="str">
        <f aca="false">IF(IFERROR(INDEX(tsk_Name,(ROW()-ROW(MSPTasks[[#Headers],[ID]])))="",TRUE()),"",INDEX(tsk_ResourceNames,(ROW()-ROW(MSPTasks[[#Headers],[ID]])))&amp;"")</f>
        <v/>
      </c>
      <c r="L54" s="24" t="str">
        <f aca="false">IF(IFERROR(INDEX(tsk_Name,(ROW()-ROW(MSPTasks[[#Headers],[ID]])))="",TRUE()),"",IF(INDEX(tsk_IsSummary,(ROW()-ROW(MSPTasks[[#Headers],[ID]]))),"",ROUND(INDEX(tsk_Progress,(ROW()-ROW(MSPTasks[[#Headers],[ID]])))*100,0)))</f>
        <v/>
      </c>
      <c r="M54" s="137" t="str">
        <f aca="false">IF(IFERROR(INDEX(tsk_Name,(ROW()-ROW(MSPTasks[[#Headers],[ID]])))="",TRUE()),"",IF(N(INDEX(tsk_ActStart,(ROW()-ROW(MSPTasks[[#Headers],[ID]]))))=0,"",INDEX(tsk_ActStart,(ROW()-ROW(MSPTasks[[#Headers],[ID]])))))</f>
        <v/>
      </c>
      <c r="N54" s="137" t="str">
        <f aca="false">IF(IFERROR(INDEX(tsk_Name,(ROW()-ROW(MSPTasks[[#Headers],[ID]])))="",TRUE()),"",IF(N(INDEX(tsk_ActFinish,(ROW()-ROW(MSPTasks[[#Headers],[ID]]))))=0,"",INDEX(tsk_ActFinish,(ROW()-ROW(MSPTasks[[#Headers],[ID]])))))</f>
        <v/>
      </c>
      <c r="O54" s="137" t="str">
        <f aca="false">IF(IFERROR(INDEX(tsk_Name,(ROW()-ROW(MSPTasks[[#Headers],[ID]])))="",TRUE()),"",INDEX(tsk_PlanStart,(ROW()-ROW(MSPTasks[[#Headers],[ID]]))))</f>
        <v/>
      </c>
      <c r="P54" s="137" t="str">
        <f aca="false">IF(IFERROR(INDEX(tsk_Name,(ROW()-ROW(MSPTasks[[#Headers],[ID]])))="",TRUE()),"",INDEX(tsk_PlanFinish,(ROW()-ROW(MSPTasks[[#Headers],[ID]]))))</f>
        <v/>
      </c>
      <c r="Q54" s="24" t="str">
        <f aca="false">IF(IFERROR(INDEX(tsk_Name,(ROW()-ROW(MSPTasks[[#Headers],[ID]])))="",TRUE()),"",IF(INDEX(tsk_BaseDuration,(ROW()-ROW(MSPTasks[[#Headers],[ID]])))="","",N(INDEX(tsk_BaseDuration,(ROW()-ROW(MSPTasks[[#Headers],[ID]]))))&amp;"d"))</f>
        <v/>
      </c>
      <c r="R54" s="24" t="str">
        <f aca="false">IF(IFERROR(INDEX(tsk_Name,(ROW()-ROW(MSPTasks[[#Headers],[ID]])))="",TRUE()),"",IF(INDEX(tsk_BaseWork,(ROW()-ROW(MSPTasks[[#Headers],[ID]])))="","",N(INDEX(tsk_BaseWork,(ROW()-ROW(MSPTasks[[#Headers],[ID]]))))&amp;"h"))</f>
        <v/>
      </c>
      <c r="S54" s="24" t="str">
        <f aca="false">IF(IFERROR(INDEX(tsk_Name,(ROW()-ROW(MSPTasks[[#Headers],[ID]])))="",TRUE()),"",IF(INDEX(tsk_BaseCost,(ROW()-ROW(MSPTasks[[#Headers],[ID]])))="","",N(INDEX(tsk_BaseCost,(ROW()-ROW(MSPTasks[[#Headers],[ID]]))))))</f>
        <v/>
      </c>
      <c r="T54" s="24" t="str">
        <f aca="false">IF(IFERROR(INDEX(tsk_Name,(ROW()-ROW(MSPTasks[[#Headers],[ID]])))="",TRUE()),"",IF(INDEX(tsk_IsSummary,(ROW()-ROW(MSPTasks[[#Headers],[ID]]))),"",IF(N(INDEX(tsk_ActCostInput,(ROW()-ROW(MSPTasks[[#Headers],[ID]]))))=0,"",INDEX(tsk_ActCostInput,(ROW()-ROW(MSPTasks[[#Headers],[ID]]))))))</f>
        <v/>
      </c>
      <c r="U5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4" s="137" t="str">
        <f aca="false">IF(IFERROR(INDEX(tsk_Name,(ROW()-ROW(MSPTasks[[#Headers],[ID]])))="",TRUE()),"",IF(OR(INDEX(tsk_IsSummary,(ROW()-ROW(MSPTasks[[#Headers],[ID]]))),INDEX(tsk_Mode,(ROW()-ROW(MSPTasks[[#Headers],[ID]])))="Manual"),"",IF(N(INDEX(tsk_ConstraintCode,(ROW()-ROW(MSPTasks[[#Headers],[ID]]))))&lt;2,"",INDEX(tsk_Constraint,(ROW()-ROW(MSPTasks[[#Headers],[ID]]))))))</f>
        <v/>
      </c>
      <c r="W54" s="137" t="str">
        <f aca="false">IF(IFERROR(INDEX(tsk_Name,(ROW()-ROW(MSPTasks[[#Headers],[ID]])))="",TRUE()),"",IF(N(INDEX(tsk_Deadline,(ROW()-ROW(MSPTasks[[#Headers],[ID]]))))=0,"",INDEX(tsk_Deadline,(ROW()-ROW(MSPTasks[[#Headers],[ID]])))))</f>
        <v/>
      </c>
      <c r="X54" s="24" t="str">
        <f aca="false">IF(IFERROR(INDEX(tsk_Name,(ROW()-ROW(MSPTasks[[#Headers],[ID]])))="",TRUE()),"",IF(INDEX(tsk_IsSummary,(ROW()-ROW(MSPTasks[[#Headers],[ID]]))),"",INDEX(tsk_Sprint,(ROW()-ROW(MSPTasks[[#Headers],[ID]])))&amp;""))</f>
        <v/>
      </c>
      <c r="Y54" s="24" t="str">
        <f aca="false">IF(IFERROR(INDEX(tsk_Name,(ROW()-ROW(MSPTasks[[#Headers],[ID]])))="",TRUE()),"",IF(INDEX(tsk_IsSummary,(ROW()-ROW(MSPTasks[[#Headers],[ID]]))),"",IF(N(INDEX(tsk_StoryPoints,(ROW()-ROW(MSPTasks[[#Headers],[ID]]))))=0,"",INDEX(tsk_StoryPoints,(ROW()-ROW(MSPTasks[[#Headers],[ID]]))))))</f>
        <v/>
      </c>
      <c r="Z54" s="24" t="str">
        <f aca="false">IF(IFERROR(INDEX(tsk_Name,(ROW()-ROW(MSPTasks[[#Headers],[ID]])))="",TRUE()),"",INDEX(tsk_Notes,(ROW()-ROW(MSPTasks[[#Headers],[ID]])))&amp;"")</f>
        <v/>
      </c>
    </row>
    <row r="55" customFormat="false" ht="15" hidden="false" customHeight="false" outlineLevel="0" collapsed="false">
      <c r="A55" s="24" t="str">
        <f aca="false">IF(IFERROR(INDEX(tsk_Name,(ROW()-ROW(MSPTasks[[#Headers],[ID]])))="",TRUE()),"",INDEX(tsk_ID,(ROW()-ROW(MSPTasks[[#Headers],[ID]]))))</f>
        <v/>
      </c>
      <c r="B55" s="24" t="str">
        <f aca="false">IF(IFERROR(INDEX(tsk_Name,(ROW()-ROW(MSPTasks[[#Headers],[ID]])))="",TRUE()),"",INDEX(tsk_UID,(ROW()-ROW(MSPTasks[[#Headers],[ID]]))))</f>
        <v/>
      </c>
      <c r="C55" s="24" t="str">
        <f aca="false">IF(IFERROR(INDEX(tsk_Name,(ROW()-ROW(MSPTasks[[#Headers],[ID]])))="",TRUE()),"",INDEX(tsk_Name,(ROW()-ROW(MSPTasks[[#Headers],[ID]]))))</f>
        <v/>
      </c>
      <c r="D55" s="24" t="str">
        <f aca="false">IF(IFERROR(INDEX(tsk_Name,(ROW()-ROW(MSPTasks[[#Headers],[ID]])))="",TRUE()),"",INDEX(tsk_Level,(ROW()-ROW(MSPTasks[[#Headers],[ID]]))))</f>
        <v/>
      </c>
      <c r="E55" s="24" t="str">
        <f aca="false">IF(IFERROR(INDEX(tsk_Name,(ROW()-ROW(MSPTasks[[#Headers],[ID]])))="",TRUE()),"",IF(INDEX(tsk_Mode,(ROW()-ROW(MSPTasks[[#Headers],[ID]])))="Manual","Manually Scheduled","Auto Scheduled"))</f>
        <v/>
      </c>
      <c r="F55" s="24" t="str">
        <f aca="false">IF(IFERROR(INDEX(tsk_Name,(ROW()-ROW(MSPTasks[[#Headers],[ID]])))="",TRUE()),"",IF(INDEX(tsk_IsSummary,(ROW()-ROW(MSPTasks[[#Headers],[ID]]))),"",N(INDEX(tsk_Duration,(ROW()-ROW(MSPTasks[[#Headers],[ID]]))))&amp;"d"))</f>
        <v/>
      </c>
      <c r="G55" s="137" t="str">
        <f aca="false">IF(IFERROR(INDEX(tsk_Name,(ROW()-ROW(MSPTasks[[#Headers],[ID]])))="",TRUE()),"",INDEX(tsk_FcStart,(ROW()-ROW(MSPTasks[[#Headers],[ID]]))))</f>
        <v/>
      </c>
      <c r="H55" s="137" t="str">
        <f aca="false">IF(IFERROR(INDEX(tsk_Name,(ROW()-ROW(MSPTasks[[#Headers],[ID]])))="",TRUE()),"",INDEX(tsk_FcFinish,(ROW()-ROW(MSPTasks[[#Headers],[ID]]))))</f>
        <v/>
      </c>
      <c r="I55" s="24" t="str">
        <f aca="false">IF(IFERROR(INDEX(tsk_Name,(ROW()-ROW(MSPTasks[[#Headers],[ID]])))="",TRUE()),"",IF(INDEX(tsk_IsSummary,(ROW()-ROW(MSPTasks[[#Headers],[ID]]))),"",INDEX(tsk_Predecessors,(ROW()-ROW(MSPTasks[[#Headers],[ID]])))))</f>
        <v/>
      </c>
      <c r="J55" s="24" t="str">
        <f aca="false">IF(IFERROR(INDEX(tsk_Name,(ROW()-ROW(MSPTasks[[#Headers],[ID]])))="",TRUE()),"",IF(INDEX(tsk_IsSummary,(ROW()-ROW(MSPTasks[[#Headers],[ID]]))),"",INDEX(tsk_UIDPredecessors,(ROW()-ROW(MSPTasks[[#Headers],[ID]])))))</f>
        <v/>
      </c>
      <c r="K55" s="24" t="str">
        <f aca="false">IF(IFERROR(INDEX(tsk_Name,(ROW()-ROW(MSPTasks[[#Headers],[ID]])))="",TRUE()),"",INDEX(tsk_ResourceNames,(ROW()-ROW(MSPTasks[[#Headers],[ID]])))&amp;"")</f>
        <v/>
      </c>
      <c r="L55" s="24" t="str">
        <f aca="false">IF(IFERROR(INDEX(tsk_Name,(ROW()-ROW(MSPTasks[[#Headers],[ID]])))="",TRUE()),"",IF(INDEX(tsk_IsSummary,(ROW()-ROW(MSPTasks[[#Headers],[ID]]))),"",ROUND(INDEX(tsk_Progress,(ROW()-ROW(MSPTasks[[#Headers],[ID]])))*100,0)))</f>
        <v/>
      </c>
      <c r="M55" s="137" t="str">
        <f aca="false">IF(IFERROR(INDEX(tsk_Name,(ROW()-ROW(MSPTasks[[#Headers],[ID]])))="",TRUE()),"",IF(N(INDEX(tsk_ActStart,(ROW()-ROW(MSPTasks[[#Headers],[ID]]))))=0,"",INDEX(tsk_ActStart,(ROW()-ROW(MSPTasks[[#Headers],[ID]])))))</f>
        <v/>
      </c>
      <c r="N55" s="137" t="str">
        <f aca="false">IF(IFERROR(INDEX(tsk_Name,(ROW()-ROW(MSPTasks[[#Headers],[ID]])))="",TRUE()),"",IF(N(INDEX(tsk_ActFinish,(ROW()-ROW(MSPTasks[[#Headers],[ID]]))))=0,"",INDEX(tsk_ActFinish,(ROW()-ROW(MSPTasks[[#Headers],[ID]])))))</f>
        <v/>
      </c>
      <c r="O55" s="137" t="str">
        <f aca="false">IF(IFERROR(INDEX(tsk_Name,(ROW()-ROW(MSPTasks[[#Headers],[ID]])))="",TRUE()),"",INDEX(tsk_PlanStart,(ROW()-ROW(MSPTasks[[#Headers],[ID]]))))</f>
        <v/>
      </c>
      <c r="P55" s="137" t="str">
        <f aca="false">IF(IFERROR(INDEX(tsk_Name,(ROW()-ROW(MSPTasks[[#Headers],[ID]])))="",TRUE()),"",INDEX(tsk_PlanFinish,(ROW()-ROW(MSPTasks[[#Headers],[ID]]))))</f>
        <v/>
      </c>
      <c r="Q55" s="24" t="str">
        <f aca="false">IF(IFERROR(INDEX(tsk_Name,(ROW()-ROW(MSPTasks[[#Headers],[ID]])))="",TRUE()),"",IF(INDEX(tsk_BaseDuration,(ROW()-ROW(MSPTasks[[#Headers],[ID]])))="","",N(INDEX(tsk_BaseDuration,(ROW()-ROW(MSPTasks[[#Headers],[ID]]))))&amp;"d"))</f>
        <v/>
      </c>
      <c r="R55" s="24" t="str">
        <f aca="false">IF(IFERROR(INDEX(tsk_Name,(ROW()-ROW(MSPTasks[[#Headers],[ID]])))="",TRUE()),"",IF(INDEX(tsk_BaseWork,(ROW()-ROW(MSPTasks[[#Headers],[ID]])))="","",N(INDEX(tsk_BaseWork,(ROW()-ROW(MSPTasks[[#Headers],[ID]]))))&amp;"h"))</f>
        <v/>
      </c>
      <c r="S55" s="24" t="str">
        <f aca="false">IF(IFERROR(INDEX(tsk_Name,(ROW()-ROW(MSPTasks[[#Headers],[ID]])))="",TRUE()),"",IF(INDEX(tsk_BaseCost,(ROW()-ROW(MSPTasks[[#Headers],[ID]])))="","",N(INDEX(tsk_BaseCost,(ROW()-ROW(MSPTasks[[#Headers],[ID]]))))))</f>
        <v/>
      </c>
      <c r="T55" s="24" t="str">
        <f aca="false">IF(IFERROR(INDEX(tsk_Name,(ROW()-ROW(MSPTasks[[#Headers],[ID]])))="",TRUE()),"",IF(INDEX(tsk_IsSummary,(ROW()-ROW(MSPTasks[[#Headers],[ID]]))),"",IF(N(INDEX(tsk_ActCostInput,(ROW()-ROW(MSPTasks[[#Headers],[ID]]))))=0,"",INDEX(tsk_ActCostInput,(ROW()-ROW(MSPTasks[[#Headers],[ID]]))))))</f>
        <v/>
      </c>
      <c r="U5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5" s="137" t="str">
        <f aca="false">IF(IFERROR(INDEX(tsk_Name,(ROW()-ROW(MSPTasks[[#Headers],[ID]])))="",TRUE()),"",IF(OR(INDEX(tsk_IsSummary,(ROW()-ROW(MSPTasks[[#Headers],[ID]]))),INDEX(tsk_Mode,(ROW()-ROW(MSPTasks[[#Headers],[ID]])))="Manual"),"",IF(N(INDEX(tsk_ConstraintCode,(ROW()-ROW(MSPTasks[[#Headers],[ID]]))))&lt;2,"",INDEX(tsk_Constraint,(ROW()-ROW(MSPTasks[[#Headers],[ID]]))))))</f>
        <v/>
      </c>
      <c r="W55" s="137" t="str">
        <f aca="false">IF(IFERROR(INDEX(tsk_Name,(ROW()-ROW(MSPTasks[[#Headers],[ID]])))="",TRUE()),"",IF(N(INDEX(tsk_Deadline,(ROW()-ROW(MSPTasks[[#Headers],[ID]]))))=0,"",INDEX(tsk_Deadline,(ROW()-ROW(MSPTasks[[#Headers],[ID]])))))</f>
        <v/>
      </c>
      <c r="X55" s="24" t="str">
        <f aca="false">IF(IFERROR(INDEX(tsk_Name,(ROW()-ROW(MSPTasks[[#Headers],[ID]])))="",TRUE()),"",IF(INDEX(tsk_IsSummary,(ROW()-ROW(MSPTasks[[#Headers],[ID]]))),"",INDEX(tsk_Sprint,(ROW()-ROW(MSPTasks[[#Headers],[ID]])))&amp;""))</f>
        <v/>
      </c>
      <c r="Y55" s="24" t="str">
        <f aca="false">IF(IFERROR(INDEX(tsk_Name,(ROW()-ROW(MSPTasks[[#Headers],[ID]])))="",TRUE()),"",IF(INDEX(tsk_IsSummary,(ROW()-ROW(MSPTasks[[#Headers],[ID]]))),"",IF(N(INDEX(tsk_StoryPoints,(ROW()-ROW(MSPTasks[[#Headers],[ID]]))))=0,"",INDEX(tsk_StoryPoints,(ROW()-ROW(MSPTasks[[#Headers],[ID]]))))))</f>
        <v/>
      </c>
      <c r="Z55" s="24" t="str">
        <f aca="false">IF(IFERROR(INDEX(tsk_Name,(ROW()-ROW(MSPTasks[[#Headers],[ID]])))="",TRUE()),"",INDEX(tsk_Notes,(ROW()-ROW(MSPTasks[[#Headers],[ID]])))&amp;"")</f>
        <v/>
      </c>
    </row>
    <row r="56" customFormat="false" ht="15" hidden="false" customHeight="false" outlineLevel="0" collapsed="false">
      <c r="A56" s="24" t="str">
        <f aca="false">IF(IFERROR(INDEX(tsk_Name,(ROW()-ROW(MSPTasks[[#Headers],[ID]])))="",TRUE()),"",INDEX(tsk_ID,(ROW()-ROW(MSPTasks[[#Headers],[ID]]))))</f>
        <v/>
      </c>
      <c r="B56" s="24" t="str">
        <f aca="false">IF(IFERROR(INDEX(tsk_Name,(ROW()-ROW(MSPTasks[[#Headers],[ID]])))="",TRUE()),"",INDEX(tsk_UID,(ROW()-ROW(MSPTasks[[#Headers],[ID]]))))</f>
        <v/>
      </c>
      <c r="C56" s="24" t="str">
        <f aca="false">IF(IFERROR(INDEX(tsk_Name,(ROW()-ROW(MSPTasks[[#Headers],[ID]])))="",TRUE()),"",INDEX(tsk_Name,(ROW()-ROW(MSPTasks[[#Headers],[ID]]))))</f>
        <v/>
      </c>
      <c r="D56" s="24" t="str">
        <f aca="false">IF(IFERROR(INDEX(tsk_Name,(ROW()-ROW(MSPTasks[[#Headers],[ID]])))="",TRUE()),"",INDEX(tsk_Level,(ROW()-ROW(MSPTasks[[#Headers],[ID]]))))</f>
        <v/>
      </c>
      <c r="E56" s="24" t="str">
        <f aca="false">IF(IFERROR(INDEX(tsk_Name,(ROW()-ROW(MSPTasks[[#Headers],[ID]])))="",TRUE()),"",IF(INDEX(tsk_Mode,(ROW()-ROW(MSPTasks[[#Headers],[ID]])))="Manual","Manually Scheduled","Auto Scheduled"))</f>
        <v/>
      </c>
      <c r="F56" s="24" t="str">
        <f aca="false">IF(IFERROR(INDEX(tsk_Name,(ROW()-ROW(MSPTasks[[#Headers],[ID]])))="",TRUE()),"",IF(INDEX(tsk_IsSummary,(ROW()-ROW(MSPTasks[[#Headers],[ID]]))),"",N(INDEX(tsk_Duration,(ROW()-ROW(MSPTasks[[#Headers],[ID]]))))&amp;"d"))</f>
        <v/>
      </c>
      <c r="G56" s="137" t="str">
        <f aca="false">IF(IFERROR(INDEX(tsk_Name,(ROW()-ROW(MSPTasks[[#Headers],[ID]])))="",TRUE()),"",INDEX(tsk_FcStart,(ROW()-ROW(MSPTasks[[#Headers],[ID]]))))</f>
        <v/>
      </c>
      <c r="H56" s="137" t="str">
        <f aca="false">IF(IFERROR(INDEX(tsk_Name,(ROW()-ROW(MSPTasks[[#Headers],[ID]])))="",TRUE()),"",INDEX(tsk_FcFinish,(ROW()-ROW(MSPTasks[[#Headers],[ID]]))))</f>
        <v/>
      </c>
      <c r="I56" s="24" t="str">
        <f aca="false">IF(IFERROR(INDEX(tsk_Name,(ROW()-ROW(MSPTasks[[#Headers],[ID]])))="",TRUE()),"",IF(INDEX(tsk_IsSummary,(ROW()-ROW(MSPTasks[[#Headers],[ID]]))),"",INDEX(tsk_Predecessors,(ROW()-ROW(MSPTasks[[#Headers],[ID]])))))</f>
        <v/>
      </c>
      <c r="J56" s="24" t="str">
        <f aca="false">IF(IFERROR(INDEX(tsk_Name,(ROW()-ROW(MSPTasks[[#Headers],[ID]])))="",TRUE()),"",IF(INDEX(tsk_IsSummary,(ROW()-ROW(MSPTasks[[#Headers],[ID]]))),"",INDEX(tsk_UIDPredecessors,(ROW()-ROW(MSPTasks[[#Headers],[ID]])))))</f>
        <v/>
      </c>
      <c r="K56" s="24" t="str">
        <f aca="false">IF(IFERROR(INDEX(tsk_Name,(ROW()-ROW(MSPTasks[[#Headers],[ID]])))="",TRUE()),"",INDEX(tsk_ResourceNames,(ROW()-ROW(MSPTasks[[#Headers],[ID]])))&amp;"")</f>
        <v/>
      </c>
      <c r="L56" s="24" t="str">
        <f aca="false">IF(IFERROR(INDEX(tsk_Name,(ROW()-ROW(MSPTasks[[#Headers],[ID]])))="",TRUE()),"",IF(INDEX(tsk_IsSummary,(ROW()-ROW(MSPTasks[[#Headers],[ID]]))),"",ROUND(INDEX(tsk_Progress,(ROW()-ROW(MSPTasks[[#Headers],[ID]])))*100,0)))</f>
        <v/>
      </c>
      <c r="M56" s="137" t="str">
        <f aca="false">IF(IFERROR(INDEX(tsk_Name,(ROW()-ROW(MSPTasks[[#Headers],[ID]])))="",TRUE()),"",IF(N(INDEX(tsk_ActStart,(ROW()-ROW(MSPTasks[[#Headers],[ID]]))))=0,"",INDEX(tsk_ActStart,(ROW()-ROW(MSPTasks[[#Headers],[ID]])))))</f>
        <v/>
      </c>
      <c r="N56" s="137" t="str">
        <f aca="false">IF(IFERROR(INDEX(tsk_Name,(ROW()-ROW(MSPTasks[[#Headers],[ID]])))="",TRUE()),"",IF(N(INDEX(tsk_ActFinish,(ROW()-ROW(MSPTasks[[#Headers],[ID]]))))=0,"",INDEX(tsk_ActFinish,(ROW()-ROW(MSPTasks[[#Headers],[ID]])))))</f>
        <v/>
      </c>
      <c r="O56" s="137" t="str">
        <f aca="false">IF(IFERROR(INDEX(tsk_Name,(ROW()-ROW(MSPTasks[[#Headers],[ID]])))="",TRUE()),"",INDEX(tsk_PlanStart,(ROW()-ROW(MSPTasks[[#Headers],[ID]]))))</f>
        <v/>
      </c>
      <c r="P56" s="137" t="str">
        <f aca="false">IF(IFERROR(INDEX(tsk_Name,(ROW()-ROW(MSPTasks[[#Headers],[ID]])))="",TRUE()),"",INDEX(tsk_PlanFinish,(ROW()-ROW(MSPTasks[[#Headers],[ID]]))))</f>
        <v/>
      </c>
      <c r="Q56" s="24" t="str">
        <f aca="false">IF(IFERROR(INDEX(tsk_Name,(ROW()-ROW(MSPTasks[[#Headers],[ID]])))="",TRUE()),"",IF(INDEX(tsk_BaseDuration,(ROW()-ROW(MSPTasks[[#Headers],[ID]])))="","",N(INDEX(tsk_BaseDuration,(ROW()-ROW(MSPTasks[[#Headers],[ID]]))))&amp;"d"))</f>
        <v/>
      </c>
      <c r="R56" s="24" t="str">
        <f aca="false">IF(IFERROR(INDEX(tsk_Name,(ROW()-ROW(MSPTasks[[#Headers],[ID]])))="",TRUE()),"",IF(INDEX(tsk_BaseWork,(ROW()-ROW(MSPTasks[[#Headers],[ID]])))="","",N(INDEX(tsk_BaseWork,(ROW()-ROW(MSPTasks[[#Headers],[ID]]))))&amp;"h"))</f>
        <v/>
      </c>
      <c r="S56" s="24" t="str">
        <f aca="false">IF(IFERROR(INDEX(tsk_Name,(ROW()-ROW(MSPTasks[[#Headers],[ID]])))="",TRUE()),"",IF(INDEX(tsk_BaseCost,(ROW()-ROW(MSPTasks[[#Headers],[ID]])))="","",N(INDEX(tsk_BaseCost,(ROW()-ROW(MSPTasks[[#Headers],[ID]]))))))</f>
        <v/>
      </c>
      <c r="T56" s="24" t="str">
        <f aca="false">IF(IFERROR(INDEX(tsk_Name,(ROW()-ROW(MSPTasks[[#Headers],[ID]])))="",TRUE()),"",IF(INDEX(tsk_IsSummary,(ROW()-ROW(MSPTasks[[#Headers],[ID]]))),"",IF(N(INDEX(tsk_ActCostInput,(ROW()-ROW(MSPTasks[[#Headers],[ID]]))))=0,"",INDEX(tsk_ActCostInput,(ROW()-ROW(MSPTasks[[#Headers],[ID]]))))))</f>
        <v/>
      </c>
      <c r="U5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6" s="137" t="str">
        <f aca="false">IF(IFERROR(INDEX(tsk_Name,(ROW()-ROW(MSPTasks[[#Headers],[ID]])))="",TRUE()),"",IF(OR(INDEX(tsk_IsSummary,(ROW()-ROW(MSPTasks[[#Headers],[ID]]))),INDEX(tsk_Mode,(ROW()-ROW(MSPTasks[[#Headers],[ID]])))="Manual"),"",IF(N(INDEX(tsk_ConstraintCode,(ROW()-ROW(MSPTasks[[#Headers],[ID]]))))&lt;2,"",INDEX(tsk_Constraint,(ROW()-ROW(MSPTasks[[#Headers],[ID]]))))))</f>
        <v/>
      </c>
      <c r="W56" s="137" t="str">
        <f aca="false">IF(IFERROR(INDEX(tsk_Name,(ROW()-ROW(MSPTasks[[#Headers],[ID]])))="",TRUE()),"",IF(N(INDEX(tsk_Deadline,(ROW()-ROW(MSPTasks[[#Headers],[ID]]))))=0,"",INDEX(tsk_Deadline,(ROW()-ROW(MSPTasks[[#Headers],[ID]])))))</f>
        <v/>
      </c>
      <c r="X56" s="24" t="str">
        <f aca="false">IF(IFERROR(INDEX(tsk_Name,(ROW()-ROW(MSPTasks[[#Headers],[ID]])))="",TRUE()),"",IF(INDEX(tsk_IsSummary,(ROW()-ROW(MSPTasks[[#Headers],[ID]]))),"",INDEX(tsk_Sprint,(ROW()-ROW(MSPTasks[[#Headers],[ID]])))&amp;""))</f>
        <v/>
      </c>
      <c r="Y56" s="24" t="str">
        <f aca="false">IF(IFERROR(INDEX(tsk_Name,(ROW()-ROW(MSPTasks[[#Headers],[ID]])))="",TRUE()),"",IF(INDEX(tsk_IsSummary,(ROW()-ROW(MSPTasks[[#Headers],[ID]]))),"",IF(N(INDEX(tsk_StoryPoints,(ROW()-ROW(MSPTasks[[#Headers],[ID]]))))=0,"",INDEX(tsk_StoryPoints,(ROW()-ROW(MSPTasks[[#Headers],[ID]]))))))</f>
        <v/>
      </c>
      <c r="Z56" s="24" t="str">
        <f aca="false">IF(IFERROR(INDEX(tsk_Name,(ROW()-ROW(MSPTasks[[#Headers],[ID]])))="",TRUE()),"",INDEX(tsk_Notes,(ROW()-ROW(MSPTasks[[#Headers],[ID]])))&amp;"")</f>
        <v/>
      </c>
    </row>
    <row r="57" customFormat="false" ht="15" hidden="false" customHeight="false" outlineLevel="0" collapsed="false">
      <c r="A57" s="24" t="str">
        <f aca="false">IF(IFERROR(INDEX(tsk_Name,(ROW()-ROW(MSPTasks[[#Headers],[ID]])))="",TRUE()),"",INDEX(tsk_ID,(ROW()-ROW(MSPTasks[[#Headers],[ID]]))))</f>
        <v/>
      </c>
      <c r="B57" s="24" t="str">
        <f aca="false">IF(IFERROR(INDEX(tsk_Name,(ROW()-ROW(MSPTasks[[#Headers],[ID]])))="",TRUE()),"",INDEX(tsk_UID,(ROW()-ROW(MSPTasks[[#Headers],[ID]]))))</f>
        <v/>
      </c>
      <c r="C57" s="24" t="str">
        <f aca="false">IF(IFERROR(INDEX(tsk_Name,(ROW()-ROW(MSPTasks[[#Headers],[ID]])))="",TRUE()),"",INDEX(tsk_Name,(ROW()-ROW(MSPTasks[[#Headers],[ID]]))))</f>
        <v/>
      </c>
      <c r="D57" s="24" t="str">
        <f aca="false">IF(IFERROR(INDEX(tsk_Name,(ROW()-ROW(MSPTasks[[#Headers],[ID]])))="",TRUE()),"",INDEX(tsk_Level,(ROW()-ROW(MSPTasks[[#Headers],[ID]]))))</f>
        <v/>
      </c>
      <c r="E57" s="24" t="str">
        <f aca="false">IF(IFERROR(INDEX(tsk_Name,(ROW()-ROW(MSPTasks[[#Headers],[ID]])))="",TRUE()),"",IF(INDEX(tsk_Mode,(ROW()-ROW(MSPTasks[[#Headers],[ID]])))="Manual","Manually Scheduled","Auto Scheduled"))</f>
        <v/>
      </c>
      <c r="F57" s="24" t="str">
        <f aca="false">IF(IFERROR(INDEX(tsk_Name,(ROW()-ROW(MSPTasks[[#Headers],[ID]])))="",TRUE()),"",IF(INDEX(tsk_IsSummary,(ROW()-ROW(MSPTasks[[#Headers],[ID]]))),"",N(INDEX(tsk_Duration,(ROW()-ROW(MSPTasks[[#Headers],[ID]]))))&amp;"d"))</f>
        <v/>
      </c>
      <c r="G57" s="137" t="str">
        <f aca="false">IF(IFERROR(INDEX(tsk_Name,(ROW()-ROW(MSPTasks[[#Headers],[ID]])))="",TRUE()),"",INDEX(tsk_FcStart,(ROW()-ROW(MSPTasks[[#Headers],[ID]]))))</f>
        <v/>
      </c>
      <c r="H57" s="137" t="str">
        <f aca="false">IF(IFERROR(INDEX(tsk_Name,(ROW()-ROW(MSPTasks[[#Headers],[ID]])))="",TRUE()),"",INDEX(tsk_FcFinish,(ROW()-ROW(MSPTasks[[#Headers],[ID]]))))</f>
        <v/>
      </c>
      <c r="I57" s="24" t="str">
        <f aca="false">IF(IFERROR(INDEX(tsk_Name,(ROW()-ROW(MSPTasks[[#Headers],[ID]])))="",TRUE()),"",IF(INDEX(tsk_IsSummary,(ROW()-ROW(MSPTasks[[#Headers],[ID]]))),"",INDEX(tsk_Predecessors,(ROW()-ROW(MSPTasks[[#Headers],[ID]])))))</f>
        <v/>
      </c>
      <c r="J57" s="24" t="str">
        <f aca="false">IF(IFERROR(INDEX(tsk_Name,(ROW()-ROW(MSPTasks[[#Headers],[ID]])))="",TRUE()),"",IF(INDEX(tsk_IsSummary,(ROW()-ROW(MSPTasks[[#Headers],[ID]]))),"",INDEX(tsk_UIDPredecessors,(ROW()-ROW(MSPTasks[[#Headers],[ID]])))))</f>
        <v/>
      </c>
      <c r="K57" s="24" t="str">
        <f aca="false">IF(IFERROR(INDEX(tsk_Name,(ROW()-ROW(MSPTasks[[#Headers],[ID]])))="",TRUE()),"",INDEX(tsk_ResourceNames,(ROW()-ROW(MSPTasks[[#Headers],[ID]])))&amp;"")</f>
        <v/>
      </c>
      <c r="L57" s="24" t="str">
        <f aca="false">IF(IFERROR(INDEX(tsk_Name,(ROW()-ROW(MSPTasks[[#Headers],[ID]])))="",TRUE()),"",IF(INDEX(tsk_IsSummary,(ROW()-ROW(MSPTasks[[#Headers],[ID]]))),"",ROUND(INDEX(tsk_Progress,(ROW()-ROW(MSPTasks[[#Headers],[ID]])))*100,0)))</f>
        <v/>
      </c>
      <c r="M57" s="137" t="str">
        <f aca="false">IF(IFERROR(INDEX(tsk_Name,(ROW()-ROW(MSPTasks[[#Headers],[ID]])))="",TRUE()),"",IF(N(INDEX(tsk_ActStart,(ROW()-ROW(MSPTasks[[#Headers],[ID]]))))=0,"",INDEX(tsk_ActStart,(ROW()-ROW(MSPTasks[[#Headers],[ID]])))))</f>
        <v/>
      </c>
      <c r="N57" s="137" t="str">
        <f aca="false">IF(IFERROR(INDEX(tsk_Name,(ROW()-ROW(MSPTasks[[#Headers],[ID]])))="",TRUE()),"",IF(N(INDEX(tsk_ActFinish,(ROW()-ROW(MSPTasks[[#Headers],[ID]]))))=0,"",INDEX(tsk_ActFinish,(ROW()-ROW(MSPTasks[[#Headers],[ID]])))))</f>
        <v/>
      </c>
      <c r="O57" s="137" t="str">
        <f aca="false">IF(IFERROR(INDEX(tsk_Name,(ROW()-ROW(MSPTasks[[#Headers],[ID]])))="",TRUE()),"",INDEX(tsk_PlanStart,(ROW()-ROW(MSPTasks[[#Headers],[ID]]))))</f>
        <v/>
      </c>
      <c r="P57" s="137" t="str">
        <f aca="false">IF(IFERROR(INDEX(tsk_Name,(ROW()-ROW(MSPTasks[[#Headers],[ID]])))="",TRUE()),"",INDEX(tsk_PlanFinish,(ROW()-ROW(MSPTasks[[#Headers],[ID]]))))</f>
        <v/>
      </c>
      <c r="Q57" s="24" t="str">
        <f aca="false">IF(IFERROR(INDEX(tsk_Name,(ROW()-ROW(MSPTasks[[#Headers],[ID]])))="",TRUE()),"",IF(INDEX(tsk_BaseDuration,(ROW()-ROW(MSPTasks[[#Headers],[ID]])))="","",N(INDEX(tsk_BaseDuration,(ROW()-ROW(MSPTasks[[#Headers],[ID]]))))&amp;"d"))</f>
        <v/>
      </c>
      <c r="R57" s="24" t="str">
        <f aca="false">IF(IFERROR(INDEX(tsk_Name,(ROW()-ROW(MSPTasks[[#Headers],[ID]])))="",TRUE()),"",IF(INDEX(tsk_BaseWork,(ROW()-ROW(MSPTasks[[#Headers],[ID]])))="","",N(INDEX(tsk_BaseWork,(ROW()-ROW(MSPTasks[[#Headers],[ID]]))))&amp;"h"))</f>
        <v/>
      </c>
      <c r="S57" s="24" t="str">
        <f aca="false">IF(IFERROR(INDEX(tsk_Name,(ROW()-ROW(MSPTasks[[#Headers],[ID]])))="",TRUE()),"",IF(INDEX(tsk_BaseCost,(ROW()-ROW(MSPTasks[[#Headers],[ID]])))="","",N(INDEX(tsk_BaseCost,(ROW()-ROW(MSPTasks[[#Headers],[ID]]))))))</f>
        <v/>
      </c>
      <c r="T57" s="24" t="str">
        <f aca="false">IF(IFERROR(INDEX(tsk_Name,(ROW()-ROW(MSPTasks[[#Headers],[ID]])))="",TRUE()),"",IF(INDEX(tsk_IsSummary,(ROW()-ROW(MSPTasks[[#Headers],[ID]]))),"",IF(N(INDEX(tsk_ActCostInput,(ROW()-ROW(MSPTasks[[#Headers],[ID]]))))=0,"",INDEX(tsk_ActCostInput,(ROW()-ROW(MSPTasks[[#Headers],[ID]]))))))</f>
        <v/>
      </c>
      <c r="U5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7" s="137" t="str">
        <f aca="false">IF(IFERROR(INDEX(tsk_Name,(ROW()-ROW(MSPTasks[[#Headers],[ID]])))="",TRUE()),"",IF(OR(INDEX(tsk_IsSummary,(ROW()-ROW(MSPTasks[[#Headers],[ID]]))),INDEX(tsk_Mode,(ROW()-ROW(MSPTasks[[#Headers],[ID]])))="Manual"),"",IF(N(INDEX(tsk_ConstraintCode,(ROW()-ROW(MSPTasks[[#Headers],[ID]]))))&lt;2,"",INDEX(tsk_Constraint,(ROW()-ROW(MSPTasks[[#Headers],[ID]]))))))</f>
        <v/>
      </c>
      <c r="W57" s="137" t="str">
        <f aca="false">IF(IFERROR(INDEX(tsk_Name,(ROW()-ROW(MSPTasks[[#Headers],[ID]])))="",TRUE()),"",IF(N(INDEX(tsk_Deadline,(ROW()-ROW(MSPTasks[[#Headers],[ID]]))))=0,"",INDEX(tsk_Deadline,(ROW()-ROW(MSPTasks[[#Headers],[ID]])))))</f>
        <v/>
      </c>
      <c r="X57" s="24" t="str">
        <f aca="false">IF(IFERROR(INDEX(tsk_Name,(ROW()-ROW(MSPTasks[[#Headers],[ID]])))="",TRUE()),"",IF(INDEX(tsk_IsSummary,(ROW()-ROW(MSPTasks[[#Headers],[ID]]))),"",INDEX(tsk_Sprint,(ROW()-ROW(MSPTasks[[#Headers],[ID]])))&amp;""))</f>
        <v/>
      </c>
      <c r="Y57" s="24" t="str">
        <f aca="false">IF(IFERROR(INDEX(tsk_Name,(ROW()-ROW(MSPTasks[[#Headers],[ID]])))="",TRUE()),"",IF(INDEX(tsk_IsSummary,(ROW()-ROW(MSPTasks[[#Headers],[ID]]))),"",IF(N(INDEX(tsk_StoryPoints,(ROW()-ROW(MSPTasks[[#Headers],[ID]]))))=0,"",INDEX(tsk_StoryPoints,(ROW()-ROW(MSPTasks[[#Headers],[ID]]))))))</f>
        <v/>
      </c>
      <c r="Z57" s="24" t="str">
        <f aca="false">IF(IFERROR(INDEX(tsk_Name,(ROW()-ROW(MSPTasks[[#Headers],[ID]])))="",TRUE()),"",INDEX(tsk_Notes,(ROW()-ROW(MSPTasks[[#Headers],[ID]])))&amp;"")</f>
        <v/>
      </c>
    </row>
    <row r="58" customFormat="false" ht="15" hidden="false" customHeight="false" outlineLevel="0" collapsed="false">
      <c r="A58" s="24" t="str">
        <f aca="false">IF(IFERROR(INDEX(tsk_Name,(ROW()-ROW(MSPTasks[[#Headers],[ID]])))="",TRUE()),"",INDEX(tsk_ID,(ROW()-ROW(MSPTasks[[#Headers],[ID]]))))</f>
        <v/>
      </c>
      <c r="B58" s="24" t="str">
        <f aca="false">IF(IFERROR(INDEX(tsk_Name,(ROW()-ROW(MSPTasks[[#Headers],[ID]])))="",TRUE()),"",INDEX(tsk_UID,(ROW()-ROW(MSPTasks[[#Headers],[ID]]))))</f>
        <v/>
      </c>
      <c r="C58" s="24" t="str">
        <f aca="false">IF(IFERROR(INDEX(tsk_Name,(ROW()-ROW(MSPTasks[[#Headers],[ID]])))="",TRUE()),"",INDEX(tsk_Name,(ROW()-ROW(MSPTasks[[#Headers],[ID]]))))</f>
        <v/>
      </c>
      <c r="D58" s="24" t="str">
        <f aca="false">IF(IFERROR(INDEX(tsk_Name,(ROW()-ROW(MSPTasks[[#Headers],[ID]])))="",TRUE()),"",INDEX(tsk_Level,(ROW()-ROW(MSPTasks[[#Headers],[ID]]))))</f>
        <v/>
      </c>
      <c r="E58" s="24" t="str">
        <f aca="false">IF(IFERROR(INDEX(tsk_Name,(ROW()-ROW(MSPTasks[[#Headers],[ID]])))="",TRUE()),"",IF(INDEX(tsk_Mode,(ROW()-ROW(MSPTasks[[#Headers],[ID]])))="Manual","Manually Scheduled","Auto Scheduled"))</f>
        <v/>
      </c>
      <c r="F58" s="24" t="str">
        <f aca="false">IF(IFERROR(INDEX(tsk_Name,(ROW()-ROW(MSPTasks[[#Headers],[ID]])))="",TRUE()),"",IF(INDEX(tsk_IsSummary,(ROW()-ROW(MSPTasks[[#Headers],[ID]]))),"",N(INDEX(tsk_Duration,(ROW()-ROW(MSPTasks[[#Headers],[ID]]))))&amp;"d"))</f>
        <v/>
      </c>
      <c r="G58" s="137" t="str">
        <f aca="false">IF(IFERROR(INDEX(tsk_Name,(ROW()-ROW(MSPTasks[[#Headers],[ID]])))="",TRUE()),"",INDEX(tsk_FcStart,(ROW()-ROW(MSPTasks[[#Headers],[ID]]))))</f>
        <v/>
      </c>
      <c r="H58" s="137" t="str">
        <f aca="false">IF(IFERROR(INDEX(tsk_Name,(ROW()-ROW(MSPTasks[[#Headers],[ID]])))="",TRUE()),"",INDEX(tsk_FcFinish,(ROW()-ROW(MSPTasks[[#Headers],[ID]]))))</f>
        <v/>
      </c>
      <c r="I58" s="24" t="str">
        <f aca="false">IF(IFERROR(INDEX(tsk_Name,(ROW()-ROW(MSPTasks[[#Headers],[ID]])))="",TRUE()),"",IF(INDEX(tsk_IsSummary,(ROW()-ROW(MSPTasks[[#Headers],[ID]]))),"",INDEX(tsk_Predecessors,(ROW()-ROW(MSPTasks[[#Headers],[ID]])))))</f>
        <v/>
      </c>
      <c r="J58" s="24" t="str">
        <f aca="false">IF(IFERROR(INDEX(tsk_Name,(ROW()-ROW(MSPTasks[[#Headers],[ID]])))="",TRUE()),"",IF(INDEX(tsk_IsSummary,(ROW()-ROW(MSPTasks[[#Headers],[ID]]))),"",INDEX(tsk_UIDPredecessors,(ROW()-ROW(MSPTasks[[#Headers],[ID]])))))</f>
        <v/>
      </c>
      <c r="K58" s="24" t="str">
        <f aca="false">IF(IFERROR(INDEX(tsk_Name,(ROW()-ROW(MSPTasks[[#Headers],[ID]])))="",TRUE()),"",INDEX(tsk_ResourceNames,(ROW()-ROW(MSPTasks[[#Headers],[ID]])))&amp;"")</f>
        <v/>
      </c>
      <c r="L58" s="24" t="str">
        <f aca="false">IF(IFERROR(INDEX(tsk_Name,(ROW()-ROW(MSPTasks[[#Headers],[ID]])))="",TRUE()),"",IF(INDEX(tsk_IsSummary,(ROW()-ROW(MSPTasks[[#Headers],[ID]]))),"",ROUND(INDEX(tsk_Progress,(ROW()-ROW(MSPTasks[[#Headers],[ID]])))*100,0)))</f>
        <v/>
      </c>
      <c r="M58" s="137" t="str">
        <f aca="false">IF(IFERROR(INDEX(tsk_Name,(ROW()-ROW(MSPTasks[[#Headers],[ID]])))="",TRUE()),"",IF(N(INDEX(tsk_ActStart,(ROW()-ROW(MSPTasks[[#Headers],[ID]]))))=0,"",INDEX(tsk_ActStart,(ROW()-ROW(MSPTasks[[#Headers],[ID]])))))</f>
        <v/>
      </c>
      <c r="N58" s="137" t="str">
        <f aca="false">IF(IFERROR(INDEX(tsk_Name,(ROW()-ROW(MSPTasks[[#Headers],[ID]])))="",TRUE()),"",IF(N(INDEX(tsk_ActFinish,(ROW()-ROW(MSPTasks[[#Headers],[ID]]))))=0,"",INDEX(tsk_ActFinish,(ROW()-ROW(MSPTasks[[#Headers],[ID]])))))</f>
        <v/>
      </c>
      <c r="O58" s="137" t="str">
        <f aca="false">IF(IFERROR(INDEX(tsk_Name,(ROW()-ROW(MSPTasks[[#Headers],[ID]])))="",TRUE()),"",INDEX(tsk_PlanStart,(ROW()-ROW(MSPTasks[[#Headers],[ID]]))))</f>
        <v/>
      </c>
      <c r="P58" s="137" t="str">
        <f aca="false">IF(IFERROR(INDEX(tsk_Name,(ROW()-ROW(MSPTasks[[#Headers],[ID]])))="",TRUE()),"",INDEX(tsk_PlanFinish,(ROW()-ROW(MSPTasks[[#Headers],[ID]]))))</f>
        <v/>
      </c>
      <c r="Q58" s="24" t="str">
        <f aca="false">IF(IFERROR(INDEX(tsk_Name,(ROW()-ROW(MSPTasks[[#Headers],[ID]])))="",TRUE()),"",IF(INDEX(tsk_BaseDuration,(ROW()-ROW(MSPTasks[[#Headers],[ID]])))="","",N(INDEX(tsk_BaseDuration,(ROW()-ROW(MSPTasks[[#Headers],[ID]]))))&amp;"d"))</f>
        <v/>
      </c>
      <c r="R58" s="24" t="str">
        <f aca="false">IF(IFERROR(INDEX(tsk_Name,(ROW()-ROW(MSPTasks[[#Headers],[ID]])))="",TRUE()),"",IF(INDEX(tsk_BaseWork,(ROW()-ROW(MSPTasks[[#Headers],[ID]])))="","",N(INDEX(tsk_BaseWork,(ROW()-ROW(MSPTasks[[#Headers],[ID]]))))&amp;"h"))</f>
        <v/>
      </c>
      <c r="S58" s="24" t="str">
        <f aca="false">IF(IFERROR(INDEX(tsk_Name,(ROW()-ROW(MSPTasks[[#Headers],[ID]])))="",TRUE()),"",IF(INDEX(tsk_BaseCost,(ROW()-ROW(MSPTasks[[#Headers],[ID]])))="","",N(INDEX(tsk_BaseCost,(ROW()-ROW(MSPTasks[[#Headers],[ID]]))))))</f>
        <v/>
      </c>
      <c r="T58" s="24" t="str">
        <f aca="false">IF(IFERROR(INDEX(tsk_Name,(ROW()-ROW(MSPTasks[[#Headers],[ID]])))="",TRUE()),"",IF(INDEX(tsk_IsSummary,(ROW()-ROW(MSPTasks[[#Headers],[ID]]))),"",IF(N(INDEX(tsk_ActCostInput,(ROW()-ROW(MSPTasks[[#Headers],[ID]]))))=0,"",INDEX(tsk_ActCostInput,(ROW()-ROW(MSPTasks[[#Headers],[ID]]))))))</f>
        <v/>
      </c>
      <c r="U5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8" s="137" t="str">
        <f aca="false">IF(IFERROR(INDEX(tsk_Name,(ROW()-ROW(MSPTasks[[#Headers],[ID]])))="",TRUE()),"",IF(OR(INDEX(tsk_IsSummary,(ROW()-ROW(MSPTasks[[#Headers],[ID]]))),INDEX(tsk_Mode,(ROW()-ROW(MSPTasks[[#Headers],[ID]])))="Manual"),"",IF(N(INDEX(tsk_ConstraintCode,(ROW()-ROW(MSPTasks[[#Headers],[ID]]))))&lt;2,"",INDEX(tsk_Constraint,(ROW()-ROW(MSPTasks[[#Headers],[ID]]))))))</f>
        <v/>
      </c>
      <c r="W58" s="137" t="str">
        <f aca="false">IF(IFERROR(INDEX(tsk_Name,(ROW()-ROW(MSPTasks[[#Headers],[ID]])))="",TRUE()),"",IF(N(INDEX(tsk_Deadline,(ROW()-ROW(MSPTasks[[#Headers],[ID]]))))=0,"",INDEX(tsk_Deadline,(ROW()-ROW(MSPTasks[[#Headers],[ID]])))))</f>
        <v/>
      </c>
      <c r="X58" s="24" t="str">
        <f aca="false">IF(IFERROR(INDEX(tsk_Name,(ROW()-ROW(MSPTasks[[#Headers],[ID]])))="",TRUE()),"",IF(INDEX(tsk_IsSummary,(ROW()-ROW(MSPTasks[[#Headers],[ID]]))),"",INDEX(tsk_Sprint,(ROW()-ROW(MSPTasks[[#Headers],[ID]])))&amp;""))</f>
        <v/>
      </c>
      <c r="Y58" s="24" t="str">
        <f aca="false">IF(IFERROR(INDEX(tsk_Name,(ROW()-ROW(MSPTasks[[#Headers],[ID]])))="",TRUE()),"",IF(INDEX(tsk_IsSummary,(ROW()-ROW(MSPTasks[[#Headers],[ID]]))),"",IF(N(INDEX(tsk_StoryPoints,(ROW()-ROW(MSPTasks[[#Headers],[ID]]))))=0,"",INDEX(tsk_StoryPoints,(ROW()-ROW(MSPTasks[[#Headers],[ID]]))))))</f>
        <v/>
      </c>
      <c r="Z58" s="24" t="str">
        <f aca="false">IF(IFERROR(INDEX(tsk_Name,(ROW()-ROW(MSPTasks[[#Headers],[ID]])))="",TRUE()),"",INDEX(tsk_Notes,(ROW()-ROW(MSPTasks[[#Headers],[ID]])))&amp;"")</f>
        <v/>
      </c>
    </row>
    <row r="59" customFormat="false" ht="15" hidden="false" customHeight="false" outlineLevel="0" collapsed="false">
      <c r="A59" s="24" t="str">
        <f aca="false">IF(IFERROR(INDEX(tsk_Name,(ROW()-ROW(MSPTasks[[#Headers],[ID]])))="",TRUE()),"",INDEX(tsk_ID,(ROW()-ROW(MSPTasks[[#Headers],[ID]]))))</f>
        <v/>
      </c>
      <c r="B59" s="24" t="str">
        <f aca="false">IF(IFERROR(INDEX(tsk_Name,(ROW()-ROW(MSPTasks[[#Headers],[ID]])))="",TRUE()),"",INDEX(tsk_UID,(ROW()-ROW(MSPTasks[[#Headers],[ID]]))))</f>
        <v/>
      </c>
      <c r="C59" s="24" t="str">
        <f aca="false">IF(IFERROR(INDEX(tsk_Name,(ROW()-ROW(MSPTasks[[#Headers],[ID]])))="",TRUE()),"",INDEX(tsk_Name,(ROW()-ROW(MSPTasks[[#Headers],[ID]]))))</f>
        <v/>
      </c>
      <c r="D59" s="24" t="str">
        <f aca="false">IF(IFERROR(INDEX(tsk_Name,(ROW()-ROW(MSPTasks[[#Headers],[ID]])))="",TRUE()),"",INDEX(tsk_Level,(ROW()-ROW(MSPTasks[[#Headers],[ID]]))))</f>
        <v/>
      </c>
      <c r="E59" s="24" t="str">
        <f aca="false">IF(IFERROR(INDEX(tsk_Name,(ROW()-ROW(MSPTasks[[#Headers],[ID]])))="",TRUE()),"",IF(INDEX(tsk_Mode,(ROW()-ROW(MSPTasks[[#Headers],[ID]])))="Manual","Manually Scheduled","Auto Scheduled"))</f>
        <v/>
      </c>
      <c r="F59" s="24" t="str">
        <f aca="false">IF(IFERROR(INDEX(tsk_Name,(ROW()-ROW(MSPTasks[[#Headers],[ID]])))="",TRUE()),"",IF(INDEX(tsk_IsSummary,(ROW()-ROW(MSPTasks[[#Headers],[ID]]))),"",N(INDEX(tsk_Duration,(ROW()-ROW(MSPTasks[[#Headers],[ID]]))))&amp;"d"))</f>
        <v/>
      </c>
      <c r="G59" s="137" t="str">
        <f aca="false">IF(IFERROR(INDEX(tsk_Name,(ROW()-ROW(MSPTasks[[#Headers],[ID]])))="",TRUE()),"",INDEX(tsk_FcStart,(ROW()-ROW(MSPTasks[[#Headers],[ID]]))))</f>
        <v/>
      </c>
      <c r="H59" s="137" t="str">
        <f aca="false">IF(IFERROR(INDEX(tsk_Name,(ROW()-ROW(MSPTasks[[#Headers],[ID]])))="",TRUE()),"",INDEX(tsk_FcFinish,(ROW()-ROW(MSPTasks[[#Headers],[ID]]))))</f>
        <v/>
      </c>
      <c r="I59" s="24" t="str">
        <f aca="false">IF(IFERROR(INDEX(tsk_Name,(ROW()-ROW(MSPTasks[[#Headers],[ID]])))="",TRUE()),"",IF(INDEX(tsk_IsSummary,(ROW()-ROW(MSPTasks[[#Headers],[ID]]))),"",INDEX(tsk_Predecessors,(ROW()-ROW(MSPTasks[[#Headers],[ID]])))))</f>
        <v/>
      </c>
      <c r="J59" s="24" t="str">
        <f aca="false">IF(IFERROR(INDEX(tsk_Name,(ROW()-ROW(MSPTasks[[#Headers],[ID]])))="",TRUE()),"",IF(INDEX(tsk_IsSummary,(ROW()-ROW(MSPTasks[[#Headers],[ID]]))),"",INDEX(tsk_UIDPredecessors,(ROW()-ROW(MSPTasks[[#Headers],[ID]])))))</f>
        <v/>
      </c>
      <c r="K59" s="24" t="str">
        <f aca="false">IF(IFERROR(INDEX(tsk_Name,(ROW()-ROW(MSPTasks[[#Headers],[ID]])))="",TRUE()),"",INDEX(tsk_ResourceNames,(ROW()-ROW(MSPTasks[[#Headers],[ID]])))&amp;"")</f>
        <v/>
      </c>
      <c r="L59" s="24" t="str">
        <f aca="false">IF(IFERROR(INDEX(tsk_Name,(ROW()-ROW(MSPTasks[[#Headers],[ID]])))="",TRUE()),"",IF(INDEX(tsk_IsSummary,(ROW()-ROW(MSPTasks[[#Headers],[ID]]))),"",ROUND(INDEX(tsk_Progress,(ROW()-ROW(MSPTasks[[#Headers],[ID]])))*100,0)))</f>
        <v/>
      </c>
      <c r="M59" s="137" t="str">
        <f aca="false">IF(IFERROR(INDEX(tsk_Name,(ROW()-ROW(MSPTasks[[#Headers],[ID]])))="",TRUE()),"",IF(N(INDEX(tsk_ActStart,(ROW()-ROW(MSPTasks[[#Headers],[ID]]))))=0,"",INDEX(tsk_ActStart,(ROW()-ROW(MSPTasks[[#Headers],[ID]])))))</f>
        <v/>
      </c>
      <c r="N59" s="137" t="str">
        <f aca="false">IF(IFERROR(INDEX(tsk_Name,(ROW()-ROW(MSPTasks[[#Headers],[ID]])))="",TRUE()),"",IF(N(INDEX(tsk_ActFinish,(ROW()-ROW(MSPTasks[[#Headers],[ID]]))))=0,"",INDEX(tsk_ActFinish,(ROW()-ROW(MSPTasks[[#Headers],[ID]])))))</f>
        <v/>
      </c>
      <c r="O59" s="137" t="str">
        <f aca="false">IF(IFERROR(INDEX(tsk_Name,(ROW()-ROW(MSPTasks[[#Headers],[ID]])))="",TRUE()),"",INDEX(tsk_PlanStart,(ROW()-ROW(MSPTasks[[#Headers],[ID]]))))</f>
        <v/>
      </c>
      <c r="P59" s="137" t="str">
        <f aca="false">IF(IFERROR(INDEX(tsk_Name,(ROW()-ROW(MSPTasks[[#Headers],[ID]])))="",TRUE()),"",INDEX(tsk_PlanFinish,(ROW()-ROW(MSPTasks[[#Headers],[ID]]))))</f>
        <v/>
      </c>
      <c r="Q59" s="24" t="str">
        <f aca="false">IF(IFERROR(INDEX(tsk_Name,(ROW()-ROW(MSPTasks[[#Headers],[ID]])))="",TRUE()),"",IF(INDEX(tsk_BaseDuration,(ROW()-ROW(MSPTasks[[#Headers],[ID]])))="","",N(INDEX(tsk_BaseDuration,(ROW()-ROW(MSPTasks[[#Headers],[ID]]))))&amp;"d"))</f>
        <v/>
      </c>
      <c r="R59" s="24" t="str">
        <f aca="false">IF(IFERROR(INDEX(tsk_Name,(ROW()-ROW(MSPTasks[[#Headers],[ID]])))="",TRUE()),"",IF(INDEX(tsk_BaseWork,(ROW()-ROW(MSPTasks[[#Headers],[ID]])))="","",N(INDEX(tsk_BaseWork,(ROW()-ROW(MSPTasks[[#Headers],[ID]]))))&amp;"h"))</f>
        <v/>
      </c>
      <c r="S59" s="24" t="str">
        <f aca="false">IF(IFERROR(INDEX(tsk_Name,(ROW()-ROW(MSPTasks[[#Headers],[ID]])))="",TRUE()),"",IF(INDEX(tsk_BaseCost,(ROW()-ROW(MSPTasks[[#Headers],[ID]])))="","",N(INDEX(tsk_BaseCost,(ROW()-ROW(MSPTasks[[#Headers],[ID]]))))))</f>
        <v/>
      </c>
      <c r="T59" s="24" t="str">
        <f aca="false">IF(IFERROR(INDEX(tsk_Name,(ROW()-ROW(MSPTasks[[#Headers],[ID]])))="",TRUE()),"",IF(INDEX(tsk_IsSummary,(ROW()-ROW(MSPTasks[[#Headers],[ID]]))),"",IF(N(INDEX(tsk_ActCostInput,(ROW()-ROW(MSPTasks[[#Headers],[ID]]))))=0,"",INDEX(tsk_ActCostInput,(ROW()-ROW(MSPTasks[[#Headers],[ID]]))))))</f>
        <v/>
      </c>
      <c r="U5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59" s="137" t="str">
        <f aca="false">IF(IFERROR(INDEX(tsk_Name,(ROW()-ROW(MSPTasks[[#Headers],[ID]])))="",TRUE()),"",IF(OR(INDEX(tsk_IsSummary,(ROW()-ROW(MSPTasks[[#Headers],[ID]]))),INDEX(tsk_Mode,(ROW()-ROW(MSPTasks[[#Headers],[ID]])))="Manual"),"",IF(N(INDEX(tsk_ConstraintCode,(ROW()-ROW(MSPTasks[[#Headers],[ID]]))))&lt;2,"",INDEX(tsk_Constraint,(ROW()-ROW(MSPTasks[[#Headers],[ID]]))))))</f>
        <v/>
      </c>
      <c r="W59" s="137" t="str">
        <f aca="false">IF(IFERROR(INDEX(tsk_Name,(ROW()-ROW(MSPTasks[[#Headers],[ID]])))="",TRUE()),"",IF(N(INDEX(tsk_Deadline,(ROW()-ROW(MSPTasks[[#Headers],[ID]]))))=0,"",INDEX(tsk_Deadline,(ROW()-ROW(MSPTasks[[#Headers],[ID]])))))</f>
        <v/>
      </c>
      <c r="X59" s="24" t="str">
        <f aca="false">IF(IFERROR(INDEX(tsk_Name,(ROW()-ROW(MSPTasks[[#Headers],[ID]])))="",TRUE()),"",IF(INDEX(tsk_IsSummary,(ROW()-ROW(MSPTasks[[#Headers],[ID]]))),"",INDEX(tsk_Sprint,(ROW()-ROW(MSPTasks[[#Headers],[ID]])))&amp;""))</f>
        <v/>
      </c>
      <c r="Y59" s="24" t="str">
        <f aca="false">IF(IFERROR(INDEX(tsk_Name,(ROW()-ROW(MSPTasks[[#Headers],[ID]])))="",TRUE()),"",IF(INDEX(tsk_IsSummary,(ROW()-ROW(MSPTasks[[#Headers],[ID]]))),"",IF(N(INDEX(tsk_StoryPoints,(ROW()-ROW(MSPTasks[[#Headers],[ID]]))))=0,"",INDEX(tsk_StoryPoints,(ROW()-ROW(MSPTasks[[#Headers],[ID]]))))))</f>
        <v/>
      </c>
      <c r="Z59" s="24" t="str">
        <f aca="false">IF(IFERROR(INDEX(tsk_Name,(ROW()-ROW(MSPTasks[[#Headers],[ID]])))="",TRUE()),"",INDEX(tsk_Notes,(ROW()-ROW(MSPTasks[[#Headers],[ID]])))&amp;"")</f>
        <v/>
      </c>
    </row>
    <row r="60" customFormat="false" ht="15" hidden="false" customHeight="false" outlineLevel="0" collapsed="false">
      <c r="A60" s="24" t="str">
        <f aca="false">IF(IFERROR(INDEX(tsk_Name,(ROW()-ROW(MSPTasks[[#Headers],[ID]])))="",TRUE()),"",INDEX(tsk_ID,(ROW()-ROW(MSPTasks[[#Headers],[ID]]))))</f>
        <v/>
      </c>
      <c r="B60" s="24" t="str">
        <f aca="false">IF(IFERROR(INDEX(tsk_Name,(ROW()-ROW(MSPTasks[[#Headers],[ID]])))="",TRUE()),"",INDEX(tsk_UID,(ROW()-ROW(MSPTasks[[#Headers],[ID]]))))</f>
        <v/>
      </c>
      <c r="C60" s="24" t="str">
        <f aca="false">IF(IFERROR(INDEX(tsk_Name,(ROW()-ROW(MSPTasks[[#Headers],[ID]])))="",TRUE()),"",INDEX(tsk_Name,(ROW()-ROW(MSPTasks[[#Headers],[ID]]))))</f>
        <v/>
      </c>
      <c r="D60" s="24" t="str">
        <f aca="false">IF(IFERROR(INDEX(tsk_Name,(ROW()-ROW(MSPTasks[[#Headers],[ID]])))="",TRUE()),"",INDEX(tsk_Level,(ROW()-ROW(MSPTasks[[#Headers],[ID]]))))</f>
        <v/>
      </c>
      <c r="E60" s="24" t="str">
        <f aca="false">IF(IFERROR(INDEX(tsk_Name,(ROW()-ROW(MSPTasks[[#Headers],[ID]])))="",TRUE()),"",IF(INDEX(tsk_Mode,(ROW()-ROW(MSPTasks[[#Headers],[ID]])))="Manual","Manually Scheduled","Auto Scheduled"))</f>
        <v/>
      </c>
      <c r="F60" s="24" t="str">
        <f aca="false">IF(IFERROR(INDEX(tsk_Name,(ROW()-ROW(MSPTasks[[#Headers],[ID]])))="",TRUE()),"",IF(INDEX(tsk_IsSummary,(ROW()-ROW(MSPTasks[[#Headers],[ID]]))),"",N(INDEX(tsk_Duration,(ROW()-ROW(MSPTasks[[#Headers],[ID]]))))&amp;"d"))</f>
        <v/>
      </c>
      <c r="G60" s="137" t="str">
        <f aca="false">IF(IFERROR(INDEX(tsk_Name,(ROW()-ROW(MSPTasks[[#Headers],[ID]])))="",TRUE()),"",INDEX(tsk_FcStart,(ROW()-ROW(MSPTasks[[#Headers],[ID]]))))</f>
        <v/>
      </c>
      <c r="H60" s="137" t="str">
        <f aca="false">IF(IFERROR(INDEX(tsk_Name,(ROW()-ROW(MSPTasks[[#Headers],[ID]])))="",TRUE()),"",INDEX(tsk_FcFinish,(ROW()-ROW(MSPTasks[[#Headers],[ID]]))))</f>
        <v/>
      </c>
      <c r="I60" s="24" t="str">
        <f aca="false">IF(IFERROR(INDEX(tsk_Name,(ROW()-ROW(MSPTasks[[#Headers],[ID]])))="",TRUE()),"",IF(INDEX(tsk_IsSummary,(ROW()-ROW(MSPTasks[[#Headers],[ID]]))),"",INDEX(tsk_Predecessors,(ROW()-ROW(MSPTasks[[#Headers],[ID]])))))</f>
        <v/>
      </c>
      <c r="J60" s="24" t="str">
        <f aca="false">IF(IFERROR(INDEX(tsk_Name,(ROW()-ROW(MSPTasks[[#Headers],[ID]])))="",TRUE()),"",IF(INDEX(tsk_IsSummary,(ROW()-ROW(MSPTasks[[#Headers],[ID]]))),"",INDEX(tsk_UIDPredecessors,(ROW()-ROW(MSPTasks[[#Headers],[ID]])))))</f>
        <v/>
      </c>
      <c r="K60" s="24" t="str">
        <f aca="false">IF(IFERROR(INDEX(tsk_Name,(ROW()-ROW(MSPTasks[[#Headers],[ID]])))="",TRUE()),"",INDEX(tsk_ResourceNames,(ROW()-ROW(MSPTasks[[#Headers],[ID]])))&amp;"")</f>
        <v/>
      </c>
      <c r="L60" s="24" t="str">
        <f aca="false">IF(IFERROR(INDEX(tsk_Name,(ROW()-ROW(MSPTasks[[#Headers],[ID]])))="",TRUE()),"",IF(INDEX(tsk_IsSummary,(ROW()-ROW(MSPTasks[[#Headers],[ID]]))),"",ROUND(INDEX(tsk_Progress,(ROW()-ROW(MSPTasks[[#Headers],[ID]])))*100,0)))</f>
        <v/>
      </c>
      <c r="M60" s="137" t="str">
        <f aca="false">IF(IFERROR(INDEX(tsk_Name,(ROW()-ROW(MSPTasks[[#Headers],[ID]])))="",TRUE()),"",IF(N(INDEX(tsk_ActStart,(ROW()-ROW(MSPTasks[[#Headers],[ID]]))))=0,"",INDEX(tsk_ActStart,(ROW()-ROW(MSPTasks[[#Headers],[ID]])))))</f>
        <v/>
      </c>
      <c r="N60" s="137" t="str">
        <f aca="false">IF(IFERROR(INDEX(tsk_Name,(ROW()-ROW(MSPTasks[[#Headers],[ID]])))="",TRUE()),"",IF(N(INDEX(tsk_ActFinish,(ROW()-ROW(MSPTasks[[#Headers],[ID]]))))=0,"",INDEX(tsk_ActFinish,(ROW()-ROW(MSPTasks[[#Headers],[ID]])))))</f>
        <v/>
      </c>
      <c r="O60" s="137" t="str">
        <f aca="false">IF(IFERROR(INDEX(tsk_Name,(ROW()-ROW(MSPTasks[[#Headers],[ID]])))="",TRUE()),"",INDEX(tsk_PlanStart,(ROW()-ROW(MSPTasks[[#Headers],[ID]]))))</f>
        <v/>
      </c>
      <c r="P60" s="137" t="str">
        <f aca="false">IF(IFERROR(INDEX(tsk_Name,(ROW()-ROW(MSPTasks[[#Headers],[ID]])))="",TRUE()),"",INDEX(tsk_PlanFinish,(ROW()-ROW(MSPTasks[[#Headers],[ID]]))))</f>
        <v/>
      </c>
      <c r="Q60" s="24" t="str">
        <f aca="false">IF(IFERROR(INDEX(tsk_Name,(ROW()-ROW(MSPTasks[[#Headers],[ID]])))="",TRUE()),"",IF(INDEX(tsk_BaseDuration,(ROW()-ROW(MSPTasks[[#Headers],[ID]])))="","",N(INDEX(tsk_BaseDuration,(ROW()-ROW(MSPTasks[[#Headers],[ID]]))))&amp;"d"))</f>
        <v/>
      </c>
      <c r="R60" s="24" t="str">
        <f aca="false">IF(IFERROR(INDEX(tsk_Name,(ROW()-ROW(MSPTasks[[#Headers],[ID]])))="",TRUE()),"",IF(INDEX(tsk_BaseWork,(ROW()-ROW(MSPTasks[[#Headers],[ID]])))="","",N(INDEX(tsk_BaseWork,(ROW()-ROW(MSPTasks[[#Headers],[ID]]))))&amp;"h"))</f>
        <v/>
      </c>
      <c r="S60" s="24" t="str">
        <f aca="false">IF(IFERROR(INDEX(tsk_Name,(ROW()-ROW(MSPTasks[[#Headers],[ID]])))="",TRUE()),"",IF(INDEX(tsk_BaseCost,(ROW()-ROW(MSPTasks[[#Headers],[ID]])))="","",N(INDEX(tsk_BaseCost,(ROW()-ROW(MSPTasks[[#Headers],[ID]]))))))</f>
        <v/>
      </c>
      <c r="T60" s="24" t="str">
        <f aca="false">IF(IFERROR(INDEX(tsk_Name,(ROW()-ROW(MSPTasks[[#Headers],[ID]])))="",TRUE()),"",IF(INDEX(tsk_IsSummary,(ROW()-ROW(MSPTasks[[#Headers],[ID]]))),"",IF(N(INDEX(tsk_ActCostInput,(ROW()-ROW(MSPTasks[[#Headers],[ID]]))))=0,"",INDEX(tsk_ActCostInput,(ROW()-ROW(MSPTasks[[#Headers],[ID]]))))))</f>
        <v/>
      </c>
      <c r="U6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0" s="137" t="str">
        <f aca="false">IF(IFERROR(INDEX(tsk_Name,(ROW()-ROW(MSPTasks[[#Headers],[ID]])))="",TRUE()),"",IF(OR(INDEX(tsk_IsSummary,(ROW()-ROW(MSPTasks[[#Headers],[ID]]))),INDEX(tsk_Mode,(ROW()-ROW(MSPTasks[[#Headers],[ID]])))="Manual"),"",IF(N(INDEX(tsk_ConstraintCode,(ROW()-ROW(MSPTasks[[#Headers],[ID]]))))&lt;2,"",INDEX(tsk_Constraint,(ROW()-ROW(MSPTasks[[#Headers],[ID]]))))))</f>
        <v/>
      </c>
      <c r="W60" s="137" t="str">
        <f aca="false">IF(IFERROR(INDEX(tsk_Name,(ROW()-ROW(MSPTasks[[#Headers],[ID]])))="",TRUE()),"",IF(N(INDEX(tsk_Deadline,(ROW()-ROW(MSPTasks[[#Headers],[ID]]))))=0,"",INDEX(tsk_Deadline,(ROW()-ROW(MSPTasks[[#Headers],[ID]])))))</f>
        <v/>
      </c>
      <c r="X60" s="24" t="str">
        <f aca="false">IF(IFERROR(INDEX(tsk_Name,(ROW()-ROW(MSPTasks[[#Headers],[ID]])))="",TRUE()),"",IF(INDEX(tsk_IsSummary,(ROW()-ROW(MSPTasks[[#Headers],[ID]]))),"",INDEX(tsk_Sprint,(ROW()-ROW(MSPTasks[[#Headers],[ID]])))&amp;""))</f>
        <v/>
      </c>
      <c r="Y60" s="24" t="str">
        <f aca="false">IF(IFERROR(INDEX(tsk_Name,(ROW()-ROW(MSPTasks[[#Headers],[ID]])))="",TRUE()),"",IF(INDEX(tsk_IsSummary,(ROW()-ROW(MSPTasks[[#Headers],[ID]]))),"",IF(N(INDEX(tsk_StoryPoints,(ROW()-ROW(MSPTasks[[#Headers],[ID]]))))=0,"",INDEX(tsk_StoryPoints,(ROW()-ROW(MSPTasks[[#Headers],[ID]]))))))</f>
        <v/>
      </c>
      <c r="Z60" s="24" t="str">
        <f aca="false">IF(IFERROR(INDEX(tsk_Name,(ROW()-ROW(MSPTasks[[#Headers],[ID]])))="",TRUE()),"",INDEX(tsk_Notes,(ROW()-ROW(MSPTasks[[#Headers],[ID]])))&amp;"")</f>
        <v/>
      </c>
    </row>
    <row r="61" customFormat="false" ht="15" hidden="false" customHeight="false" outlineLevel="0" collapsed="false">
      <c r="A61" s="24" t="str">
        <f aca="false">IF(IFERROR(INDEX(tsk_Name,(ROW()-ROW(MSPTasks[[#Headers],[ID]])))="",TRUE()),"",INDEX(tsk_ID,(ROW()-ROW(MSPTasks[[#Headers],[ID]]))))</f>
        <v/>
      </c>
      <c r="B61" s="24" t="str">
        <f aca="false">IF(IFERROR(INDEX(tsk_Name,(ROW()-ROW(MSPTasks[[#Headers],[ID]])))="",TRUE()),"",INDEX(tsk_UID,(ROW()-ROW(MSPTasks[[#Headers],[ID]]))))</f>
        <v/>
      </c>
      <c r="C61" s="24" t="str">
        <f aca="false">IF(IFERROR(INDEX(tsk_Name,(ROW()-ROW(MSPTasks[[#Headers],[ID]])))="",TRUE()),"",INDEX(tsk_Name,(ROW()-ROW(MSPTasks[[#Headers],[ID]]))))</f>
        <v/>
      </c>
      <c r="D61" s="24" t="str">
        <f aca="false">IF(IFERROR(INDEX(tsk_Name,(ROW()-ROW(MSPTasks[[#Headers],[ID]])))="",TRUE()),"",INDEX(tsk_Level,(ROW()-ROW(MSPTasks[[#Headers],[ID]]))))</f>
        <v/>
      </c>
      <c r="E61" s="24" t="str">
        <f aca="false">IF(IFERROR(INDEX(tsk_Name,(ROW()-ROW(MSPTasks[[#Headers],[ID]])))="",TRUE()),"",IF(INDEX(tsk_Mode,(ROW()-ROW(MSPTasks[[#Headers],[ID]])))="Manual","Manually Scheduled","Auto Scheduled"))</f>
        <v/>
      </c>
      <c r="F61" s="24" t="str">
        <f aca="false">IF(IFERROR(INDEX(tsk_Name,(ROW()-ROW(MSPTasks[[#Headers],[ID]])))="",TRUE()),"",IF(INDEX(tsk_IsSummary,(ROW()-ROW(MSPTasks[[#Headers],[ID]]))),"",N(INDEX(tsk_Duration,(ROW()-ROW(MSPTasks[[#Headers],[ID]]))))&amp;"d"))</f>
        <v/>
      </c>
      <c r="G61" s="137" t="str">
        <f aca="false">IF(IFERROR(INDEX(tsk_Name,(ROW()-ROW(MSPTasks[[#Headers],[ID]])))="",TRUE()),"",INDEX(tsk_FcStart,(ROW()-ROW(MSPTasks[[#Headers],[ID]]))))</f>
        <v/>
      </c>
      <c r="H61" s="137" t="str">
        <f aca="false">IF(IFERROR(INDEX(tsk_Name,(ROW()-ROW(MSPTasks[[#Headers],[ID]])))="",TRUE()),"",INDEX(tsk_FcFinish,(ROW()-ROW(MSPTasks[[#Headers],[ID]]))))</f>
        <v/>
      </c>
      <c r="I61" s="24" t="str">
        <f aca="false">IF(IFERROR(INDEX(tsk_Name,(ROW()-ROW(MSPTasks[[#Headers],[ID]])))="",TRUE()),"",IF(INDEX(tsk_IsSummary,(ROW()-ROW(MSPTasks[[#Headers],[ID]]))),"",INDEX(tsk_Predecessors,(ROW()-ROW(MSPTasks[[#Headers],[ID]])))))</f>
        <v/>
      </c>
      <c r="J61" s="24" t="str">
        <f aca="false">IF(IFERROR(INDEX(tsk_Name,(ROW()-ROW(MSPTasks[[#Headers],[ID]])))="",TRUE()),"",IF(INDEX(tsk_IsSummary,(ROW()-ROW(MSPTasks[[#Headers],[ID]]))),"",INDEX(tsk_UIDPredecessors,(ROW()-ROW(MSPTasks[[#Headers],[ID]])))))</f>
        <v/>
      </c>
      <c r="K61" s="24" t="str">
        <f aca="false">IF(IFERROR(INDEX(tsk_Name,(ROW()-ROW(MSPTasks[[#Headers],[ID]])))="",TRUE()),"",INDEX(tsk_ResourceNames,(ROW()-ROW(MSPTasks[[#Headers],[ID]])))&amp;"")</f>
        <v/>
      </c>
      <c r="L61" s="24" t="str">
        <f aca="false">IF(IFERROR(INDEX(tsk_Name,(ROW()-ROW(MSPTasks[[#Headers],[ID]])))="",TRUE()),"",IF(INDEX(tsk_IsSummary,(ROW()-ROW(MSPTasks[[#Headers],[ID]]))),"",ROUND(INDEX(tsk_Progress,(ROW()-ROW(MSPTasks[[#Headers],[ID]])))*100,0)))</f>
        <v/>
      </c>
      <c r="M61" s="137" t="str">
        <f aca="false">IF(IFERROR(INDEX(tsk_Name,(ROW()-ROW(MSPTasks[[#Headers],[ID]])))="",TRUE()),"",IF(N(INDEX(tsk_ActStart,(ROW()-ROW(MSPTasks[[#Headers],[ID]]))))=0,"",INDEX(tsk_ActStart,(ROW()-ROW(MSPTasks[[#Headers],[ID]])))))</f>
        <v/>
      </c>
      <c r="N61" s="137" t="str">
        <f aca="false">IF(IFERROR(INDEX(tsk_Name,(ROW()-ROW(MSPTasks[[#Headers],[ID]])))="",TRUE()),"",IF(N(INDEX(tsk_ActFinish,(ROW()-ROW(MSPTasks[[#Headers],[ID]]))))=0,"",INDEX(tsk_ActFinish,(ROW()-ROW(MSPTasks[[#Headers],[ID]])))))</f>
        <v/>
      </c>
      <c r="O61" s="137" t="str">
        <f aca="false">IF(IFERROR(INDEX(tsk_Name,(ROW()-ROW(MSPTasks[[#Headers],[ID]])))="",TRUE()),"",INDEX(tsk_PlanStart,(ROW()-ROW(MSPTasks[[#Headers],[ID]]))))</f>
        <v/>
      </c>
      <c r="P61" s="137" t="str">
        <f aca="false">IF(IFERROR(INDEX(tsk_Name,(ROW()-ROW(MSPTasks[[#Headers],[ID]])))="",TRUE()),"",INDEX(tsk_PlanFinish,(ROW()-ROW(MSPTasks[[#Headers],[ID]]))))</f>
        <v/>
      </c>
      <c r="Q61" s="24" t="str">
        <f aca="false">IF(IFERROR(INDEX(tsk_Name,(ROW()-ROW(MSPTasks[[#Headers],[ID]])))="",TRUE()),"",IF(INDEX(tsk_BaseDuration,(ROW()-ROW(MSPTasks[[#Headers],[ID]])))="","",N(INDEX(tsk_BaseDuration,(ROW()-ROW(MSPTasks[[#Headers],[ID]]))))&amp;"d"))</f>
        <v/>
      </c>
      <c r="R61" s="24" t="str">
        <f aca="false">IF(IFERROR(INDEX(tsk_Name,(ROW()-ROW(MSPTasks[[#Headers],[ID]])))="",TRUE()),"",IF(INDEX(tsk_BaseWork,(ROW()-ROW(MSPTasks[[#Headers],[ID]])))="","",N(INDEX(tsk_BaseWork,(ROW()-ROW(MSPTasks[[#Headers],[ID]]))))&amp;"h"))</f>
        <v/>
      </c>
      <c r="S61" s="24" t="str">
        <f aca="false">IF(IFERROR(INDEX(tsk_Name,(ROW()-ROW(MSPTasks[[#Headers],[ID]])))="",TRUE()),"",IF(INDEX(tsk_BaseCost,(ROW()-ROW(MSPTasks[[#Headers],[ID]])))="","",N(INDEX(tsk_BaseCost,(ROW()-ROW(MSPTasks[[#Headers],[ID]]))))))</f>
        <v/>
      </c>
      <c r="T61" s="24" t="str">
        <f aca="false">IF(IFERROR(INDEX(tsk_Name,(ROW()-ROW(MSPTasks[[#Headers],[ID]])))="",TRUE()),"",IF(INDEX(tsk_IsSummary,(ROW()-ROW(MSPTasks[[#Headers],[ID]]))),"",IF(N(INDEX(tsk_ActCostInput,(ROW()-ROW(MSPTasks[[#Headers],[ID]]))))=0,"",INDEX(tsk_ActCostInput,(ROW()-ROW(MSPTasks[[#Headers],[ID]]))))))</f>
        <v/>
      </c>
      <c r="U6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1" s="137" t="str">
        <f aca="false">IF(IFERROR(INDEX(tsk_Name,(ROW()-ROW(MSPTasks[[#Headers],[ID]])))="",TRUE()),"",IF(OR(INDEX(tsk_IsSummary,(ROW()-ROW(MSPTasks[[#Headers],[ID]]))),INDEX(tsk_Mode,(ROW()-ROW(MSPTasks[[#Headers],[ID]])))="Manual"),"",IF(N(INDEX(tsk_ConstraintCode,(ROW()-ROW(MSPTasks[[#Headers],[ID]]))))&lt;2,"",INDEX(tsk_Constraint,(ROW()-ROW(MSPTasks[[#Headers],[ID]]))))))</f>
        <v/>
      </c>
      <c r="W61" s="137" t="str">
        <f aca="false">IF(IFERROR(INDEX(tsk_Name,(ROW()-ROW(MSPTasks[[#Headers],[ID]])))="",TRUE()),"",IF(N(INDEX(tsk_Deadline,(ROW()-ROW(MSPTasks[[#Headers],[ID]]))))=0,"",INDEX(tsk_Deadline,(ROW()-ROW(MSPTasks[[#Headers],[ID]])))))</f>
        <v/>
      </c>
      <c r="X61" s="24" t="str">
        <f aca="false">IF(IFERROR(INDEX(tsk_Name,(ROW()-ROW(MSPTasks[[#Headers],[ID]])))="",TRUE()),"",IF(INDEX(tsk_IsSummary,(ROW()-ROW(MSPTasks[[#Headers],[ID]]))),"",INDEX(tsk_Sprint,(ROW()-ROW(MSPTasks[[#Headers],[ID]])))&amp;""))</f>
        <v/>
      </c>
      <c r="Y61" s="24" t="str">
        <f aca="false">IF(IFERROR(INDEX(tsk_Name,(ROW()-ROW(MSPTasks[[#Headers],[ID]])))="",TRUE()),"",IF(INDEX(tsk_IsSummary,(ROW()-ROW(MSPTasks[[#Headers],[ID]]))),"",IF(N(INDEX(tsk_StoryPoints,(ROW()-ROW(MSPTasks[[#Headers],[ID]]))))=0,"",INDEX(tsk_StoryPoints,(ROW()-ROW(MSPTasks[[#Headers],[ID]]))))))</f>
        <v/>
      </c>
      <c r="Z61" s="24" t="str">
        <f aca="false">IF(IFERROR(INDEX(tsk_Name,(ROW()-ROW(MSPTasks[[#Headers],[ID]])))="",TRUE()),"",INDEX(tsk_Notes,(ROW()-ROW(MSPTasks[[#Headers],[ID]])))&amp;"")</f>
        <v/>
      </c>
    </row>
    <row r="62" customFormat="false" ht="15" hidden="false" customHeight="false" outlineLevel="0" collapsed="false">
      <c r="A62" s="24" t="str">
        <f aca="false">IF(IFERROR(INDEX(tsk_Name,(ROW()-ROW(MSPTasks[[#Headers],[ID]])))="",TRUE()),"",INDEX(tsk_ID,(ROW()-ROW(MSPTasks[[#Headers],[ID]]))))</f>
        <v/>
      </c>
      <c r="B62" s="24" t="str">
        <f aca="false">IF(IFERROR(INDEX(tsk_Name,(ROW()-ROW(MSPTasks[[#Headers],[ID]])))="",TRUE()),"",INDEX(tsk_UID,(ROW()-ROW(MSPTasks[[#Headers],[ID]]))))</f>
        <v/>
      </c>
      <c r="C62" s="24" t="str">
        <f aca="false">IF(IFERROR(INDEX(tsk_Name,(ROW()-ROW(MSPTasks[[#Headers],[ID]])))="",TRUE()),"",INDEX(tsk_Name,(ROW()-ROW(MSPTasks[[#Headers],[ID]]))))</f>
        <v/>
      </c>
      <c r="D62" s="24" t="str">
        <f aca="false">IF(IFERROR(INDEX(tsk_Name,(ROW()-ROW(MSPTasks[[#Headers],[ID]])))="",TRUE()),"",INDEX(tsk_Level,(ROW()-ROW(MSPTasks[[#Headers],[ID]]))))</f>
        <v/>
      </c>
      <c r="E62" s="24" t="str">
        <f aca="false">IF(IFERROR(INDEX(tsk_Name,(ROW()-ROW(MSPTasks[[#Headers],[ID]])))="",TRUE()),"",IF(INDEX(tsk_Mode,(ROW()-ROW(MSPTasks[[#Headers],[ID]])))="Manual","Manually Scheduled","Auto Scheduled"))</f>
        <v/>
      </c>
      <c r="F62" s="24" t="str">
        <f aca="false">IF(IFERROR(INDEX(tsk_Name,(ROW()-ROW(MSPTasks[[#Headers],[ID]])))="",TRUE()),"",IF(INDEX(tsk_IsSummary,(ROW()-ROW(MSPTasks[[#Headers],[ID]]))),"",N(INDEX(tsk_Duration,(ROW()-ROW(MSPTasks[[#Headers],[ID]]))))&amp;"d"))</f>
        <v/>
      </c>
      <c r="G62" s="137" t="str">
        <f aca="false">IF(IFERROR(INDEX(tsk_Name,(ROW()-ROW(MSPTasks[[#Headers],[ID]])))="",TRUE()),"",INDEX(tsk_FcStart,(ROW()-ROW(MSPTasks[[#Headers],[ID]]))))</f>
        <v/>
      </c>
      <c r="H62" s="137" t="str">
        <f aca="false">IF(IFERROR(INDEX(tsk_Name,(ROW()-ROW(MSPTasks[[#Headers],[ID]])))="",TRUE()),"",INDEX(tsk_FcFinish,(ROW()-ROW(MSPTasks[[#Headers],[ID]]))))</f>
        <v/>
      </c>
      <c r="I62" s="24" t="str">
        <f aca="false">IF(IFERROR(INDEX(tsk_Name,(ROW()-ROW(MSPTasks[[#Headers],[ID]])))="",TRUE()),"",IF(INDEX(tsk_IsSummary,(ROW()-ROW(MSPTasks[[#Headers],[ID]]))),"",INDEX(tsk_Predecessors,(ROW()-ROW(MSPTasks[[#Headers],[ID]])))))</f>
        <v/>
      </c>
      <c r="J62" s="24" t="str">
        <f aca="false">IF(IFERROR(INDEX(tsk_Name,(ROW()-ROW(MSPTasks[[#Headers],[ID]])))="",TRUE()),"",IF(INDEX(tsk_IsSummary,(ROW()-ROW(MSPTasks[[#Headers],[ID]]))),"",INDEX(tsk_UIDPredecessors,(ROW()-ROW(MSPTasks[[#Headers],[ID]])))))</f>
        <v/>
      </c>
      <c r="K62" s="24" t="str">
        <f aca="false">IF(IFERROR(INDEX(tsk_Name,(ROW()-ROW(MSPTasks[[#Headers],[ID]])))="",TRUE()),"",INDEX(tsk_ResourceNames,(ROW()-ROW(MSPTasks[[#Headers],[ID]])))&amp;"")</f>
        <v/>
      </c>
      <c r="L62" s="24" t="str">
        <f aca="false">IF(IFERROR(INDEX(tsk_Name,(ROW()-ROW(MSPTasks[[#Headers],[ID]])))="",TRUE()),"",IF(INDEX(tsk_IsSummary,(ROW()-ROW(MSPTasks[[#Headers],[ID]]))),"",ROUND(INDEX(tsk_Progress,(ROW()-ROW(MSPTasks[[#Headers],[ID]])))*100,0)))</f>
        <v/>
      </c>
      <c r="M62" s="137" t="str">
        <f aca="false">IF(IFERROR(INDEX(tsk_Name,(ROW()-ROW(MSPTasks[[#Headers],[ID]])))="",TRUE()),"",IF(N(INDEX(tsk_ActStart,(ROW()-ROW(MSPTasks[[#Headers],[ID]]))))=0,"",INDEX(tsk_ActStart,(ROW()-ROW(MSPTasks[[#Headers],[ID]])))))</f>
        <v/>
      </c>
      <c r="N62" s="137" t="str">
        <f aca="false">IF(IFERROR(INDEX(tsk_Name,(ROW()-ROW(MSPTasks[[#Headers],[ID]])))="",TRUE()),"",IF(N(INDEX(tsk_ActFinish,(ROW()-ROW(MSPTasks[[#Headers],[ID]]))))=0,"",INDEX(tsk_ActFinish,(ROW()-ROW(MSPTasks[[#Headers],[ID]])))))</f>
        <v/>
      </c>
      <c r="O62" s="137" t="str">
        <f aca="false">IF(IFERROR(INDEX(tsk_Name,(ROW()-ROW(MSPTasks[[#Headers],[ID]])))="",TRUE()),"",INDEX(tsk_PlanStart,(ROW()-ROW(MSPTasks[[#Headers],[ID]]))))</f>
        <v/>
      </c>
      <c r="P62" s="137" t="str">
        <f aca="false">IF(IFERROR(INDEX(tsk_Name,(ROW()-ROW(MSPTasks[[#Headers],[ID]])))="",TRUE()),"",INDEX(tsk_PlanFinish,(ROW()-ROW(MSPTasks[[#Headers],[ID]]))))</f>
        <v/>
      </c>
      <c r="Q62" s="24" t="str">
        <f aca="false">IF(IFERROR(INDEX(tsk_Name,(ROW()-ROW(MSPTasks[[#Headers],[ID]])))="",TRUE()),"",IF(INDEX(tsk_BaseDuration,(ROW()-ROW(MSPTasks[[#Headers],[ID]])))="","",N(INDEX(tsk_BaseDuration,(ROW()-ROW(MSPTasks[[#Headers],[ID]]))))&amp;"d"))</f>
        <v/>
      </c>
      <c r="R62" s="24" t="str">
        <f aca="false">IF(IFERROR(INDEX(tsk_Name,(ROW()-ROW(MSPTasks[[#Headers],[ID]])))="",TRUE()),"",IF(INDEX(tsk_BaseWork,(ROW()-ROW(MSPTasks[[#Headers],[ID]])))="","",N(INDEX(tsk_BaseWork,(ROW()-ROW(MSPTasks[[#Headers],[ID]]))))&amp;"h"))</f>
        <v/>
      </c>
      <c r="S62" s="24" t="str">
        <f aca="false">IF(IFERROR(INDEX(tsk_Name,(ROW()-ROW(MSPTasks[[#Headers],[ID]])))="",TRUE()),"",IF(INDEX(tsk_BaseCost,(ROW()-ROW(MSPTasks[[#Headers],[ID]])))="","",N(INDEX(tsk_BaseCost,(ROW()-ROW(MSPTasks[[#Headers],[ID]]))))))</f>
        <v/>
      </c>
      <c r="T62" s="24" t="str">
        <f aca="false">IF(IFERROR(INDEX(tsk_Name,(ROW()-ROW(MSPTasks[[#Headers],[ID]])))="",TRUE()),"",IF(INDEX(tsk_IsSummary,(ROW()-ROW(MSPTasks[[#Headers],[ID]]))),"",IF(N(INDEX(tsk_ActCostInput,(ROW()-ROW(MSPTasks[[#Headers],[ID]]))))=0,"",INDEX(tsk_ActCostInput,(ROW()-ROW(MSPTasks[[#Headers],[ID]]))))))</f>
        <v/>
      </c>
      <c r="U6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2" s="137" t="str">
        <f aca="false">IF(IFERROR(INDEX(tsk_Name,(ROW()-ROW(MSPTasks[[#Headers],[ID]])))="",TRUE()),"",IF(OR(INDEX(tsk_IsSummary,(ROW()-ROW(MSPTasks[[#Headers],[ID]]))),INDEX(tsk_Mode,(ROW()-ROW(MSPTasks[[#Headers],[ID]])))="Manual"),"",IF(N(INDEX(tsk_ConstraintCode,(ROW()-ROW(MSPTasks[[#Headers],[ID]]))))&lt;2,"",INDEX(tsk_Constraint,(ROW()-ROW(MSPTasks[[#Headers],[ID]]))))))</f>
        <v/>
      </c>
      <c r="W62" s="137" t="str">
        <f aca="false">IF(IFERROR(INDEX(tsk_Name,(ROW()-ROW(MSPTasks[[#Headers],[ID]])))="",TRUE()),"",IF(N(INDEX(tsk_Deadline,(ROW()-ROW(MSPTasks[[#Headers],[ID]]))))=0,"",INDEX(tsk_Deadline,(ROW()-ROW(MSPTasks[[#Headers],[ID]])))))</f>
        <v/>
      </c>
      <c r="X62" s="24" t="str">
        <f aca="false">IF(IFERROR(INDEX(tsk_Name,(ROW()-ROW(MSPTasks[[#Headers],[ID]])))="",TRUE()),"",IF(INDEX(tsk_IsSummary,(ROW()-ROW(MSPTasks[[#Headers],[ID]]))),"",INDEX(tsk_Sprint,(ROW()-ROW(MSPTasks[[#Headers],[ID]])))&amp;""))</f>
        <v/>
      </c>
      <c r="Y62" s="24" t="str">
        <f aca="false">IF(IFERROR(INDEX(tsk_Name,(ROW()-ROW(MSPTasks[[#Headers],[ID]])))="",TRUE()),"",IF(INDEX(tsk_IsSummary,(ROW()-ROW(MSPTasks[[#Headers],[ID]]))),"",IF(N(INDEX(tsk_StoryPoints,(ROW()-ROW(MSPTasks[[#Headers],[ID]]))))=0,"",INDEX(tsk_StoryPoints,(ROW()-ROW(MSPTasks[[#Headers],[ID]]))))))</f>
        <v/>
      </c>
      <c r="Z62" s="24" t="str">
        <f aca="false">IF(IFERROR(INDEX(tsk_Name,(ROW()-ROW(MSPTasks[[#Headers],[ID]])))="",TRUE()),"",INDEX(tsk_Notes,(ROW()-ROW(MSPTasks[[#Headers],[ID]])))&amp;"")</f>
        <v/>
      </c>
    </row>
    <row r="63" customFormat="false" ht="15" hidden="false" customHeight="false" outlineLevel="0" collapsed="false">
      <c r="A63" s="24" t="str">
        <f aca="false">IF(IFERROR(INDEX(tsk_Name,(ROW()-ROW(MSPTasks[[#Headers],[ID]])))="",TRUE()),"",INDEX(tsk_ID,(ROW()-ROW(MSPTasks[[#Headers],[ID]]))))</f>
        <v/>
      </c>
      <c r="B63" s="24" t="str">
        <f aca="false">IF(IFERROR(INDEX(tsk_Name,(ROW()-ROW(MSPTasks[[#Headers],[ID]])))="",TRUE()),"",INDEX(tsk_UID,(ROW()-ROW(MSPTasks[[#Headers],[ID]]))))</f>
        <v/>
      </c>
      <c r="C63" s="24" t="str">
        <f aca="false">IF(IFERROR(INDEX(tsk_Name,(ROW()-ROW(MSPTasks[[#Headers],[ID]])))="",TRUE()),"",INDEX(tsk_Name,(ROW()-ROW(MSPTasks[[#Headers],[ID]]))))</f>
        <v/>
      </c>
      <c r="D63" s="24" t="str">
        <f aca="false">IF(IFERROR(INDEX(tsk_Name,(ROW()-ROW(MSPTasks[[#Headers],[ID]])))="",TRUE()),"",INDEX(tsk_Level,(ROW()-ROW(MSPTasks[[#Headers],[ID]]))))</f>
        <v/>
      </c>
      <c r="E63" s="24" t="str">
        <f aca="false">IF(IFERROR(INDEX(tsk_Name,(ROW()-ROW(MSPTasks[[#Headers],[ID]])))="",TRUE()),"",IF(INDEX(tsk_Mode,(ROW()-ROW(MSPTasks[[#Headers],[ID]])))="Manual","Manually Scheduled","Auto Scheduled"))</f>
        <v/>
      </c>
      <c r="F63" s="24" t="str">
        <f aca="false">IF(IFERROR(INDEX(tsk_Name,(ROW()-ROW(MSPTasks[[#Headers],[ID]])))="",TRUE()),"",IF(INDEX(tsk_IsSummary,(ROW()-ROW(MSPTasks[[#Headers],[ID]]))),"",N(INDEX(tsk_Duration,(ROW()-ROW(MSPTasks[[#Headers],[ID]]))))&amp;"d"))</f>
        <v/>
      </c>
      <c r="G63" s="137" t="str">
        <f aca="false">IF(IFERROR(INDEX(tsk_Name,(ROW()-ROW(MSPTasks[[#Headers],[ID]])))="",TRUE()),"",INDEX(tsk_FcStart,(ROW()-ROW(MSPTasks[[#Headers],[ID]]))))</f>
        <v/>
      </c>
      <c r="H63" s="137" t="str">
        <f aca="false">IF(IFERROR(INDEX(tsk_Name,(ROW()-ROW(MSPTasks[[#Headers],[ID]])))="",TRUE()),"",INDEX(tsk_FcFinish,(ROW()-ROW(MSPTasks[[#Headers],[ID]]))))</f>
        <v/>
      </c>
      <c r="I63" s="24" t="str">
        <f aca="false">IF(IFERROR(INDEX(tsk_Name,(ROW()-ROW(MSPTasks[[#Headers],[ID]])))="",TRUE()),"",IF(INDEX(tsk_IsSummary,(ROW()-ROW(MSPTasks[[#Headers],[ID]]))),"",INDEX(tsk_Predecessors,(ROW()-ROW(MSPTasks[[#Headers],[ID]])))))</f>
        <v/>
      </c>
      <c r="J63" s="24" t="str">
        <f aca="false">IF(IFERROR(INDEX(tsk_Name,(ROW()-ROW(MSPTasks[[#Headers],[ID]])))="",TRUE()),"",IF(INDEX(tsk_IsSummary,(ROW()-ROW(MSPTasks[[#Headers],[ID]]))),"",INDEX(tsk_UIDPredecessors,(ROW()-ROW(MSPTasks[[#Headers],[ID]])))))</f>
        <v/>
      </c>
      <c r="K63" s="24" t="str">
        <f aca="false">IF(IFERROR(INDEX(tsk_Name,(ROW()-ROW(MSPTasks[[#Headers],[ID]])))="",TRUE()),"",INDEX(tsk_ResourceNames,(ROW()-ROW(MSPTasks[[#Headers],[ID]])))&amp;"")</f>
        <v/>
      </c>
      <c r="L63" s="24" t="str">
        <f aca="false">IF(IFERROR(INDEX(tsk_Name,(ROW()-ROW(MSPTasks[[#Headers],[ID]])))="",TRUE()),"",IF(INDEX(tsk_IsSummary,(ROW()-ROW(MSPTasks[[#Headers],[ID]]))),"",ROUND(INDEX(tsk_Progress,(ROW()-ROW(MSPTasks[[#Headers],[ID]])))*100,0)))</f>
        <v/>
      </c>
      <c r="M63" s="137" t="str">
        <f aca="false">IF(IFERROR(INDEX(tsk_Name,(ROW()-ROW(MSPTasks[[#Headers],[ID]])))="",TRUE()),"",IF(N(INDEX(tsk_ActStart,(ROW()-ROW(MSPTasks[[#Headers],[ID]]))))=0,"",INDEX(tsk_ActStart,(ROW()-ROW(MSPTasks[[#Headers],[ID]])))))</f>
        <v/>
      </c>
      <c r="N63" s="137" t="str">
        <f aca="false">IF(IFERROR(INDEX(tsk_Name,(ROW()-ROW(MSPTasks[[#Headers],[ID]])))="",TRUE()),"",IF(N(INDEX(tsk_ActFinish,(ROW()-ROW(MSPTasks[[#Headers],[ID]]))))=0,"",INDEX(tsk_ActFinish,(ROW()-ROW(MSPTasks[[#Headers],[ID]])))))</f>
        <v/>
      </c>
      <c r="O63" s="137" t="str">
        <f aca="false">IF(IFERROR(INDEX(tsk_Name,(ROW()-ROW(MSPTasks[[#Headers],[ID]])))="",TRUE()),"",INDEX(tsk_PlanStart,(ROW()-ROW(MSPTasks[[#Headers],[ID]]))))</f>
        <v/>
      </c>
      <c r="P63" s="137" t="str">
        <f aca="false">IF(IFERROR(INDEX(tsk_Name,(ROW()-ROW(MSPTasks[[#Headers],[ID]])))="",TRUE()),"",INDEX(tsk_PlanFinish,(ROW()-ROW(MSPTasks[[#Headers],[ID]]))))</f>
        <v/>
      </c>
      <c r="Q63" s="24" t="str">
        <f aca="false">IF(IFERROR(INDEX(tsk_Name,(ROW()-ROW(MSPTasks[[#Headers],[ID]])))="",TRUE()),"",IF(INDEX(tsk_BaseDuration,(ROW()-ROW(MSPTasks[[#Headers],[ID]])))="","",N(INDEX(tsk_BaseDuration,(ROW()-ROW(MSPTasks[[#Headers],[ID]]))))&amp;"d"))</f>
        <v/>
      </c>
      <c r="R63" s="24" t="str">
        <f aca="false">IF(IFERROR(INDEX(tsk_Name,(ROW()-ROW(MSPTasks[[#Headers],[ID]])))="",TRUE()),"",IF(INDEX(tsk_BaseWork,(ROW()-ROW(MSPTasks[[#Headers],[ID]])))="","",N(INDEX(tsk_BaseWork,(ROW()-ROW(MSPTasks[[#Headers],[ID]]))))&amp;"h"))</f>
        <v/>
      </c>
      <c r="S63" s="24" t="str">
        <f aca="false">IF(IFERROR(INDEX(tsk_Name,(ROW()-ROW(MSPTasks[[#Headers],[ID]])))="",TRUE()),"",IF(INDEX(tsk_BaseCost,(ROW()-ROW(MSPTasks[[#Headers],[ID]])))="","",N(INDEX(tsk_BaseCost,(ROW()-ROW(MSPTasks[[#Headers],[ID]]))))))</f>
        <v/>
      </c>
      <c r="T63" s="24" t="str">
        <f aca="false">IF(IFERROR(INDEX(tsk_Name,(ROW()-ROW(MSPTasks[[#Headers],[ID]])))="",TRUE()),"",IF(INDEX(tsk_IsSummary,(ROW()-ROW(MSPTasks[[#Headers],[ID]]))),"",IF(N(INDEX(tsk_ActCostInput,(ROW()-ROW(MSPTasks[[#Headers],[ID]]))))=0,"",INDEX(tsk_ActCostInput,(ROW()-ROW(MSPTasks[[#Headers],[ID]]))))))</f>
        <v/>
      </c>
      <c r="U6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3" s="137" t="str">
        <f aca="false">IF(IFERROR(INDEX(tsk_Name,(ROW()-ROW(MSPTasks[[#Headers],[ID]])))="",TRUE()),"",IF(OR(INDEX(tsk_IsSummary,(ROW()-ROW(MSPTasks[[#Headers],[ID]]))),INDEX(tsk_Mode,(ROW()-ROW(MSPTasks[[#Headers],[ID]])))="Manual"),"",IF(N(INDEX(tsk_ConstraintCode,(ROW()-ROW(MSPTasks[[#Headers],[ID]]))))&lt;2,"",INDEX(tsk_Constraint,(ROW()-ROW(MSPTasks[[#Headers],[ID]]))))))</f>
        <v/>
      </c>
      <c r="W63" s="137" t="str">
        <f aca="false">IF(IFERROR(INDEX(tsk_Name,(ROW()-ROW(MSPTasks[[#Headers],[ID]])))="",TRUE()),"",IF(N(INDEX(tsk_Deadline,(ROW()-ROW(MSPTasks[[#Headers],[ID]]))))=0,"",INDEX(tsk_Deadline,(ROW()-ROW(MSPTasks[[#Headers],[ID]])))))</f>
        <v/>
      </c>
      <c r="X63" s="24" t="str">
        <f aca="false">IF(IFERROR(INDEX(tsk_Name,(ROW()-ROW(MSPTasks[[#Headers],[ID]])))="",TRUE()),"",IF(INDEX(tsk_IsSummary,(ROW()-ROW(MSPTasks[[#Headers],[ID]]))),"",INDEX(tsk_Sprint,(ROW()-ROW(MSPTasks[[#Headers],[ID]])))&amp;""))</f>
        <v/>
      </c>
      <c r="Y63" s="24" t="str">
        <f aca="false">IF(IFERROR(INDEX(tsk_Name,(ROW()-ROW(MSPTasks[[#Headers],[ID]])))="",TRUE()),"",IF(INDEX(tsk_IsSummary,(ROW()-ROW(MSPTasks[[#Headers],[ID]]))),"",IF(N(INDEX(tsk_StoryPoints,(ROW()-ROW(MSPTasks[[#Headers],[ID]]))))=0,"",INDEX(tsk_StoryPoints,(ROW()-ROW(MSPTasks[[#Headers],[ID]]))))))</f>
        <v/>
      </c>
      <c r="Z63" s="24" t="str">
        <f aca="false">IF(IFERROR(INDEX(tsk_Name,(ROW()-ROW(MSPTasks[[#Headers],[ID]])))="",TRUE()),"",INDEX(tsk_Notes,(ROW()-ROW(MSPTasks[[#Headers],[ID]])))&amp;"")</f>
        <v/>
      </c>
    </row>
    <row r="64" customFormat="false" ht="15" hidden="false" customHeight="false" outlineLevel="0" collapsed="false">
      <c r="A64" s="24" t="str">
        <f aca="false">IF(IFERROR(INDEX(tsk_Name,(ROW()-ROW(MSPTasks[[#Headers],[ID]])))="",TRUE()),"",INDEX(tsk_ID,(ROW()-ROW(MSPTasks[[#Headers],[ID]]))))</f>
        <v/>
      </c>
      <c r="B64" s="24" t="str">
        <f aca="false">IF(IFERROR(INDEX(tsk_Name,(ROW()-ROW(MSPTasks[[#Headers],[ID]])))="",TRUE()),"",INDEX(tsk_UID,(ROW()-ROW(MSPTasks[[#Headers],[ID]]))))</f>
        <v/>
      </c>
      <c r="C64" s="24" t="str">
        <f aca="false">IF(IFERROR(INDEX(tsk_Name,(ROW()-ROW(MSPTasks[[#Headers],[ID]])))="",TRUE()),"",INDEX(tsk_Name,(ROW()-ROW(MSPTasks[[#Headers],[ID]]))))</f>
        <v/>
      </c>
      <c r="D64" s="24" t="str">
        <f aca="false">IF(IFERROR(INDEX(tsk_Name,(ROW()-ROW(MSPTasks[[#Headers],[ID]])))="",TRUE()),"",INDEX(tsk_Level,(ROW()-ROW(MSPTasks[[#Headers],[ID]]))))</f>
        <v/>
      </c>
      <c r="E64" s="24" t="str">
        <f aca="false">IF(IFERROR(INDEX(tsk_Name,(ROW()-ROW(MSPTasks[[#Headers],[ID]])))="",TRUE()),"",IF(INDEX(tsk_Mode,(ROW()-ROW(MSPTasks[[#Headers],[ID]])))="Manual","Manually Scheduled","Auto Scheduled"))</f>
        <v/>
      </c>
      <c r="F64" s="24" t="str">
        <f aca="false">IF(IFERROR(INDEX(tsk_Name,(ROW()-ROW(MSPTasks[[#Headers],[ID]])))="",TRUE()),"",IF(INDEX(tsk_IsSummary,(ROW()-ROW(MSPTasks[[#Headers],[ID]]))),"",N(INDEX(tsk_Duration,(ROW()-ROW(MSPTasks[[#Headers],[ID]]))))&amp;"d"))</f>
        <v/>
      </c>
      <c r="G64" s="137" t="str">
        <f aca="false">IF(IFERROR(INDEX(tsk_Name,(ROW()-ROW(MSPTasks[[#Headers],[ID]])))="",TRUE()),"",INDEX(tsk_FcStart,(ROW()-ROW(MSPTasks[[#Headers],[ID]]))))</f>
        <v/>
      </c>
      <c r="H64" s="137" t="str">
        <f aca="false">IF(IFERROR(INDEX(tsk_Name,(ROW()-ROW(MSPTasks[[#Headers],[ID]])))="",TRUE()),"",INDEX(tsk_FcFinish,(ROW()-ROW(MSPTasks[[#Headers],[ID]]))))</f>
        <v/>
      </c>
      <c r="I64" s="24" t="str">
        <f aca="false">IF(IFERROR(INDEX(tsk_Name,(ROW()-ROW(MSPTasks[[#Headers],[ID]])))="",TRUE()),"",IF(INDEX(tsk_IsSummary,(ROW()-ROW(MSPTasks[[#Headers],[ID]]))),"",INDEX(tsk_Predecessors,(ROW()-ROW(MSPTasks[[#Headers],[ID]])))))</f>
        <v/>
      </c>
      <c r="J64" s="24" t="str">
        <f aca="false">IF(IFERROR(INDEX(tsk_Name,(ROW()-ROW(MSPTasks[[#Headers],[ID]])))="",TRUE()),"",IF(INDEX(tsk_IsSummary,(ROW()-ROW(MSPTasks[[#Headers],[ID]]))),"",INDEX(tsk_UIDPredecessors,(ROW()-ROW(MSPTasks[[#Headers],[ID]])))))</f>
        <v/>
      </c>
      <c r="K64" s="24" t="str">
        <f aca="false">IF(IFERROR(INDEX(tsk_Name,(ROW()-ROW(MSPTasks[[#Headers],[ID]])))="",TRUE()),"",INDEX(tsk_ResourceNames,(ROW()-ROW(MSPTasks[[#Headers],[ID]])))&amp;"")</f>
        <v/>
      </c>
      <c r="L64" s="24" t="str">
        <f aca="false">IF(IFERROR(INDEX(tsk_Name,(ROW()-ROW(MSPTasks[[#Headers],[ID]])))="",TRUE()),"",IF(INDEX(tsk_IsSummary,(ROW()-ROW(MSPTasks[[#Headers],[ID]]))),"",ROUND(INDEX(tsk_Progress,(ROW()-ROW(MSPTasks[[#Headers],[ID]])))*100,0)))</f>
        <v/>
      </c>
      <c r="M64" s="137" t="str">
        <f aca="false">IF(IFERROR(INDEX(tsk_Name,(ROW()-ROW(MSPTasks[[#Headers],[ID]])))="",TRUE()),"",IF(N(INDEX(tsk_ActStart,(ROW()-ROW(MSPTasks[[#Headers],[ID]]))))=0,"",INDEX(tsk_ActStart,(ROW()-ROW(MSPTasks[[#Headers],[ID]])))))</f>
        <v/>
      </c>
      <c r="N64" s="137" t="str">
        <f aca="false">IF(IFERROR(INDEX(tsk_Name,(ROW()-ROW(MSPTasks[[#Headers],[ID]])))="",TRUE()),"",IF(N(INDEX(tsk_ActFinish,(ROW()-ROW(MSPTasks[[#Headers],[ID]]))))=0,"",INDEX(tsk_ActFinish,(ROW()-ROW(MSPTasks[[#Headers],[ID]])))))</f>
        <v/>
      </c>
      <c r="O64" s="137" t="str">
        <f aca="false">IF(IFERROR(INDEX(tsk_Name,(ROW()-ROW(MSPTasks[[#Headers],[ID]])))="",TRUE()),"",INDEX(tsk_PlanStart,(ROW()-ROW(MSPTasks[[#Headers],[ID]]))))</f>
        <v/>
      </c>
      <c r="P64" s="137" t="str">
        <f aca="false">IF(IFERROR(INDEX(tsk_Name,(ROW()-ROW(MSPTasks[[#Headers],[ID]])))="",TRUE()),"",INDEX(tsk_PlanFinish,(ROW()-ROW(MSPTasks[[#Headers],[ID]]))))</f>
        <v/>
      </c>
      <c r="Q64" s="24" t="str">
        <f aca="false">IF(IFERROR(INDEX(tsk_Name,(ROW()-ROW(MSPTasks[[#Headers],[ID]])))="",TRUE()),"",IF(INDEX(tsk_BaseDuration,(ROW()-ROW(MSPTasks[[#Headers],[ID]])))="","",N(INDEX(tsk_BaseDuration,(ROW()-ROW(MSPTasks[[#Headers],[ID]]))))&amp;"d"))</f>
        <v/>
      </c>
      <c r="R64" s="24" t="str">
        <f aca="false">IF(IFERROR(INDEX(tsk_Name,(ROW()-ROW(MSPTasks[[#Headers],[ID]])))="",TRUE()),"",IF(INDEX(tsk_BaseWork,(ROW()-ROW(MSPTasks[[#Headers],[ID]])))="","",N(INDEX(tsk_BaseWork,(ROW()-ROW(MSPTasks[[#Headers],[ID]]))))&amp;"h"))</f>
        <v/>
      </c>
      <c r="S64" s="24" t="str">
        <f aca="false">IF(IFERROR(INDEX(tsk_Name,(ROW()-ROW(MSPTasks[[#Headers],[ID]])))="",TRUE()),"",IF(INDEX(tsk_BaseCost,(ROW()-ROW(MSPTasks[[#Headers],[ID]])))="","",N(INDEX(tsk_BaseCost,(ROW()-ROW(MSPTasks[[#Headers],[ID]]))))))</f>
        <v/>
      </c>
      <c r="T64" s="24" t="str">
        <f aca="false">IF(IFERROR(INDEX(tsk_Name,(ROW()-ROW(MSPTasks[[#Headers],[ID]])))="",TRUE()),"",IF(INDEX(tsk_IsSummary,(ROW()-ROW(MSPTasks[[#Headers],[ID]]))),"",IF(N(INDEX(tsk_ActCostInput,(ROW()-ROW(MSPTasks[[#Headers],[ID]]))))=0,"",INDEX(tsk_ActCostInput,(ROW()-ROW(MSPTasks[[#Headers],[ID]]))))))</f>
        <v/>
      </c>
      <c r="U6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4" s="137" t="str">
        <f aca="false">IF(IFERROR(INDEX(tsk_Name,(ROW()-ROW(MSPTasks[[#Headers],[ID]])))="",TRUE()),"",IF(OR(INDEX(tsk_IsSummary,(ROW()-ROW(MSPTasks[[#Headers],[ID]]))),INDEX(tsk_Mode,(ROW()-ROW(MSPTasks[[#Headers],[ID]])))="Manual"),"",IF(N(INDEX(tsk_ConstraintCode,(ROW()-ROW(MSPTasks[[#Headers],[ID]]))))&lt;2,"",INDEX(tsk_Constraint,(ROW()-ROW(MSPTasks[[#Headers],[ID]]))))))</f>
        <v/>
      </c>
      <c r="W64" s="137" t="str">
        <f aca="false">IF(IFERROR(INDEX(tsk_Name,(ROW()-ROW(MSPTasks[[#Headers],[ID]])))="",TRUE()),"",IF(N(INDEX(tsk_Deadline,(ROW()-ROW(MSPTasks[[#Headers],[ID]]))))=0,"",INDEX(tsk_Deadline,(ROW()-ROW(MSPTasks[[#Headers],[ID]])))))</f>
        <v/>
      </c>
      <c r="X64" s="24" t="str">
        <f aca="false">IF(IFERROR(INDEX(tsk_Name,(ROW()-ROW(MSPTasks[[#Headers],[ID]])))="",TRUE()),"",IF(INDEX(tsk_IsSummary,(ROW()-ROW(MSPTasks[[#Headers],[ID]]))),"",INDEX(tsk_Sprint,(ROW()-ROW(MSPTasks[[#Headers],[ID]])))&amp;""))</f>
        <v/>
      </c>
      <c r="Y64" s="24" t="str">
        <f aca="false">IF(IFERROR(INDEX(tsk_Name,(ROW()-ROW(MSPTasks[[#Headers],[ID]])))="",TRUE()),"",IF(INDEX(tsk_IsSummary,(ROW()-ROW(MSPTasks[[#Headers],[ID]]))),"",IF(N(INDEX(tsk_StoryPoints,(ROW()-ROW(MSPTasks[[#Headers],[ID]]))))=0,"",INDEX(tsk_StoryPoints,(ROW()-ROW(MSPTasks[[#Headers],[ID]]))))))</f>
        <v/>
      </c>
      <c r="Z64" s="24" t="str">
        <f aca="false">IF(IFERROR(INDEX(tsk_Name,(ROW()-ROW(MSPTasks[[#Headers],[ID]])))="",TRUE()),"",INDEX(tsk_Notes,(ROW()-ROW(MSPTasks[[#Headers],[ID]])))&amp;"")</f>
        <v/>
      </c>
    </row>
    <row r="65" customFormat="false" ht="15" hidden="false" customHeight="false" outlineLevel="0" collapsed="false">
      <c r="A65" s="24" t="str">
        <f aca="false">IF(IFERROR(INDEX(tsk_Name,(ROW()-ROW(MSPTasks[[#Headers],[ID]])))="",TRUE()),"",INDEX(tsk_ID,(ROW()-ROW(MSPTasks[[#Headers],[ID]]))))</f>
        <v/>
      </c>
      <c r="B65" s="24" t="str">
        <f aca="false">IF(IFERROR(INDEX(tsk_Name,(ROW()-ROW(MSPTasks[[#Headers],[ID]])))="",TRUE()),"",INDEX(tsk_UID,(ROW()-ROW(MSPTasks[[#Headers],[ID]]))))</f>
        <v/>
      </c>
      <c r="C65" s="24" t="str">
        <f aca="false">IF(IFERROR(INDEX(tsk_Name,(ROW()-ROW(MSPTasks[[#Headers],[ID]])))="",TRUE()),"",INDEX(tsk_Name,(ROW()-ROW(MSPTasks[[#Headers],[ID]]))))</f>
        <v/>
      </c>
      <c r="D65" s="24" t="str">
        <f aca="false">IF(IFERROR(INDEX(tsk_Name,(ROW()-ROW(MSPTasks[[#Headers],[ID]])))="",TRUE()),"",INDEX(tsk_Level,(ROW()-ROW(MSPTasks[[#Headers],[ID]]))))</f>
        <v/>
      </c>
      <c r="E65" s="24" t="str">
        <f aca="false">IF(IFERROR(INDEX(tsk_Name,(ROW()-ROW(MSPTasks[[#Headers],[ID]])))="",TRUE()),"",IF(INDEX(tsk_Mode,(ROW()-ROW(MSPTasks[[#Headers],[ID]])))="Manual","Manually Scheduled","Auto Scheduled"))</f>
        <v/>
      </c>
      <c r="F65" s="24" t="str">
        <f aca="false">IF(IFERROR(INDEX(tsk_Name,(ROW()-ROW(MSPTasks[[#Headers],[ID]])))="",TRUE()),"",IF(INDEX(tsk_IsSummary,(ROW()-ROW(MSPTasks[[#Headers],[ID]]))),"",N(INDEX(tsk_Duration,(ROW()-ROW(MSPTasks[[#Headers],[ID]]))))&amp;"d"))</f>
        <v/>
      </c>
      <c r="G65" s="137" t="str">
        <f aca="false">IF(IFERROR(INDEX(tsk_Name,(ROW()-ROW(MSPTasks[[#Headers],[ID]])))="",TRUE()),"",INDEX(tsk_FcStart,(ROW()-ROW(MSPTasks[[#Headers],[ID]]))))</f>
        <v/>
      </c>
      <c r="H65" s="137" t="str">
        <f aca="false">IF(IFERROR(INDEX(tsk_Name,(ROW()-ROW(MSPTasks[[#Headers],[ID]])))="",TRUE()),"",INDEX(tsk_FcFinish,(ROW()-ROW(MSPTasks[[#Headers],[ID]]))))</f>
        <v/>
      </c>
      <c r="I65" s="24" t="str">
        <f aca="false">IF(IFERROR(INDEX(tsk_Name,(ROW()-ROW(MSPTasks[[#Headers],[ID]])))="",TRUE()),"",IF(INDEX(tsk_IsSummary,(ROW()-ROW(MSPTasks[[#Headers],[ID]]))),"",INDEX(tsk_Predecessors,(ROW()-ROW(MSPTasks[[#Headers],[ID]])))))</f>
        <v/>
      </c>
      <c r="J65" s="24" t="str">
        <f aca="false">IF(IFERROR(INDEX(tsk_Name,(ROW()-ROW(MSPTasks[[#Headers],[ID]])))="",TRUE()),"",IF(INDEX(tsk_IsSummary,(ROW()-ROW(MSPTasks[[#Headers],[ID]]))),"",INDEX(tsk_UIDPredecessors,(ROW()-ROW(MSPTasks[[#Headers],[ID]])))))</f>
        <v/>
      </c>
      <c r="K65" s="24" t="str">
        <f aca="false">IF(IFERROR(INDEX(tsk_Name,(ROW()-ROW(MSPTasks[[#Headers],[ID]])))="",TRUE()),"",INDEX(tsk_ResourceNames,(ROW()-ROW(MSPTasks[[#Headers],[ID]])))&amp;"")</f>
        <v/>
      </c>
      <c r="L65" s="24" t="str">
        <f aca="false">IF(IFERROR(INDEX(tsk_Name,(ROW()-ROW(MSPTasks[[#Headers],[ID]])))="",TRUE()),"",IF(INDEX(tsk_IsSummary,(ROW()-ROW(MSPTasks[[#Headers],[ID]]))),"",ROUND(INDEX(tsk_Progress,(ROW()-ROW(MSPTasks[[#Headers],[ID]])))*100,0)))</f>
        <v/>
      </c>
      <c r="M65" s="137" t="str">
        <f aca="false">IF(IFERROR(INDEX(tsk_Name,(ROW()-ROW(MSPTasks[[#Headers],[ID]])))="",TRUE()),"",IF(N(INDEX(tsk_ActStart,(ROW()-ROW(MSPTasks[[#Headers],[ID]]))))=0,"",INDEX(tsk_ActStart,(ROW()-ROW(MSPTasks[[#Headers],[ID]])))))</f>
        <v/>
      </c>
      <c r="N65" s="137" t="str">
        <f aca="false">IF(IFERROR(INDEX(tsk_Name,(ROW()-ROW(MSPTasks[[#Headers],[ID]])))="",TRUE()),"",IF(N(INDEX(tsk_ActFinish,(ROW()-ROW(MSPTasks[[#Headers],[ID]]))))=0,"",INDEX(tsk_ActFinish,(ROW()-ROW(MSPTasks[[#Headers],[ID]])))))</f>
        <v/>
      </c>
      <c r="O65" s="137" t="str">
        <f aca="false">IF(IFERROR(INDEX(tsk_Name,(ROW()-ROW(MSPTasks[[#Headers],[ID]])))="",TRUE()),"",INDEX(tsk_PlanStart,(ROW()-ROW(MSPTasks[[#Headers],[ID]]))))</f>
        <v/>
      </c>
      <c r="P65" s="137" t="str">
        <f aca="false">IF(IFERROR(INDEX(tsk_Name,(ROW()-ROW(MSPTasks[[#Headers],[ID]])))="",TRUE()),"",INDEX(tsk_PlanFinish,(ROW()-ROW(MSPTasks[[#Headers],[ID]]))))</f>
        <v/>
      </c>
      <c r="Q65" s="24" t="str">
        <f aca="false">IF(IFERROR(INDEX(tsk_Name,(ROW()-ROW(MSPTasks[[#Headers],[ID]])))="",TRUE()),"",IF(INDEX(tsk_BaseDuration,(ROW()-ROW(MSPTasks[[#Headers],[ID]])))="","",N(INDEX(tsk_BaseDuration,(ROW()-ROW(MSPTasks[[#Headers],[ID]]))))&amp;"d"))</f>
        <v/>
      </c>
      <c r="R65" s="24" t="str">
        <f aca="false">IF(IFERROR(INDEX(tsk_Name,(ROW()-ROW(MSPTasks[[#Headers],[ID]])))="",TRUE()),"",IF(INDEX(tsk_BaseWork,(ROW()-ROW(MSPTasks[[#Headers],[ID]])))="","",N(INDEX(tsk_BaseWork,(ROW()-ROW(MSPTasks[[#Headers],[ID]]))))&amp;"h"))</f>
        <v/>
      </c>
      <c r="S65" s="24" t="str">
        <f aca="false">IF(IFERROR(INDEX(tsk_Name,(ROW()-ROW(MSPTasks[[#Headers],[ID]])))="",TRUE()),"",IF(INDEX(tsk_BaseCost,(ROW()-ROW(MSPTasks[[#Headers],[ID]])))="","",N(INDEX(tsk_BaseCost,(ROW()-ROW(MSPTasks[[#Headers],[ID]]))))))</f>
        <v/>
      </c>
      <c r="T65" s="24" t="str">
        <f aca="false">IF(IFERROR(INDEX(tsk_Name,(ROW()-ROW(MSPTasks[[#Headers],[ID]])))="",TRUE()),"",IF(INDEX(tsk_IsSummary,(ROW()-ROW(MSPTasks[[#Headers],[ID]]))),"",IF(N(INDEX(tsk_ActCostInput,(ROW()-ROW(MSPTasks[[#Headers],[ID]]))))=0,"",INDEX(tsk_ActCostInput,(ROW()-ROW(MSPTasks[[#Headers],[ID]]))))))</f>
        <v/>
      </c>
      <c r="U6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5" s="137" t="str">
        <f aca="false">IF(IFERROR(INDEX(tsk_Name,(ROW()-ROW(MSPTasks[[#Headers],[ID]])))="",TRUE()),"",IF(OR(INDEX(tsk_IsSummary,(ROW()-ROW(MSPTasks[[#Headers],[ID]]))),INDEX(tsk_Mode,(ROW()-ROW(MSPTasks[[#Headers],[ID]])))="Manual"),"",IF(N(INDEX(tsk_ConstraintCode,(ROW()-ROW(MSPTasks[[#Headers],[ID]]))))&lt;2,"",INDEX(tsk_Constraint,(ROW()-ROW(MSPTasks[[#Headers],[ID]]))))))</f>
        <v/>
      </c>
      <c r="W65" s="137" t="str">
        <f aca="false">IF(IFERROR(INDEX(tsk_Name,(ROW()-ROW(MSPTasks[[#Headers],[ID]])))="",TRUE()),"",IF(N(INDEX(tsk_Deadline,(ROW()-ROW(MSPTasks[[#Headers],[ID]]))))=0,"",INDEX(tsk_Deadline,(ROW()-ROW(MSPTasks[[#Headers],[ID]])))))</f>
        <v/>
      </c>
      <c r="X65" s="24" t="str">
        <f aca="false">IF(IFERROR(INDEX(tsk_Name,(ROW()-ROW(MSPTasks[[#Headers],[ID]])))="",TRUE()),"",IF(INDEX(tsk_IsSummary,(ROW()-ROW(MSPTasks[[#Headers],[ID]]))),"",INDEX(tsk_Sprint,(ROW()-ROW(MSPTasks[[#Headers],[ID]])))&amp;""))</f>
        <v/>
      </c>
      <c r="Y65" s="24" t="str">
        <f aca="false">IF(IFERROR(INDEX(tsk_Name,(ROW()-ROW(MSPTasks[[#Headers],[ID]])))="",TRUE()),"",IF(INDEX(tsk_IsSummary,(ROW()-ROW(MSPTasks[[#Headers],[ID]]))),"",IF(N(INDEX(tsk_StoryPoints,(ROW()-ROW(MSPTasks[[#Headers],[ID]]))))=0,"",INDEX(tsk_StoryPoints,(ROW()-ROW(MSPTasks[[#Headers],[ID]]))))))</f>
        <v/>
      </c>
      <c r="Z65" s="24" t="str">
        <f aca="false">IF(IFERROR(INDEX(tsk_Name,(ROW()-ROW(MSPTasks[[#Headers],[ID]])))="",TRUE()),"",INDEX(tsk_Notes,(ROW()-ROW(MSPTasks[[#Headers],[ID]])))&amp;"")</f>
        <v/>
      </c>
    </row>
    <row r="66" customFormat="false" ht="15" hidden="false" customHeight="false" outlineLevel="0" collapsed="false">
      <c r="A66" s="24" t="str">
        <f aca="false">IF(IFERROR(INDEX(tsk_Name,(ROW()-ROW(MSPTasks[[#Headers],[ID]])))="",TRUE()),"",INDEX(tsk_ID,(ROW()-ROW(MSPTasks[[#Headers],[ID]]))))</f>
        <v/>
      </c>
      <c r="B66" s="24" t="str">
        <f aca="false">IF(IFERROR(INDEX(tsk_Name,(ROW()-ROW(MSPTasks[[#Headers],[ID]])))="",TRUE()),"",INDEX(tsk_UID,(ROW()-ROW(MSPTasks[[#Headers],[ID]]))))</f>
        <v/>
      </c>
      <c r="C66" s="24" t="str">
        <f aca="false">IF(IFERROR(INDEX(tsk_Name,(ROW()-ROW(MSPTasks[[#Headers],[ID]])))="",TRUE()),"",INDEX(tsk_Name,(ROW()-ROW(MSPTasks[[#Headers],[ID]]))))</f>
        <v/>
      </c>
      <c r="D66" s="24" t="str">
        <f aca="false">IF(IFERROR(INDEX(tsk_Name,(ROW()-ROW(MSPTasks[[#Headers],[ID]])))="",TRUE()),"",INDEX(tsk_Level,(ROW()-ROW(MSPTasks[[#Headers],[ID]]))))</f>
        <v/>
      </c>
      <c r="E66" s="24" t="str">
        <f aca="false">IF(IFERROR(INDEX(tsk_Name,(ROW()-ROW(MSPTasks[[#Headers],[ID]])))="",TRUE()),"",IF(INDEX(tsk_Mode,(ROW()-ROW(MSPTasks[[#Headers],[ID]])))="Manual","Manually Scheduled","Auto Scheduled"))</f>
        <v/>
      </c>
      <c r="F66" s="24" t="str">
        <f aca="false">IF(IFERROR(INDEX(tsk_Name,(ROW()-ROW(MSPTasks[[#Headers],[ID]])))="",TRUE()),"",IF(INDEX(tsk_IsSummary,(ROW()-ROW(MSPTasks[[#Headers],[ID]]))),"",N(INDEX(tsk_Duration,(ROW()-ROW(MSPTasks[[#Headers],[ID]]))))&amp;"d"))</f>
        <v/>
      </c>
      <c r="G66" s="137" t="str">
        <f aca="false">IF(IFERROR(INDEX(tsk_Name,(ROW()-ROW(MSPTasks[[#Headers],[ID]])))="",TRUE()),"",INDEX(tsk_FcStart,(ROW()-ROW(MSPTasks[[#Headers],[ID]]))))</f>
        <v/>
      </c>
      <c r="H66" s="137" t="str">
        <f aca="false">IF(IFERROR(INDEX(tsk_Name,(ROW()-ROW(MSPTasks[[#Headers],[ID]])))="",TRUE()),"",INDEX(tsk_FcFinish,(ROW()-ROW(MSPTasks[[#Headers],[ID]]))))</f>
        <v/>
      </c>
      <c r="I66" s="24" t="str">
        <f aca="false">IF(IFERROR(INDEX(tsk_Name,(ROW()-ROW(MSPTasks[[#Headers],[ID]])))="",TRUE()),"",IF(INDEX(tsk_IsSummary,(ROW()-ROW(MSPTasks[[#Headers],[ID]]))),"",INDEX(tsk_Predecessors,(ROW()-ROW(MSPTasks[[#Headers],[ID]])))))</f>
        <v/>
      </c>
      <c r="J66" s="24" t="str">
        <f aca="false">IF(IFERROR(INDEX(tsk_Name,(ROW()-ROW(MSPTasks[[#Headers],[ID]])))="",TRUE()),"",IF(INDEX(tsk_IsSummary,(ROW()-ROW(MSPTasks[[#Headers],[ID]]))),"",INDEX(tsk_UIDPredecessors,(ROW()-ROW(MSPTasks[[#Headers],[ID]])))))</f>
        <v/>
      </c>
      <c r="K66" s="24" t="str">
        <f aca="false">IF(IFERROR(INDEX(tsk_Name,(ROW()-ROW(MSPTasks[[#Headers],[ID]])))="",TRUE()),"",INDEX(tsk_ResourceNames,(ROW()-ROW(MSPTasks[[#Headers],[ID]])))&amp;"")</f>
        <v/>
      </c>
      <c r="L66" s="24" t="str">
        <f aca="false">IF(IFERROR(INDEX(tsk_Name,(ROW()-ROW(MSPTasks[[#Headers],[ID]])))="",TRUE()),"",IF(INDEX(tsk_IsSummary,(ROW()-ROW(MSPTasks[[#Headers],[ID]]))),"",ROUND(INDEX(tsk_Progress,(ROW()-ROW(MSPTasks[[#Headers],[ID]])))*100,0)))</f>
        <v/>
      </c>
      <c r="M66" s="137" t="str">
        <f aca="false">IF(IFERROR(INDEX(tsk_Name,(ROW()-ROW(MSPTasks[[#Headers],[ID]])))="",TRUE()),"",IF(N(INDEX(tsk_ActStart,(ROW()-ROW(MSPTasks[[#Headers],[ID]]))))=0,"",INDEX(tsk_ActStart,(ROW()-ROW(MSPTasks[[#Headers],[ID]])))))</f>
        <v/>
      </c>
      <c r="N66" s="137" t="str">
        <f aca="false">IF(IFERROR(INDEX(tsk_Name,(ROW()-ROW(MSPTasks[[#Headers],[ID]])))="",TRUE()),"",IF(N(INDEX(tsk_ActFinish,(ROW()-ROW(MSPTasks[[#Headers],[ID]]))))=0,"",INDEX(tsk_ActFinish,(ROW()-ROW(MSPTasks[[#Headers],[ID]])))))</f>
        <v/>
      </c>
      <c r="O66" s="137" t="str">
        <f aca="false">IF(IFERROR(INDEX(tsk_Name,(ROW()-ROW(MSPTasks[[#Headers],[ID]])))="",TRUE()),"",INDEX(tsk_PlanStart,(ROW()-ROW(MSPTasks[[#Headers],[ID]]))))</f>
        <v/>
      </c>
      <c r="P66" s="137" t="str">
        <f aca="false">IF(IFERROR(INDEX(tsk_Name,(ROW()-ROW(MSPTasks[[#Headers],[ID]])))="",TRUE()),"",INDEX(tsk_PlanFinish,(ROW()-ROW(MSPTasks[[#Headers],[ID]]))))</f>
        <v/>
      </c>
      <c r="Q66" s="24" t="str">
        <f aca="false">IF(IFERROR(INDEX(tsk_Name,(ROW()-ROW(MSPTasks[[#Headers],[ID]])))="",TRUE()),"",IF(INDEX(tsk_BaseDuration,(ROW()-ROW(MSPTasks[[#Headers],[ID]])))="","",N(INDEX(tsk_BaseDuration,(ROW()-ROW(MSPTasks[[#Headers],[ID]]))))&amp;"d"))</f>
        <v/>
      </c>
      <c r="R66" s="24" t="str">
        <f aca="false">IF(IFERROR(INDEX(tsk_Name,(ROW()-ROW(MSPTasks[[#Headers],[ID]])))="",TRUE()),"",IF(INDEX(tsk_BaseWork,(ROW()-ROW(MSPTasks[[#Headers],[ID]])))="","",N(INDEX(tsk_BaseWork,(ROW()-ROW(MSPTasks[[#Headers],[ID]]))))&amp;"h"))</f>
        <v/>
      </c>
      <c r="S66" s="24" t="str">
        <f aca="false">IF(IFERROR(INDEX(tsk_Name,(ROW()-ROW(MSPTasks[[#Headers],[ID]])))="",TRUE()),"",IF(INDEX(tsk_BaseCost,(ROW()-ROW(MSPTasks[[#Headers],[ID]])))="","",N(INDEX(tsk_BaseCost,(ROW()-ROW(MSPTasks[[#Headers],[ID]]))))))</f>
        <v/>
      </c>
      <c r="T66" s="24" t="str">
        <f aca="false">IF(IFERROR(INDEX(tsk_Name,(ROW()-ROW(MSPTasks[[#Headers],[ID]])))="",TRUE()),"",IF(INDEX(tsk_IsSummary,(ROW()-ROW(MSPTasks[[#Headers],[ID]]))),"",IF(N(INDEX(tsk_ActCostInput,(ROW()-ROW(MSPTasks[[#Headers],[ID]]))))=0,"",INDEX(tsk_ActCostInput,(ROW()-ROW(MSPTasks[[#Headers],[ID]]))))))</f>
        <v/>
      </c>
      <c r="U6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6" s="137" t="str">
        <f aca="false">IF(IFERROR(INDEX(tsk_Name,(ROW()-ROW(MSPTasks[[#Headers],[ID]])))="",TRUE()),"",IF(OR(INDEX(tsk_IsSummary,(ROW()-ROW(MSPTasks[[#Headers],[ID]]))),INDEX(tsk_Mode,(ROW()-ROW(MSPTasks[[#Headers],[ID]])))="Manual"),"",IF(N(INDEX(tsk_ConstraintCode,(ROW()-ROW(MSPTasks[[#Headers],[ID]]))))&lt;2,"",INDEX(tsk_Constraint,(ROW()-ROW(MSPTasks[[#Headers],[ID]]))))))</f>
        <v/>
      </c>
      <c r="W66" s="137" t="str">
        <f aca="false">IF(IFERROR(INDEX(tsk_Name,(ROW()-ROW(MSPTasks[[#Headers],[ID]])))="",TRUE()),"",IF(N(INDEX(tsk_Deadline,(ROW()-ROW(MSPTasks[[#Headers],[ID]]))))=0,"",INDEX(tsk_Deadline,(ROW()-ROW(MSPTasks[[#Headers],[ID]])))))</f>
        <v/>
      </c>
      <c r="X66" s="24" t="str">
        <f aca="false">IF(IFERROR(INDEX(tsk_Name,(ROW()-ROW(MSPTasks[[#Headers],[ID]])))="",TRUE()),"",IF(INDEX(tsk_IsSummary,(ROW()-ROW(MSPTasks[[#Headers],[ID]]))),"",INDEX(tsk_Sprint,(ROW()-ROW(MSPTasks[[#Headers],[ID]])))&amp;""))</f>
        <v/>
      </c>
      <c r="Y66" s="24" t="str">
        <f aca="false">IF(IFERROR(INDEX(tsk_Name,(ROW()-ROW(MSPTasks[[#Headers],[ID]])))="",TRUE()),"",IF(INDEX(tsk_IsSummary,(ROW()-ROW(MSPTasks[[#Headers],[ID]]))),"",IF(N(INDEX(tsk_StoryPoints,(ROW()-ROW(MSPTasks[[#Headers],[ID]]))))=0,"",INDEX(tsk_StoryPoints,(ROW()-ROW(MSPTasks[[#Headers],[ID]]))))))</f>
        <v/>
      </c>
      <c r="Z66" s="24" t="str">
        <f aca="false">IF(IFERROR(INDEX(tsk_Name,(ROW()-ROW(MSPTasks[[#Headers],[ID]])))="",TRUE()),"",INDEX(tsk_Notes,(ROW()-ROW(MSPTasks[[#Headers],[ID]])))&amp;"")</f>
        <v/>
      </c>
    </row>
    <row r="67" customFormat="false" ht="15" hidden="false" customHeight="false" outlineLevel="0" collapsed="false">
      <c r="A67" s="24" t="str">
        <f aca="false">IF(IFERROR(INDEX(tsk_Name,(ROW()-ROW(MSPTasks[[#Headers],[ID]])))="",TRUE()),"",INDEX(tsk_ID,(ROW()-ROW(MSPTasks[[#Headers],[ID]]))))</f>
        <v/>
      </c>
      <c r="B67" s="24" t="str">
        <f aca="false">IF(IFERROR(INDEX(tsk_Name,(ROW()-ROW(MSPTasks[[#Headers],[ID]])))="",TRUE()),"",INDEX(tsk_UID,(ROW()-ROW(MSPTasks[[#Headers],[ID]]))))</f>
        <v/>
      </c>
      <c r="C67" s="24" t="str">
        <f aca="false">IF(IFERROR(INDEX(tsk_Name,(ROW()-ROW(MSPTasks[[#Headers],[ID]])))="",TRUE()),"",INDEX(tsk_Name,(ROW()-ROW(MSPTasks[[#Headers],[ID]]))))</f>
        <v/>
      </c>
      <c r="D67" s="24" t="str">
        <f aca="false">IF(IFERROR(INDEX(tsk_Name,(ROW()-ROW(MSPTasks[[#Headers],[ID]])))="",TRUE()),"",INDEX(tsk_Level,(ROW()-ROW(MSPTasks[[#Headers],[ID]]))))</f>
        <v/>
      </c>
      <c r="E67" s="24" t="str">
        <f aca="false">IF(IFERROR(INDEX(tsk_Name,(ROW()-ROW(MSPTasks[[#Headers],[ID]])))="",TRUE()),"",IF(INDEX(tsk_Mode,(ROW()-ROW(MSPTasks[[#Headers],[ID]])))="Manual","Manually Scheduled","Auto Scheduled"))</f>
        <v/>
      </c>
      <c r="F67" s="24" t="str">
        <f aca="false">IF(IFERROR(INDEX(tsk_Name,(ROW()-ROW(MSPTasks[[#Headers],[ID]])))="",TRUE()),"",IF(INDEX(tsk_IsSummary,(ROW()-ROW(MSPTasks[[#Headers],[ID]]))),"",N(INDEX(tsk_Duration,(ROW()-ROW(MSPTasks[[#Headers],[ID]]))))&amp;"d"))</f>
        <v/>
      </c>
      <c r="G67" s="137" t="str">
        <f aca="false">IF(IFERROR(INDEX(tsk_Name,(ROW()-ROW(MSPTasks[[#Headers],[ID]])))="",TRUE()),"",INDEX(tsk_FcStart,(ROW()-ROW(MSPTasks[[#Headers],[ID]]))))</f>
        <v/>
      </c>
      <c r="H67" s="137" t="str">
        <f aca="false">IF(IFERROR(INDEX(tsk_Name,(ROW()-ROW(MSPTasks[[#Headers],[ID]])))="",TRUE()),"",INDEX(tsk_FcFinish,(ROW()-ROW(MSPTasks[[#Headers],[ID]]))))</f>
        <v/>
      </c>
      <c r="I67" s="24" t="str">
        <f aca="false">IF(IFERROR(INDEX(tsk_Name,(ROW()-ROW(MSPTasks[[#Headers],[ID]])))="",TRUE()),"",IF(INDEX(tsk_IsSummary,(ROW()-ROW(MSPTasks[[#Headers],[ID]]))),"",INDEX(tsk_Predecessors,(ROW()-ROW(MSPTasks[[#Headers],[ID]])))))</f>
        <v/>
      </c>
      <c r="J67" s="24" t="str">
        <f aca="false">IF(IFERROR(INDEX(tsk_Name,(ROW()-ROW(MSPTasks[[#Headers],[ID]])))="",TRUE()),"",IF(INDEX(tsk_IsSummary,(ROW()-ROW(MSPTasks[[#Headers],[ID]]))),"",INDEX(tsk_UIDPredecessors,(ROW()-ROW(MSPTasks[[#Headers],[ID]])))))</f>
        <v/>
      </c>
      <c r="K67" s="24" t="str">
        <f aca="false">IF(IFERROR(INDEX(tsk_Name,(ROW()-ROW(MSPTasks[[#Headers],[ID]])))="",TRUE()),"",INDEX(tsk_ResourceNames,(ROW()-ROW(MSPTasks[[#Headers],[ID]])))&amp;"")</f>
        <v/>
      </c>
      <c r="L67" s="24" t="str">
        <f aca="false">IF(IFERROR(INDEX(tsk_Name,(ROW()-ROW(MSPTasks[[#Headers],[ID]])))="",TRUE()),"",IF(INDEX(tsk_IsSummary,(ROW()-ROW(MSPTasks[[#Headers],[ID]]))),"",ROUND(INDEX(tsk_Progress,(ROW()-ROW(MSPTasks[[#Headers],[ID]])))*100,0)))</f>
        <v/>
      </c>
      <c r="M67" s="137" t="str">
        <f aca="false">IF(IFERROR(INDEX(tsk_Name,(ROW()-ROW(MSPTasks[[#Headers],[ID]])))="",TRUE()),"",IF(N(INDEX(tsk_ActStart,(ROW()-ROW(MSPTasks[[#Headers],[ID]]))))=0,"",INDEX(tsk_ActStart,(ROW()-ROW(MSPTasks[[#Headers],[ID]])))))</f>
        <v/>
      </c>
      <c r="N67" s="137" t="str">
        <f aca="false">IF(IFERROR(INDEX(tsk_Name,(ROW()-ROW(MSPTasks[[#Headers],[ID]])))="",TRUE()),"",IF(N(INDEX(tsk_ActFinish,(ROW()-ROW(MSPTasks[[#Headers],[ID]]))))=0,"",INDEX(tsk_ActFinish,(ROW()-ROW(MSPTasks[[#Headers],[ID]])))))</f>
        <v/>
      </c>
      <c r="O67" s="137" t="str">
        <f aca="false">IF(IFERROR(INDEX(tsk_Name,(ROW()-ROW(MSPTasks[[#Headers],[ID]])))="",TRUE()),"",INDEX(tsk_PlanStart,(ROW()-ROW(MSPTasks[[#Headers],[ID]]))))</f>
        <v/>
      </c>
      <c r="P67" s="137" t="str">
        <f aca="false">IF(IFERROR(INDEX(tsk_Name,(ROW()-ROW(MSPTasks[[#Headers],[ID]])))="",TRUE()),"",INDEX(tsk_PlanFinish,(ROW()-ROW(MSPTasks[[#Headers],[ID]]))))</f>
        <v/>
      </c>
      <c r="Q67" s="24" t="str">
        <f aca="false">IF(IFERROR(INDEX(tsk_Name,(ROW()-ROW(MSPTasks[[#Headers],[ID]])))="",TRUE()),"",IF(INDEX(tsk_BaseDuration,(ROW()-ROW(MSPTasks[[#Headers],[ID]])))="","",N(INDEX(tsk_BaseDuration,(ROW()-ROW(MSPTasks[[#Headers],[ID]]))))&amp;"d"))</f>
        <v/>
      </c>
      <c r="R67" s="24" t="str">
        <f aca="false">IF(IFERROR(INDEX(tsk_Name,(ROW()-ROW(MSPTasks[[#Headers],[ID]])))="",TRUE()),"",IF(INDEX(tsk_BaseWork,(ROW()-ROW(MSPTasks[[#Headers],[ID]])))="","",N(INDEX(tsk_BaseWork,(ROW()-ROW(MSPTasks[[#Headers],[ID]]))))&amp;"h"))</f>
        <v/>
      </c>
      <c r="S67" s="24" t="str">
        <f aca="false">IF(IFERROR(INDEX(tsk_Name,(ROW()-ROW(MSPTasks[[#Headers],[ID]])))="",TRUE()),"",IF(INDEX(tsk_BaseCost,(ROW()-ROW(MSPTasks[[#Headers],[ID]])))="","",N(INDEX(tsk_BaseCost,(ROW()-ROW(MSPTasks[[#Headers],[ID]]))))))</f>
        <v/>
      </c>
      <c r="T67" s="24" t="str">
        <f aca="false">IF(IFERROR(INDEX(tsk_Name,(ROW()-ROW(MSPTasks[[#Headers],[ID]])))="",TRUE()),"",IF(INDEX(tsk_IsSummary,(ROW()-ROW(MSPTasks[[#Headers],[ID]]))),"",IF(N(INDEX(tsk_ActCostInput,(ROW()-ROW(MSPTasks[[#Headers],[ID]]))))=0,"",INDEX(tsk_ActCostInput,(ROW()-ROW(MSPTasks[[#Headers],[ID]]))))))</f>
        <v/>
      </c>
      <c r="U6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7" s="137" t="str">
        <f aca="false">IF(IFERROR(INDEX(tsk_Name,(ROW()-ROW(MSPTasks[[#Headers],[ID]])))="",TRUE()),"",IF(OR(INDEX(tsk_IsSummary,(ROW()-ROW(MSPTasks[[#Headers],[ID]]))),INDEX(tsk_Mode,(ROW()-ROW(MSPTasks[[#Headers],[ID]])))="Manual"),"",IF(N(INDEX(tsk_ConstraintCode,(ROW()-ROW(MSPTasks[[#Headers],[ID]]))))&lt;2,"",INDEX(tsk_Constraint,(ROW()-ROW(MSPTasks[[#Headers],[ID]]))))))</f>
        <v/>
      </c>
      <c r="W67" s="137" t="str">
        <f aca="false">IF(IFERROR(INDEX(tsk_Name,(ROW()-ROW(MSPTasks[[#Headers],[ID]])))="",TRUE()),"",IF(N(INDEX(tsk_Deadline,(ROW()-ROW(MSPTasks[[#Headers],[ID]]))))=0,"",INDEX(tsk_Deadline,(ROW()-ROW(MSPTasks[[#Headers],[ID]])))))</f>
        <v/>
      </c>
      <c r="X67" s="24" t="str">
        <f aca="false">IF(IFERROR(INDEX(tsk_Name,(ROW()-ROW(MSPTasks[[#Headers],[ID]])))="",TRUE()),"",IF(INDEX(tsk_IsSummary,(ROW()-ROW(MSPTasks[[#Headers],[ID]]))),"",INDEX(tsk_Sprint,(ROW()-ROW(MSPTasks[[#Headers],[ID]])))&amp;""))</f>
        <v/>
      </c>
      <c r="Y67" s="24" t="str">
        <f aca="false">IF(IFERROR(INDEX(tsk_Name,(ROW()-ROW(MSPTasks[[#Headers],[ID]])))="",TRUE()),"",IF(INDEX(tsk_IsSummary,(ROW()-ROW(MSPTasks[[#Headers],[ID]]))),"",IF(N(INDEX(tsk_StoryPoints,(ROW()-ROW(MSPTasks[[#Headers],[ID]]))))=0,"",INDEX(tsk_StoryPoints,(ROW()-ROW(MSPTasks[[#Headers],[ID]]))))))</f>
        <v/>
      </c>
      <c r="Z67" s="24" t="str">
        <f aca="false">IF(IFERROR(INDEX(tsk_Name,(ROW()-ROW(MSPTasks[[#Headers],[ID]])))="",TRUE()),"",INDEX(tsk_Notes,(ROW()-ROW(MSPTasks[[#Headers],[ID]])))&amp;"")</f>
        <v/>
      </c>
    </row>
    <row r="68" customFormat="false" ht="15" hidden="false" customHeight="false" outlineLevel="0" collapsed="false">
      <c r="A68" s="24" t="str">
        <f aca="false">IF(IFERROR(INDEX(tsk_Name,(ROW()-ROW(MSPTasks[[#Headers],[ID]])))="",TRUE()),"",INDEX(tsk_ID,(ROW()-ROW(MSPTasks[[#Headers],[ID]]))))</f>
        <v/>
      </c>
      <c r="B68" s="24" t="str">
        <f aca="false">IF(IFERROR(INDEX(tsk_Name,(ROW()-ROW(MSPTasks[[#Headers],[ID]])))="",TRUE()),"",INDEX(tsk_UID,(ROW()-ROW(MSPTasks[[#Headers],[ID]]))))</f>
        <v/>
      </c>
      <c r="C68" s="24" t="str">
        <f aca="false">IF(IFERROR(INDEX(tsk_Name,(ROW()-ROW(MSPTasks[[#Headers],[ID]])))="",TRUE()),"",INDEX(tsk_Name,(ROW()-ROW(MSPTasks[[#Headers],[ID]]))))</f>
        <v/>
      </c>
      <c r="D68" s="24" t="str">
        <f aca="false">IF(IFERROR(INDEX(tsk_Name,(ROW()-ROW(MSPTasks[[#Headers],[ID]])))="",TRUE()),"",INDEX(tsk_Level,(ROW()-ROW(MSPTasks[[#Headers],[ID]]))))</f>
        <v/>
      </c>
      <c r="E68" s="24" t="str">
        <f aca="false">IF(IFERROR(INDEX(tsk_Name,(ROW()-ROW(MSPTasks[[#Headers],[ID]])))="",TRUE()),"",IF(INDEX(tsk_Mode,(ROW()-ROW(MSPTasks[[#Headers],[ID]])))="Manual","Manually Scheduled","Auto Scheduled"))</f>
        <v/>
      </c>
      <c r="F68" s="24" t="str">
        <f aca="false">IF(IFERROR(INDEX(tsk_Name,(ROW()-ROW(MSPTasks[[#Headers],[ID]])))="",TRUE()),"",IF(INDEX(tsk_IsSummary,(ROW()-ROW(MSPTasks[[#Headers],[ID]]))),"",N(INDEX(tsk_Duration,(ROW()-ROW(MSPTasks[[#Headers],[ID]]))))&amp;"d"))</f>
        <v/>
      </c>
      <c r="G68" s="137" t="str">
        <f aca="false">IF(IFERROR(INDEX(tsk_Name,(ROW()-ROW(MSPTasks[[#Headers],[ID]])))="",TRUE()),"",INDEX(tsk_FcStart,(ROW()-ROW(MSPTasks[[#Headers],[ID]]))))</f>
        <v/>
      </c>
      <c r="H68" s="137" t="str">
        <f aca="false">IF(IFERROR(INDEX(tsk_Name,(ROW()-ROW(MSPTasks[[#Headers],[ID]])))="",TRUE()),"",INDEX(tsk_FcFinish,(ROW()-ROW(MSPTasks[[#Headers],[ID]]))))</f>
        <v/>
      </c>
      <c r="I68" s="24" t="str">
        <f aca="false">IF(IFERROR(INDEX(tsk_Name,(ROW()-ROW(MSPTasks[[#Headers],[ID]])))="",TRUE()),"",IF(INDEX(tsk_IsSummary,(ROW()-ROW(MSPTasks[[#Headers],[ID]]))),"",INDEX(tsk_Predecessors,(ROW()-ROW(MSPTasks[[#Headers],[ID]])))))</f>
        <v/>
      </c>
      <c r="J68" s="24" t="str">
        <f aca="false">IF(IFERROR(INDEX(tsk_Name,(ROW()-ROW(MSPTasks[[#Headers],[ID]])))="",TRUE()),"",IF(INDEX(tsk_IsSummary,(ROW()-ROW(MSPTasks[[#Headers],[ID]]))),"",INDEX(tsk_UIDPredecessors,(ROW()-ROW(MSPTasks[[#Headers],[ID]])))))</f>
        <v/>
      </c>
      <c r="K68" s="24" t="str">
        <f aca="false">IF(IFERROR(INDEX(tsk_Name,(ROW()-ROW(MSPTasks[[#Headers],[ID]])))="",TRUE()),"",INDEX(tsk_ResourceNames,(ROW()-ROW(MSPTasks[[#Headers],[ID]])))&amp;"")</f>
        <v/>
      </c>
      <c r="L68" s="24" t="str">
        <f aca="false">IF(IFERROR(INDEX(tsk_Name,(ROW()-ROW(MSPTasks[[#Headers],[ID]])))="",TRUE()),"",IF(INDEX(tsk_IsSummary,(ROW()-ROW(MSPTasks[[#Headers],[ID]]))),"",ROUND(INDEX(tsk_Progress,(ROW()-ROW(MSPTasks[[#Headers],[ID]])))*100,0)))</f>
        <v/>
      </c>
      <c r="M68" s="137" t="str">
        <f aca="false">IF(IFERROR(INDEX(tsk_Name,(ROW()-ROW(MSPTasks[[#Headers],[ID]])))="",TRUE()),"",IF(N(INDEX(tsk_ActStart,(ROW()-ROW(MSPTasks[[#Headers],[ID]]))))=0,"",INDEX(tsk_ActStart,(ROW()-ROW(MSPTasks[[#Headers],[ID]])))))</f>
        <v/>
      </c>
      <c r="N68" s="137" t="str">
        <f aca="false">IF(IFERROR(INDEX(tsk_Name,(ROW()-ROW(MSPTasks[[#Headers],[ID]])))="",TRUE()),"",IF(N(INDEX(tsk_ActFinish,(ROW()-ROW(MSPTasks[[#Headers],[ID]]))))=0,"",INDEX(tsk_ActFinish,(ROW()-ROW(MSPTasks[[#Headers],[ID]])))))</f>
        <v/>
      </c>
      <c r="O68" s="137" t="str">
        <f aca="false">IF(IFERROR(INDEX(tsk_Name,(ROW()-ROW(MSPTasks[[#Headers],[ID]])))="",TRUE()),"",INDEX(tsk_PlanStart,(ROW()-ROW(MSPTasks[[#Headers],[ID]]))))</f>
        <v/>
      </c>
      <c r="P68" s="137" t="str">
        <f aca="false">IF(IFERROR(INDEX(tsk_Name,(ROW()-ROW(MSPTasks[[#Headers],[ID]])))="",TRUE()),"",INDEX(tsk_PlanFinish,(ROW()-ROW(MSPTasks[[#Headers],[ID]]))))</f>
        <v/>
      </c>
      <c r="Q68" s="24" t="str">
        <f aca="false">IF(IFERROR(INDEX(tsk_Name,(ROW()-ROW(MSPTasks[[#Headers],[ID]])))="",TRUE()),"",IF(INDEX(tsk_BaseDuration,(ROW()-ROW(MSPTasks[[#Headers],[ID]])))="","",N(INDEX(tsk_BaseDuration,(ROW()-ROW(MSPTasks[[#Headers],[ID]]))))&amp;"d"))</f>
        <v/>
      </c>
      <c r="R68" s="24" t="str">
        <f aca="false">IF(IFERROR(INDEX(tsk_Name,(ROW()-ROW(MSPTasks[[#Headers],[ID]])))="",TRUE()),"",IF(INDEX(tsk_BaseWork,(ROW()-ROW(MSPTasks[[#Headers],[ID]])))="","",N(INDEX(tsk_BaseWork,(ROW()-ROW(MSPTasks[[#Headers],[ID]]))))&amp;"h"))</f>
        <v/>
      </c>
      <c r="S68" s="24" t="str">
        <f aca="false">IF(IFERROR(INDEX(tsk_Name,(ROW()-ROW(MSPTasks[[#Headers],[ID]])))="",TRUE()),"",IF(INDEX(tsk_BaseCost,(ROW()-ROW(MSPTasks[[#Headers],[ID]])))="","",N(INDEX(tsk_BaseCost,(ROW()-ROW(MSPTasks[[#Headers],[ID]]))))))</f>
        <v/>
      </c>
      <c r="T68" s="24" t="str">
        <f aca="false">IF(IFERROR(INDEX(tsk_Name,(ROW()-ROW(MSPTasks[[#Headers],[ID]])))="",TRUE()),"",IF(INDEX(tsk_IsSummary,(ROW()-ROW(MSPTasks[[#Headers],[ID]]))),"",IF(N(INDEX(tsk_ActCostInput,(ROW()-ROW(MSPTasks[[#Headers],[ID]]))))=0,"",INDEX(tsk_ActCostInput,(ROW()-ROW(MSPTasks[[#Headers],[ID]]))))))</f>
        <v/>
      </c>
      <c r="U6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8" s="137" t="str">
        <f aca="false">IF(IFERROR(INDEX(tsk_Name,(ROW()-ROW(MSPTasks[[#Headers],[ID]])))="",TRUE()),"",IF(OR(INDEX(tsk_IsSummary,(ROW()-ROW(MSPTasks[[#Headers],[ID]]))),INDEX(tsk_Mode,(ROW()-ROW(MSPTasks[[#Headers],[ID]])))="Manual"),"",IF(N(INDEX(tsk_ConstraintCode,(ROW()-ROW(MSPTasks[[#Headers],[ID]]))))&lt;2,"",INDEX(tsk_Constraint,(ROW()-ROW(MSPTasks[[#Headers],[ID]]))))))</f>
        <v/>
      </c>
      <c r="W68" s="137" t="str">
        <f aca="false">IF(IFERROR(INDEX(tsk_Name,(ROW()-ROW(MSPTasks[[#Headers],[ID]])))="",TRUE()),"",IF(N(INDEX(tsk_Deadline,(ROW()-ROW(MSPTasks[[#Headers],[ID]]))))=0,"",INDEX(tsk_Deadline,(ROW()-ROW(MSPTasks[[#Headers],[ID]])))))</f>
        <v/>
      </c>
      <c r="X68" s="24" t="str">
        <f aca="false">IF(IFERROR(INDEX(tsk_Name,(ROW()-ROW(MSPTasks[[#Headers],[ID]])))="",TRUE()),"",IF(INDEX(tsk_IsSummary,(ROW()-ROW(MSPTasks[[#Headers],[ID]]))),"",INDEX(tsk_Sprint,(ROW()-ROW(MSPTasks[[#Headers],[ID]])))&amp;""))</f>
        <v/>
      </c>
      <c r="Y68" s="24" t="str">
        <f aca="false">IF(IFERROR(INDEX(tsk_Name,(ROW()-ROW(MSPTasks[[#Headers],[ID]])))="",TRUE()),"",IF(INDEX(tsk_IsSummary,(ROW()-ROW(MSPTasks[[#Headers],[ID]]))),"",IF(N(INDEX(tsk_StoryPoints,(ROW()-ROW(MSPTasks[[#Headers],[ID]]))))=0,"",INDEX(tsk_StoryPoints,(ROW()-ROW(MSPTasks[[#Headers],[ID]]))))))</f>
        <v/>
      </c>
      <c r="Z68" s="24" t="str">
        <f aca="false">IF(IFERROR(INDEX(tsk_Name,(ROW()-ROW(MSPTasks[[#Headers],[ID]])))="",TRUE()),"",INDEX(tsk_Notes,(ROW()-ROW(MSPTasks[[#Headers],[ID]])))&amp;"")</f>
        <v/>
      </c>
    </row>
    <row r="69" customFormat="false" ht="15" hidden="false" customHeight="false" outlineLevel="0" collapsed="false">
      <c r="A69" s="24" t="str">
        <f aca="false">IF(IFERROR(INDEX(tsk_Name,(ROW()-ROW(MSPTasks[[#Headers],[ID]])))="",TRUE()),"",INDEX(tsk_ID,(ROW()-ROW(MSPTasks[[#Headers],[ID]]))))</f>
        <v/>
      </c>
      <c r="B69" s="24" t="str">
        <f aca="false">IF(IFERROR(INDEX(tsk_Name,(ROW()-ROW(MSPTasks[[#Headers],[ID]])))="",TRUE()),"",INDEX(tsk_UID,(ROW()-ROW(MSPTasks[[#Headers],[ID]]))))</f>
        <v/>
      </c>
      <c r="C69" s="24" t="str">
        <f aca="false">IF(IFERROR(INDEX(tsk_Name,(ROW()-ROW(MSPTasks[[#Headers],[ID]])))="",TRUE()),"",INDEX(tsk_Name,(ROW()-ROW(MSPTasks[[#Headers],[ID]]))))</f>
        <v/>
      </c>
      <c r="D69" s="24" t="str">
        <f aca="false">IF(IFERROR(INDEX(tsk_Name,(ROW()-ROW(MSPTasks[[#Headers],[ID]])))="",TRUE()),"",INDEX(tsk_Level,(ROW()-ROW(MSPTasks[[#Headers],[ID]]))))</f>
        <v/>
      </c>
      <c r="E69" s="24" t="str">
        <f aca="false">IF(IFERROR(INDEX(tsk_Name,(ROW()-ROW(MSPTasks[[#Headers],[ID]])))="",TRUE()),"",IF(INDEX(tsk_Mode,(ROW()-ROW(MSPTasks[[#Headers],[ID]])))="Manual","Manually Scheduled","Auto Scheduled"))</f>
        <v/>
      </c>
      <c r="F69" s="24" t="str">
        <f aca="false">IF(IFERROR(INDEX(tsk_Name,(ROW()-ROW(MSPTasks[[#Headers],[ID]])))="",TRUE()),"",IF(INDEX(tsk_IsSummary,(ROW()-ROW(MSPTasks[[#Headers],[ID]]))),"",N(INDEX(tsk_Duration,(ROW()-ROW(MSPTasks[[#Headers],[ID]]))))&amp;"d"))</f>
        <v/>
      </c>
      <c r="G69" s="137" t="str">
        <f aca="false">IF(IFERROR(INDEX(tsk_Name,(ROW()-ROW(MSPTasks[[#Headers],[ID]])))="",TRUE()),"",INDEX(tsk_FcStart,(ROW()-ROW(MSPTasks[[#Headers],[ID]]))))</f>
        <v/>
      </c>
      <c r="H69" s="137" t="str">
        <f aca="false">IF(IFERROR(INDEX(tsk_Name,(ROW()-ROW(MSPTasks[[#Headers],[ID]])))="",TRUE()),"",INDEX(tsk_FcFinish,(ROW()-ROW(MSPTasks[[#Headers],[ID]]))))</f>
        <v/>
      </c>
      <c r="I69" s="24" t="str">
        <f aca="false">IF(IFERROR(INDEX(tsk_Name,(ROW()-ROW(MSPTasks[[#Headers],[ID]])))="",TRUE()),"",IF(INDEX(tsk_IsSummary,(ROW()-ROW(MSPTasks[[#Headers],[ID]]))),"",INDEX(tsk_Predecessors,(ROW()-ROW(MSPTasks[[#Headers],[ID]])))))</f>
        <v/>
      </c>
      <c r="J69" s="24" t="str">
        <f aca="false">IF(IFERROR(INDEX(tsk_Name,(ROW()-ROW(MSPTasks[[#Headers],[ID]])))="",TRUE()),"",IF(INDEX(tsk_IsSummary,(ROW()-ROW(MSPTasks[[#Headers],[ID]]))),"",INDEX(tsk_UIDPredecessors,(ROW()-ROW(MSPTasks[[#Headers],[ID]])))))</f>
        <v/>
      </c>
      <c r="K69" s="24" t="str">
        <f aca="false">IF(IFERROR(INDEX(tsk_Name,(ROW()-ROW(MSPTasks[[#Headers],[ID]])))="",TRUE()),"",INDEX(tsk_ResourceNames,(ROW()-ROW(MSPTasks[[#Headers],[ID]])))&amp;"")</f>
        <v/>
      </c>
      <c r="L69" s="24" t="str">
        <f aca="false">IF(IFERROR(INDEX(tsk_Name,(ROW()-ROW(MSPTasks[[#Headers],[ID]])))="",TRUE()),"",IF(INDEX(tsk_IsSummary,(ROW()-ROW(MSPTasks[[#Headers],[ID]]))),"",ROUND(INDEX(tsk_Progress,(ROW()-ROW(MSPTasks[[#Headers],[ID]])))*100,0)))</f>
        <v/>
      </c>
      <c r="M69" s="137" t="str">
        <f aca="false">IF(IFERROR(INDEX(tsk_Name,(ROW()-ROW(MSPTasks[[#Headers],[ID]])))="",TRUE()),"",IF(N(INDEX(tsk_ActStart,(ROW()-ROW(MSPTasks[[#Headers],[ID]]))))=0,"",INDEX(tsk_ActStart,(ROW()-ROW(MSPTasks[[#Headers],[ID]])))))</f>
        <v/>
      </c>
      <c r="N69" s="137" t="str">
        <f aca="false">IF(IFERROR(INDEX(tsk_Name,(ROW()-ROW(MSPTasks[[#Headers],[ID]])))="",TRUE()),"",IF(N(INDEX(tsk_ActFinish,(ROW()-ROW(MSPTasks[[#Headers],[ID]]))))=0,"",INDEX(tsk_ActFinish,(ROW()-ROW(MSPTasks[[#Headers],[ID]])))))</f>
        <v/>
      </c>
      <c r="O69" s="137" t="str">
        <f aca="false">IF(IFERROR(INDEX(tsk_Name,(ROW()-ROW(MSPTasks[[#Headers],[ID]])))="",TRUE()),"",INDEX(tsk_PlanStart,(ROW()-ROW(MSPTasks[[#Headers],[ID]]))))</f>
        <v/>
      </c>
      <c r="P69" s="137" t="str">
        <f aca="false">IF(IFERROR(INDEX(tsk_Name,(ROW()-ROW(MSPTasks[[#Headers],[ID]])))="",TRUE()),"",INDEX(tsk_PlanFinish,(ROW()-ROW(MSPTasks[[#Headers],[ID]]))))</f>
        <v/>
      </c>
      <c r="Q69" s="24" t="str">
        <f aca="false">IF(IFERROR(INDEX(tsk_Name,(ROW()-ROW(MSPTasks[[#Headers],[ID]])))="",TRUE()),"",IF(INDEX(tsk_BaseDuration,(ROW()-ROW(MSPTasks[[#Headers],[ID]])))="","",N(INDEX(tsk_BaseDuration,(ROW()-ROW(MSPTasks[[#Headers],[ID]]))))&amp;"d"))</f>
        <v/>
      </c>
      <c r="R69" s="24" t="str">
        <f aca="false">IF(IFERROR(INDEX(tsk_Name,(ROW()-ROW(MSPTasks[[#Headers],[ID]])))="",TRUE()),"",IF(INDEX(tsk_BaseWork,(ROW()-ROW(MSPTasks[[#Headers],[ID]])))="","",N(INDEX(tsk_BaseWork,(ROW()-ROW(MSPTasks[[#Headers],[ID]]))))&amp;"h"))</f>
        <v/>
      </c>
      <c r="S69" s="24" t="str">
        <f aca="false">IF(IFERROR(INDEX(tsk_Name,(ROW()-ROW(MSPTasks[[#Headers],[ID]])))="",TRUE()),"",IF(INDEX(tsk_BaseCost,(ROW()-ROW(MSPTasks[[#Headers],[ID]])))="","",N(INDEX(tsk_BaseCost,(ROW()-ROW(MSPTasks[[#Headers],[ID]]))))))</f>
        <v/>
      </c>
      <c r="T69" s="24" t="str">
        <f aca="false">IF(IFERROR(INDEX(tsk_Name,(ROW()-ROW(MSPTasks[[#Headers],[ID]])))="",TRUE()),"",IF(INDEX(tsk_IsSummary,(ROW()-ROW(MSPTasks[[#Headers],[ID]]))),"",IF(N(INDEX(tsk_ActCostInput,(ROW()-ROW(MSPTasks[[#Headers],[ID]]))))=0,"",INDEX(tsk_ActCostInput,(ROW()-ROW(MSPTasks[[#Headers],[ID]]))))))</f>
        <v/>
      </c>
      <c r="U6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69" s="137" t="str">
        <f aca="false">IF(IFERROR(INDEX(tsk_Name,(ROW()-ROW(MSPTasks[[#Headers],[ID]])))="",TRUE()),"",IF(OR(INDEX(tsk_IsSummary,(ROW()-ROW(MSPTasks[[#Headers],[ID]]))),INDEX(tsk_Mode,(ROW()-ROW(MSPTasks[[#Headers],[ID]])))="Manual"),"",IF(N(INDEX(tsk_ConstraintCode,(ROW()-ROW(MSPTasks[[#Headers],[ID]]))))&lt;2,"",INDEX(tsk_Constraint,(ROW()-ROW(MSPTasks[[#Headers],[ID]]))))))</f>
        <v/>
      </c>
      <c r="W69" s="137" t="str">
        <f aca="false">IF(IFERROR(INDEX(tsk_Name,(ROW()-ROW(MSPTasks[[#Headers],[ID]])))="",TRUE()),"",IF(N(INDEX(tsk_Deadline,(ROW()-ROW(MSPTasks[[#Headers],[ID]]))))=0,"",INDEX(tsk_Deadline,(ROW()-ROW(MSPTasks[[#Headers],[ID]])))))</f>
        <v/>
      </c>
      <c r="X69" s="24" t="str">
        <f aca="false">IF(IFERROR(INDEX(tsk_Name,(ROW()-ROW(MSPTasks[[#Headers],[ID]])))="",TRUE()),"",IF(INDEX(tsk_IsSummary,(ROW()-ROW(MSPTasks[[#Headers],[ID]]))),"",INDEX(tsk_Sprint,(ROW()-ROW(MSPTasks[[#Headers],[ID]])))&amp;""))</f>
        <v/>
      </c>
      <c r="Y69" s="24" t="str">
        <f aca="false">IF(IFERROR(INDEX(tsk_Name,(ROW()-ROW(MSPTasks[[#Headers],[ID]])))="",TRUE()),"",IF(INDEX(tsk_IsSummary,(ROW()-ROW(MSPTasks[[#Headers],[ID]]))),"",IF(N(INDEX(tsk_StoryPoints,(ROW()-ROW(MSPTasks[[#Headers],[ID]]))))=0,"",INDEX(tsk_StoryPoints,(ROW()-ROW(MSPTasks[[#Headers],[ID]]))))))</f>
        <v/>
      </c>
      <c r="Z69" s="24" t="str">
        <f aca="false">IF(IFERROR(INDEX(tsk_Name,(ROW()-ROW(MSPTasks[[#Headers],[ID]])))="",TRUE()),"",INDEX(tsk_Notes,(ROW()-ROW(MSPTasks[[#Headers],[ID]])))&amp;"")</f>
        <v/>
      </c>
    </row>
    <row r="70" customFormat="false" ht="15" hidden="false" customHeight="false" outlineLevel="0" collapsed="false">
      <c r="A70" s="24" t="str">
        <f aca="false">IF(IFERROR(INDEX(tsk_Name,(ROW()-ROW(MSPTasks[[#Headers],[ID]])))="",TRUE()),"",INDEX(tsk_ID,(ROW()-ROW(MSPTasks[[#Headers],[ID]]))))</f>
        <v/>
      </c>
      <c r="B70" s="24" t="str">
        <f aca="false">IF(IFERROR(INDEX(tsk_Name,(ROW()-ROW(MSPTasks[[#Headers],[ID]])))="",TRUE()),"",INDEX(tsk_UID,(ROW()-ROW(MSPTasks[[#Headers],[ID]]))))</f>
        <v/>
      </c>
      <c r="C70" s="24" t="str">
        <f aca="false">IF(IFERROR(INDEX(tsk_Name,(ROW()-ROW(MSPTasks[[#Headers],[ID]])))="",TRUE()),"",INDEX(tsk_Name,(ROW()-ROW(MSPTasks[[#Headers],[ID]]))))</f>
        <v/>
      </c>
      <c r="D70" s="24" t="str">
        <f aca="false">IF(IFERROR(INDEX(tsk_Name,(ROW()-ROW(MSPTasks[[#Headers],[ID]])))="",TRUE()),"",INDEX(tsk_Level,(ROW()-ROW(MSPTasks[[#Headers],[ID]]))))</f>
        <v/>
      </c>
      <c r="E70" s="24" t="str">
        <f aca="false">IF(IFERROR(INDEX(tsk_Name,(ROW()-ROW(MSPTasks[[#Headers],[ID]])))="",TRUE()),"",IF(INDEX(tsk_Mode,(ROW()-ROW(MSPTasks[[#Headers],[ID]])))="Manual","Manually Scheduled","Auto Scheduled"))</f>
        <v/>
      </c>
      <c r="F70" s="24" t="str">
        <f aca="false">IF(IFERROR(INDEX(tsk_Name,(ROW()-ROW(MSPTasks[[#Headers],[ID]])))="",TRUE()),"",IF(INDEX(tsk_IsSummary,(ROW()-ROW(MSPTasks[[#Headers],[ID]]))),"",N(INDEX(tsk_Duration,(ROW()-ROW(MSPTasks[[#Headers],[ID]]))))&amp;"d"))</f>
        <v/>
      </c>
      <c r="G70" s="137" t="str">
        <f aca="false">IF(IFERROR(INDEX(tsk_Name,(ROW()-ROW(MSPTasks[[#Headers],[ID]])))="",TRUE()),"",INDEX(tsk_FcStart,(ROW()-ROW(MSPTasks[[#Headers],[ID]]))))</f>
        <v/>
      </c>
      <c r="H70" s="137" t="str">
        <f aca="false">IF(IFERROR(INDEX(tsk_Name,(ROW()-ROW(MSPTasks[[#Headers],[ID]])))="",TRUE()),"",INDEX(tsk_FcFinish,(ROW()-ROW(MSPTasks[[#Headers],[ID]]))))</f>
        <v/>
      </c>
      <c r="I70" s="24" t="str">
        <f aca="false">IF(IFERROR(INDEX(tsk_Name,(ROW()-ROW(MSPTasks[[#Headers],[ID]])))="",TRUE()),"",IF(INDEX(tsk_IsSummary,(ROW()-ROW(MSPTasks[[#Headers],[ID]]))),"",INDEX(tsk_Predecessors,(ROW()-ROW(MSPTasks[[#Headers],[ID]])))))</f>
        <v/>
      </c>
      <c r="J70" s="24" t="str">
        <f aca="false">IF(IFERROR(INDEX(tsk_Name,(ROW()-ROW(MSPTasks[[#Headers],[ID]])))="",TRUE()),"",IF(INDEX(tsk_IsSummary,(ROW()-ROW(MSPTasks[[#Headers],[ID]]))),"",INDEX(tsk_UIDPredecessors,(ROW()-ROW(MSPTasks[[#Headers],[ID]])))))</f>
        <v/>
      </c>
      <c r="K70" s="24" t="str">
        <f aca="false">IF(IFERROR(INDEX(tsk_Name,(ROW()-ROW(MSPTasks[[#Headers],[ID]])))="",TRUE()),"",INDEX(tsk_ResourceNames,(ROW()-ROW(MSPTasks[[#Headers],[ID]])))&amp;"")</f>
        <v/>
      </c>
      <c r="L70" s="24" t="str">
        <f aca="false">IF(IFERROR(INDEX(tsk_Name,(ROW()-ROW(MSPTasks[[#Headers],[ID]])))="",TRUE()),"",IF(INDEX(tsk_IsSummary,(ROW()-ROW(MSPTasks[[#Headers],[ID]]))),"",ROUND(INDEX(tsk_Progress,(ROW()-ROW(MSPTasks[[#Headers],[ID]])))*100,0)))</f>
        <v/>
      </c>
      <c r="M70" s="137" t="str">
        <f aca="false">IF(IFERROR(INDEX(tsk_Name,(ROW()-ROW(MSPTasks[[#Headers],[ID]])))="",TRUE()),"",IF(N(INDEX(tsk_ActStart,(ROW()-ROW(MSPTasks[[#Headers],[ID]]))))=0,"",INDEX(tsk_ActStart,(ROW()-ROW(MSPTasks[[#Headers],[ID]])))))</f>
        <v/>
      </c>
      <c r="N70" s="137" t="str">
        <f aca="false">IF(IFERROR(INDEX(tsk_Name,(ROW()-ROW(MSPTasks[[#Headers],[ID]])))="",TRUE()),"",IF(N(INDEX(tsk_ActFinish,(ROW()-ROW(MSPTasks[[#Headers],[ID]]))))=0,"",INDEX(tsk_ActFinish,(ROW()-ROW(MSPTasks[[#Headers],[ID]])))))</f>
        <v/>
      </c>
      <c r="O70" s="137" t="str">
        <f aca="false">IF(IFERROR(INDEX(tsk_Name,(ROW()-ROW(MSPTasks[[#Headers],[ID]])))="",TRUE()),"",INDEX(tsk_PlanStart,(ROW()-ROW(MSPTasks[[#Headers],[ID]]))))</f>
        <v/>
      </c>
      <c r="P70" s="137" t="str">
        <f aca="false">IF(IFERROR(INDEX(tsk_Name,(ROW()-ROW(MSPTasks[[#Headers],[ID]])))="",TRUE()),"",INDEX(tsk_PlanFinish,(ROW()-ROW(MSPTasks[[#Headers],[ID]]))))</f>
        <v/>
      </c>
      <c r="Q70" s="24" t="str">
        <f aca="false">IF(IFERROR(INDEX(tsk_Name,(ROW()-ROW(MSPTasks[[#Headers],[ID]])))="",TRUE()),"",IF(INDEX(tsk_BaseDuration,(ROW()-ROW(MSPTasks[[#Headers],[ID]])))="","",N(INDEX(tsk_BaseDuration,(ROW()-ROW(MSPTasks[[#Headers],[ID]]))))&amp;"d"))</f>
        <v/>
      </c>
      <c r="R70" s="24" t="str">
        <f aca="false">IF(IFERROR(INDEX(tsk_Name,(ROW()-ROW(MSPTasks[[#Headers],[ID]])))="",TRUE()),"",IF(INDEX(tsk_BaseWork,(ROW()-ROW(MSPTasks[[#Headers],[ID]])))="","",N(INDEX(tsk_BaseWork,(ROW()-ROW(MSPTasks[[#Headers],[ID]]))))&amp;"h"))</f>
        <v/>
      </c>
      <c r="S70" s="24" t="str">
        <f aca="false">IF(IFERROR(INDEX(tsk_Name,(ROW()-ROW(MSPTasks[[#Headers],[ID]])))="",TRUE()),"",IF(INDEX(tsk_BaseCost,(ROW()-ROW(MSPTasks[[#Headers],[ID]])))="","",N(INDEX(tsk_BaseCost,(ROW()-ROW(MSPTasks[[#Headers],[ID]]))))))</f>
        <v/>
      </c>
      <c r="T70" s="24" t="str">
        <f aca="false">IF(IFERROR(INDEX(tsk_Name,(ROW()-ROW(MSPTasks[[#Headers],[ID]])))="",TRUE()),"",IF(INDEX(tsk_IsSummary,(ROW()-ROW(MSPTasks[[#Headers],[ID]]))),"",IF(N(INDEX(tsk_ActCostInput,(ROW()-ROW(MSPTasks[[#Headers],[ID]]))))=0,"",INDEX(tsk_ActCostInput,(ROW()-ROW(MSPTasks[[#Headers],[ID]]))))))</f>
        <v/>
      </c>
      <c r="U7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0" s="137" t="str">
        <f aca="false">IF(IFERROR(INDEX(tsk_Name,(ROW()-ROW(MSPTasks[[#Headers],[ID]])))="",TRUE()),"",IF(OR(INDEX(tsk_IsSummary,(ROW()-ROW(MSPTasks[[#Headers],[ID]]))),INDEX(tsk_Mode,(ROW()-ROW(MSPTasks[[#Headers],[ID]])))="Manual"),"",IF(N(INDEX(tsk_ConstraintCode,(ROW()-ROW(MSPTasks[[#Headers],[ID]]))))&lt;2,"",INDEX(tsk_Constraint,(ROW()-ROW(MSPTasks[[#Headers],[ID]]))))))</f>
        <v/>
      </c>
      <c r="W70" s="137" t="str">
        <f aca="false">IF(IFERROR(INDEX(tsk_Name,(ROW()-ROW(MSPTasks[[#Headers],[ID]])))="",TRUE()),"",IF(N(INDEX(tsk_Deadline,(ROW()-ROW(MSPTasks[[#Headers],[ID]]))))=0,"",INDEX(tsk_Deadline,(ROW()-ROW(MSPTasks[[#Headers],[ID]])))))</f>
        <v/>
      </c>
      <c r="X70" s="24" t="str">
        <f aca="false">IF(IFERROR(INDEX(tsk_Name,(ROW()-ROW(MSPTasks[[#Headers],[ID]])))="",TRUE()),"",IF(INDEX(tsk_IsSummary,(ROW()-ROW(MSPTasks[[#Headers],[ID]]))),"",INDEX(tsk_Sprint,(ROW()-ROW(MSPTasks[[#Headers],[ID]])))&amp;""))</f>
        <v/>
      </c>
      <c r="Y70" s="24" t="str">
        <f aca="false">IF(IFERROR(INDEX(tsk_Name,(ROW()-ROW(MSPTasks[[#Headers],[ID]])))="",TRUE()),"",IF(INDEX(tsk_IsSummary,(ROW()-ROW(MSPTasks[[#Headers],[ID]]))),"",IF(N(INDEX(tsk_StoryPoints,(ROW()-ROW(MSPTasks[[#Headers],[ID]]))))=0,"",INDEX(tsk_StoryPoints,(ROW()-ROW(MSPTasks[[#Headers],[ID]]))))))</f>
        <v/>
      </c>
      <c r="Z70" s="24" t="str">
        <f aca="false">IF(IFERROR(INDEX(tsk_Name,(ROW()-ROW(MSPTasks[[#Headers],[ID]])))="",TRUE()),"",INDEX(tsk_Notes,(ROW()-ROW(MSPTasks[[#Headers],[ID]])))&amp;"")</f>
        <v/>
      </c>
    </row>
    <row r="71" customFormat="false" ht="15" hidden="false" customHeight="false" outlineLevel="0" collapsed="false">
      <c r="A71" s="24" t="str">
        <f aca="false">IF(IFERROR(INDEX(tsk_Name,(ROW()-ROW(MSPTasks[[#Headers],[ID]])))="",TRUE()),"",INDEX(tsk_ID,(ROW()-ROW(MSPTasks[[#Headers],[ID]]))))</f>
        <v/>
      </c>
      <c r="B71" s="24" t="str">
        <f aca="false">IF(IFERROR(INDEX(tsk_Name,(ROW()-ROW(MSPTasks[[#Headers],[ID]])))="",TRUE()),"",INDEX(tsk_UID,(ROW()-ROW(MSPTasks[[#Headers],[ID]]))))</f>
        <v/>
      </c>
      <c r="C71" s="24" t="str">
        <f aca="false">IF(IFERROR(INDEX(tsk_Name,(ROW()-ROW(MSPTasks[[#Headers],[ID]])))="",TRUE()),"",INDEX(tsk_Name,(ROW()-ROW(MSPTasks[[#Headers],[ID]]))))</f>
        <v/>
      </c>
      <c r="D71" s="24" t="str">
        <f aca="false">IF(IFERROR(INDEX(tsk_Name,(ROW()-ROW(MSPTasks[[#Headers],[ID]])))="",TRUE()),"",INDEX(tsk_Level,(ROW()-ROW(MSPTasks[[#Headers],[ID]]))))</f>
        <v/>
      </c>
      <c r="E71" s="24" t="str">
        <f aca="false">IF(IFERROR(INDEX(tsk_Name,(ROW()-ROW(MSPTasks[[#Headers],[ID]])))="",TRUE()),"",IF(INDEX(tsk_Mode,(ROW()-ROW(MSPTasks[[#Headers],[ID]])))="Manual","Manually Scheduled","Auto Scheduled"))</f>
        <v/>
      </c>
      <c r="F71" s="24" t="str">
        <f aca="false">IF(IFERROR(INDEX(tsk_Name,(ROW()-ROW(MSPTasks[[#Headers],[ID]])))="",TRUE()),"",IF(INDEX(tsk_IsSummary,(ROW()-ROW(MSPTasks[[#Headers],[ID]]))),"",N(INDEX(tsk_Duration,(ROW()-ROW(MSPTasks[[#Headers],[ID]]))))&amp;"d"))</f>
        <v/>
      </c>
      <c r="G71" s="137" t="str">
        <f aca="false">IF(IFERROR(INDEX(tsk_Name,(ROW()-ROW(MSPTasks[[#Headers],[ID]])))="",TRUE()),"",INDEX(tsk_FcStart,(ROW()-ROW(MSPTasks[[#Headers],[ID]]))))</f>
        <v/>
      </c>
      <c r="H71" s="137" t="str">
        <f aca="false">IF(IFERROR(INDEX(tsk_Name,(ROW()-ROW(MSPTasks[[#Headers],[ID]])))="",TRUE()),"",INDEX(tsk_FcFinish,(ROW()-ROW(MSPTasks[[#Headers],[ID]]))))</f>
        <v/>
      </c>
      <c r="I71" s="24" t="str">
        <f aca="false">IF(IFERROR(INDEX(tsk_Name,(ROW()-ROW(MSPTasks[[#Headers],[ID]])))="",TRUE()),"",IF(INDEX(tsk_IsSummary,(ROW()-ROW(MSPTasks[[#Headers],[ID]]))),"",INDEX(tsk_Predecessors,(ROW()-ROW(MSPTasks[[#Headers],[ID]])))))</f>
        <v/>
      </c>
      <c r="J71" s="24" t="str">
        <f aca="false">IF(IFERROR(INDEX(tsk_Name,(ROW()-ROW(MSPTasks[[#Headers],[ID]])))="",TRUE()),"",IF(INDEX(tsk_IsSummary,(ROW()-ROW(MSPTasks[[#Headers],[ID]]))),"",INDEX(tsk_UIDPredecessors,(ROW()-ROW(MSPTasks[[#Headers],[ID]])))))</f>
        <v/>
      </c>
      <c r="K71" s="24" t="str">
        <f aca="false">IF(IFERROR(INDEX(tsk_Name,(ROW()-ROW(MSPTasks[[#Headers],[ID]])))="",TRUE()),"",INDEX(tsk_ResourceNames,(ROW()-ROW(MSPTasks[[#Headers],[ID]])))&amp;"")</f>
        <v/>
      </c>
      <c r="L71" s="24" t="str">
        <f aca="false">IF(IFERROR(INDEX(tsk_Name,(ROW()-ROW(MSPTasks[[#Headers],[ID]])))="",TRUE()),"",IF(INDEX(tsk_IsSummary,(ROW()-ROW(MSPTasks[[#Headers],[ID]]))),"",ROUND(INDEX(tsk_Progress,(ROW()-ROW(MSPTasks[[#Headers],[ID]])))*100,0)))</f>
        <v/>
      </c>
      <c r="M71" s="137" t="str">
        <f aca="false">IF(IFERROR(INDEX(tsk_Name,(ROW()-ROW(MSPTasks[[#Headers],[ID]])))="",TRUE()),"",IF(N(INDEX(tsk_ActStart,(ROW()-ROW(MSPTasks[[#Headers],[ID]]))))=0,"",INDEX(tsk_ActStart,(ROW()-ROW(MSPTasks[[#Headers],[ID]])))))</f>
        <v/>
      </c>
      <c r="N71" s="137" t="str">
        <f aca="false">IF(IFERROR(INDEX(tsk_Name,(ROW()-ROW(MSPTasks[[#Headers],[ID]])))="",TRUE()),"",IF(N(INDEX(tsk_ActFinish,(ROW()-ROW(MSPTasks[[#Headers],[ID]]))))=0,"",INDEX(tsk_ActFinish,(ROW()-ROW(MSPTasks[[#Headers],[ID]])))))</f>
        <v/>
      </c>
      <c r="O71" s="137" t="str">
        <f aca="false">IF(IFERROR(INDEX(tsk_Name,(ROW()-ROW(MSPTasks[[#Headers],[ID]])))="",TRUE()),"",INDEX(tsk_PlanStart,(ROW()-ROW(MSPTasks[[#Headers],[ID]]))))</f>
        <v/>
      </c>
      <c r="P71" s="137" t="str">
        <f aca="false">IF(IFERROR(INDEX(tsk_Name,(ROW()-ROW(MSPTasks[[#Headers],[ID]])))="",TRUE()),"",INDEX(tsk_PlanFinish,(ROW()-ROW(MSPTasks[[#Headers],[ID]]))))</f>
        <v/>
      </c>
      <c r="Q71" s="24" t="str">
        <f aca="false">IF(IFERROR(INDEX(tsk_Name,(ROW()-ROW(MSPTasks[[#Headers],[ID]])))="",TRUE()),"",IF(INDEX(tsk_BaseDuration,(ROW()-ROW(MSPTasks[[#Headers],[ID]])))="","",N(INDEX(tsk_BaseDuration,(ROW()-ROW(MSPTasks[[#Headers],[ID]]))))&amp;"d"))</f>
        <v/>
      </c>
      <c r="R71" s="24" t="str">
        <f aca="false">IF(IFERROR(INDEX(tsk_Name,(ROW()-ROW(MSPTasks[[#Headers],[ID]])))="",TRUE()),"",IF(INDEX(tsk_BaseWork,(ROW()-ROW(MSPTasks[[#Headers],[ID]])))="","",N(INDEX(tsk_BaseWork,(ROW()-ROW(MSPTasks[[#Headers],[ID]]))))&amp;"h"))</f>
        <v/>
      </c>
      <c r="S71" s="24" t="str">
        <f aca="false">IF(IFERROR(INDEX(tsk_Name,(ROW()-ROW(MSPTasks[[#Headers],[ID]])))="",TRUE()),"",IF(INDEX(tsk_BaseCost,(ROW()-ROW(MSPTasks[[#Headers],[ID]])))="","",N(INDEX(tsk_BaseCost,(ROW()-ROW(MSPTasks[[#Headers],[ID]]))))))</f>
        <v/>
      </c>
      <c r="T71" s="24" t="str">
        <f aca="false">IF(IFERROR(INDEX(tsk_Name,(ROW()-ROW(MSPTasks[[#Headers],[ID]])))="",TRUE()),"",IF(INDEX(tsk_IsSummary,(ROW()-ROW(MSPTasks[[#Headers],[ID]]))),"",IF(N(INDEX(tsk_ActCostInput,(ROW()-ROW(MSPTasks[[#Headers],[ID]]))))=0,"",INDEX(tsk_ActCostInput,(ROW()-ROW(MSPTasks[[#Headers],[ID]]))))))</f>
        <v/>
      </c>
      <c r="U7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1" s="137" t="str">
        <f aca="false">IF(IFERROR(INDEX(tsk_Name,(ROW()-ROW(MSPTasks[[#Headers],[ID]])))="",TRUE()),"",IF(OR(INDEX(tsk_IsSummary,(ROW()-ROW(MSPTasks[[#Headers],[ID]]))),INDEX(tsk_Mode,(ROW()-ROW(MSPTasks[[#Headers],[ID]])))="Manual"),"",IF(N(INDEX(tsk_ConstraintCode,(ROW()-ROW(MSPTasks[[#Headers],[ID]]))))&lt;2,"",INDEX(tsk_Constraint,(ROW()-ROW(MSPTasks[[#Headers],[ID]]))))))</f>
        <v/>
      </c>
      <c r="W71" s="137" t="str">
        <f aca="false">IF(IFERROR(INDEX(tsk_Name,(ROW()-ROW(MSPTasks[[#Headers],[ID]])))="",TRUE()),"",IF(N(INDEX(tsk_Deadline,(ROW()-ROW(MSPTasks[[#Headers],[ID]]))))=0,"",INDEX(tsk_Deadline,(ROW()-ROW(MSPTasks[[#Headers],[ID]])))))</f>
        <v/>
      </c>
      <c r="X71" s="24" t="str">
        <f aca="false">IF(IFERROR(INDEX(tsk_Name,(ROW()-ROW(MSPTasks[[#Headers],[ID]])))="",TRUE()),"",IF(INDEX(tsk_IsSummary,(ROW()-ROW(MSPTasks[[#Headers],[ID]]))),"",INDEX(tsk_Sprint,(ROW()-ROW(MSPTasks[[#Headers],[ID]])))&amp;""))</f>
        <v/>
      </c>
      <c r="Y71" s="24" t="str">
        <f aca="false">IF(IFERROR(INDEX(tsk_Name,(ROW()-ROW(MSPTasks[[#Headers],[ID]])))="",TRUE()),"",IF(INDEX(tsk_IsSummary,(ROW()-ROW(MSPTasks[[#Headers],[ID]]))),"",IF(N(INDEX(tsk_StoryPoints,(ROW()-ROW(MSPTasks[[#Headers],[ID]]))))=0,"",INDEX(tsk_StoryPoints,(ROW()-ROW(MSPTasks[[#Headers],[ID]]))))))</f>
        <v/>
      </c>
      <c r="Z71" s="24" t="str">
        <f aca="false">IF(IFERROR(INDEX(tsk_Name,(ROW()-ROW(MSPTasks[[#Headers],[ID]])))="",TRUE()),"",INDEX(tsk_Notes,(ROW()-ROW(MSPTasks[[#Headers],[ID]])))&amp;"")</f>
        <v/>
      </c>
    </row>
    <row r="72" customFormat="false" ht="15" hidden="false" customHeight="false" outlineLevel="0" collapsed="false">
      <c r="A72" s="24" t="str">
        <f aca="false">IF(IFERROR(INDEX(tsk_Name,(ROW()-ROW(MSPTasks[[#Headers],[ID]])))="",TRUE()),"",INDEX(tsk_ID,(ROW()-ROW(MSPTasks[[#Headers],[ID]]))))</f>
        <v/>
      </c>
      <c r="B72" s="24" t="str">
        <f aca="false">IF(IFERROR(INDEX(tsk_Name,(ROW()-ROW(MSPTasks[[#Headers],[ID]])))="",TRUE()),"",INDEX(tsk_UID,(ROW()-ROW(MSPTasks[[#Headers],[ID]]))))</f>
        <v/>
      </c>
      <c r="C72" s="24" t="str">
        <f aca="false">IF(IFERROR(INDEX(tsk_Name,(ROW()-ROW(MSPTasks[[#Headers],[ID]])))="",TRUE()),"",INDEX(tsk_Name,(ROW()-ROW(MSPTasks[[#Headers],[ID]]))))</f>
        <v/>
      </c>
      <c r="D72" s="24" t="str">
        <f aca="false">IF(IFERROR(INDEX(tsk_Name,(ROW()-ROW(MSPTasks[[#Headers],[ID]])))="",TRUE()),"",INDEX(tsk_Level,(ROW()-ROW(MSPTasks[[#Headers],[ID]]))))</f>
        <v/>
      </c>
      <c r="E72" s="24" t="str">
        <f aca="false">IF(IFERROR(INDEX(tsk_Name,(ROW()-ROW(MSPTasks[[#Headers],[ID]])))="",TRUE()),"",IF(INDEX(tsk_Mode,(ROW()-ROW(MSPTasks[[#Headers],[ID]])))="Manual","Manually Scheduled","Auto Scheduled"))</f>
        <v/>
      </c>
      <c r="F72" s="24" t="str">
        <f aca="false">IF(IFERROR(INDEX(tsk_Name,(ROW()-ROW(MSPTasks[[#Headers],[ID]])))="",TRUE()),"",IF(INDEX(tsk_IsSummary,(ROW()-ROW(MSPTasks[[#Headers],[ID]]))),"",N(INDEX(tsk_Duration,(ROW()-ROW(MSPTasks[[#Headers],[ID]]))))&amp;"d"))</f>
        <v/>
      </c>
      <c r="G72" s="137" t="str">
        <f aca="false">IF(IFERROR(INDEX(tsk_Name,(ROW()-ROW(MSPTasks[[#Headers],[ID]])))="",TRUE()),"",INDEX(tsk_FcStart,(ROW()-ROW(MSPTasks[[#Headers],[ID]]))))</f>
        <v/>
      </c>
      <c r="H72" s="137" t="str">
        <f aca="false">IF(IFERROR(INDEX(tsk_Name,(ROW()-ROW(MSPTasks[[#Headers],[ID]])))="",TRUE()),"",INDEX(tsk_FcFinish,(ROW()-ROW(MSPTasks[[#Headers],[ID]]))))</f>
        <v/>
      </c>
      <c r="I72" s="24" t="str">
        <f aca="false">IF(IFERROR(INDEX(tsk_Name,(ROW()-ROW(MSPTasks[[#Headers],[ID]])))="",TRUE()),"",IF(INDEX(tsk_IsSummary,(ROW()-ROW(MSPTasks[[#Headers],[ID]]))),"",INDEX(tsk_Predecessors,(ROW()-ROW(MSPTasks[[#Headers],[ID]])))))</f>
        <v/>
      </c>
      <c r="J72" s="24" t="str">
        <f aca="false">IF(IFERROR(INDEX(tsk_Name,(ROW()-ROW(MSPTasks[[#Headers],[ID]])))="",TRUE()),"",IF(INDEX(tsk_IsSummary,(ROW()-ROW(MSPTasks[[#Headers],[ID]]))),"",INDEX(tsk_UIDPredecessors,(ROW()-ROW(MSPTasks[[#Headers],[ID]])))))</f>
        <v/>
      </c>
      <c r="K72" s="24" t="str">
        <f aca="false">IF(IFERROR(INDEX(tsk_Name,(ROW()-ROW(MSPTasks[[#Headers],[ID]])))="",TRUE()),"",INDEX(tsk_ResourceNames,(ROW()-ROW(MSPTasks[[#Headers],[ID]])))&amp;"")</f>
        <v/>
      </c>
      <c r="L72" s="24" t="str">
        <f aca="false">IF(IFERROR(INDEX(tsk_Name,(ROW()-ROW(MSPTasks[[#Headers],[ID]])))="",TRUE()),"",IF(INDEX(tsk_IsSummary,(ROW()-ROW(MSPTasks[[#Headers],[ID]]))),"",ROUND(INDEX(tsk_Progress,(ROW()-ROW(MSPTasks[[#Headers],[ID]])))*100,0)))</f>
        <v/>
      </c>
      <c r="M72" s="137" t="str">
        <f aca="false">IF(IFERROR(INDEX(tsk_Name,(ROW()-ROW(MSPTasks[[#Headers],[ID]])))="",TRUE()),"",IF(N(INDEX(tsk_ActStart,(ROW()-ROW(MSPTasks[[#Headers],[ID]]))))=0,"",INDEX(tsk_ActStart,(ROW()-ROW(MSPTasks[[#Headers],[ID]])))))</f>
        <v/>
      </c>
      <c r="N72" s="137" t="str">
        <f aca="false">IF(IFERROR(INDEX(tsk_Name,(ROW()-ROW(MSPTasks[[#Headers],[ID]])))="",TRUE()),"",IF(N(INDEX(tsk_ActFinish,(ROW()-ROW(MSPTasks[[#Headers],[ID]]))))=0,"",INDEX(tsk_ActFinish,(ROW()-ROW(MSPTasks[[#Headers],[ID]])))))</f>
        <v/>
      </c>
      <c r="O72" s="137" t="str">
        <f aca="false">IF(IFERROR(INDEX(tsk_Name,(ROW()-ROW(MSPTasks[[#Headers],[ID]])))="",TRUE()),"",INDEX(tsk_PlanStart,(ROW()-ROW(MSPTasks[[#Headers],[ID]]))))</f>
        <v/>
      </c>
      <c r="P72" s="137" t="str">
        <f aca="false">IF(IFERROR(INDEX(tsk_Name,(ROW()-ROW(MSPTasks[[#Headers],[ID]])))="",TRUE()),"",INDEX(tsk_PlanFinish,(ROW()-ROW(MSPTasks[[#Headers],[ID]]))))</f>
        <v/>
      </c>
      <c r="Q72" s="24" t="str">
        <f aca="false">IF(IFERROR(INDEX(tsk_Name,(ROW()-ROW(MSPTasks[[#Headers],[ID]])))="",TRUE()),"",IF(INDEX(tsk_BaseDuration,(ROW()-ROW(MSPTasks[[#Headers],[ID]])))="","",N(INDEX(tsk_BaseDuration,(ROW()-ROW(MSPTasks[[#Headers],[ID]]))))&amp;"d"))</f>
        <v/>
      </c>
      <c r="R72" s="24" t="str">
        <f aca="false">IF(IFERROR(INDEX(tsk_Name,(ROW()-ROW(MSPTasks[[#Headers],[ID]])))="",TRUE()),"",IF(INDEX(tsk_BaseWork,(ROW()-ROW(MSPTasks[[#Headers],[ID]])))="","",N(INDEX(tsk_BaseWork,(ROW()-ROW(MSPTasks[[#Headers],[ID]]))))&amp;"h"))</f>
        <v/>
      </c>
      <c r="S72" s="24" t="str">
        <f aca="false">IF(IFERROR(INDEX(tsk_Name,(ROW()-ROW(MSPTasks[[#Headers],[ID]])))="",TRUE()),"",IF(INDEX(tsk_BaseCost,(ROW()-ROW(MSPTasks[[#Headers],[ID]])))="","",N(INDEX(tsk_BaseCost,(ROW()-ROW(MSPTasks[[#Headers],[ID]]))))))</f>
        <v/>
      </c>
      <c r="T72" s="24" t="str">
        <f aca="false">IF(IFERROR(INDEX(tsk_Name,(ROW()-ROW(MSPTasks[[#Headers],[ID]])))="",TRUE()),"",IF(INDEX(tsk_IsSummary,(ROW()-ROW(MSPTasks[[#Headers],[ID]]))),"",IF(N(INDEX(tsk_ActCostInput,(ROW()-ROW(MSPTasks[[#Headers],[ID]]))))=0,"",INDEX(tsk_ActCostInput,(ROW()-ROW(MSPTasks[[#Headers],[ID]]))))))</f>
        <v/>
      </c>
      <c r="U7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2" s="137" t="str">
        <f aca="false">IF(IFERROR(INDEX(tsk_Name,(ROW()-ROW(MSPTasks[[#Headers],[ID]])))="",TRUE()),"",IF(OR(INDEX(tsk_IsSummary,(ROW()-ROW(MSPTasks[[#Headers],[ID]]))),INDEX(tsk_Mode,(ROW()-ROW(MSPTasks[[#Headers],[ID]])))="Manual"),"",IF(N(INDEX(tsk_ConstraintCode,(ROW()-ROW(MSPTasks[[#Headers],[ID]]))))&lt;2,"",INDEX(tsk_Constraint,(ROW()-ROW(MSPTasks[[#Headers],[ID]]))))))</f>
        <v/>
      </c>
      <c r="W72" s="137" t="str">
        <f aca="false">IF(IFERROR(INDEX(tsk_Name,(ROW()-ROW(MSPTasks[[#Headers],[ID]])))="",TRUE()),"",IF(N(INDEX(tsk_Deadline,(ROW()-ROW(MSPTasks[[#Headers],[ID]]))))=0,"",INDEX(tsk_Deadline,(ROW()-ROW(MSPTasks[[#Headers],[ID]])))))</f>
        <v/>
      </c>
      <c r="X72" s="24" t="str">
        <f aca="false">IF(IFERROR(INDEX(tsk_Name,(ROW()-ROW(MSPTasks[[#Headers],[ID]])))="",TRUE()),"",IF(INDEX(tsk_IsSummary,(ROW()-ROW(MSPTasks[[#Headers],[ID]]))),"",INDEX(tsk_Sprint,(ROW()-ROW(MSPTasks[[#Headers],[ID]])))&amp;""))</f>
        <v/>
      </c>
      <c r="Y72" s="24" t="str">
        <f aca="false">IF(IFERROR(INDEX(tsk_Name,(ROW()-ROW(MSPTasks[[#Headers],[ID]])))="",TRUE()),"",IF(INDEX(tsk_IsSummary,(ROW()-ROW(MSPTasks[[#Headers],[ID]]))),"",IF(N(INDEX(tsk_StoryPoints,(ROW()-ROW(MSPTasks[[#Headers],[ID]]))))=0,"",INDEX(tsk_StoryPoints,(ROW()-ROW(MSPTasks[[#Headers],[ID]]))))))</f>
        <v/>
      </c>
      <c r="Z72" s="24" t="str">
        <f aca="false">IF(IFERROR(INDEX(tsk_Name,(ROW()-ROW(MSPTasks[[#Headers],[ID]])))="",TRUE()),"",INDEX(tsk_Notes,(ROW()-ROW(MSPTasks[[#Headers],[ID]])))&amp;"")</f>
        <v/>
      </c>
    </row>
    <row r="73" customFormat="false" ht="15" hidden="false" customHeight="false" outlineLevel="0" collapsed="false">
      <c r="A73" s="24" t="str">
        <f aca="false">IF(IFERROR(INDEX(tsk_Name,(ROW()-ROW(MSPTasks[[#Headers],[ID]])))="",TRUE()),"",INDEX(tsk_ID,(ROW()-ROW(MSPTasks[[#Headers],[ID]]))))</f>
        <v/>
      </c>
      <c r="B73" s="24" t="str">
        <f aca="false">IF(IFERROR(INDEX(tsk_Name,(ROW()-ROW(MSPTasks[[#Headers],[ID]])))="",TRUE()),"",INDEX(tsk_UID,(ROW()-ROW(MSPTasks[[#Headers],[ID]]))))</f>
        <v/>
      </c>
      <c r="C73" s="24" t="str">
        <f aca="false">IF(IFERROR(INDEX(tsk_Name,(ROW()-ROW(MSPTasks[[#Headers],[ID]])))="",TRUE()),"",INDEX(tsk_Name,(ROW()-ROW(MSPTasks[[#Headers],[ID]]))))</f>
        <v/>
      </c>
      <c r="D73" s="24" t="str">
        <f aca="false">IF(IFERROR(INDEX(tsk_Name,(ROW()-ROW(MSPTasks[[#Headers],[ID]])))="",TRUE()),"",INDEX(tsk_Level,(ROW()-ROW(MSPTasks[[#Headers],[ID]]))))</f>
        <v/>
      </c>
      <c r="E73" s="24" t="str">
        <f aca="false">IF(IFERROR(INDEX(tsk_Name,(ROW()-ROW(MSPTasks[[#Headers],[ID]])))="",TRUE()),"",IF(INDEX(tsk_Mode,(ROW()-ROW(MSPTasks[[#Headers],[ID]])))="Manual","Manually Scheduled","Auto Scheduled"))</f>
        <v/>
      </c>
      <c r="F73" s="24" t="str">
        <f aca="false">IF(IFERROR(INDEX(tsk_Name,(ROW()-ROW(MSPTasks[[#Headers],[ID]])))="",TRUE()),"",IF(INDEX(tsk_IsSummary,(ROW()-ROW(MSPTasks[[#Headers],[ID]]))),"",N(INDEX(tsk_Duration,(ROW()-ROW(MSPTasks[[#Headers],[ID]]))))&amp;"d"))</f>
        <v/>
      </c>
      <c r="G73" s="137" t="str">
        <f aca="false">IF(IFERROR(INDEX(tsk_Name,(ROW()-ROW(MSPTasks[[#Headers],[ID]])))="",TRUE()),"",INDEX(tsk_FcStart,(ROW()-ROW(MSPTasks[[#Headers],[ID]]))))</f>
        <v/>
      </c>
      <c r="H73" s="137" t="str">
        <f aca="false">IF(IFERROR(INDEX(tsk_Name,(ROW()-ROW(MSPTasks[[#Headers],[ID]])))="",TRUE()),"",INDEX(tsk_FcFinish,(ROW()-ROW(MSPTasks[[#Headers],[ID]]))))</f>
        <v/>
      </c>
      <c r="I73" s="24" t="str">
        <f aca="false">IF(IFERROR(INDEX(tsk_Name,(ROW()-ROW(MSPTasks[[#Headers],[ID]])))="",TRUE()),"",IF(INDEX(tsk_IsSummary,(ROW()-ROW(MSPTasks[[#Headers],[ID]]))),"",INDEX(tsk_Predecessors,(ROW()-ROW(MSPTasks[[#Headers],[ID]])))))</f>
        <v/>
      </c>
      <c r="J73" s="24" t="str">
        <f aca="false">IF(IFERROR(INDEX(tsk_Name,(ROW()-ROW(MSPTasks[[#Headers],[ID]])))="",TRUE()),"",IF(INDEX(tsk_IsSummary,(ROW()-ROW(MSPTasks[[#Headers],[ID]]))),"",INDEX(tsk_UIDPredecessors,(ROW()-ROW(MSPTasks[[#Headers],[ID]])))))</f>
        <v/>
      </c>
      <c r="K73" s="24" t="str">
        <f aca="false">IF(IFERROR(INDEX(tsk_Name,(ROW()-ROW(MSPTasks[[#Headers],[ID]])))="",TRUE()),"",INDEX(tsk_ResourceNames,(ROW()-ROW(MSPTasks[[#Headers],[ID]])))&amp;"")</f>
        <v/>
      </c>
      <c r="L73" s="24" t="str">
        <f aca="false">IF(IFERROR(INDEX(tsk_Name,(ROW()-ROW(MSPTasks[[#Headers],[ID]])))="",TRUE()),"",IF(INDEX(tsk_IsSummary,(ROW()-ROW(MSPTasks[[#Headers],[ID]]))),"",ROUND(INDEX(tsk_Progress,(ROW()-ROW(MSPTasks[[#Headers],[ID]])))*100,0)))</f>
        <v/>
      </c>
      <c r="M73" s="137" t="str">
        <f aca="false">IF(IFERROR(INDEX(tsk_Name,(ROW()-ROW(MSPTasks[[#Headers],[ID]])))="",TRUE()),"",IF(N(INDEX(tsk_ActStart,(ROW()-ROW(MSPTasks[[#Headers],[ID]]))))=0,"",INDEX(tsk_ActStart,(ROW()-ROW(MSPTasks[[#Headers],[ID]])))))</f>
        <v/>
      </c>
      <c r="N73" s="137" t="str">
        <f aca="false">IF(IFERROR(INDEX(tsk_Name,(ROW()-ROW(MSPTasks[[#Headers],[ID]])))="",TRUE()),"",IF(N(INDEX(tsk_ActFinish,(ROW()-ROW(MSPTasks[[#Headers],[ID]]))))=0,"",INDEX(tsk_ActFinish,(ROW()-ROW(MSPTasks[[#Headers],[ID]])))))</f>
        <v/>
      </c>
      <c r="O73" s="137" t="str">
        <f aca="false">IF(IFERROR(INDEX(tsk_Name,(ROW()-ROW(MSPTasks[[#Headers],[ID]])))="",TRUE()),"",INDEX(tsk_PlanStart,(ROW()-ROW(MSPTasks[[#Headers],[ID]]))))</f>
        <v/>
      </c>
      <c r="P73" s="137" t="str">
        <f aca="false">IF(IFERROR(INDEX(tsk_Name,(ROW()-ROW(MSPTasks[[#Headers],[ID]])))="",TRUE()),"",INDEX(tsk_PlanFinish,(ROW()-ROW(MSPTasks[[#Headers],[ID]]))))</f>
        <v/>
      </c>
      <c r="Q73" s="24" t="str">
        <f aca="false">IF(IFERROR(INDEX(tsk_Name,(ROW()-ROW(MSPTasks[[#Headers],[ID]])))="",TRUE()),"",IF(INDEX(tsk_BaseDuration,(ROW()-ROW(MSPTasks[[#Headers],[ID]])))="","",N(INDEX(tsk_BaseDuration,(ROW()-ROW(MSPTasks[[#Headers],[ID]]))))&amp;"d"))</f>
        <v/>
      </c>
      <c r="R73" s="24" t="str">
        <f aca="false">IF(IFERROR(INDEX(tsk_Name,(ROW()-ROW(MSPTasks[[#Headers],[ID]])))="",TRUE()),"",IF(INDEX(tsk_BaseWork,(ROW()-ROW(MSPTasks[[#Headers],[ID]])))="","",N(INDEX(tsk_BaseWork,(ROW()-ROW(MSPTasks[[#Headers],[ID]]))))&amp;"h"))</f>
        <v/>
      </c>
      <c r="S73" s="24" t="str">
        <f aca="false">IF(IFERROR(INDEX(tsk_Name,(ROW()-ROW(MSPTasks[[#Headers],[ID]])))="",TRUE()),"",IF(INDEX(tsk_BaseCost,(ROW()-ROW(MSPTasks[[#Headers],[ID]])))="","",N(INDEX(tsk_BaseCost,(ROW()-ROW(MSPTasks[[#Headers],[ID]]))))))</f>
        <v/>
      </c>
      <c r="T73" s="24" t="str">
        <f aca="false">IF(IFERROR(INDEX(tsk_Name,(ROW()-ROW(MSPTasks[[#Headers],[ID]])))="",TRUE()),"",IF(INDEX(tsk_IsSummary,(ROW()-ROW(MSPTasks[[#Headers],[ID]]))),"",IF(N(INDEX(tsk_ActCostInput,(ROW()-ROW(MSPTasks[[#Headers],[ID]]))))=0,"",INDEX(tsk_ActCostInput,(ROW()-ROW(MSPTasks[[#Headers],[ID]]))))))</f>
        <v/>
      </c>
      <c r="U7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3" s="137" t="str">
        <f aca="false">IF(IFERROR(INDEX(tsk_Name,(ROW()-ROW(MSPTasks[[#Headers],[ID]])))="",TRUE()),"",IF(OR(INDEX(tsk_IsSummary,(ROW()-ROW(MSPTasks[[#Headers],[ID]]))),INDEX(tsk_Mode,(ROW()-ROW(MSPTasks[[#Headers],[ID]])))="Manual"),"",IF(N(INDEX(tsk_ConstraintCode,(ROW()-ROW(MSPTasks[[#Headers],[ID]]))))&lt;2,"",INDEX(tsk_Constraint,(ROW()-ROW(MSPTasks[[#Headers],[ID]]))))))</f>
        <v/>
      </c>
      <c r="W73" s="137" t="str">
        <f aca="false">IF(IFERROR(INDEX(tsk_Name,(ROW()-ROW(MSPTasks[[#Headers],[ID]])))="",TRUE()),"",IF(N(INDEX(tsk_Deadline,(ROW()-ROW(MSPTasks[[#Headers],[ID]]))))=0,"",INDEX(tsk_Deadline,(ROW()-ROW(MSPTasks[[#Headers],[ID]])))))</f>
        <v/>
      </c>
      <c r="X73" s="24" t="str">
        <f aca="false">IF(IFERROR(INDEX(tsk_Name,(ROW()-ROW(MSPTasks[[#Headers],[ID]])))="",TRUE()),"",IF(INDEX(tsk_IsSummary,(ROW()-ROW(MSPTasks[[#Headers],[ID]]))),"",INDEX(tsk_Sprint,(ROW()-ROW(MSPTasks[[#Headers],[ID]])))&amp;""))</f>
        <v/>
      </c>
      <c r="Y73" s="24" t="str">
        <f aca="false">IF(IFERROR(INDEX(tsk_Name,(ROW()-ROW(MSPTasks[[#Headers],[ID]])))="",TRUE()),"",IF(INDEX(tsk_IsSummary,(ROW()-ROW(MSPTasks[[#Headers],[ID]]))),"",IF(N(INDEX(tsk_StoryPoints,(ROW()-ROW(MSPTasks[[#Headers],[ID]]))))=0,"",INDEX(tsk_StoryPoints,(ROW()-ROW(MSPTasks[[#Headers],[ID]]))))))</f>
        <v/>
      </c>
      <c r="Z73" s="24" t="str">
        <f aca="false">IF(IFERROR(INDEX(tsk_Name,(ROW()-ROW(MSPTasks[[#Headers],[ID]])))="",TRUE()),"",INDEX(tsk_Notes,(ROW()-ROW(MSPTasks[[#Headers],[ID]])))&amp;"")</f>
        <v/>
      </c>
    </row>
    <row r="74" customFormat="false" ht="15" hidden="false" customHeight="false" outlineLevel="0" collapsed="false">
      <c r="A74" s="24" t="str">
        <f aca="false">IF(IFERROR(INDEX(tsk_Name,(ROW()-ROW(MSPTasks[[#Headers],[ID]])))="",TRUE()),"",INDEX(tsk_ID,(ROW()-ROW(MSPTasks[[#Headers],[ID]]))))</f>
        <v/>
      </c>
      <c r="B74" s="24" t="str">
        <f aca="false">IF(IFERROR(INDEX(tsk_Name,(ROW()-ROW(MSPTasks[[#Headers],[ID]])))="",TRUE()),"",INDEX(tsk_UID,(ROW()-ROW(MSPTasks[[#Headers],[ID]]))))</f>
        <v/>
      </c>
      <c r="C74" s="24" t="str">
        <f aca="false">IF(IFERROR(INDEX(tsk_Name,(ROW()-ROW(MSPTasks[[#Headers],[ID]])))="",TRUE()),"",INDEX(tsk_Name,(ROW()-ROW(MSPTasks[[#Headers],[ID]]))))</f>
        <v/>
      </c>
      <c r="D74" s="24" t="str">
        <f aca="false">IF(IFERROR(INDEX(tsk_Name,(ROW()-ROW(MSPTasks[[#Headers],[ID]])))="",TRUE()),"",INDEX(tsk_Level,(ROW()-ROW(MSPTasks[[#Headers],[ID]]))))</f>
        <v/>
      </c>
      <c r="E74" s="24" t="str">
        <f aca="false">IF(IFERROR(INDEX(tsk_Name,(ROW()-ROW(MSPTasks[[#Headers],[ID]])))="",TRUE()),"",IF(INDEX(tsk_Mode,(ROW()-ROW(MSPTasks[[#Headers],[ID]])))="Manual","Manually Scheduled","Auto Scheduled"))</f>
        <v/>
      </c>
      <c r="F74" s="24" t="str">
        <f aca="false">IF(IFERROR(INDEX(tsk_Name,(ROW()-ROW(MSPTasks[[#Headers],[ID]])))="",TRUE()),"",IF(INDEX(tsk_IsSummary,(ROW()-ROW(MSPTasks[[#Headers],[ID]]))),"",N(INDEX(tsk_Duration,(ROW()-ROW(MSPTasks[[#Headers],[ID]]))))&amp;"d"))</f>
        <v/>
      </c>
      <c r="G74" s="137" t="str">
        <f aca="false">IF(IFERROR(INDEX(tsk_Name,(ROW()-ROW(MSPTasks[[#Headers],[ID]])))="",TRUE()),"",INDEX(tsk_FcStart,(ROW()-ROW(MSPTasks[[#Headers],[ID]]))))</f>
        <v/>
      </c>
      <c r="H74" s="137" t="str">
        <f aca="false">IF(IFERROR(INDEX(tsk_Name,(ROW()-ROW(MSPTasks[[#Headers],[ID]])))="",TRUE()),"",INDEX(tsk_FcFinish,(ROW()-ROW(MSPTasks[[#Headers],[ID]]))))</f>
        <v/>
      </c>
      <c r="I74" s="24" t="str">
        <f aca="false">IF(IFERROR(INDEX(tsk_Name,(ROW()-ROW(MSPTasks[[#Headers],[ID]])))="",TRUE()),"",IF(INDEX(tsk_IsSummary,(ROW()-ROW(MSPTasks[[#Headers],[ID]]))),"",INDEX(tsk_Predecessors,(ROW()-ROW(MSPTasks[[#Headers],[ID]])))))</f>
        <v/>
      </c>
      <c r="J74" s="24" t="str">
        <f aca="false">IF(IFERROR(INDEX(tsk_Name,(ROW()-ROW(MSPTasks[[#Headers],[ID]])))="",TRUE()),"",IF(INDEX(tsk_IsSummary,(ROW()-ROW(MSPTasks[[#Headers],[ID]]))),"",INDEX(tsk_UIDPredecessors,(ROW()-ROW(MSPTasks[[#Headers],[ID]])))))</f>
        <v/>
      </c>
      <c r="K74" s="24" t="str">
        <f aca="false">IF(IFERROR(INDEX(tsk_Name,(ROW()-ROW(MSPTasks[[#Headers],[ID]])))="",TRUE()),"",INDEX(tsk_ResourceNames,(ROW()-ROW(MSPTasks[[#Headers],[ID]])))&amp;"")</f>
        <v/>
      </c>
      <c r="L74" s="24" t="str">
        <f aca="false">IF(IFERROR(INDEX(tsk_Name,(ROW()-ROW(MSPTasks[[#Headers],[ID]])))="",TRUE()),"",IF(INDEX(tsk_IsSummary,(ROW()-ROW(MSPTasks[[#Headers],[ID]]))),"",ROUND(INDEX(tsk_Progress,(ROW()-ROW(MSPTasks[[#Headers],[ID]])))*100,0)))</f>
        <v/>
      </c>
      <c r="M74" s="137" t="str">
        <f aca="false">IF(IFERROR(INDEX(tsk_Name,(ROW()-ROW(MSPTasks[[#Headers],[ID]])))="",TRUE()),"",IF(N(INDEX(tsk_ActStart,(ROW()-ROW(MSPTasks[[#Headers],[ID]]))))=0,"",INDEX(tsk_ActStart,(ROW()-ROW(MSPTasks[[#Headers],[ID]])))))</f>
        <v/>
      </c>
      <c r="N74" s="137" t="str">
        <f aca="false">IF(IFERROR(INDEX(tsk_Name,(ROW()-ROW(MSPTasks[[#Headers],[ID]])))="",TRUE()),"",IF(N(INDEX(tsk_ActFinish,(ROW()-ROW(MSPTasks[[#Headers],[ID]]))))=0,"",INDEX(tsk_ActFinish,(ROW()-ROW(MSPTasks[[#Headers],[ID]])))))</f>
        <v/>
      </c>
      <c r="O74" s="137" t="str">
        <f aca="false">IF(IFERROR(INDEX(tsk_Name,(ROW()-ROW(MSPTasks[[#Headers],[ID]])))="",TRUE()),"",INDEX(tsk_PlanStart,(ROW()-ROW(MSPTasks[[#Headers],[ID]]))))</f>
        <v/>
      </c>
      <c r="P74" s="137" t="str">
        <f aca="false">IF(IFERROR(INDEX(tsk_Name,(ROW()-ROW(MSPTasks[[#Headers],[ID]])))="",TRUE()),"",INDEX(tsk_PlanFinish,(ROW()-ROW(MSPTasks[[#Headers],[ID]]))))</f>
        <v/>
      </c>
      <c r="Q74" s="24" t="str">
        <f aca="false">IF(IFERROR(INDEX(tsk_Name,(ROW()-ROW(MSPTasks[[#Headers],[ID]])))="",TRUE()),"",IF(INDEX(tsk_BaseDuration,(ROW()-ROW(MSPTasks[[#Headers],[ID]])))="","",N(INDEX(tsk_BaseDuration,(ROW()-ROW(MSPTasks[[#Headers],[ID]]))))&amp;"d"))</f>
        <v/>
      </c>
      <c r="R74" s="24" t="str">
        <f aca="false">IF(IFERROR(INDEX(tsk_Name,(ROW()-ROW(MSPTasks[[#Headers],[ID]])))="",TRUE()),"",IF(INDEX(tsk_BaseWork,(ROW()-ROW(MSPTasks[[#Headers],[ID]])))="","",N(INDEX(tsk_BaseWork,(ROW()-ROW(MSPTasks[[#Headers],[ID]]))))&amp;"h"))</f>
        <v/>
      </c>
      <c r="S74" s="24" t="str">
        <f aca="false">IF(IFERROR(INDEX(tsk_Name,(ROW()-ROW(MSPTasks[[#Headers],[ID]])))="",TRUE()),"",IF(INDEX(tsk_BaseCost,(ROW()-ROW(MSPTasks[[#Headers],[ID]])))="","",N(INDEX(tsk_BaseCost,(ROW()-ROW(MSPTasks[[#Headers],[ID]]))))))</f>
        <v/>
      </c>
      <c r="T74" s="24" t="str">
        <f aca="false">IF(IFERROR(INDEX(tsk_Name,(ROW()-ROW(MSPTasks[[#Headers],[ID]])))="",TRUE()),"",IF(INDEX(tsk_IsSummary,(ROW()-ROW(MSPTasks[[#Headers],[ID]]))),"",IF(N(INDEX(tsk_ActCostInput,(ROW()-ROW(MSPTasks[[#Headers],[ID]]))))=0,"",INDEX(tsk_ActCostInput,(ROW()-ROW(MSPTasks[[#Headers],[ID]]))))))</f>
        <v/>
      </c>
      <c r="U7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4" s="137" t="str">
        <f aca="false">IF(IFERROR(INDEX(tsk_Name,(ROW()-ROW(MSPTasks[[#Headers],[ID]])))="",TRUE()),"",IF(OR(INDEX(tsk_IsSummary,(ROW()-ROW(MSPTasks[[#Headers],[ID]]))),INDEX(tsk_Mode,(ROW()-ROW(MSPTasks[[#Headers],[ID]])))="Manual"),"",IF(N(INDEX(tsk_ConstraintCode,(ROW()-ROW(MSPTasks[[#Headers],[ID]]))))&lt;2,"",INDEX(tsk_Constraint,(ROW()-ROW(MSPTasks[[#Headers],[ID]]))))))</f>
        <v/>
      </c>
      <c r="W74" s="137" t="str">
        <f aca="false">IF(IFERROR(INDEX(tsk_Name,(ROW()-ROW(MSPTasks[[#Headers],[ID]])))="",TRUE()),"",IF(N(INDEX(tsk_Deadline,(ROW()-ROW(MSPTasks[[#Headers],[ID]]))))=0,"",INDEX(tsk_Deadline,(ROW()-ROW(MSPTasks[[#Headers],[ID]])))))</f>
        <v/>
      </c>
      <c r="X74" s="24" t="str">
        <f aca="false">IF(IFERROR(INDEX(tsk_Name,(ROW()-ROW(MSPTasks[[#Headers],[ID]])))="",TRUE()),"",IF(INDEX(tsk_IsSummary,(ROW()-ROW(MSPTasks[[#Headers],[ID]]))),"",INDEX(tsk_Sprint,(ROW()-ROW(MSPTasks[[#Headers],[ID]])))&amp;""))</f>
        <v/>
      </c>
      <c r="Y74" s="24" t="str">
        <f aca="false">IF(IFERROR(INDEX(tsk_Name,(ROW()-ROW(MSPTasks[[#Headers],[ID]])))="",TRUE()),"",IF(INDEX(tsk_IsSummary,(ROW()-ROW(MSPTasks[[#Headers],[ID]]))),"",IF(N(INDEX(tsk_StoryPoints,(ROW()-ROW(MSPTasks[[#Headers],[ID]]))))=0,"",INDEX(tsk_StoryPoints,(ROW()-ROW(MSPTasks[[#Headers],[ID]]))))))</f>
        <v/>
      </c>
      <c r="Z74" s="24" t="str">
        <f aca="false">IF(IFERROR(INDEX(tsk_Name,(ROW()-ROW(MSPTasks[[#Headers],[ID]])))="",TRUE()),"",INDEX(tsk_Notes,(ROW()-ROW(MSPTasks[[#Headers],[ID]])))&amp;"")</f>
        <v/>
      </c>
    </row>
    <row r="75" customFormat="false" ht="15" hidden="false" customHeight="false" outlineLevel="0" collapsed="false">
      <c r="A75" s="24" t="str">
        <f aca="false">IF(IFERROR(INDEX(tsk_Name,(ROW()-ROW(MSPTasks[[#Headers],[ID]])))="",TRUE()),"",INDEX(tsk_ID,(ROW()-ROW(MSPTasks[[#Headers],[ID]]))))</f>
        <v/>
      </c>
      <c r="B75" s="24" t="str">
        <f aca="false">IF(IFERROR(INDEX(tsk_Name,(ROW()-ROW(MSPTasks[[#Headers],[ID]])))="",TRUE()),"",INDEX(tsk_UID,(ROW()-ROW(MSPTasks[[#Headers],[ID]]))))</f>
        <v/>
      </c>
      <c r="C75" s="24" t="str">
        <f aca="false">IF(IFERROR(INDEX(tsk_Name,(ROW()-ROW(MSPTasks[[#Headers],[ID]])))="",TRUE()),"",INDEX(tsk_Name,(ROW()-ROW(MSPTasks[[#Headers],[ID]]))))</f>
        <v/>
      </c>
      <c r="D75" s="24" t="str">
        <f aca="false">IF(IFERROR(INDEX(tsk_Name,(ROW()-ROW(MSPTasks[[#Headers],[ID]])))="",TRUE()),"",INDEX(tsk_Level,(ROW()-ROW(MSPTasks[[#Headers],[ID]]))))</f>
        <v/>
      </c>
      <c r="E75" s="24" t="str">
        <f aca="false">IF(IFERROR(INDEX(tsk_Name,(ROW()-ROW(MSPTasks[[#Headers],[ID]])))="",TRUE()),"",IF(INDEX(tsk_Mode,(ROW()-ROW(MSPTasks[[#Headers],[ID]])))="Manual","Manually Scheduled","Auto Scheduled"))</f>
        <v/>
      </c>
      <c r="F75" s="24" t="str">
        <f aca="false">IF(IFERROR(INDEX(tsk_Name,(ROW()-ROW(MSPTasks[[#Headers],[ID]])))="",TRUE()),"",IF(INDEX(tsk_IsSummary,(ROW()-ROW(MSPTasks[[#Headers],[ID]]))),"",N(INDEX(tsk_Duration,(ROW()-ROW(MSPTasks[[#Headers],[ID]]))))&amp;"d"))</f>
        <v/>
      </c>
      <c r="G75" s="137" t="str">
        <f aca="false">IF(IFERROR(INDEX(tsk_Name,(ROW()-ROW(MSPTasks[[#Headers],[ID]])))="",TRUE()),"",INDEX(tsk_FcStart,(ROW()-ROW(MSPTasks[[#Headers],[ID]]))))</f>
        <v/>
      </c>
      <c r="H75" s="137" t="str">
        <f aca="false">IF(IFERROR(INDEX(tsk_Name,(ROW()-ROW(MSPTasks[[#Headers],[ID]])))="",TRUE()),"",INDEX(tsk_FcFinish,(ROW()-ROW(MSPTasks[[#Headers],[ID]]))))</f>
        <v/>
      </c>
      <c r="I75" s="24" t="str">
        <f aca="false">IF(IFERROR(INDEX(tsk_Name,(ROW()-ROW(MSPTasks[[#Headers],[ID]])))="",TRUE()),"",IF(INDEX(tsk_IsSummary,(ROW()-ROW(MSPTasks[[#Headers],[ID]]))),"",INDEX(tsk_Predecessors,(ROW()-ROW(MSPTasks[[#Headers],[ID]])))))</f>
        <v/>
      </c>
      <c r="J75" s="24" t="str">
        <f aca="false">IF(IFERROR(INDEX(tsk_Name,(ROW()-ROW(MSPTasks[[#Headers],[ID]])))="",TRUE()),"",IF(INDEX(tsk_IsSummary,(ROW()-ROW(MSPTasks[[#Headers],[ID]]))),"",INDEX(tsk_UIDPredecessors,(ROW()-ROW(MSPTasks[[#Headers],[ID]])))))</f>
        <v/>
      </c>
      <c r="K75" s="24" t="str">
        <f aca="false">IF(IFERROR(INDEX(tsk_Name,(ROW()-ROW(MSPTasks[[#Headers],[ID]])))="",TRUE()),"",INDEX(tsk_ResourceNames,(ROW()-ROW(MSPTasks[[#Headers],[ID]])))&amp;"")</f>
        <v/>
      </c>
      <c r="L75" s="24" t="str">
        <f aca="false">IF(IFERROR(INDEX(tsk_Name,(ROW()-ROW(MSPTasks[[#Headers],[ID]])))="",TRUE()),"",IF(INDEX(tsk_IsSummary,(ROW()-ROW(MSPTasks[[#Headers],[ID]]))),"",ROUND(INDEX(tsk_Progress,(ROW()-ROW(MSPTasks[[#Headers],[ID]])))*100,0)))</f>
        <v/>
      </c>
      <c r="M75" s="137" t="str">
        <f aca="false">IF(IFERROR(INDEX(tsk_Name,(ROW()-ROW(MSPTasks[[#Headers],[ID]])))="",TRUE()),"",IF(N(INDEX(tsk_ActStart,(ROW()-ROW(MSPTasks[[#Headers],[ID]]))))=0,"",INDEX(tsk_ActStart,(ROW()-ROW(MSPTasks[[#Headers],[ID]])))))</f>
        <v/>
      </c>
      <c r="N75" s="137" t="str">
        <f aca="false">IF(IFERROR(INDEX(tsk_Name,(ROW()-ROW(MSPTasks[[#Headers],[ID]])))="",TRUE()),"",IF(N(INDEX(tsk_ActFinish,(ROW()-ROW(MSPTasks[[#Headers],[ID]]))))=0,"",INDEX(tsk_ActFinish,(ROW()-ROW(MSPTasks[[#Headers],[ID]])))))</f>
        <v/>
      </c>
      <c r="O75" s="137" t="str">
        <f aca="false">IF(IFERROR(INDEX(tsk_Name,(ROW()-ROW(MSPTasks[[#Headers],[ID]])))="",TRUE()),"",INDEX(tsk_PlanStart,(ROW()-ROW(MSPTasks[[#Headers],[ID]]))))</f>
        <v/>
      </c>
      <c r="P75" s="137" t="str">
        <f aca="false">IF(IFERROR(INDEX(tsk_Name,(ROW()-ROW(MSPTasks[[#Headers],[ID]])))="",TRUE()),"",INDEX(tsk_PlanFinish,(ROW()-ROW(MSPTasks[[#Headers],[ID]]))))</f>
        <v/>
      </c>
      <c r="Q75" s="24" t="str">
        <f aca="false">IF(IFERROR(INDEX(tsk_Name,(ROW()-ROW(MSPTasks[[#Headers],[ID]])))="",TRUE()),"",IF(INDEX(tsk_BaseDuration,(ROW()-ROW(MSPTasks[[#Headers],[ID]])))="","",N(INDEX(tsk_BaseDuration,(ROW()-ROW(MSPTasks[[#Headers],[ID]]))))&amp;"d"))</f>
        <v/>
      </c>
      <c r="R75" s="24" t="str">
        <f aca="false">IF(IFERROR(INDEX(tsk_Name,(ROW()-ROW(MSPTasks[[#Headers],[ID]])))="",TRUE()),"",IF(INDEX(tsk_BaseWork,(ROW()-ROW(MSPTasks[[#Headers],[ID]])))="","",N(INDEX(tsk_BaseWork,(ROW()-ROW(MSPTasks[[#Headers],[ID]]))))&amp;"h"))</f>
        <v/>
      </c>
      <c r="S75" s="24" t="str">
        <f aca="false">IF(IFERROR(INDEX(tsk_Name,(ROW()-ROW(MSPTasks[[#Headers],[ID]])))="",TRUE()),"",IF(INDEX(tsk_BaseCost,(ROW()-ROW(MSPTasks[[#Headers],[ID]])))="","",N(INDEX(tsk_BaseCost,(ROW()-ROW(MSPTasks[[#Headers],[ID]]))))))</f>
        <v/>
      </c>
      <c r="T75" s="24" t="str">
        <f aca="false">IF(IFERROR(INDEX(tsk_Name,(ROW()-ROW(MSPTasks[[#Headers],[ID]])))="",TRUE()),"",IF(INDEX(tsk_IsSummary,(ROW()-ROW(MSPTasks[[#Headers],[ID]]))),"",IF(N(INDEX(tsk_ActCostInput,(ROW()-ROW(MSPTasks[[#Headers],[ID]]))))=0,"",INDEX(tsk_ActCostInput,(ROW()-ROW(MSPTasks[[#Headers],[ID]]))))))</f>
        <v/>
      </c>
      <c r="U7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5" s="137" t="str">
        <f aca="false">IF(IFERROR(INDEX(tsk_Name,(ROW()-ROW(MSPTasks[[#Headers],[ID]])))="",TRUE()),"",IF(OR(INDEX(tsk_IsSummary,(ROW()-ROW(MSPTasks[[#Headers],[ID]]))),INDEX(tsk_Mode,(ROW()-ROW(MSPTasks[[#Headers],[ID]])))="Manual"),"",IF(N(INDEX(tsk_ConstraintCode,(ROW()-ROW(MSPTasks[[#Headers],[ID]]))))&lt;2,"",INDEX(tsk_Constraint,(ROW()-ROW(MSPTasks[[#Headers],[ID]]))))))</f>
        <v/>
      </c>
      <c r="W75" s="137" t="str">
        <f aca="false">IF(IFERROR(INDEX(tsk_Name,(ROW()-ROW(MSPTasks[[#Headers],[ID]])))="",TRUE()),"",IF(N(INDEX(tsk_Deadline,(ROW()-ROW(MSPTasks[[#Headers],[ID]]))))=0,"",INDEX(tsk_Deadline,(ROW()-ROW(MSPTasks[[#Headers],[ID]])))))</f>
        <v/>
      </c>
      <c r="X75" s="24" t="str">
        <f aca="false">IF(IFERROR(INDEX(tsk_Name,(ROW()-ROW(MSPTasks[[#Headers],[ID]])))="",TRUE()),"",IF(INDEX(tsk_IsSummary,(ROW()-ROW(MSPTasks[[#Headers],[ID]]))),"",INDEX(tsk_Sprint,(ROW()-ROW(MSPTasks[[#Headers],[ID]])))&amp;""))</f>
        <v/>
      </c>
      <c r="Y75" s="24" t="str">
        <f aca="false">IF(IFERROR(INDEX(tsk_Name,(ROW()-ROW(MSPTasks[[#Headers],[ID]])))="",TRUE()),"",IF(INDEX(tsk_IsSummary,(ROW()-ROW(MSPTasks[[#Headers],[ID]]))),"",IF(N(INDEX(tsk_StoryPoints,(ROW()-ROW(MSPTasks[[#Headers],[ID]]))))=0,"",INDEX(tsk_StoryPoints,(ROW()-ROW(MSPTasks[[#Headers],[ID]]))))))</f>
        <v/>
      </c>
      <c r="Z75" s="24" t="str">
        <f aca="false">IF(IFERROR(INDEX(tsk_Name,(ROW()-ROW(MSPTasks[[#Headers],[ID]])))="",TRUE()),"",INDEX(tsk_Notes,(ROW()-ROW(MSPTasks[[#Headers],[ID]])))&amp;"")</f>
        <v/>
      </c>
    </row>
    <row r="76" customFormat="false" ht="15" hidden="false" customHeight="false" outlineLevel="0" collapsed="false">
      <c r="A76" s="24" t="str">
        <f aca="false">IF(IFERROR(INDEX(tsk_Name,(ROW()-ROW(MSPTasks[[#Headers],[ID]])))="",TRUE()),"",INDEX(tsk_ID,(ROW()-ROW(MSPTasks[[#Headers],[ID]]))))</f>
        <v/>
      </c>
      <c r="B76" s="24" t="str">
        <f aca="false">IF(IFERROR(INDEX(tsk_Name,(ROW()-ROW(MSPTasks[[#Headers],[ID]])))="",TRUE()),"",INDEX(tsk_UID,(ROW()-ROW(MSPTasks[[#Headers],[ID]]))))</f>
        <v/>
      </c>
      <c r="C76" s="24" t="str">
        <f aca="false">IF(IFERROR(INDEX(tsk_Name,(ROW()-ROW(MSPTasks[[#Headers],[ID]])))="",TRUE()),"",INDEX(tsk_Name,(ROW()-ROW(MSPTasks[[#Headers],[ID]]))))</f>
        <v/>
      </c>
      <c r="D76" s="24" t="str">
        <f aca="false">IF(IFERROR(INDEX(tsk_Name,(ROW()-ROW(MSPTasks[[#Headers],[ID]])))="",TRUE()),"",INDEX(tsk_Level,(ROW()-ROW(MSPTasks[[#Headers],[ID]]))))</f>
        <v/>
      </c>
      <c r="E76" s="24" t="str">
        <f aca="false">IF(IFERROR(INDEX(tsk_Name,(ROW()-ROW(MSPTasks[[#Headers],[ID]])))="",TRUE()),"",IF(INDEX(tsk_Mode,(ROW()-ROW(MSPTasks[[#Headers],[ID]])))="Manual","Manually Scheduled","Auto Scheduled"))</f>
        <v/>
      </c>
      <c r="F76" s="24" t="str">
        <f aca="false">IF(IFERROR(INDEX(tsk_Name,(ROW()-ROW(MSPTasks[[#Headers],[ID]])))="",TRUE()),"",IF(INDEX(tsk_IsSummary,(ROW()-ROW(MSPTasks[[#Headers],[ID]]))),"",N(INDEX(tsk_Duration,(ROW()-ROW(MSPTasks[[#Headers],[ID]]))))&amp;"d"))</f>
        <v/>
      </c>
      <c r="G76" s="137" t="str">
        <f aca="false">IF(IFERROR(INDEX(tsk_Name,(ROW()-ROW(MSPTasks[[#Headers],[ID]])))="",TRUE()),"",INDEX(tsk_FcStart,(ROW()-ROW(MSPTasks[[#Headers],[ID]]))))</f>
        <v/>
      </c>
      <c r="H76" s="137" t="str">
        <f aca="false">IF(IFERROR(INDEX(tsk_Name,(ROW()-ROW(MSPTasks[[#Headers],[ID]])))="",TRUE()),"",INDEX(tsk_FcFinish,(ROW()-ROW(MSPTasks[[#Headers],[ID]]))))</f>
        <v/>
      </c>
      <c r="I76" s="24" t="str">
        <f aca="false">IF(IFERROR(INDEX(tsk_Name,(ROW()-ROW(MSPTasks[[#Headers],[ID]])))="",TRUE()),"",IF(INDEX(tsk_IsSummary,(ROW()-ROW(MSPTasks[[#Headers],[ID]]))),"",INDEX(tsk_Predecessors,(ROW()-ROW(MSPTasks[[#Headers],[ID]])))))</f>
        <v/>
      </c>
      <c r="J76" s="24" t="str">
        <f aca="false">IF(IFERROR(INDEX(tsk_Name,(ROW()-ROW(MSPTasks[[#Headers],[ID]])))="",TRUE()),"",IF(INDEX(tsk_IsSummary,(ROW()-ROW(MSPTasks[[#Headers],[ID]]))),"",INDEX(tsk_UIDPredecessors,(ROW()-ROW(MSPTasks[[#Headers],[ID]])))))</f>
        <v/>
      </c>
      <c r="K76" s="24" t="str">
        <f aca="false">IF(IFERROR(INDEX(tsk_Name,(ROW()-ROW(MSPTasks[[#Headers],[ID]])))="",TRUE()),"",INDEX(tsk_ResourceNames,(ROW()-ROW(MSPTasks[[#Headers],[ID]])))&amp;"")</f>
        <v/>
      </c>
      <c r="L76" s="24" t="str">
        <f aca="false">IF(IFERROR(INDEX(tsk_Name,(ROW()-ROW(MSPTasks[[#Headers],[ID]])))="",TRUE()),"",IF(INDEX(tsk_IsSummary,(ROW()-ROW(MSPTasks[[#Headers],[ID]]))),"",ROUND(INDEX(tsk_Progress,(ROW()-ROW(MSPTasks[[#Headers],[ID]])))*100,0)))</f>
        <v/>
      </c>
      <c r="M76" s="137" t="str">
        <f aca="false">IF(IFERROR(INDEX(tsk_Name,(ROW()-ROW(MSPTasks[[#Headers],[ID]])))="",TRUE()),"",IF(N(INDEX(tsk_ActStart,(ROW()-ROW(MSPTasks[[#Headers],[ID]]))))=0,"",INDEX(tsk_ActStart,(ROW()-ROW(MSPTasks[[#Headers],[ID]])))))</f>
        <v/>
      </c>
      <c r="N76" s="137" t="str">
        <f aca="false">IF(IFERROR(INDEX(tsk_Name,(ROW()-ROW(MSPTasks[[#Headers],[ID]])))="",TRUE()),"",IF(N(INDEX(tsk_ActFinish,(ROW()-ROW(MSPTasks[[#Headers],[ID]]))))=0,"",INDEX(tsk_ActFinish,(ROW()-ROW(MSPTasks[[#Headers],[ID]])))))</f>
        <v/>
      </c>
      <c r="O76" s="137" t="str">
        <f aca="false">IF(IFERROR(INDEX(tsk_Name,(ROW()-ROW(MSPTasks[[#Headers],[ID]])))="",TRUE()),"",INDEX(tsk_PlanStart,(ROW()-ROW(MSPTasks[[#Headers],[ID]]))))</f>
        <v/>
      </c>
      <c r="P76" s="137" t="str">
        <f aca="false">IF(IFERROR(INDEX(tsk_Name,(ROW()-ROW(MSPTasks[[#Headers],[ID]])))="",TRUE()),"",INDEX(tsk_PlanFinish,(ROW()-ROW(MSPTasks[[#Headers],[ID]]))))</f>
        <v/>
      </c>
      <c r="Q76" s="24" t="str">
        <f aca="false">IF(IFERROR(INDEX(tsk_Name,(ROW()-ROW(MSPTasks[[#Headers],[ID]])))="",TRUE()),"",IF(INDEX(tsk_BaseDuration,(ROW()-ROW(MSPTasks[[#Headers],[ID]])))="","",N(INDEX(tsk_BaseDuration,(ROW()-ROW(MSPTasks[[#Headers],[ID]]))))&amp;"d"))</f>
        <v/>
      </c>
      <c r="R76" s="24" t="str">
        <f aca="false">IF(IFERROR(INDEX(tsk_Name,(ROW()-ROW(MSPTasks[[#Headers],[ID]])))="",TRUE()),"",IF(INDEX(tsk_BaseWork,(ROW()-ROW(MSPTasks[[#Headers],[ID]])))="","",N(INDEX(tsk_BaseWork,(ROW()-ROW(MSPTasks[[#Headers],[ID]]))))&amp;"h"))</f>
        <v/>
      </c>
      <c r="S76" s="24" t="str">
        <f aca="false">IF(IFERROR(INDEX(tsk_Name,(ROW()-ROW(MSPTasks[[#Headers],[ID]])))="",TRUE()),"",IF(INDEX(tsk_BaseCost,(ROW()-ROW(MSPTasks[[#Headers],[ID]])))="","",N(INDEX(tsk_BaseCost,(ROW()-ROW(MSPTasks[[#Headers],[ID]]))))))</f>
        <v/>
      </c>
      <c r="T76" s="24" t="str">
        <f aca="false">IF(IFERROR(INDEX(tsk_Name,(ROW()-ROW(MSPTasks[[#Headers],[ID]])))="",TRUE()),"",IF(INDEX(tsk_IsSummary,(ROW()-ROW(MSPTasks[[#Headers],[ID]]))),"",IF(N(INDEX(tsk_ActCostInput,(ROW()-ROW(MSPTasks[[#Headers],[ID]]))))=0,"",INDEX(tsk_ActCostInput,(ROW()-ROW(MSPTasks[[#Headers],[ID]]))))))</f>
        <v/>
      </c>
      <c r="U7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6" s="137" t="str">
        <f aca="false">IF(IFERROR(INDEX(tsk_Name,(ROW()-ROW(MSPTasks[[#Headers],[ID]])))="",TRUE()),"",IF(OR(INDEX(tsk_IsSummary,(ROW()-ROW(MSPTasks[[#Headers],[ID]]))),INDEX(tsk_Mode,(ROW()-ROW(MSPTasks[[#Headers],[ID]])))="Manual"),"",IF(N(INDEX(tsk_ConstraintCode,(ROW()-ROW(MSPTasks[[#Headers],[ID]]))))&lt;2,"",INDEX(tsk_Constraint,(ROW()-ROW(MSPTasks[[#Headers],[ID]]))))))</f>
        <v/>
      </c>
      <c r="W76" s="137" t="str">
        <f aca="false">IF(IFERROR(INDEX(tsk_Name,(ROW()-ROW(MSPTasks[[#Headers],[ID]])))="",TRUE()),"",IF(N(INDEX(tsk_Deadline,(ROW()-ROW(MSPTasks[[#Headers],[ID]]))))=0,"",INDEX(tsk_Deadline,(ROW()-ROW(MSPTasks[[#Headers],[ID]])))))</f>
        <v/>
      </c>
      <c r="X76" s="24" t="str">
        <f aca="false">IF(IFERROR(INDEX(tsk_Name,(ROW()-ROW(MSPTasks[[#Headers],[ID]])))="",TRUE()),"",IF(INDEX(tsk_IsSummary,(ROW()-ROW(MSPTasks[[#Headers],[ID]]))),"",INDEX(tsk_Sprint,(ROW()-ROW(MSPTasks[[#Headers],[ID]])))&amp;""))</f>
        <v/>
      </c>
      <c r="Y76" s="24" t="str">
        <f aca="false">IF(IFERROR(INDEX(tsk_Name,(ROW()-ROW(MSPTasks[[#Headers],[ID]])))="",TRUE()),"",IF(INDEX(tsk_IsSummary,(ROW()-ROW(MSPTasks[[#Headers],[ID]]))),"",IF(N(INDEX(tsk_StoryPoints,(ROW()-ROW(MSPTasks[[#Headers],[ID]]))))=0,"",INDEX(tsk_StoryPoints,(ROW()-ROW(MSPTasks[[#Headers],[ID]]))))))</f>
        <v/>
      </c>
      <c r="Z76" s="24" t="str">
        <f aca="false">IF(IFERROR(INDEX(tsk_Name,(ROW()-ROW(MSPTasks[[#Headers],[ID]])))="",TRUE()),"",INDEX(tsk_Notes,(ROW()-ROW(MSPTasks[[#Headers],[ID]])))&amp;"")</f>
        <v/>
      </c>
    </row>
    <row r="77" customFormat="false" ht="15" hidden="false" customHeight="false" outlineLevel="0" collapsed="false">
      <c r="A77" s="24" t="str">
        <f aca="false">IF(IFERROR(INDEX(tsk_Name,(ROW()-ROW(MSPTasks[[#Headers],[ID]])))="",TRUE()),"",INDEX(tsk_ID,(ROW()-ROW(MSPTasks[[#Headers],[ID]]))))</f>
        <v/>
      </c>
      <c r="B77" s="24" t="str">
        <f aca="false">IF(IFERROR(INDEX(tsk_Name,(ROW()-ROW(MSPTasks[[#Headers],[ID]])))="",TRUE()),"",INDEX(tsk_UID,(ROW()-ROW(MSPTasks[[#Headers],[ID]]))))</f>
        <v/>
      </c>
      <c r="C77" s="24" t="str">
        <f aca="false">IF(IFERROR(INDEX(tsk_Name,(ROW()-ROW(MSPTasks[[#Headers],[ID]])))="",TRUE()),"",INDEX(tsk_Name,(ROW()-ROW(MSPTasks[[#Headers],[ID]]))))</f>
        <v/>
      </c>
      <c r="D77" s="24" t="str">
        <f aca="false">IF(IFERROR(INDEX(tsk_Name,(ROW()-ROW(MSPTasks[[#Headers],[ID]])))="",TRUE()),"",INDEX(tsk_Level,(ROW()-ROW(MSPTasks[[#Headers],[ID]]))))</f>
        <v/>
      </c>
      <c r="E77" s="24" t="str">
        <f aca="false">IF(IFERROR(INDEX(tsk_Name,(ROW()-ROW(MSPTasks[[#Headers],[ID]])))="",TRUE()),"",IF(INDEX(tsk_Mode,(ROW()-ROW(MSPTasks[[#Headers],[ID]])))="Manual","Manually Scheduled","Auto Scheduled"))</f>
        <v/>
      </c>
      <c r="F77" s="24" t="str">
        <f aca="false">IF(IFERROR(INDEX(tsk_Name,(ROW()-ROW(MSPTasks[[#Headers],[ID]])))="",TRUE()),"",IF(INDEX(tsk_IsSummary,(ROW()-ROW(MSPTasks[[#Headers],[ID]]))),"",N(INDEX(tsk_Duration,(ROW()-ROW(MSPTasks[[#Headers],[ID]]))))&amp;"d"))</f>
        <v/>
      </c>
      <c r="G77" s="137" t="str">
        <f aca="false">IF(IFERROR(INDEX(tsk_Name,(ROW()-ROW(MSPTasks[[#Headers],[ID]])))="",TRUE()),"",INDEX(tsk_FcStart,(ROW()-ROW(MSPTasks[[#Headers],[ID]]))))</f>
        <v/>
      </c>
      <c r="H77" s="137" t="str">
        <f aca="false">IF(IFERROR(INDEX(tsk_Name,(ROW()-ROW(MSPTasks[[#Headers],[ID]])))="",TRUE()),"",INDEX(tsk_FcFinish,(ROW()-ROW(MSPTasks[[#Headers],[ID]]))))</f>
        <v/>
      </c>
      <c r="I77" s="24" t="str">
        <f aca="false">IF(IFERROR(INDEX(tsk_Name,(ROW()-ROW(MSPTasks[[#Headers],[ID]])))="",TRUE()),"",IF(INDEX(tsk_IsSummary,(ROW()-ROW(MSPTasks[[#Headers],[ID]]))),"",INDEX(tsk_Predecessors,(ROW()-ROW(MSPTasks[[#Headers],[ID]])))))</f>
        <v/>
      </c>
      <c r="J77" s="24" t="str">
        <f aca="false">IF(IFERROR(INDEX(tsk_Name,(ROW()-ROW(MSPTasks[[#Headers],[ID]])))="",TRUE()),"",IF(INDEX(tsk_IsSummary,(ROW()-ROW(MSPTasks[[#Headers],[ID]]))),"",INDEX(tsk_UIDPredecessors,(ROW()-ROW(MSPTasks[[#Headers],[ID]])))))</f>
        <v/>
      </c>
      <c r="K77" s="24" t="str">
        <f aca="false">IF(IFERROR(INDEX(tsk_Name,(ROW()-ROW(MSPTasks[[#Headers],[ID]])))="",TRUE()),"",INDEX(tsk_ResourceNames,(ROW()-ROW(MSPTasks[[#Headers],[ID]])))&amp;"")</f>
        <v/>
      </c>
      <c r="L77" s="24" t="str">
        <f aca="false">IF(IFERROR(INDEX(tsk_Name,(ROW()-ROW(MSPTasks[[#Headers],[ID]])))="",TRUE()),"",IF(INDEX(tsk_IsSummary,(ROW()-ROW(MSPTasks[[#Headers],[ID]]))),"",ROUND(INDEX(tsk_Progress,(ROW()-ROW(MSPTasks[[#Headers],[ID]])))*100,0)))</f>
        <v/>
      </c>
      <c r="M77" s="137" t="str">
        <f aca="false">IF(IFERROR(INDEX(tsk_Name,(ROW()-ROW(MSPTasks[[#Headers],[ID]])))="",TRUE()),"",IF(N(INDEX(tsk_ActStart,(ROW()-ROW(MSPTasks[[#Headers],[ID]]))))=0,"",INDEX(tsk_ActStart,(ROW()-ROW(MSPTasks[[#Headers],[ID]])))))</f>
        <v/>
      </c>
      <c r="N77" s="137" t="str">
        <f aca="false">IF(IFERROR(INDEX(tsk_Name,(ROW()-ROW(MSPTasks[[#Headers],[ID]])))="",TRUE()),"",IF(N(INDEX(tsk_ActFinish,(ROW()-ROW(MSPTasks[[#Headers],[ID]]))))=0,"",INDEX(tsk_ActFinish,(ROW()-ROW(MSPTasks[[#Headers],[ID]])))))</f>
        <v/>
      </c>
      <c r="O77" s="137" t="str">
        <f aca="false">IF(IFERROR(INDEX(tsk_Name,(ROW()-ROW(MSPTasks[[#Headers],[ID]])))="",TRUE()),"",INDEX(tsk_PlanStart,(ROW()-ROW(MSPTasks[[#Headers],[ID]]))))</f>
        <v/>
      </c>
      <c r="P77" s="137" t="str">
        <f aca="false">IF(IFERROR(INDEX(tsk_Name,(ROW()-ROW(MSPTasks[[#Headers],[ID]])))="",TRUE()),"",INDEX(tsk_PlanFinish,(ROW()-ROW(MSPTasks[[#Headers],[ID]]))))</f>
        <v/>
      </c>
      <c r="Q77" s="24" t="str">
        <f aca="false">IF(IFERROR(INDEX(tsk_Name,(ROW()-ROW(MSPTasks[[#Headers],[ID]])))="",TRUE()),"",IF(INDEX(tsk_BaseDuration,(ROW()-ROW(MSPTasks[[#Headers],[ID]])))="","",N(INDEX(tsk_BaseDuration,(ROW()-ROW(MSPTasks[[#Headers],[ID]]))))&amp;"d"))</f>
        <v/>
      </c>
      <c r="R77" s="24" t="str">
        <f aca="false">IF(IFERROR(INDEX(tsk_Name,(ROW()-ROW(MSPTasks[[#Headers],[ID]])))="",TRUE()),"",IF(INDEX(tsk_BaseWork,(ROW()-ROW(MSPTasks[[#Headers],[ID]])))="","",N(INDEX(tsk_BaseWork,(ROW()-ROW(MSPTasks[[#Headers],[ID]]))))&amp;"h"))</f>
        <v/>
      </c>
      <c r="S77" s="24" t="str">
        <f aca="false">IF(IFERROR(INDEX(tsk_Name,(ROW()-ROW(MSPTasks[[#Headers],[ID]])))="",TRUE()),"",IF(INDEX(tsk_BaseCost,(ROW()-ROW(MSPTasks[[#Headers],[ID]])))="","",N(INDEX(tsk_BaseCost,(ROW()-ROW(MSPTasks[[#Headers],[ID]]))))))</f>
        <v/>
      </c>
      <c r="T77" s="24" t="str">
        <f aca="false">IF(IFERROR(INDEX(tsk_Name,(ROW()-ROW(MSPTasks[[#Headers],[ID]])))="",TRUE()),"",IF(INDEX(tsk_IsSummary,(ROW()-ROW(MSPTasks[[#Headers],[ID]]))),"",IF(N(INDEX(tsk_ActCostInput,(ROW()-ROW(MSPTasks[[#Headers],[ID]]))))=0,"",INDEX(tsk_ActCostInput,(ROW()-ROW(MSPTasks[[#Headers],[ID]]))))))</f>
        <v/>
      </c>
      <c r="U7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7" s="137" t="str">
        <f aca="false">IF(IFERROR(INDEX(tsk_Name,(ROW()-ROW(MSPTasks[[#Headers],[ID]])))="",TRUE()),"",IF(OR(INDEX(tsk_IsSummary,(ROW()-ROW(MSPTasks[[#Headers],[ID]]))),INDEX(tsk_Mode,(ROW()-ROW(MSPTasks[[#Headers],[ID]])))="Manual"),"",IF(N(INDEX(tsk_ConstraintCode,(ROW()-ROW(MSPTasks[[#Headers],[ID]]))))&lt;2,"",INDEX(tsk_Constraint,(ROW()-ROW(MSPTasks[[#Headers],[ID]]))))))</f>
        <v/>
      </c>
      <c r="W77" s="137" t="str">
        <f aca="false">IF(IFERROR(INDEX(tsk_Name,(ROW()-ROW(MSPTasks[[#Headers],[ID]])))="",TRUE()),"",IF(N(INDEX(tsk_Deadline,(ROW()-ROW(MSPTasks[[#Headers],[ID]]))))=0,"",INDEX(tsk_Deadline,(ROW()-ROW(MSPTasks[[#Headers],[ID]])))))</f>
        <v/>
      </c>
      <c r="X77" s="24" t="str">
        <f aca="false">IF(IFERROR(INDEX(tsk_Name,(ROW()-ROW(MSPTasks[[#Headers],[ID]])))="",TRUE()),"",IF(INDEX(tsk_IsSummary,(ROW()-ROW(MSPTasks[[#Headers],[ID]]))),"",INDEX(tsk_Sprint,(ROW()-ROW(MSPTasks[[#Headers],[ID]])))&amp;""))</f>
        <v/>
      </c>
      <c r="Y77" s="24" t="str">
        <f aca="false">IF(IFERROR(INDEX(tsk_Name,(ROW()-ROW(MSPTasks[[#Headers],[ID]])))="",TRUE()),"",IF(INDEX(tsk_IsSummary,(ROW()-ROW(MSPTasks[[#Headers],[ID]]))),"",IF(N(INDEX(tsk_StoryPoints,(ROW()-ROW(MSPTasks[[#Headers],[ID]]))))=0,"",INDEX(tsk_StoryPoints,(ROW()-ROW(MSPTasks[[#Headers],[ID]]))))))</f>
        <v/>
      </c>
      <c r="Z77" s="24" t="str">
        <f aca="false">IF(IFERROR(INDEX(tsk_Name,(ROW()-ROW(MSPTasks[[#Headers],[ID]])))="",TRUE()),"",INDEX(tsk_Notes,(ROW()-ROW(MSPTasks[[#Headers],[ID]])))&amp;"")</f>
        <v/>
      </c>
    </row>
    <row r="78" customFormat="false" ht="15" hidden="false" customHeight="false" outlineLevel="0" collapsed="false">
      <c r="A78" s="24" t="str">
        <f aca="false">IF(IFERROR(INDEX(tsk_Name,(ROW()-ROW(MSPTasks[[#Headers],[ID]])))="",TRUE()),"",INDEX(tsk_ID,(ROW()-ROW(MSPTasks[[#Headers],[ID]]))))</f>
        <v/>
      </c>
      <c r="B78" s="24" t="str">
        <f aca="false">IF(IFERROR(INDEX(tsk_Name,(ROW()-ROW(MSPTasks[[#Headers],[ID]])))="",TRUE()),"",INDEX(tsk_UID,(ROW()-ROW(MSPTasks[[#Headers],[ID]]))))</f>
        <v/>
      </c>
      <c r="C78" s="24" t="str">
        <f aca="false">IF(IFERROR(INDEX(tsk_Name,(ROW()-ROW(MSPTasks[[#Headers],[ID]])))="",TRUE()),"",INDEX(tsk_Name,(ROW()-ROW(MSPTasks[[#Headers],[ID]]))))</f>
        <v/>
      </c>
      <c r="D78" s="24" t="str">
        <f aca="false">IF(IFERROR(INDEX(tsk_Name,(ROW()-ROW(MSPTasks[[#Headers],[ID]])))="",TRUE()),"",INDEX(tsk_Level,(ROW()-ROW(MSPTasks[[#Headers],[ID]]))))</f>
        <v/>
      </c>
      <c r="E78" s="24" t="str">
        <f aca="false">IF(IFERROR(INDEX(tsk_Name,(ROW()-ROW(MSPTasks[[#Headers],[ID]])))="",TRUE()),"",IF(INDEX(tsk_Mode,(ROW()-ROW(MSPTasks[[#Headers],[ID]])))="Manual","Manually Scheduled","Auto Scheduled"))</f>
        <v/>
      </c>
      <c r="F78" s="24" t="str">
        <f aca="false">IF(IFERROR(INDEX(tsk_Name,(ROW()-ROW(MSPTasks[[#Headers],[ID]])))="",TRUE()),"",IF(INDEX(tsk_IsSummary,(ROW()-ROW(MSPTasks[[#Headers],[ID]]))),"",N(INDEX(tsk_Duration,(ROW()-ROW(MSPTasks[[#Headers],[ID]]))))&amp;"d"))</f>
        <v/>
      </c>
      <c r="G78" s="137" t="str">
        <f aca="false">IF(IFERROR(INDEX(tsk_Name,(ROW()-ROW(MSPTasks[[#Headers],[ID]])))="",TRUE()),"",INDEX(tsk_FcStart,(ROW()-ROW(MSPTasks[[#Headers],[ID]]))))</f>
        <v/>
      </c>
      <c r="H78" s="137" t="str">
        <f aca="false">IF(IFERROR(INDEX(tsk_Name,(ROW()-ROW(MSPTasks[[#Headers],[ID]])))="",TRUE()),"",INDEX(tsk_FcFinish,(ROW()-ROW(MSPTasks[[#Headers],[ID]]))))</f>
        <v/>
      </c>
      <c r="I78" s="24" t="str">
        <f aca="false">IF(IFERROR(INDEX(tsk_Name,(ROW()-ROW(MSPTasks[[#Headers],[ID]])))="",TRUE()),"",IF(INDEX(tsk_IsSummary,(ROW()-ROW(MSPTasks[[#Headers],[ID]]))),"",INDEX(tsk_Predecessors,(ROW()-ROW(MSPTasks[[#Headers],[ID]])))))</f>
        <v/>
      </c>
      <c r="J78" s="24" t="str">
        <f aca="false">IF(IFERROR(INDEX(tsk_Name,(ROW()-ROW(MSPTasks[[#Headers],[ID]])))="",TRUE()),"",IF(INDEX(tsk_IsSummary,(ROW()-ROW(MSPTasks[[#Headers],[ID]]))),"",INDEX(tsk_UIDPredecessors,(ROW()-ROW(MSPTasks[[#Headers],[ID]])))))</f>
        <v/>
      </c>
      <c r="K78" s="24" t="str">
        <f aca="false">IF(IFERROR(INDEX(tsk_Name,(ROW()-ROW(MSPTasks[[#Headers],[ID]])))="",TRUE()),"",INDEX(tsk_ResourceNames,(ROW()-ROW(MSPTasks[[#Headers],[ID]])))&amp;"")</f>
        <v/>
      </c>
      <c r="L78" s="24" t="str">
        <f aca="false">IF(IFERROR(INDEX(tsk_Name,(ROW()-ROW(MSPTasks[[#Headers],[ID]])))="",TRUE()),"",IF(INDEX(tsk_IsSummary,(ROW()-ROW(MSPTasks[[#Headers],[ID]]))),"",ROUND(INDEX(tsk_Progress,(ROW()-ROW(MSPTasks[[#Headers],[ID]])))*100,0)))</f>
        <v/>
      </c>
      <c r="M78" s="137" t="str">
        <f aca="false">IF(IFERROR(INDEX(tsk_Name,(ROW()-ROW(MSPTasks[[#Headers],[ID]])))="",TRUE()),"",IF(N(INDEX(tsk_ActStart,(ROW()-ROW(MSPTasks[[#Headers],[ID]]))))=0,"",INDEX(tsk_ActStart,(ROW()-ROW(MSPTasks[[#Headers],[ID]])))))</f>
        <v/>
      </c>
      <c r="N78" s="137" t="str">
        <f aca="false">IF(IFERROR(INDEX(tsk_Name,(ROW()-ROW(MSPTasks[[#Headers],[ID]])))="",TRUE()),"",IF(N(INDEX(tsk_ActFinish,(ROW()-ROW(MSPTasks[[#Headers],[ID]]))))=0,"",INDEX(tsk_ActFinish,(ROW()-ROW(MSPTasks[[#Headers],[ID]])))))</f>
        <v/>
      </c>
      <c r="O78" s="137" t="str">
        <f aca="false">IF(IFERROR(INDEX(tsk_Name,(ROW()-ROW(MSPTasks[[#Headers],[ID]])))="",TRUE()),"",INDEX(tsk_PlanStart,(ROW()-ROW(MSPTasks[[#Headers],[ID]]))))</f>
        <v/>
      </c>
      <c r="P78" s="137" t="str">
        <f aca="false">IF(IFERROR(INDEX(tsk_Name,(ROW()-ROW(MSPTasks[[#Headers],[ID]])))="",TRUE()),"",INDEX(tsk_PlanFinish,(ROW()-ROW(MSPTasks[[#Headers],[ID]]))))</f>
        <v/>
      </c>
      <c r="Q78" s="24" t="str">
        <f aca="false">IF(IFERROR(INDEX(tsk_Name,(ROW()-ROW(MSPTasks[[#Headers],[ID]])))="",TRUE()),"",IF(INDEX(tsk_BaseDuration,(ROW()-ROW(MSPTasks[[#Headers],[ID]])))="","",N(INDEX(tsk_BaseDuration,(ROW()-ROW(MSPTasks[[#Headers],[ID]]))))&amp;"d"))</f>
        <v/>
      </c>
      <c r="R78" s="24" t="str">
        <f aca="false">IF(IFERROR(INDEX(tsk_Name,(ROW()-ROW(MSPTasks[[#Headers],[ID]])))="",TRUE()),"",IF(INDEX(tsk_BaseWork,(ROW()-ROW(MSPTasks[[#Headers],[ID]])))="","",N(INDEX(tsk_BaseWork,(ROW()-ROW(MSPTasks[[#Headers],[ID]]))))&amp;"h"))</f>
        <v/>
      </c>
      <c r="S78" s="24" t="str">
        <f aca="false">IF(IFERROR(INDEX(tsk_Name,(ROW()-ROW(MSPTasks[[#Headers],[ID]])))="",TRUE()),"",IF(INDEX(tsk_BaseCost,(ROW()-ROW(MSPTasks[[#Headers],[ID]])))="","",N(INDEX(tsk_BaseCost,(ROW()-ROW(MSPTasks[[#Headers],[ID]]))))))</f>
        <v/>
      </c>
      <c r="T78" s="24" t="str">
        <f aca="false">IF(IFERROR(INDEX(tsk_Name,(ROW()-ROW(MSPTasks[[#Headers],[ID]])))="",TRUE()),"",IF(INDEX(tsk_IsSummary,(ROW()-ROW(MSPTasks[[#Headers],[ID]]))),"",IF(N(INDEX(tsk_ActCostInput,(ROW()-ROW(MSPTasks[[#Headers],[ID]]))))=0,"",INDEX(tsk_ActCostInput,(ROW()-ROW(MSPTasks[[#Headers],[ID]]))))))</f>
        <v/>
      </c>
      <c r="U7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8" s="137" t="str">
        <f aca="false">IF(IFERROR(INDEX(tsk_Name,(ROW()-ROW(MSPTasks[[#Headers],[ID]])))="",TRUE()),"",IF(OR(INDEX(tsk_IsSummary,(ROW()-ROW(MSPTasks[[#Headers],[ID]]))),INDEX(tsk_Mode,(ROW()-ROW(MSPTasks[[#Headers],[ID]])))="Manual"),"",IF(N(INDEX(tsk_ConstraintCode,(ROW()-ROW(MSPTasks[[#Headers],[ID]]))))&lt;2,"",INDEX(tsk_Constraint,(ROW()-ROW(MSPTasks[[#Headers],[ID]]))))))</f>
        <v/>
      </c>
      <c r="W78" s="137" t="str">
        <f aca="false">IF(IFERROR(INDEX(tsk_Name,(ROW()-ROW(MSPTasks[[#Headers],[ID]])))="",TRUE()),"",IF(N(INDEX(tsk_Deadline,(ROW()-ROW(MSPTasks[[#Headers],[ID]]))))=0,"",INDEX(tsk_Deadline,(ROW()-ROW(MSPTasks[[#Headers],[ID]])))))</f>
        <v/>
      </c>
      <c r="X78" s="24" t="str">
        <f aca="false">IF(IFERROR(INDEX(tsk_Name,(ROW()-ROW(MSPTasks[[#Headers],[ID]])))="",TRUE()),"",IF(INDEX(tsk_IsSummary,(ROW()-ROW(MSPTasks[[#Headers],[ID]]))),"",INDEX(tsk_Sprint,(ROW()-ROW(MSPTasks[[#Headers],[ID]])))&amp;""))</f>
        <v/>
      </c>
      <c r="Y78" s="24" t="str">
        <f aca="false">IF(IFERROR(INDEX(tsk_Name,(ROW()-ROW(MSPTasks[[#Headers],[ID]])))="",TRUE()),"",IF(INDEX(tsk_IsSummary,(ROW()-ROW(MSPTasks[[#Headers],[ID]]))),"",IF(N(INDEX(tsk_StoryPoints,(ROW()-ROW(MSPTasks[[#Headers],[ID]]))))=0,"",INDEX(tsk_StoryPoints,(ROW()-ROW(MSPTasks[[#Headers],[ID]]))))))</f>
        <v/>
      </c>
      <c r="Z78" s="24" t="str">
        <f aca="false">IF(IFERROR(INDEX(tsk_Name,(ROW()-ROW(MSPTasks[[#Headers],[ID]])))="",TRUE()),"",INDEX(tsk_Notes,(ROW()-ROW(MSPTasks[[#Headers],[ID]])))&amp;"")</f>
        <v/>
      </c>
    </row>
    <row r="79" customFormat="false" ht="15" hidden="false" customHeight="false" outlineLevel="0" collapsed="false">
      <c r="A79" s="24" t="str">
        <f aca="false">IF(IFERROR(INDEX(tsk_Name,(ROW()-ROW(MSPTasks[[#Headers],[ID]])))="",TRUE()),"",INDEX(tsk_ID,(ROW()-ROW(MSPTasks[[#Headers],[ID]]))))</f>
        <v/>
      </c>
      <c r="B79" s="24" t="str">
        <f aca="false">IF(IFERROR(INDEX(tsk_Name,(ROW()-ROW(MSPTasks[[#Headers],[ID]])))="",TRUE()),"",INDEX(tsk_UID,(ROW()-ROW(MSPTasks[[#Headers],[ID]]))))</f>
        <v/>
      </c>
      <c r="C79" s="24" t="str">
        <f aca="false">IF(IFERROR(INDEX(tsk_Name,(ROW()-ROW(MSPTasks[[#Headers],[ID]])))="",TRUE()),"",INDEX(tsk_Name,(ROW()-ROW(MSPTasks[[#Headers],[ID]]))))</f>
        <v/>
      </c>
      <c r="D79" s="24" t="str">
        <f aca="false">IF(IFERROR(INDEX(tsk_Name,(ROW()-ROW(MSPTasks[[#Headers],[ID]])))="",TRUE()),"",INDEX(tsk_Level,(ROW()-ROW(MSPTasks[[#Headers],[ID]]))))</f>
        <v/>
      </c>
      <c r="E79" s="24" t="str">
        <f aca="false">IF(IFERROR(INDEX(tsk_Name,(ROW()-ROW(MSPTasks[[#Headers],[ID]])))="",TRUE()),"",IF(INDEX(tsk_Mode,(ROW()-ROW(MSPTasks[[#Headers],[ID]])))="Manual","Manually Scheduled","Auto Scheduled"))</f>
        <v/>
      </c>
      <c r="F79" s="24" t="str">
        <f aca="false">IF(IFERROR(INDEX(tsk_Name,(ROW()-ROW(MSPTasks[[#Headers],[ID]])))="",TRUE()),"",IF(INDEX(tsk_IsSummary,(ROW()-ROW(MSPTasks[[#Headers],[ID]]))),"",N(INDEX(tsk_Duration,(ROW()-ROW(MSPTasks[[#Headers],[ID]]))))&amp;"d"))</f>
        <v/>
      </c>
      <c r="G79" s="137" t="str">
        <f aca="false">IF(IFERROR(INDEX(tsk_Name,(ROW()-ROW(MSPTasks[[#Headers],[ID]])))="",TRUE()),"",INDEX(tsk_FcStart,(ROW()-ROW(MSPTasks[[#Headers],[ID]]))))</f>
        <v/>
      </c>
      <c r="H79" s="137" t="str">
        <f aca="false">IF(IFERROR(INDEX(tsk_Name,(ROW()-ROW(MSPTasks[[#Headers],[ID]])))="",TRUE()),"",INDEX(tsk_FcFinish,(ROW()-ROW(MSPTasks[[#Headers],[ID]]))))</f>
        <v/>
      </c>
      <c r="I79" s="24" t="str">
        <f aca="false">IF(IFERROR(INDEX(tsk_Name,(ROW()-ROW(MSPTasks[[#Headers],[ID]])))="",TRUE()),"",IF(INDEX(tsk_IsSummary,(ROW()-ROW(MSPTasks[[#Headers],[ID]]))),"",INDEX(tsk_Predecessors,(ROW()-ROW(MSPTasks[[#Headers],[ID]])))))</f>
        <v/>
      </c>
      <c r="J79" s="24" t="str">
        <f aca="false">IF(IFERROR(INDEX(tsk_Name,(ROW()-ROW(MSPTasks[[#Headers],[ID]])))="",TRUE()),"",IF(INDEX(tsk_IsSummary,(ROW()-ROW(MSPTasks[[#Headers],[ID]]))),"",INDEX(tsk_UIDPredecessors,(ROW()-ROW(MSPTasks[[#Headers],[ID]])))))</f>
        <v/>
      </c>
      <c r="K79" s="24" t="str">
        <f aca="false">IF(IFERROR(INDEX(tsk_Name,(ROW()-ROW(MSPTasks[[#Headers],[ID]])))="",TRUE()),"",INDEX(tsk_ResourceNames,(ROW()-ROW(MSPTasks[[#Headers],[ID]])))&amp;"")</f>
        <v/>
      </c>
      <c r="L79" s="24" t="str">
        <f aca="false">IF(IFERROR(INDEX(tsk_Name,(ROW()-ROW(MSPTasks[[#Headers],[ID]])))="",TRUE()),"",IF(INDEX(tsk_IsSummary,(ROW()-ROW(MSPTasks[[#Headers],[ID]]))),"",ROUND(INDEX(tsk_Progress,(ROW()-ROW(MSPTasks[[#Headers],[ID]])))*100,0)))</f>
        <v/>
      </c>
      <c r="M79" s="137" t="str">
        <f aca="false">IF(IFERROR(INDEX(tsk_Name,(ROW()-ROW(MSPTasks[[#Headers],[ID]])))="",TRUE()),"",IF(N(INDEX(tsk_ActStart,(ROW()-ROW(MSPTasks[[#Headers],[ID]]))))=0,"",INDEX(tsk_ActStart,(ROW()-ROW(MSPTasks[[#Headers],[ID]])))))</f>
        <v/>
      </c>
      <c r="N79" s="137" t="str">
        <f aca="false">IF(IFERROR(INDEX(tsk_Name,(ROW()-ROW(MSPTasks[[#Headers],[ID]])))="",TRUE()),"",IF(N(INDEX(tsk_ActFinish,(ROW()-ROW(MSPTasks[[#Headers],[ID]]))))=0,"",INDEX(tsk_ActFinish,(ROW()-ROW(MSPTasks[[#Headers],[ID]])))))</f>
        <v/>
      </c>
      <c r="O79" s="137" t="str">
        <f aca="false">IF(IFERROR(INDEX(tsk_Name,(ROW()-ROW(MSPTasks[[#Headers],[ID]])))="",TRUE()),"",INDEX(tsk_PlanStart,(ROW()-ROW(MSPTasks[[#Headers],[ID]]))))</f>
        <v/>
      </c>
      <c r="P79" s="137" t="str">
        <f aca="false">IF(IFERROR(INDEX(tsk_Name,(ROW()-ROW(MSPTasks[[#Headers],[ID]])))="",TRUE()),"",INDEX(tsk_PlanFinish,(ROW()-ROW(MSPTasks[[#Headers],[ID]]))))</f>
        <v/>
      </c>
      <c r="Q79" s="24" t="str">
        <f aca="false">IF(IFERROR(INDEX(tsk_Name,(ROW()-ROW(MSPTasks[[#Headers],[ID]])))="",TRUE()),"",IF(INDEX(tsk_BaseDuration,(ROW()-ROW(MSPTasks[[#Headers],[ID]])))="","",N(INDEX(tsk_BaseDuration,(ROW()-ROW(MSPTasks[[#Headers],[ID]]))))&amp;"d"))</f>
        <v/>
      </c>
      <c r="R79" s="24" t="str">
        <f aca="false">IF(IFERROR(INDEX(tsk_Name,(ROW()-ROW(MSPTasks[[#Headers],[ID]])))="",TRUE()),"",IF(INDEX(tsk_BaseWork,(ROW()-ROW(MSPTasks[[#Headers],[ID]])))="","",N(INDEX(tsk_BaseWork,(ROW()-ROW(MSPTasks[[#Headers],[ID]]))))&amp;"h"))</f>
        <v/>
      </c>
      <c r="S79" s="24" t="str">
        <f aca="false">IF(IFERROR(INDEX(tsk_Name,(ROW()-ROW(MSPTasks[[#Headers],[ID]])))="",TRUE()),"",IF(INDEX(tsk_BaseCost,(ROW()-ROW(MSPTasks[[#Headers],[ID]])))="","",N(INDEX(tsk_BaseCost,(ROW()-ROW(MSPTasks[[#Headers],[ID]]))))))</f>
        <v/>
      </c>
      <c r="T79" s="24" t="str">
        <f aca="false">IF(IFERROR(INDEX(tsk_Name,(ROW()-ROW(MSPTasks[[#Headers],[ID]])))="",TRUE()),"",IF(INDEX(tsk_IsSummary,(ROW()-ROW(MSPTasks[[#Headers],[ID]]))),"",IF(N(INDEX(tsk_ActCostInput,(ROW()-ROW(MSPTasks[[#Headers],[ID]]))))=0,"",INDEX(tsk_ActCostInput,(ROW()-ROW(MSPTasks[[#Headers],[ID]]))))))</f>
        <v/>
      </c>
      <c r="U7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79" s="137" t="str">
        <f aca="false">IF(IFERROR(INDEX(tsk_Name,(ROW()-ROW(MSPTasks[[#Headers],[ID]])))="",TRUE()),"",IF(OR(INDEX(tsk_IsSummary,(ROW()-ROW(MSPTasks[[#Headers],[ID]]))),INDEX(tsk_Mode,(ROW()-ROW(MSPTasks[[#Headers],[ID]])))="Manual"),"",IF(N(INDEX(tsk_ConstraintCode,(ROW()-ROW(MSPTasks[[#Headers],[ID]]))))&lt;2,"",INDEX(tsk_Constraint,(ROW()-ROW(MSPTasks[[#Headers],[ID]]))))))</f>
        <v/>
      </c>
      <c r="W79" s="137" t="str">
        <f aca="false">IF(IFERROR(INDEX(tsk_Name,(ROW()-ROW(MSPTasks[[#Headers],[ID]])))="",TRUE()),"",IF(N(INDEX(tsk_Deadline,(ROW()-ROW(MSPTasks[[#Headers],[ID]]))))=0,"",INDEX(tsk_Deadline,(ROW()-ROW(MSPTasks[[#Headers],[ID]])))))</f>
        <v/>
      </c>
      <c r="X79" s="24" t="str">
        <f aca="false">IF(IFERROR(INDEX(tsk_Name,(ROW()-ROW(MSPTasks[[#Headers],[ID]])))="",TRUE()),"",IF(INDEX(tsk_IsSummary,(ROW()-ROW(MSPTasks[[#Headers],[ID]]))),"",INDEX(tsk_Sprint,(ROW()-ROW(MSPTasks[[#Headers],[ID]])))&amp;""))</f>
        <v/>
      </c>
      <c r="Y79" s="24" t="str">
        <f aca="false">IF(IFERROR(INDEX(tsk_Name,(ROW()-ROW(MSPTasks[[#Headers],[ID]])))="",TRUE()),"",IF(INDEX(tsk_IsSummary,(ROW()-ROW(MSPTasks[[#Headers],[ID]]))),"",IF(N(INDEX(tsk_StoryPoints,(ROW()-ROW(MSPTasks[[#Headers],[ID]]))))=0,"",INDEX(tsk_StoryPoints,(ROW()-ROW(MSPTasks[[#Headers],[ID]]))))))</f>
        <v/>
      </c>
      <c r="Z79" s="24" t="str">
        <f aca="false">IF(IFERROR(INDEX(tsk_Name,(ROW()-ROW(MSPTasks[[#Headers],[ID]])))="",TRUE()),"",INDEX(tsk_Notes,(ROW()-ROW(MSPTasks[[#Headers],[ID]])))&amp;"")</f>
        <v/>
      </c>
    </row>
    <row r="80" customFormat="false" ht="15" hidden="false" customHeight="false" outlineLevel="0" collapsed="false">
      <c r="A80" s="24" t="str">
        <f aca="false">IF(IFERROR(INDEX(tsk_Name,(ROW()-ROW(MSPTasks[[#Headers],[ID]])))="",TRUE()),"",INDEX(tsk_ID,(ROW()-ROW(MSPTasks[[#Headers],[ID]]))))</f>
        <v/>
      </c>
      <c r="B80" s="24" t="str">
        <f aca="false">IF(IFERROR(INDEX(tsk_Name,(ROW()-ROW(MSPTasks[[#Headers],[ID]])))="",TRUE()),"",INDEX(tsk_UID,(ROW()-ROW(MSPTasks[[#Headers],[ID]]))))</f>
        <v/>
      </c>
      <c r="C80" s="24" t="str">
        <f aca="false">IF(IFERROR(INDEX(tsk_Name,(ROW()-ROW(MSPTasks[[#Headers],[ID]])))="",TRUE()),"",INDEX(tsk_Name,(ROW()-ROW(MSPTasks[[#Headers],[ID]]))))</f>
        <v/>
      </c>
      <c r="D80" s="24" t="str">
        <f aca="false">IF(IFERROR(INDEX(tsk_Name,(ROW()-ROW(MSPTasks[[#Headers],[ID]])))="",TRUE()),"",INDEX(tsk_Level,(ROW()-ROW(MSPTasks[[#Headers],[ID]]))))</f>
        <v/>
      </c>
      <c r="E80" s="24" t="str">
        <f aca="false">IF(IFERROR(INDEX(tsk_Name,(ROW()-ROW(MSPTasks[[#Headers],[ID]])))="",TRUE()),"",IF(INDEX(tsk_Mode,(ROW()-ROW(MSPTasks[[#Headers],[ID]])))="Manual","Manually Scheduled","Auto Scheduled"))</f>
        <v/>
      </c>
      <c r="F80" s="24" t="str">
        <f aca="false">IF(IFERROR(INDEX(tsk_Name,(ROW()-ROW(MSPTasks[[#Headers],[ID]])))="",TRUE()),"",IF(INDEX(tsk_IsSummary,(ROW()-ROW(MSPTasks[[#Headers],[ID]]))),"",N(INDEX(tsk_Duration,(ROW()-ROW(MSPTasks[[#Headers],[ID]]))))&amp;"d"))</f>
        <v/>
      </c>
      <c r="G80" s="137" t="str">
        <f aca="false">IF(IFERROR(INDEX(tsk_Name,(ROW()-ROW(MSPTasks[[#Headers],[ID]])))="",TRUE()),"",INDEX(tsk_FcStart,(ROW()-ROW(MSPTasks[[#Headers],[ID]]))))</f>
        <v/>
      </c>
      <c r="H80" s="137" t="str">
        <f aca="false">IF(IFERROR(INDEX(tsk_Name,(ROW()-ROW(MSPTasks[[#Headers],[ID]])))="",TRUE()),"",INDEX(tsk_FcFinish,(ROW()-ROW(MSPTasks[[#Headers],[ID]]))))</f>
        <v/>
      </c>
      <c r="I80" s="24" t="str">
        <f aca="false">IF(IFERROR(INDEX(tsk_Name,(ROW()-ROW(MSPTasks[[#Headers],[ID]])))="",TRUE()),"",IF(INDEX(tsk_IsSummary,(ROW()-ROW(MSPTasks[[#Headers],[ID]]))),"",INDEX(tsk_Predecessors,(ROW()-ROW(MSPTasks[[#Headers],[ID]])))))</f>
        <v/>
      </c>
      <c r="J80" s="24" t="str">
        <f aca="false">IF(IFERROR(INDEX(tsk_Name,(ROW()-ROW(MSPTasks[[#Headers],[ID]])))="",TRUE()),"",IF(INDEX(tsk_IsSummary,(ROW()-ROW(MSPTasks[[#Headers],[ID]]))),"",INDEX(tsk_UIDPredecessors,(ROW()-ROW(MSPTasks[[#Headers],[ID]])))))</f>
        <v/>
      </c>
      <c r="K80" s="24" t="str">
        <f aca="false">IF(IFERROR(INDEX(tsk_Name,(ROW()-ROW(MSPTasks[[#Headers],[ID]])))="",TRUE()),"",INDEX(tsk_ResourceNames,(ROW()-ROW(MSPTasks[[#Headers],[ID]])))&amp;"")</f>
        <v/>
      </c>
      <c r="L80" s="24" t="str">
        <f aca="false">IF(IFERROR(INDEX(tsk_Name,(ROW()-ROW(MSPTasks[[#Headers],[ID]])))="",TRUE()),"",IF(INDEX(tsk_IsSummary,(ROW()-ROW(MSPTasks[[#Headers],[ID]]))),"",ROUND(INDEX(tsk_Progress,(ROW()-ROW(MSPTasks[[#Headers],[ID]])))*100,0)))</f>
        <v/>
      </c>
      <c r="M80" s="137" t="str">
        <f aca="false">IF(IFERROR(INDEX(tsk_Name,(ROW()-ROW(MSPTasks[[#Headers],[ID]])))="",TRUE()),"",IF(N(INDEX(tsk_ActStart,(ROW()-ROW(MSPTasks[[#Headers],[ID]]))))=0,"",INDEX(tsk_ActStart,(ROW()-ROW(MSPTasks[[#Headers],[ID]])))))</f>
        <v/>
      </c>
      <c r="N80" s="137" t="str">
        <f aca="false">IF(IFERROR(INDEX(tsk_Name,(ROW()-ROW(MSPTasks[[#Headers],[ID]])))="",TRUE()),"",IF(N(INDEX(tsk_ActFinish,(ROW()-ROW(MSPTasks[[#Headers],[ID]]))))=0,"",INDEX(tsk_ActFinish,(ROW()-ROW(MSPTasks[[#Headers],[ID]])))))</f>
        <v/>
      </c>
      <c r="O80" s="137" t="str">
        <f aca="false">IF(IFERROR(INDEX(tsk_Name,(ROW()-ROW(MSPTasks[[#Headers],[ID]])))="",TRUE()),"",INDEX(tsk_PlanStart,(ROW()-ROW(MSPTasks[[#Headers],[ID]]))))</f>
        <v/>
      </c>
      <c r="P80" s="137" t="str">
        <f aca="false">IF(IFERROR(INDEX(tsk_Name,(ROW()-ROW(MSPTasks[[#Headers],[ID]])))="",TRUE()),"",INDEX(tsk_PlanFinish,(ROW()-ROW(MSPTasks[[#Headers],[ID]]))))</f>
        <v/>
      </c>
      <c r="Q80" s="24" t="str">
        <f aca="false">IF(IFERROR(INDEX(tsk_Name,(ROW()-ROW(MSPTasks[[#Headers],[ID]])))="",TRUE()),"",IF(INDEX(tsk_BaseDuration,(ROW()-ROW(MSPTasks[[#Headers],[ID]])))="","",N(INDEX(tsk_BaseDuration,(ROW()-ROW(MSPTasks[[#Headers],[ID]]))))&amp;"d"))</f>
        <v/>
      </c>
      <c r="R80" s="24" t="str">
        <f aca="false">IF(IFERROR(INDEX(tsk_Name,(ROW()-ROW(MSPTasks[[#Headers],[ID]])))="",TRUE()),"",IF(INDEX(tsk_BaseWork,(ROW()-ROW(MSPTasks[[#Headers],[ID]])))="","",N(INDEX(tsk_BaseWork,(ROW()-ROW(MSPTasks[[#Headers],[ID]]))))&amp;"h"))</f>
        <v/>
      </c>
      <c r="S80" s="24" t="str">
        <f aca="false">IF(IFERROR(INDEX(tsk_Name,(ROW()-ROW(MSPTasks[[#Headers],[ID]])))="",TRUE()),"",IF(INDEX(tsk_BaseCost,(ROW()-ROW(MSPTasks[[#Headers],[ID]])))="","",N(INDEX(tsk_BaseCost,(ROW()-ROW(MSPTasks[[#Headers],[ID]]))))))</f>
        <v/>
      </c>
      <c r="T80" s="24" t="str">
        <f aca="false">IF(IFERROR(INDEX(tsk_Name,(ROW()-ROW(MSPTasks[[#Headers],[ID]])))="",TRUE()),"",IF(INDEX(tsk_IsSummary,(ROW()-ROW(MSPTasks[[#Headers],[ID]]))),"",IF(N(INDEX(tsk_ActCostInput,(ROW()-ROW(MSPTasks[[#Headers],[ID]]))))=0,"",INDEX(tsk_ActCostInput,(ROW()-ROW(MSPTasks[[#Headers],[ID]]))))))</f>
        <v/>
      </c>
      <c r="U8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0" s="137" t="str">
        <f aca="false">IF(IFERROR(INDEX(tsk_Name,(ROW()-ROW(MSPTasks[[#Headers],[ID]])))="",TRUE()),"",IF(OR(INDEX(tsk_IsSummary,(ROW()-ROW(MSPTasks[[#Headers],[ID]]))),INDEX(tsk_Mode,(ROW()-ROW(MSPTasks[[#Headers],[ID]])))="Manual"),"",IF(N(INDEX(tsk_ConstraintCode,(ROW()-ROW(MSPTasks[[#Headers],[ID]]))))&lt;2,"",INDEX(tsk_Constraint,(ROW()-ROW(MSPTasks[[#Headers],[ID]]))))))</f>
        <v/>
      </c>
      <c r="W80" s="137" t="str">
        <f aca="false">IF(IFERROR(INDEX(tsk_Name,(ROW()-ROW(MSPTasks[[#Headers],[ID]])))="",TRUE()),"",IF(N(INDEX(tsk_Deadline,(ROW()-ROW(MSPTasks[[#Headers],[ID]]))))=0,"",INDEX(tsk_Deadline,(ROW()-ROW(MSPTasks[[#Headers],[ID]])))))</f>
        <v/>
      </c>
      <c r="X80" s="24" t="str">
        <f aca="false">IF(IFERROR(INDEX(tsk_Name,(ROW()-ROW(MSPTasks[[#Headers],[ID]])))="",TRUE()),"",IF(INDEX(tsk_IsSummary,(ROW()-ROW(MSPTasks[[#Headers],[ID]]))),"",INDEX(tsk_Sprint,(ROW()-ROW(MSPTasks[[#Headers],[ID]])))&amp;""))</f>
        <v/>
      </c>
      <c r="Y80" s="24" t="str">
        <f aca="false">IF(IFERROR(INDEX(tsk_Name,(ROW()-ROW(MSPTasks[[#Headers],[ID]])))="",TRUE()),"",IF(INDEX(tsk_IsSummary,(ROW()-ROW(MSPTasks[[#Headers],[ID]]))),"",IF(N(INDEX(tsk_StoryPoints,(ROW()-ROW(MSPTasks[[#Headers],[ID]]))))=0,"",INDEX(tsk_StoryPoints,(ROW()-ROW(MSPTasks[[#Headers],[ID]]))))))</f>
        <v/>
      </c>
      <c r="Z80" s="24" t="str">
        <f aca="false">IF(IFERROR(INDEX(tsk_Name,(ROW()-ROW(MSPTasks[[#Headers],[ID]])))="",TRUE()),"",INDEX(tsk_Notes,(ROW()-ROW(MSPTasks[[#Headers],[ID]])))&amp;"")</f>
        <v/>
      </c>
    </row>
    <row r="81" customFormat="false" ht="15" hidden="false" customHeight="false" outlineLevel="0" collapsed="false">
      <c r="A81" s="24" t="str">
        <f aca="false">IF(IFERROR(INDEX(tsk_Name,(ROW()-ROW(MSPTasks[[#Headers],[ID]])))="",TRUE()),"",INDEX(tsk_ID,(ROW()-ROW(MSPTasks[[#Headers],[ID]]))))</f>
        <v/>
      </c>
      <c r="B81" s="24" t="str">
        <f aca="false">IF(IFERROR(INDEX(tsk_Name,(ROW()-ROW(MSPTasks[[#Headers],[ID]])))="",TRUE()),"",INDEX(tsk_UID,(ROW()-ROW(MSPTasks[[#Headers],[ID]]))))</f>
        <v/>
      </c>
      <c r="C81" s="24" t="str">
        <f aca="false">IF(IFERROR(INDEX(tsk_Name,(ROW()-ROW(MSPTasks[[#Headers],[ID]])))="",TRUE()),"",INDEX(tsk_Name,(ROW()-ROW(MSPTasks[[#Headers],[ID]]))))</f>
        <v/>
      </c>
      <c r="D81" s="24" t="str">
        <f aca="false">IF(IFERROR(INDEX(tsk_Name,(ROW()-ROW(MSPTasks[[#Headers],[ID]])))="",TRUE()),"",INDEX(tsk_Level,(ROW()-ROW(MSPTasks[[#Headers],[ID]]))))</f>
        <v/>
      </c>
      <c r="E81" s="24" t="str">
        <f aca="false">IF(IFERROR(INDEX(tsk_Name,(ROW()-ROW(MSPTasks[[#Headers],[ID]])))="",TRUE()),"",IF(INDEX(tsk_Mode,(ROW()-ROW(MSPTasks[[#Headers],[ID]])))="Manual","Manually Scheduled","Auto Scheduled"))</f>
        <v/>
      </c>
      <c r="F81" s="24" t="str">
        <f aca="false">IF(IFERROR(INDEX(tsk_Name,(ROW()-ROW(MSPTasks[[#Headers],[ID]])))="",TRUE()),"",IF(INDEX(tsk_IsSummary,(ROW()-ROW(MSPTasks[[#Headers],[ID]]))),"",N(INDEX(tsk_Duration,(ROW()-ROW(MSPTasks[[#Headers],[ID]]))))&amp;"d"))</f>
        <v/>
      </c>
      <c r="G81" s="137" t="str">
        <f aca="false">IF(IFERROR(INDEX(tsk_Name,(ROW()-ROW(MSPTasks[[#Headers],[ID]])))="",TRUE()),"",INDEX(tsk_FcStart,(ROW()-ROW(MSPTasks[[#Headers],[ID]]))))</f>
        <v/>
      </c>
      <c r="H81" s="137" t="str">
        <f aca="false">IF(IFERROR(INDEX(tsk_Name,(ROW()-ROW(MSPTasks[[#Headers],[ID]])))="",TRUE()),"",INDEX(tsk_FcFinish,(ROW()-ROW(MSPTasks[[#Headers],[ID]]))))</f>
        <v/>
      </c>
      <c r="I81" s="24" t="str">
        <f aca="false">IF(IFERROR(INDEX(tsk_Name,(ROW()-ROW(MSPTasks[[#Headers],[ID]])))="",TRUE()),"",IF(INDEX(tsk_IsSummary,(ROW()-ROW(MSPTasks[[#Headers],[ID]]))),"",INDEX(tsk_Predecessors,(ROW()-ROW(MSPTasks[[#Headers],[ID]])))))</f>
        <v/>
      </c>
      <c r="J81" s="24" t="str">
        <f aca="false">IF(IFERROR(INDEX(tsk_Name,(ROW()-ROW(MSPTasks[[#Headers],[ID]])))="",TRUE()),"",IF(INDEX(tsk_IsSummary,(ROW()-ROW(MSPTasks[[#Headers],[ID]]))),"",INDEX(tsk_UIDPredecessors,(ROW()-ROW(MSPTasks[[#Headers],[ID]])))))</f>
        <v/>
      </c>
      <c r="K81" s="24" t="str">
        <f aca="false">IF(IFERROR(INDEX(tsk_Name,(ROW()-ROW(MSPTasks[[#Headers],[ID]])))="",TRUE()),"",INDEX(tsk_ResourceNames,(ROW()-ROW(MSPTasks[[#Headers],[ID]])))&amp;"")</f>
        <v/>
      </c>
      <c r="L81" s="24" t="str">
        <f aca="false">IF(IFERROR(INDEX(tsk_Name,(ROW()-ROW(MSPTasks[[#Headers],[ID]])))="",TRUE()),"",IF(INDEX(tsk_IsSummary,(ROW()-ROW(MSPTasks[[#Headers],[ID]]))),"",ROUND(INDEX(tsk_Progress,(ROW()-ROW(MSPTasks[[#Headers],[ID]])))*100,0)))</f>
        <v/>
      </c>
      <c r="M81" s="137" t="str">
        <f aca="false">IF(IFERROR(INDEX(tsk_Name,(ROW()-ROW(MSPTasks[[#Headers],[ID]])))="",TRUE()),"",IF(N(INDEX(tsk_ActStart,(ROW()-ROW(MSPTasks[[#Headers],[ID]]))))=0,"",INDEX(tsk_ActStart,(ROW()-ROW(MSPTasks[[#Headers],[ID]])))))</f>
        <v/>
      </c>
      <c r="N81" s="137" t="str">
        <f aca="false">IF(IFERROR(INDEX(tsk_Name,(ROW()-ROW(MSPTasks[[#Headers],[ID]])))="",TRUE()),"",IF(N(INDEX(tsk_ActFinish,(ROW()-ROW(MSPTasks[[#Headers],[ID]]))))=0,"",INDEX(tsk_ActFinish,(ROW()-ROW(MSPTasks[[#Headers],[ID]])))))</f>
        <v/>
      </c>
      <c r="O81" s="137" t="str">
        <f aca="false">IF(IFERROR(INDEX(tsk_Name,(ROW()-ROW(MSPTasks[[#Headers],[ID]])))="",TRUE()),"",INDEX(tsk_PlanStart,(ROW()-ROW(MSPTasks[[#Headers],[ID]]))))</f>
        <v/>
      </c>
      <c r="P81" s="137" t="str">
        <f aca="false">IF(IFERROR(INDEX(tsk_Name,(ROW()-ROW(MSPTasks[[#Headers],[ID]])))="",TRUE()),"",INDEX(tsk_PlanFinish,(ROW()-ROW(MSPTasks[[#Headers],[ID]]))))</f>
        <v/>
      </c>
      <c r="Q81" s="24" t="str">
        <f aca="false">IF(IFERROR(INDEX(tsk_Name,(ROW()-ROW(MSPTasks[[#Headers],[ID]])))="",TRUE()),"",IF(INDEX(tsk_BaseDuration,(ROW()-ROW(MSPTasks[[#Headers],[ID]])))="","",N(INDEX(tsk_BaseDuration,(ROW()-ROW(MSPTasks[[#Headers],[ID]]))))&amp;"d"))</f>
        <v/>
      </c>
      <c r="R81" s="24" t="str">
        <f aca="false">IF(IFERROR(INDEX(tsk_Name,(ROW()-ROW(MSPTasks[[#Headers],[ID]])))="",TRUE()),"",IF(INDEX(tsk_BaseWork,(ROW()-ROW(MSPTasks[[#Headers],[ID]])))="","",N(INDEX(tsk_BaseWork,(ROW()-ROW(MSPTasks[[#Headers],[ID]]))))&amp;"h"))</f>
        <v/>
      </c>
      <c r="S81" s="24" t="str">
        <f aca="false">IF(IFERROR(INDEX(tsk_Name,(ROW()-ROW(MSPTasks[[#Headers],[ID]])))="",TRUE()),"",IF(INDEX(tsk_BaseCost,(ROW()-ROW(MSPTasks[[#Headers],[ID]])))="","",N(INDEX(tsk_BaseCost,(ROW()-ROW(MSPTasks[[#Headers],[ID]]))))))</f>
        <v/>
      </c>
      <c r="T81" s="24" t="str">
        <f aca="false">IF(IFERROR(INDEX(tsk_Name,(ROW()-ROW(MSPTasks[[#Headers],[ID]])))="",TRUE()),"",IF(INDEX(tsk_IsSummary,(ROW()-ROW(MSPTasks[[#Headers],[ID]]))),"",IF(N(INDEX(tsk_ActCostInput,(ROW()-ROW(MSPTasks[[#Headers],[ID]]))))=0,"",INDEX(tsk_ActCostInput,(ROW()-ROW(MSPTasks[[#Headers],[ID]]))))))</f>
        <v/>
      </c>
      <c r="U8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1" s="137" t="str">
        <f aca="false">IF(IFERROR(INDEX(tsk_Name,(ROW()-ROW(MSPTasks[[#Headers],[ID]])))="",TRUE()),"",IF(OR(INDEX(tsk_IsSummary,(ROW()-ROW(MSPTasks[[#Headers],[ID]]))),INDEX(tsk_Mode,(ROW()-ROW(MSPTasks[[#Headers],[ID]])))="Manual"),"",IF(N(INDEX(tsk_ConstraintCode,(ROW()-ROW(MSPTasks[[#Headers],[ID]]))))&lt;2,"",INDEX(tsk_Constraint,(ROW()-ROW(MSPTasks[[#Headers],[ID]]))))))</f>
        <v/>
      </c>
      <c r="W81" s="137" t="str">
        <f aca="false">IF(IFERROR(INDEX(tsk_Name,(ROW()-ROW(MSPTasks[[#Headers],[ID]])))="",TRUE()),"",IF(N(INDEX(tsk_Deadline,(ROW()-ROW(MSPTasks[[#Headers],[ID]]))))=0,"",INDEX(tsk_Deadline,(ROW()-ROW(MSPTasks[[#Headers],[ID]])))))</f>
        <v/>
      </c>
      <c r="X81" s="24" t="str">
        <f aca="false">IF(IFERROR(INDEX(tsk_Name,(ROW()-ROW(MSPTasks[[#Headers],[ID]])))="",TRUE()),"",IF(INDEX(tsk_IsSummary,(ROW()-ROW(MSPTasks[[#Headers],[ID]]))),"",INDEX(tsk_Sprint,(ROW()-ROW(MSPTasks[[#Headers],[ID]])))&amp;""))</f>
        <v/>
      </c>
      <c r="Y81" s="24" t="str">
        <f aca="false">IF(IFERROR(INDEX(tsk_Name,(ROW()-ROW(MSPTasks[[#Headers],[ID]])))="",TRUE()),"",IF(INDEX(tsk_IsSummary,(ROW()-ROW(MSPTasks[[#Headers],[ID]]))),"",IF(N(INDEX(tsk_StoryPoints,(ROW()-ROW(MSPTasks[[#Headers],[ID]]))))=0,"",INDEX(tsk_StoryPoints,(ROW()-ROW(MSPTasks[[#Headers],[ID]]))))))</f>
        <v/>
      </c>
      <c r="Z81" s="24" t="str">
        <f aca="false">IF(IFERROR(INDEX(tsk_Name,(ROW()-ROW(MSPTasks[[#Headers],[ID]])))="",TRUE()),"",INDEX(tsk_Notes,(ROW()-ROW(MSPTasks[[#Headers],[ID]])))&amp;"")</f>
        <v/>
      </c>
    </row>
    <row r="82" customFormat="false" ht="15" hidden="false" customHeight="false" outlineLevel="0" collapsed="false">
      <c r="A82" s="24" t="str">
        <f aca="false">IF(IFERROR(INDEX(tsk_Name,(ROW()-ROW(MSPTasks[[#Headers],[ID]])))="",TRUE()),"",INDEX(tsk_ID,(ROW()-ROW(MSPTasks[[#Headers],[ID]]))))</f>
        <v/>
      </c>
      <c r="B82" s="24" t="str">
        <f aca="false">IF(IFERROR(INDEX(tsk_Name,(ROW()-ROW(MSPTasks[[#Headers],[ID]])))="",TRUE()),"",INDEX(tsk_UID,(ROW()-ROW(MSPTasks[[#Headers],[ID]]))))</f>
        <v/>
      </c>
      <c r="C82" s="24" t="str">
        <f aca="false">IF(IFERROR(INDEX(tsk_Name,(ROW()-ROW(MSPTasks[[#Headers],[ID]])))="",TRUE()),"",INDEX(tsk_Name,(ROW()-ROW(MSPTasks[[#Headers],[ID]]))))</f>
        <v/>
      </c>
      <c r="D82" s="24" t="str">
        <f aca="false">IF(IFERROR(INDEX(tsk_Name,(ROW()-ROW(MSPTasks[[#Headers],[ID]])))="",TRUE()),"",INDEX(tsk_Level,(ROW()-ROW(MSPTasks[[#Headers],[ID]]))))</f>
        <v/>
      </c>
      <c r="E82" s="24" t="str">
        <f aca="false">IF(IFERROR(INDEX(tsk_Name,(ROW()-ROW(MSPTasks[[#Headers],[ID]])))="",TRUE()),"",IF(INDEX(tsk_Mode,(ROW()-ROW(MSPTasks[[#Headers],[ID]])))="Manual","Manually Scheduled","Auto Scheduled"))</f>
        <v/>
      </c>
      <c r="F82" s="24" t="str">
        <f aca="false">IF(IFERROR(INDEX(tsk_Name,(ROW()-ROW(MSPTasks[[#Headers],[ID]])))="",TRUE()),"",IF(INDEX(tsk_IsSummary,(ROW()-ROW(MSPTasks[[#Headers],[ID]]))),"",N(INDEX(tsk_Duration,(ROW()-ROW(MSPTasks[[#Headers],[ID]]))))&amp;"d"))</f>
        <v/>
      </c>
      <c r="G82" s="137" t="str">
        <f aca="false">IF(IFERROR(INDEX(tsk_Name,(ROW()-ROW(MSPTasks[[#Headers],[ID]])))="",TRUE()),"",INDEX(tsk_FcStart,(ROW()-ROW(MSPTasks[[#Headers],[ID]]))))</f>
        <v/>
      </c>
      <c r="H82" s="137" t="str">
        <f aca="false">IF(IFERROR(INDEX(tsk_Name,(ROW()-ROW(MSPTasks[[#Headers],[ID]])))="",TRUE()),"",INDEX(tsk_FcFinish,(ROW()-ROW(MSPTasks[[#Headers],[ID]]))))</f>
        <v/>
      </c>
      <c r="I82" s="24" t="str">
        <f aca="false">IF(IFERROR(INDEX(tsk_Name,(ROW()-ROW(MSPTasks[[#Headers],[ID]])))="",TRUE()),"",IF(INDEX(tsk_IsSummary,(ROW()-ROW(MSPTasks[[#Headers],[ID]]))),"",INDEX(tsk_Predecessors,(ROW()-ROW(MSPTasks[[#Headers],[ID]])))))</f>
        <v/>
      </c>
      <c r="J82" s="24" t="str">
        <f aca="false">IF(IFERROR(INDEX(tsk_Name,(ROW()-ROW(MSPTasks[[#Headers],[ID]])))="",TRUE()),"",IF(INDEX(tsk_IsSummary,(ROW()-ROW(MSPTasks[[#Headers],[ID]]))),"",INDEX(tsk_UIDPredecessors,(ROW()-ROW(MSPTasks[[#Headers],[ID]])))))</f>
        <v/>
      </c>
      <c r="K82" s="24" t="str">
        <f aca="false">IF(IFERROR(INDEX(tsk_Name,(ROW()-ROW(MSPTasks[[#Headers],[ID]])))="",TRUE()),"",INDEX(tsk_ResourceNames,(ROW()-ROW(MSPTasks[[#Headers],[ID]])))&amp;"")</f>
        <v/>
      </c>
      <c r="L82" s="24" t="str">
        <f aca="false">IF(IFERROR(INDEX(tsk_Name,(ROW()-ROW(MSPTasks[[#Headers],[ID]])))="",TRUE()),"",IF(INDEX(tsk_IsSummary,(ROW()-ROW(MSPTasks[[#Headers],[ID]]))),"",ROUND(INDEX(tsk_Progress,(ROW()-ROW(MSPTasks[[#Headers],[ID]])))*100,0)))</f>
        <v/>
      </c>
      <c r="M82" s="137" t="str">
        <f aca="false">IF(IFERROR(INDEX(tsk_Name,(ROW()-ROW(MSPTasks[[#Headers],[ID]])))="",TRUE()),"",IF(N(INDEX(tsk_ActStart,(ROW()-ROW(MSPTasks[[#Headers],[ID]]))))=0,"",INDEX(tsk_ActStart,(ROW()-ROW(MSPTasks[[#Headers],[ID]])))))</f>
        <v/>
      </c>
      <c r="N82" s="137" t="str">
        <f aca="false">IF(IFERROR(INDEX(tsk_Name,(ROW()-ROW(MSPTasks[[#Headers],[ID]])))="",TRUE()),"",IF(N(INDEX(tsk_ActFinish,(ROW()-ROW(MSPTasks[[#Headers],[ID]]))))=0,"",INDEX(tsk_ActFinish,(ROW()-ROW(MSPTasks[[#Headers],[ID]])))))</f>
        <v/>
      </c>
      <c r="O82" s="137" t="str">
        <f aca="false">IF(IFERROR(INDEX(tsk_Name,(ROW()-ROW(MSPTasks[[#Headers],[ID]])))="",TRUE()),"",INDEX(tsk_PlanStart,(ROW()-ROW(MSPTasks[[#Headers],[ID]]))))</f>
        <v/>
      </c>
      <c r="P82" s="137" t="str">
        <f aca="false">IF(IFERROR(INDEX(tsk_Name,(ROW()-ROW(MSPTasks[[#Headers],[ID]])))="",TRUE()),"",INDEX(tsk_PlanFinish,(ROW()-ROW(MSPTasks[[#Headers],[ID]]))))</f>
        <v/>
      </c>
      <c r="Q82" s="24" t="str">
        <f aca="false">IF(IFERROR(INDEX(tsk_Name,(ROW()-ROW(MSPTasks[[#Headers],[ID]])))="",TRUE()),"",IF(INDEX(tsk_BaseDuration,(ROW()-ROW(MSPTasks[[#Headers],[ID]])))="","",N(INDEX(tsk_BaseDuration,(ROW()-ROW(MSPTasks[[#Headers],[ID]]))))&amp;"d"))</f>
        <v/>
      </c>
      <c r="R82" s="24" t="str">
        <f aca="false">IF(IFERROR(INDEX(tsk_Name,(ROW()-ROW(MSPTasks[[#Headers],[ID]])))="",TRUE()),"",IF(INDEX(tsk_BaseWork,(ROW()-ROW(MSPTasks[[#Headers],[ID]])))="","",N(INDEX(tsk_BaseWork,(ROW()-ROW(MSPTasks[[#Headers],[ID]]))))&amp;"h"))</f>
        <v/>
      </c>
      <c r="S82" s="24" t="str">
        <f aca="false">IF(IFERROR(INDEX(tsk_Name,(ROW()-ROW(MSPTasks[[#Headers],[ID]])))="",TRUE()),"",IF(INDEX(tsk_BaseCost,(ROW()-ROW(MSPTasks[[#Headers],[ID]])))="","",N(INDEX(tsk_BaseCost,(ROW()-ROW(MSPTasks[[#Headers],[ID]]))))))</f>
        <v/>
      </c>
      <c r="T82" s="24" t="str">
        <f aca="false">IF(IFERROR(INDEX(tsk_Name,(ROW()-ROW(MSPTasks[[#Headers],[ID]])))="",TRUE()),"",IF(INDEX(tsk_IsSummary,(ROW()-ROW(MSPTasks[[#Headers],[ID]]))),"",IF(N(INDEX(tsk_ActCostInput,(ROW()-ROW(MSPTasks[[#Headers],[ID]]))))=0,"",INDEX(tsk_ActCostInput,(ROW()-ROW(MSPTasks[[#Headers],[ID]]))))))</f>
        <v/>
      </c>
      <c r="U8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2" s="137" t="str">
        <f aca="false">IF(IFERROR(INDEX(tsk_Name,(ROW()-ROW(MSPTasks[[#Headers],[ID]])))="",TRUE()),"",IF(OR(INDEX(tsk_IsSummary,(ROW()-ROW(MSPTasks[[#Headers],[ID]]))),INDEX(tsk_Mode,(ROW()-ROW(MSPTasks[[#Headers],[ID]])))="Manual"),"",IF(N(INDEX(tsk_ConstraintCode,(ROW()-ROW(MSPTasks[[#Headers],[ID]]))))&lt;2,"",INDEX(tsk_Constraint,(ROW()-ROW(MSPTasks[[#Headers],[ID]]))))))</f>
        <v/>
      </c>
      <c r="W82" s="137" t="str">
        <f aca="false">IF(IFERROR(INDEX(tsk_Name,(ROW()-ROW(MSPTasks[[#Headers],[ID]])))="",TRUE()),"",IF(N(INDEX(tsk_Deadline,(ROW()-ROW(MSPTasks[[#Headers],[ID]]))))=0,"",INDEX(tsk_Deadline,(ROW()-ROW(MSPTasks[[#Headers],[ID]])))))</f>
        <v/>
      </c>
      <c r="X82" s="24" t="str">
        <f aca="false">IF(IFERROR(INDEX(tsk_Name,(ROW()-ROW(MSPTasks[[#Headers],[ID]])))="",TRUE()),"",IF(INDEX(tsk_IsSummary,(ROW()-ROW(MSPTasks[[#Headers],[ID]]))),"",INDEX(tsk_Sprint,(ROW()-ROW(MSPTasks[[#Headers],[ID]])))&amp;""))</f>
        <v/>
      </c>
      <c r="Y82" s="24" t="str">
        <f aca="false">IF(IFERROR(INDEX(tsk_Name,(ROW()-ROW(MSPTasks[[#Headers],[ID]])))="",TRUE()),"",IF(INDEX(tsk_IsSummary,(ROW()-ROW(MSPTasks[[#Headers],[ID]]))),"",IF(N(INDEX(tsk_StoryPoints,(ROW()-ROW(MSPTasks[[#Headers],[ID]]))))=0,"",INDEX(tsk_StoryPoints,(ROW()-ROW(MSPTasks[[#Headers],[ID]]))))))</f>
        <v/>
      </c>
      <c r="Z82" s="24" t="str">
        <f aca="false">IF(IFERROR(INDEX(tsk_Name,(ROW()-ROW(MSPTasks[[#Headers],[ID]])))="",TRUE()),"",INDEX(tsk_Notes,(ROW()-ROW(MSPTasks[[#Headers],[ID]])))&amp;"")</f>
        <v/>
      </c>
    </row>
    <row r="83" customFormat="false" ht="15" hidden="false" customHeight="false" outlineLevel="0" collapsed="false">
      <c r="A83" s="24" t="str">
        <f aca="false">IF(IFERROR(INDEX(tsk_Name,(ROW()-ROW(MSPTasks[[#Headers],[ID]])))="",TRUE()),"",INDEX(tsk_ID,(ROW()-ROW(MSPTasks[[#Headers],[ID]]))))</f>
        <v/>
      </c>
      <c r="B83" s="24" t="str">
        <f aca="false">IF(IFERROR(INDEX(tsk_Name,(ROW()-ROW(MSPTasks[[#Headers],[ID]])))="",TRUE()),"",INDEX(tsk_UID,(ROW()-ROW(MSPTasks[[#Headers],[ID]]))))</f>
        <v/>
      </c>
      <c r="C83" s="24" t="str">
        <f aca="false">IF(IFERROR(INDEX(tsk_Name,(ROW()-ROW(MSPTasks[[#Headers],[ID]])))="",TRUE()),"",INDEX(tsk_Name,(ROW()-ROW(MSPTasks[[#Headers],[ID]]))))</f>
        <v/>
      </c>
      <c r="D83" s="24" t="str">
        <f aca="false">IF(IFERROR(INDEX(tsk_Name,(ROW()-ROW(MSPTasks[[#Headers],[ID]])))="",TRUE()),"",INDEX(tsk_Level,(ROW()-ROW(MSPTasks[[#Headers],[ID]]))))</f>
        <v/>
      </c>
      <c r="E83" s="24" t="str">
        <f aca="false">IF(IFERROR(INDEX(tsk_Name,(ROW()-ROW(MSPTasks[[#Headers],[ID]])))="",TRUE()),"",IF(INDEX(tsk_Mode,(ROW()-ROW(MSPTasks[[#Headers],[ID]])))="Manual","Manually Scheduled","Auto Scheduled"))</f>
        <v/>
      </c>
      <c r="F83" s="24" t="str">
        <f aca="false">IF(IFERROR(INDEX(tsk_Name,(ROW()-ROW(MSPTasks[[#Headers],[ID]])))="",TRUE()),"",IF(INDEX(tsk_IsSummary,(ROW()-ROW(MSPTasks[[#Headers],[ID]]))),"",N(INDEX(tsk_Duration,(ROW()-ROW(MSPTasks[[#Headers],[ID]]))))&amp;"d"))</f>
        <v/>
      </c>
      <c r="G83" s="137" t="str">
        <f aca="false">IF(IFERROR(INDEX(tsk_Name,(ROW()-ROW(MSPTasks[[#Headers],[ID]])))="",TRUE()),"",INDEX(tsk_FcStart,(ROW()-ROW(MSPTasks[[#Headers],[ID]]))))</f>
        <v/>
      </c>
      <c r="H83" s="137" t="str">
        <f aca="false">IF(IFERROR(INDEX(tsk_Name,(ROW()-ROW(MSPTasks[[#Headers],[ID]])))="",TRUE()),"",INDEX(tsk_FcFinish,(ROW()-ROW(MSPTasks[[#Headers],[ID]]))))</f>
        <v/>
      </c>
      <c r="I83" s="24" t="str">
        <f aca="false">IF(IFERROR(INDEX(tsk_Name,(ROW()-ROW(MSPTasks[[#Headers],[ID]])))="",TRUE()),"",IF(INDEX(tsk_IsSummary,(ROW()-ROW(MSPTasks[[#Headers],[ID]]))),"",INDEX(tsk_Predecessors,(ROW()-ROW(MSPTasks[[#Headers],[ID]])))))</f>
        <v/>
      </c>
      <c r="J83" s="24" t="str">
        <f aca="false">IF(IFERROR(INDEX(tsk_Name,(ROW()-ROW(MSPTasks[[#Headers],[ID]])))="",TRUE()),"",IF(INDEX(tsk_IsSummary,(ROW()-ROW(MSPTasks[[#Headers],[ID]]))),"",INDEX(tsk_UIDPredecessors,(ROW()-ROW(MSPTasks[[#Headers],[ID]])))))</f>
        <v/>
      </c>
      <c r="K83" s="24" t="str">
        <f aca="false">IF(IFERROR(INDEX(tsk_Name,(ROW()-ROW(MSPTasks[[#Headers],[ID]])))="",TRUE()),"",INDEX(tsk_ResourceNames,(ROW()-ROW(MSPTasks[[#Headers],[ID]])))&amp;"")</f>
        <v/>
      </c>
      <c r="L83" s="24" t="str">
        <f aca="false">IF(IFERROR(INDEX(tsk_Name,(ROW()-ROW(MSPTasks[[#Headers],[ID]])))="",TRUE()),"",IF(INDEX(tsk_IsSummary,(ROW()-ROW(MSPTasks[[#Headers],[ID]]))),"",ROUND(INDEX(tsk_Progress,(ROW()-ROW(MSPTasks[[#Headers],[ID]])))*100,0)))</f>
        <v/>
      </c>
      <c r="M83" s="137" t="str">
        <f aca="false">IF(IFERROR(INDEX(tsk_Name,(ROW()-ROW(MSPTasks[[#Headers],[ID]])))="",TRUE()),"",IF(N(INDEX(tsk_ActStart,(ROW()-ROW(MSPTasks[[#Headers],[ID]]))))=0,"",INDEX(tsk_ActStart,(ROW()-ROW(MSPTasks[[#Headers],[ID]])))))</f>
        <v/>
      </c>
      <c r="N83" s="137" t="str">
        <f aca="false">IF(IFERROR(INDEX(tsk_Name,(ROW()-ROW(MSPTasks[[#Headers],[ID]])))="",TRUE()),"",IF(N(INDEX(tsk_ActFinish,(ROW()-ROW(MSPTasks[[#Headers],[ID]]))))=0,"",INDEX(tsk_ActFinish,(ROW()-ROW(MSPTasks[[#Headers],[ID]])))))</f>
        <v/>
      </c>
      <c r="O83" s="137" t="str">
        <f aca="false">IF(IFERROR(INDEX(tsk_Name,(ROW()-ROW(MSPTasks[[#Headers],[ID]])))="",TRUE()),"",INDEX(tsk_PlanStart,(ROW()-ROW(MSPTasks[[#Headers],[ID]]))))</f>
        <v/>
      </c>
      <c r="P83" s="137" t="str">
        <f aca="false">IF(IFERROR(INDEX(tsk_Name,(ROW()-ROW(MSPTasks[[#Headers],[ID]])))="",TRUE()),"",INDEX(tsk_PlanFinish,(ROW()-ROW(MSPTasks[[#Headers],[ID]]))))</f>
        <v/>
      </c>
      <c r="Q83" s="24" t="str">
        <f aca="false">IF(IFERROR(INDEX(tsk_Name,(ROW()-ROW(MSPTasks[[#Headers],[ID]])))="",TRUE()),"",IF(INDEX(tsk_BaseDuration,(ROW()-ROW(MSPTasks[[#Headers],[ID]])))="","",N(INDEX(tsk_BaseDuration,(ROW()-ROW(MSPTasks[[#Headers],[ID]]))))&amp;"d"))</f>
        <v/>
      </c>
      <c r="R83" s="24" t="str">
        <f aca="false">IF(IFERROR(INDEX(tsk_Name,(ROW()-ROW(MSPTasks[[#Headers],[ID]])))="",TRUE()),"",IF(INDEX(tsk_BaseWork,(ROW()-ROW(MSPTasks[[#Headers],[ID]])))="","",N(INDEX(tsk_BaseWork,(ROW()-ROW(MSPTasks[[#Headers],[ID]]))))&amp;"h"))</f>
        <v/>
      </c>
      <c r="S83" s="24" t="str">
        <f aca="false">IF(IFERROR(INDEX(tsk_Name,(ROW()-ROW(MSPTasks[[#Headers],[ID]])))="",TRUE()),"",IF(INDEX(tsk_BaseCost,(ROW()-ROW(MSPTasks[[#Headers],[ID]])))="","",N(INDEX(tsk_BaseCost,(ROW()-ROW(MSPTasks[[#Headers],[ID]]))))))</f>
        <v/>
      </c>
      <c r="T83" s="24" t="str">
        <f aca="false">IF(IFERROR(INDEX(tsk_Name,(ROW()-ROW(MSPTasks[[#Headers],[ID]])))="",TRUE()),"",IF(INDEX(tsk_IsSummary,(ROW()-ROW(MSPTasks[[#Headers],[ID]]))),"",IF(N(INDEX(tsk_ActCostInput,(ROW()-ROW(MSPTasks[[#Headers],[ID]]))))=0,"",INDEX(tsk_ActCostInput,(ROW()-ROW(MSPTasks[[#Headers],[ID]]))))))</f>
        <v/>
      </c>
      <c r="U8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3" s="137" t="str">
        <f aca="false">IF(IFERROR(INDEX(tsk_Name,(ROW()-ROW(MSPTasks[[#Headers],[ID]])))="",TRUE()),"",IF(OR(INDEX(tsk_IsSummary,(ROW()-ROW(MSPTasks[[#Headers],[ID]]))),INDEX(tsk_Mode,(ROW()-ROW(MSPTasks[[#Headers],[ID]])))="Manual"),"",IF(N(INDEX(tsk_ConstraintCode,(ROW()-ROW(MSPTasks[[#Headers],[ID]]))))&lt;2,"",INDEX(tsk_Constraint,(ROW()-ROW(MSPTasks[[#Headers],[ID]]))))))</f>
        <v/>
      </c>
      <c r="W83" s="137" t="str">
        <f aca="false">IF(IFERROR(INDEX(tsk_Name,(ROW()-ROW(MSPTasks[[#Headers],[ID]])))="",TRUE()),"",IF(N(INDEX(tsk_Deadline,(ROW()-ROW(MSPTasks[[#Headers],[ID]]))))=0,"",INDEX(tsk_Deadline,(ROW()-ROW(MSPTasks[[#Headers],[ID]])))))</f>
        <v/>
      </c>
      <c r="X83" s="24" t="str">
        <f aca="false">IF(IFERROR(INDEX(tsk_Name,(ROW()-ROW(MSPTasks[[#Headers],[ID]])))="",TRUE()),"",IF(INDEX(tsk_IsSummary,(ROW()-ROW(MSPTasks[[#Headers],[ID]]))),"",INDEX(tsk_Sprint,(ROW()-ROW(MSPTasks[[#Headers],[ID]])))&amp;""))</f>
        <v/>
      </c>
      <c r="Y83" s="24" t="str">
        <f aca="false">IF(IFERROR(INDEX(tsk_Name,(ROW()-ROW(MSPTasks[[#Headers],[ID]])))="",TRUE()),"",IF(INDEX(tsk_IsSummary,(ROW()-ROW(MSPTasks[[#Headers],[ID]]))),"",IF(N(INDEX(tsk_StoryPoints,(ROW()-ROW(MSPTasks[[#Headers],[ID]]))))=0,"",INDEX(tsk_StoryPoints,(ROW()-ROW(MSPTasks[[#Headers],[ID]]))))))</f>
        <v/>
      </c>
      <c r="Z83" s="24" t="str">
        <f aca="false">IF(IFERROR(INDEX(tsk_Name,(ROW()-ROW(MSPTasks[[#Headers],[ID]])))="",TRUE()),"",INDEX(tsk_Notes,(ROW()-ROW(MSPTasks[[#Headers],[ID]])))&amp;"")</f>
        <v/>
      </c>
    </row>
    <row r="84" customFormat="false" ht="15" hidden="false" customHeight="false" outlineLevel="0" collapsed="false">
      <c r="A84" s="24" t="str">
        <f aca="false">IF(IFERROR(INDEX(tsk_Name,(ROW()-ROW(MSPTasks[[#Headers],[ID]])))="",TRUE()),"",INDEX(tsk_ID,(ROW()-ROW(MSPTasks[[#Headers],[ID]]))))</f>
        <v/>
      </c>
      <c r="B84" s="24" t="str">
        <f aca="false">IF(IFERROR(INDEX(tsk_Name,(ROW()-ROW(MSPTasks[[#Headers],[ID]])))="",TRUE()),"",INDEX(tsk_UID,(ROW()-ROW(MSPTasks[[#Headers],[ID]]))))</f>
        <v/>
      </c>
      <c r="C84" s="24" t="str">
        <f aca="false">IF(IFERROR(INDEX(tsk_Name,(ROW()-ROW(MSPTasks[[#Headers],[ID]])))="",TRUE()),"",INDEX(tsk_Name,(ROW()-ROW(MSPTasks[[#Headers],[ID]]))))</f>
        <v/>
      </c>
      <c r="D84" s="24" t="str">
        <f aca="false">IF(IFERROR(INDEX(tsk_Name,(ROW()-ROW(MSPTasks[[#Headers],[ID]])))="",TRUE()),"",INDEX(tsk_Level,(ROW()-ROW(MSPTasks[[#Headers],[ID]]))))</f>
        <v/>
      </c>
      <c r="E84" s="24" t="str">
        <f aca="false">IF(IFERROR(INDEX(tsk_Name,(ROW()-ROW(MSPTasks[[#Headers],[ID]])))="",TRUE()),"",IF(INDEX(tsk_Mode,(ROW()-ROW(MSPTasks[[#Headers],[ID]])))="Manual","Manually Scheduled","Auto Scheduled"))</f>
        <v/>
      </c>
      <c r="F84" s="24" t="str">
        <f aca="false">IF(IFERROR(INDEX(tsk_Name,(ROW()-ROW(MSPTasks[[#Headers],[ID]])))="",TRUE()),"",IF(INDEX(tsk_IsSummary,(ROW()-ROW(MSPTasks[[#Headers],[ID]]))),"",N(INDEX(tsk_Duration,(ROW()-ROW(MSPTasks[[#Headers],[ID]]))))&amp;"d"))</f>
        <v/>
      </c>
      <c r="G84" s="137" t="str">
        <f aca="false">IF(IFERROR(INDEX(tsk_Name,(ROW()-ROW(MSPTasks[[#Headers],[ID]])))="",TRUE()),"",INDEX(tsk_FcStart,(ROW()-ROW(MSPTasks[[#Headers],[ID]]))))</f>
        <v/>
      </c>
      <c r="H84" s="137" t="str">
        <f aca="false">IF(IFERROR(INDEX(tsk_Name,(ROW()-ROW(MSPTasks[[#Headers],[ID]])))="",TRUE()),"",INDEX(tsk_FcFinish,(ROW()-ROW(MSPTasks[[#Headers],[ID]]))))</f>
        <v/>
      </c>
      <c r="I84" s="24" t="str">
        <f aca="false">IF(IFERROR(INDEX(tsk_Name,(ROW()-ROW(MSPTasks[[#Headers],[ID]])))="",TRUE()),"",IF(INDEX(tsk_IsSummary,(ROW()-ROW(MSPTasks[[#Headers],[ID]]))),"",INDEX(tsk_Predecessors,(ROW()-ROW(MSPTasks[[#Headers],[ID]])))))</f>
        <v/>
      </c>
      <c r="J84" s="24" t="str">
        <f aca="false">IF(IFERROR(INDEX(tsk_Name,(ROW()-ROW(MSPTasks[[#Headers],[ID]])))="",TRUE()),"",IF(INDEX(tsk_IsSummary,(ROW()-ROW(MSPTasks[[#Headers],[ID]]))),"",INDEX(tsk_UIDPredecessors,(ROW()-ROW(MSPTasks[[#Headers],[ID]])))))</f>
        <v/>
      </c>
      <c r="K84" s="24" t="str">
        <f aca="false">IF(IFERROR(INDEX(tsk_Name,(ROW()-ROW(MSPTasks[[#Headers],[ID]])))="",TRUE()),"",INDEX(tsk_ResourceNames,(ROW()-ROW(MSPTasks[[#Headers],[ID]])))&amp;"")</f>
        <v/>
      </c>
      <c r="L84" s="24" t="str">
        <f aca="false">IF(IFERROR(INDEX(tsk_Name,(ROW()-ROW(MSPTasks[[#Headers],[ID]])))="",TRUE()),"",IF(INDEX(tsk_IsSummary,(ROW()-ROW(MSPTasks[[#Headers],[ID]]))),"",ROUND(INDEX(tsk_Progress,(ROW()-ROW(MSPTasks[[#Headers],[ID]])))*100,0)))</f>
        <v/>
      </c>
      <c r="M84" s="137" t="str">
        <f aca="false">IF(IFERROR(INDEX(tsk_Name,(ROW()-ROW(MSPTasks[[#Headers],[ID]])))="",TRUE()),"",IF(N(INDEX(tsk_ActStart,(ROW()-ROW(MSPTasks[[#Headers],[ID]]))))=0,"",INDEX(tsk_ActStart,(ROW()-ROW(MSPTasks[[#Headers],[ID]])))))</f>
        <v/>
      </c>
      <c r="N84" s="137" t="str">
        <f aca="false">IF(IFERROR(INDEX(tsk_Name,(ROW()-ROW(MSPTasks[[#Headers],[ID]])))="",TRUE()),"",IF(N(INDEX(tsk_ActFinish,(ROW()-ROW(MSPTasks[[#Headers],[ID]]))))=0,"",INDEX(tsk_ActFinish,(ROW()-ROW(MSPTasks[[#Headers],[ID]])))))</f>
        <v/>
      </c>
      <c r="O84" s="137" t="str">
        <f aca="false">IF(IFERROR(INDEX(tsk_Name,(ROW()-ROW(MSPTasks[[#Headers],[ID]])))="",TRUE()),"",INDEX(tsk_PlanStart,(ROW()-ROW(MSPTasks[[#Headers],[ID]]))))</f>
        <v/>
      </c>
      <c r="P84" s="137" t="str">
        <f aca="false">IF(IFERROR(INDEX(tsk_Name,(ROW()-ROW(MSPTasks[[#Headers],[ID]])))="",TRUE()),"",INDEX(tsk_PlanFinish,(ROW()-ROW(MSPTasks[[#Headers],[ID]]))))</f>
        <v/>
      </c>
      <c r="Q84" s="24" t="str">
        <f aca="false">IF(IFERROR(INDEX(tsk_Name,(ROW()-ROW(MSPTasks[[#Headers],[ID]])))="",TRUE()),"",IF(INDEX(tsk_BaseDuration,(ROW()-ROW(MSPTasks[[#Headers],[ID]])))="","",N(INDEX(tsk_BaseDuration,(ROW()-ROW(MSPTasks[[#Headers],[ID]]))))&amp;"d"))</f>
        <v/>
      </c>
      <c r="R84" s="24" t="str">
        <f aca="false">IF(IFERROR(INDEX(tsk_Name,(ROW()-ROW(MSPTasks[[#Headers],[ID]])))="",TRUE()),"",IF(INDEX(tsk_BaseWork,(ROW()-ROW(MSPTasks[[#Headers],[ID]])))="","",N(INDEX(tsk_BaseWork,(ROW()-ROW(MSPTasks[[#Headers],[ID]]))))&amp;"h"))</f>
        <v/>
      </c>
      <c r="S84" s="24" t="str">
        <f aca="false">IF(IFERROR(INDEX(tsk_Name,(ROW()-ROW(MSPTasks[[#Headers],[ID]])))="",TRUE()),"",IF(INDEX(tsk_BaseCost,(ROW()-ROW(MSPTasks[[#Headers],[ID]])))="","",N(INDEX(tsk_BaseCost,(ROW()-ROW(MSPTasks[[#Headers],[ID]]))))))</f>
        <v/>
      </c>
      <c r="T84" s="24" t="str">
        <f aca="false">IF(IFERROR(INDEX(tsk_Name,(ROW()-ROW(MSPTasks[[#Headers],[ID]])))="",TRUE()),"",IF(INDEX(tsk_IsSummary,(ROW()-ROW(MSPTasks[[#Headers],[ID]]))),"",IF(N(INDEX(tsk_ActCostInput,(ROW()-ROW(MSPTasks[[#Headers],[ID]]))))=0,"",INDEX(tsk_ActCostInput,(ROW()-ROW(MSPTasks[[#Headers],[ID]]))))))</f>
        <v/>
      </c>
      <c r="U8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4" s="137" t="str">
        <f aca="false">IF(IFERROR(INDEX(tsk_Name,(ROW()-ROW(MSPTasks[[#Headers],[ID]])))="",TRUE()),"",IF(OR(INDEX(tsk_IsSummary,(ROW()-ROW(MSPTasks[[#Headers],[ID]]))),INDEX(tsk_Mode,(ROW()-ROW(MSPTasks[[#Headers],[ID]])))="Manual"),"",IF(N(INDEX(tsk_ConstraintCode,(ROW()-ROW(MSPTasks[[#Headers],[ID]]))))&lt;2,"",INDEX(tsk_Constraint,(ROW()-ROW(MSPTasks[[#Headers],[ID]]))))))</f>
        <v/>
      </c>
      <c r="W84" s="137" t="str">
        <f aca="false">IF(IFERROR(INDEX(tsk_Name,(ROW()-ROW(MSPTasks[[#Headers],[ID]])))="",TRUE()),"",IF(N(INDEX(tsk_Deadline,(ROW()-ROW(MSPTasks[[#Headers],[ID]]))))=0,"",INDEX(tsk_Deadline,(ROW()-ROW(MSPTasks[[#Headers],[ID]])))))</f>
        <v/>
      </c>
      <c r="X84" s="24" t="str">
        <f aca="false">IF(IFERROR(INDEX(tsk_Name,(ROW()-ROW(MSPTasks[[#Headers],[ID]])))="",TRUE()),"",IF(INDEX(tsk_IsSummary,(ROW()-ROW(MSPTasks[[#Headers],[ID]]))),"",INDEX(tsk_Sprint,(ROW()-ROW(MSPTasks[[#Headers],[ID]])))&amp;""))</f>
        <v/>
      </c>
      <c r="Y84" s="24" t="str">
        <f aca="false">IF(IFERROR(INDEX(tsk_Name,(ROW()-ROW(MSPTasks[[#Headers],[ID]])))="",TRUE()),"",IF(INDEX(tsk_IsSummary,(ROW()-ROW(MSPTasks[[#Headers],[ID]]))),"",IF(N(INDEX(tsk_StoryPoints,(ROW()-ROW(MSPTasks[[#Headers],[ID]]))))=0,"",INDEX(tsk_StoryPoints,(ROW()-ROW(MSPTasks[[#Headers],[ID]]))))))</f>
        <v/>
      </c>
      <c r="Z84" s="24" t="str">
        <f aca="false">IF(IFERROR(INDEX(tsk_Name,(ROW()-ROW(MSPTasks[[#Headers],[ID]])))="",TRUE()),"",INDEX(tsk_Notes,(ROW()-ROW(MSPTasks[[#Headers],[ID]])))&amp;"")</f>
        <v/>
      </c>
    </row>
    <row r="85" customFormat="false" ht="15" hidden="false" customHeight="false" outlineLevel="0" collapsed="false">
      <c r="A85" s="24" t="str">
        <f aca="false">IF(IFERROR(INDEX(tsk_Name,(ROW()-ROW(MSPTasks[[#Headers],[ID]])))="",TRUE()),"",INDEX(tsk_ID,(ROW()-ROW(MSPTasks[[#Headers],[ID]]))))</f>
        <v/>
      </c>
      <c r="B85" s="24" t="str">
        <f aca="false">IF(IFERROR(INDEX(tsk_Name,(ROW()-ROW(MSPTasks[[#Headers],[ID]])))="",TRUE()),"",INDEX(tsk_UID,(ROW()-ROW(MSPTasks[[#Headers],[ID]]))))</f>
        <v/>
      </c>
      <c r="C85" s="24" t="str">
        <f aca="false">IF(IFERROR(INDEX(tsk_Name,(ROW()-ROW(MSPTasks[[#Headers],[ID]])))="",TRUE()),"",INDEX(tsk_Name,(ROW()-ROW(MSPTasks[[#Headers],[ID]]))))</f>
        <v/>
      </c>
      <c r="D85" s="24" t="str">
        <f aca="false">IF(IFERROR(INDEX(tsk_Name,(ROW()-ROW(MSPTasks[[#Headers],[ID]])))="",TRUE()),"",INDEX(tsk_Level,(ROW()-ROW(MSPTasks[[#Headers],[ID]]))))</f>
        <v/>
      </c>
      <c r="E85" s="24" t="str">
        <f aca="false">IF(IFERROR(INDEX(tsk_Name,(ROW()-ROW(MSPTasks[[#Headers],[ID]])))="",TRUE()),"",IF(INDEX(tsk_Mode,(ROW()-ROW(MSPTasks[[#Headers],[ID]])))="Manual","Manually Scheduled","Auto Scheduled"))</f>
        <v/>
      </c>
      <c r="F85" s="24" t="str">
        <f aca="false">IF(IFERROR(INDEX(tsk_Name,(ROW()-ROW(MSPTasks[[#Headers],[ID]])))="",TRUE()),"",IF(INDEX(tsk_IsSummary,(ROW()-ROW(MSPTasks[[#Headers],[ID]]))),"",N(INDEX(tsk_Duration,(ROW()-ROW(MSPTasks[[#Headers],[ID]]))))&amp;"d"))</f>
        <v/>
      </c>
      <c r="G85" s="137" t="str">
        <f aca="false">IF(IFERROR(INDEX(tsk_Name,(ROW()-ROW(MSPTasks[[#Headers],[ID]])))="",TRUE()),"",INDEX(tsk_FcStart,(ROW()-ROW(MSPTasks[[#Headers],[ID]]))))</f>
        <v/>
      </c>
      <c r="H85" s="137" t="str">
        <f aca="false">IF(IFERROR(INDEX(tsk_Name,(ROW()-ROW(MSPTasks[[#Headers],[ID]])))="",TRUE()),"",INDEX(tsk_FcFinish,(ROW()-ROW(MSPTasks[[#Headers],[ID]]))))</f>
        <v/>
      </c>
      <c r="I85" s="24" t="str">
        <f aca="false">IF(IFERROR(INDEX(tsk_Name,(ROW()-ROW(MSPTasks[[#Headers],[ID]])))="",TRUE()),"",IF(INDEX(tsk_IsSummary,(ROW()-ROW(MSPTasks[[#Headers],[ID]]))),"",INDEX(tsk_Predecessors,(ROW()-ROW(MSPTasks[[#Headers],[ID]])))))</f>
        <v/>
      </c>
      <c r="J85" s="24" t="str">
        <f aca="false">IF(IFERROR(INDEX(tsk_Name,(ROW()-ROW(MSPTasks[[#Headers],[ID]])))="",TRUE()),"",IF(INDEX(tsk_IsSummary,(ROW()-ROW(MSPTasks[[#Headers],[ID]]))),"",INDEX(tsk_UIDPredecessors,(ROW()-ROW(MSPTasks[[#Headers],[ID]])))))</f>
        <v/>
      </c>
      <c r="K85" s="24" t="str">
        <f aca="false">IF(IFERROR(INDEX(tsk_Name,(ROW()-ROW(MSPTasks[[#Headers],[ID]])))="",TRUE()),"",INDEX(tsk_ResourceNames,(ROW()-ROW(MSPTasks[[#Headers],[ID]])))&amp;"")</f>
        <v/>
      </c>
      <c r="L85" s="24" t="str">
        <f aca="false">IF(IFERROR(INDEX(tsk_Name,(ROW()-ROW(MSPTasks[[#Headers],[ID]])))="",TRUE()),"",IF(INDEX(tsk_IsSummary,(ROW()-ROW(MSPTasks[[#Headers],[ID]]))),"",ROUND(INDEX(tsk_Progress,(ROW()-ROW(MSPTasks[[#Headers],[ID]])))*100,0)))</f>
        <v/>
      </c>
      <c r="M85" s="137" t="str">
        <f aca="false">IF(IFERROR(INDEX(tsk_Name,(ROW()-ROW(MSPTasks[[#Headers],[ID]])))="",TRUE()),"",IF(N(INDEX(tsk_ActStart,(ROW()-ROW(MSPTasks[[#Headers],[ID]]))))=0,"",INDEX(tsk_ActStart,(ROW()-ROW(MSPTasks[[#Headers],[ID]])))))</f>
        <v/>
      </c>
      <c r="N85" s="137" t="str">
        <f aca="false">IF(IFERROR(INDEX(tsk_Name,(ROW()-ROW(MSPTasks[[#Headers],[ID]])))="",TRUE()),"",IF(N(INDEX(tsk_ActFinish,(ROW()-ROW(MSPTasks[[#Headers],[ID]]))))=0,"",INDEX(tsk_ActFinish,(ROW()-ROW(MSPTasks[[#Headers],[ID]])))))</f>
        <v/>
      </c>
      <c r="O85" s="137" t="str">
        <f aca="false">IF(IFERROR(INDEX(tsk_Name,(ROW()-ROW(MSPTasks[[#Headers],[ID]])))="",TRUE()),"",INDEX(tsk_PlanStart,(ROW()-ROW(MSPTasks[[#Headers],[ID]]))))</f>
        <v/>
      </c>
      <c r="P85" s="137" t="str">
        <f aca="false">IF(IFERROR(INDEX(tsk_Name,(ROW()-ROW(MSPTasks[[#Headers],[ID]])))="",TRUE()),"",INDEX(tsk_PlanFinish,(ROW()-ROW(MSPTasks[[#Headers],[ID]]))))</f>
        <v/>
      </c>
      <c r="Q85" s="24" t="str">
        <f aca="false">IF(IFERROR(INDEX(tsk_Name,(ROW()-ROW(MSPTasks[[#Headers],[ID]])))="",TRUE()),"",IF(INDEX(tsk_BaseDuration,(ROW()-ROW(MSPTasks[[#Headers],[ID]])))="","",N(INDEX(tsk_BaseDuration,(ROW()-ROW(MSPTasks[[#Headers],[ID]]))))&amp;"d"))</f>
        <v/>
      </c>
      <c r="R85" s="24" t="str">
        <f aca="false">IF(IFERROR(INDEX(tsk_Name,(ROW()-ROW(MSPTasks[[#Headers],[ID]])))="",TRUE()),"",IF(INDEX(tsk_BaseWork,(ROW()-ROW(MSPTasks[[#Headers],[ID]])))="","",N(INDEX(tsk_BaseWork,(ROW()-ROW(MSPTasks[[#Headers],[ID]]))))&amp;"h"))</f>
        <v/>
      </c>
      <c r="S85" s="24" t="str">
        <f aca="false">IF(IFERROR(INDEX(tsk_Name,(ROW()-ROW(MSPTasks[[#Headers],[ID]])))="",TRUE()),"",IF(INDEX(tsk_BaseCost,(ROW()-ROW(MSPTasks[[#Headers],[ID]])))="","",N(INDEX(tsk_BaseCost,(ROW()-ROW(MSPTasks[[#Headers],[ID]]))))))</f>
        <v/>
      </c>
      <c r="T85" s="24" t="str">
        <f aca="false">IF(IFERROR(INDEX(tsk_Name,(ROW()-ROW(MSPTasks[[#Headers],[ID]])))="",TRUE()),"",IF(INDEX(tsk_IsSummary,(ROW()-ROW(MSPTasks[[#Headers],[ID]]))),"",IF(N(INDEX(tsk_ActCostInput,(ROW()-ROW(MSPTasks[[#Headers],[ID]]))))=0,"",INDEX(tsk_ActCostInput,(ROW()-ROW(MSPTasks[[#Headers],[ID]]))))))</f>
        <v/>
      </c>
      <c r="U8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5" s="137" t="str">
        <f aca="false">IF(IFERROR(INDEX(tsk_Name,(ROW()-ROW(MSPTasks[[#Headers],[ID]])))="",TRUE()),"",IF(OR(INDEX(tsk_IsSummary,(ROW()-ROW(MSPTasks[[#Headers],[ID]]))),INDEX(tsk_Mode,(ROW()-ROW(MSPTasks[[#Headers],[ID]])))="Manual"),"",IF(N(INDEX(tsk_ConstraintCode,(ROW()-ROW(MSPTasks[[#Headers],[ID]]))))&lt;2,"",INDEX(tsk_Constraint,(ROW()-ROW(MSPTasks[[#Headers],[ID]]))))))</f>
        <v/>
      </c>
      <c r="W85" s="137" t="str">
        <f aca="false">IF(IFERROR(INDEX(tsk_Name,(ROW()-ROW(MSPTasks[[#Headers],[ID]])))="",TRUE()),"",IF(N(INDEX(tsk_Deadline,(ROW()-ROW(MSPTasks[[#Headers],[ID]]))))=0,"",INDEX(tsk_Deadline,(ROW()-ROW(MSPTasks[[#Headers],[ID]])))))</f>
        <v/>
      </c>
      <c r="X85" s="24" t="str">
        <f aca="false">IF(IFERROR(INDEX(tsk_Name,(ROW()-ROW(MSPTasks[[#Headers],[ID]])))="",TRUE()),"",IF(INDEX(tsk_IsSummary,(ROW()-ROW(MSPTasks[[#Headers],[ID]]))),"",INDEX(tsk_Sprint,(ROW()-ROW(MSPTasks[[#Headers],[ID]])))&amp;""))</f>
        <v/>
      </c>
      <c r="Y85" s="24" t="str">
        <f aca="false">IF(IFERROR(INDEX(tsk_Name,(ROW()-ROW(MSPTasks[[#Headers],[ID]])))="",TRUE()),"",IF(INDEX(tsk_IsSummary,(ROW()-ROW(MSPTasks[[#Headers],[ID]]))),"",IF(N(INDEX(tsk_StoryPoints,(ROW()-ROW(MSPTasks[[#Headers],[ID]]))))=0,"",INDEX(tsk_StoryPoints,(ROW()-ROW(MSPTasks[[#Headers],[ID]]))))))</f>
        <v/>
      </c>
      <c r="Z85" s="24" t="str">
        <f aca="false">IF(IFERROR(INDEX(tsk_Name,(ROW()-ROW(MSPTasks[[#Headers],[ID]])))="",TRUE()),"",INDEX(tsk_Notes,(ROW()-ROW(MSPTasks[[#Headers],[ID]])))&amp;"")</f>
        <v/>
      </c>
    </row>
    <row r="86" customFormat="false" ht="15" hidden="false" customHeight="false" outlineLevel="0" collapsed="false">
      <c r="A86" s="24" t="str">
        <f aca="false">IF(IFERROR(INDEX(tsk_Name,(ROW()-ROW(MSPTasks[[#Headers],[ID]])))="",TRUE()),"",INDEX(tsk_ID,(ROW()-ROW(MSPTasks[[#Headers],[ID]]))))</f>
        <v/>
      </c>
      <c r="B86" s="24" t="str">
        <f aca="false">IF(IFERROR(INDEX(tsk_Name,(ROW()-ROW(MSPTasks[[#Headers],[ID]])))="",TRUE()),"",INDEX(tsk_UID,(ROW()-ROW(MSPTasks[[#Headers],[ID]]))))</f>
        <v/>
      </c>
      <c r="C86" s="24" t="str">
        <f aca="false">IF(IFERROR(INDEX(tsk_Name,(ROW()-ROW(MSPTasks[[#Headers],[ID]])))="",TRUE()),"",INDEX(tsk_Name,(ROW()-ROW(MSPTasks[[#Headers],[ID]]))))</f>
        <v/>
      </c>
      <c r="D86" s="24" t="str">
        <f aca="false">IF(IFERROR(INDEX(tsk_Name,(ROW()-ROW(MSPTasks[[#Headers],[ID]])))="",TRUE()),"",INDEX(tsk_Level,(ROW()-ROW(MSPTasks[[#Headers],[ID]]))))</f>
        <v/>
      </c>
      <c r="E86" s="24" t="str">
        <f aca="false">IF(IFERROR(INDEX(tsk_Name,(ROW()-ROW(MSPTasks[[#Headers],[ID]])))="",TRUE()),"",IF(INDEX(tsk_Mode,(ROW()-ROW(MSPTasks[[#Headers],[ID]])))="Manual","Manually Scheduled","Auto Scheduled"))</f>
        <v/>
      </c>
      <c r="F86" s="24" t="str">
        <f aca="false">IF(IFERROR(INDEX(tsk_Name,(ROW()-ROW(MSPTasks[[#Headers],[ID]])))="",TRUE()),"",IF(INDEX(tsk_IsSummary,(ROW()-ROW(MSPTasks[[#Headers],[ID]]))),"",N(INDEX(tsk_Duration,(ROW()-ROW(MSPTasks[[#Headers],[ID]]))))&amp;"d"))</f>
        <v/>
      </c>
      <c r="G86" s="137" t="str">
        <f aca="false">IF(IFERROR(INDEX(tsk_Name,(ROW()-ROW(MSPTasks[[#Headers],[ID]])))="",TRUE()),"",INDEX(tsk_FcStart,(ROW()-ROW(MSPTasks[[#Headers],[ID]]))))</f>
        <v/>
      </c>
      <c r="H86" s="137" t="str">
        <f aca="false">IF(IFERROR(INDEX(tsk_Name,(ROW()-ROW(MSPTasks[[#Headers],[ID]])))="",TRUE()),"",INDEX(tsk_FcFinish,(ROW()-ROW(MSPTasks[[#Headers],[ID]]))))</f>
        <v/>
      </c>
      <c r="I86" s="24" t="str">
        <f aca="false">IF(IFERROR(INDEX(tsk_Name,(ROW()-ROW(MSPTasks[[#Headers],[ID]])))="",TRUE()),"",IF(INDEX(tsk_IsSummary,(ROW()-ROW(MSPTasks[[#Headers],[ID]]))),"",INDEX(tsk_Predecessors,(ROW()-ROW(MSPTasks[[#Headers],[ID]])))))</f>
        <v/>
      </c>
      <c r="J86" s="24" t="str">
        <f aca="false">IF(IFERROR(INDEX(tsk_Name,(ROW()-ROW(MSPTasks[[#Headers],[ID]])))="",TRUE()),"",IF(INDEX(tsk_IsSummary,(ROW()-ROW(MSPTasks[[#Headers],[ID]]))),"",INDEX(tsk_UIDPredecessors,(ROW()-ROW(MSPTasks[[#Headers],[ID]])))))</f>
        <v/>
      </c>
      <c r="K86" s="24" t="str">
        <f aca="false">IF(IFERROR(INDEX(tsk_Name,(ROW()-ROW(MSPTasks[[#Headers],[ID]])))="",TRUE()),"",INDEX(tsk_ResourceNames,(ROW()-ROW(MSPTasks[[#Headers],[ID]])))&amp;"")</f>
        <v/>
      </c>
      <c r="L86" s="24" t="str">
        <f aca="false">IF(IFERROR(INDEX(tsk_Name,(ROW()-ROW(MSPTasks[[#Headers],[ID]])))="",TRUE()),"",IF(INDEX(tsk_IsSummary,(ROW()-ROW(MSPTasks[[#Headers],[ID]]))),"",ROUND(INDEX(tsk_Progress,(ROW()-ROW(MSPTasks[[#Headers],[ID]])))*100,0)))</f>
        <v/>
      </c>
      <c r="M86" s="137" t="str">
        <f aca="false">IF(IFERROR(INDEX(tsk_Name,(ROW()-ROW(MSPTasks[[#Headers],[ID]])))="",TRUE()),"",IF(N(INDEX(tsk_ActStart,(ROW()-ROW(MSPTasks[[#Headers],[ID]]))))=0,"",INDEX(tsk_ActStart,(ROW()-ROW(MSPTasks[[#Headers],[ID]])))))</f>
        <v/>
      </c>
      <c r="N86" s="137" t="str">
        <f aca="false">IF(IFERROR(INDEX(tsk_Name,(ROW()-ROW(MSPTasks[[#Headers],[ID]])))="",TRUE()),"",IF(N(INDEX(tsk_ActFinish,(ROW()-ROW(MSPTasks[[#Headers],[ID]]))))=0,"",INDEX(tsk_ActFinish,(ROW()-ROW(MSPTasks[[#Headers],[ID]])))))</f>
        <v/>
      </c>
      <c r="O86" s="137" t="str">
        <f aca="false">IF(IFERROR(INDEX(tsk_Name,(ROW()-ROW(MSPTasks[[#Headers],[ID]])))="",TRUE()),"",INDEX(tsk_PlanStart,(ROW()-ROW(MSPTasks[[#Headers],[ID]]))))</f>
        <v/>
      </c>
      <c r="P86" s="137" t="str">
        <f aca="false">IF(IFERROR(INDEX(tsk_Name,(ROW()-ROW(MSPTasks[[#Headers],[ID]])))="",TRUE()),"",INDEX(tsk_PlanFinish,(ROW()-ROW(MSPTasks[[#Headers],[ID]]))))</f>
        <v/>
      </c>
      <c r="Q86" s="24" t="str">
        <f aca="false">IF(IFERROR(INDEX(tsk_Name,(ROW()-ROW(MSPTasks[[#Headers],[ID]])))="",TRUE()),"",IF(INDEX(tsk_BaseDuration,(ROW()-ROW(MSPTasks[[#Headers],[ID]])))="","",N(INDEX(tsk_BaseDuration,(ROW()-ROW(MSPTasks[[#Headers],[ID]]))))&amp;"d"))</f>
        <v/>
      </c>
      <c r="R86" s="24" t="str">
        <f aca="false">IF(IFERROR(INDEX(tsk_Name,(ROW()-ROW(MSPTasks[[#Headers],[ID]])))="",TRUE()),"",IF(INDEX(tsk_BaseWork,(ROW()-ROW(MSPTasks[[#Headers],[ID]])))="","",N(INDEX(tsk_BaseWork,(ROW()-ROW(MSPTasks[[#Headers],[ID]]))))&amp;"h"))</f>
        <v/>
      </c>
      <c r="S86" s="24" t="str">
        <f aca="false">IF(IFERROR(INDEX(tsk_Name,(ROW()-ROW(MSPTasks[[#Headers],[ID]])))="",TRUE()),"",IF(INDEX(tsk_BaseCost,(ROW()-ROW(MSPTasks[[#Headers],[ID]])))="","",N(INDEX(tsk_BaseCost,(ROW()-ROW(MSPTasks[[#Headers],[ID]]))))))</f>
        <v/>
      </c>
      <c r="T86" s="24" t="str">
        <f aca="false">IF(IFERROR(INDEX(tsk_Name,(ROW()-ROW(MSPTasks[[#Headers],[ID]])))="",TRUE()),"",IF(INDEX(tsk_IsSummary,(ROW()-ROW(MSPTasks[[#Headers],[ID]]))),"",IF(N(INDEX(tsk_ActCostInput,(ROW()-ROW(MSPTasks[[#Headers],[ID]]))))=0,"",INDEX(tsk_ActCostInput,(ROW()-ROW(MSPTasks[[#Headers],[ID]]))))))</f>
        <v/>
      </c>
      <c r="U8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6" s="137" t="str">
        <f aca="false">IF(IFERROR(INDEX(tsk_Name,(ROW()-ROW(MSPTasks[[#Headers],[ID]])))="",TRUE()),"",IF(OR(INDEX(tsk_IsSummary,(ROW()-ROW(MSPTasks[[#Headers],[ID]]))),INDEX(tsk_Mode,(ROW()-ROW(MSPTasks[[#Headers],[ID]])))="Manual"),"",IF(N(INDEX(tsk_ConstraintCode,(ROW()-ROW(MSPTasks[[#Headers],[ID]]))))&lt;2,"",INDEX(tsk_Constraint,(ROW()-ROW(MSPTasks[[#Headers],[ID]]))))))</f>
        <v/>
      </c>
      <c r="W86" s="137" t="str">
        <f aca="false">IF(IFERROR(INDEX(tsk_Name,(ROW()-ROW(MSPTasks[[#Headers],[ID]])))="",TRUE()),"",IF(N(INDEX(tsk_Deadline,(ROW()-ROW(MSPTasks[[#Headers],[ID]]))))=0,"",INDEX(tsk_Deadline,(ROW()-ROW(MSPTasks[[#Headers],[ID]])))))</f>
        <v/>
      </c>
      <c r="X86" s="24" t="str">
        <f aca="false">IF(IFERROR(INDEX(tsk_Name,(ROW()-ROW(MSPTasks[[#Headers],[ID]])))="",TRUE()),"",IF(INDEX(tsk_IsSummary,(ROW()-ROW(MSPTasks[[#Headers],[ID]]))),"",INDEX(tsk_Sprint,(ROW()-ROW(MSPTasks[[#Headers],[ID]])))&amp;""))</f>
        <v/>
      </c>
      <c r="Y86" s="24" t="str">
        <f aca="false">IF(IFERROR(INDEX(tsk_Name,(ROW()-ROW(MSPTasks[[#Headers],[ID]])))="",TRUE()),"",IF(INDEX(tsk_IsSummary,(ROW()-ROW(MSPTasks[[#Headers],[ID]]))),"",IF(N(INDEX(tsk_StoryPoints,(ROW()-ROW(MSPTasks[[#Headers],[ID]]))))=0,"",INDEX(tsk_StoryPoints,(ROW()-ROW(MSPTasks[[#Headers],[ID]]))))))</f>
        <v/>
      </c>
      <c r="Z86" s="24" t="str">
        <f aca="false">IF(IFERROR(INDEX(tsk_Name,(ROW()-ROW(MSPTasks[[#Headers],[ID]])))="",TRUE()),"",INDEX(tsk_Notes,(ROW()-ROW(MSPTasks[[#Headers],[ID]])))&amp;"")</f>
        <v/>
      </c>
    </row>
    <row r="87" customFormat="false" ht="15" hidden="false" customHeight="false" outlineLevel="0" collapsed="false">
      <c r="A87" s="24" t="str">
        <f aca="false">IF(IFERROR(INDEX(tsk_Name,(ROW()-ROW(MSPTasks[[#Headers],[ID]])))="",TRUE()),"",INDEX(tsk_ID,(ROW()-ROW(MSPTasks[[#Headers],[ID]]))))</f>
        <v/>
      </c>
      <c r="B87" s="24" t="str">
        <f aca="false">IF(IFERROR(INDEX(tsk_Name,(ROW()-ROW(MSPTasks[[#Headers],[ID]])))="",TRUE()),"",INDEX(tsk_UID,(ROW()-ROW(MSPTasks[[#Headers],[ID]]))))</f>
        <v/>
      </c>
      <c r="C87" s="24" t="str">
        <f aca="false">IF(IFERROR(INDEX(tsk_Name,(ROW()-ROW(MSPTasks[[#Headers],[ID]])))="",TRUE()),"",INDEX(tsk_Name,(ROW()-ROW(MSPTasks[[#Headers],[ID]]))))</f>
        <v/>
      </c>
      <c r="D87" s="24" t="str">
        <f aca="false">IF(IFERROR(INDEX(tsk_Name,(ROW()-ROW(MSPTasks[[#Headers],[ID]])))="",TRUE()),"",INDEX(tsk_Level,(ROW()-ROW(MSPTasks[[#Headers],[ID]]))))</f>
        <v/>
      </c>
      <c r="E87" s="24" t="str">
        <f aca="false">IF(IFERROR(INDEX(tsk_Name,(ROW()-ROW(MSPTasks[[#Headers],[ID]])))="",TRUE()),"",IF(INDEX(tsk_Mode,(ROW()-ROW(MSPTasks[[#Headers],[ID]])))="Manual","Manually Scheduled","Auto Scheduled"))</f>
        <v/>
      </c>
      <c r="F87" s="24" t="str">
        <f aca="false">IF(IFERROR(INDEX(tsk_Name,(ROW()-ROW(MSPTasks[[#Headers],[ID]])))="",TRUE()),"",IF(INDEX(tsk_IsSummary,(ROW()-ROW(MSPTasks[[#Headers],[ID]]))),"",N(INDEX(tsk_Duration,(ROW()-ROW(MSPTasks[[#Headers],[ID]]))))&amp;"d"))</f>
        <v/>
      </c>
      <c r="G87" s="137" t="str">
        <f aca="false">IF(IFERROR(INDEX(tsk_Name,(ROW()-ROW(MSPTasks[[#Headers],[ID]])))="",TRUE()),"",INDEX(tsk_FcStart,(ROW()-ROW(MSPTasks[[#Headers],[ID]]))))</f>
        <v/>
      </c>
      <c r="H87" s="137" t="str">
        <f aca="false">IF(IFERROR(INDEX(tsk_Name,(ROW()-ROW(MSPTasks[[#Headers],[ID]])))="",TRUE()),"",INDEX(tsk_FcFinish,(ROW()-ROW(MSPTasks[[#Headers],[ID]]))))</f>
        <v/>
      </c>
      <c r="I87" s="24" t="str">
        <f aca="false">IF(IFERROR(INDEX(tsk_Name,(ROW()-ROW(MSPTasks[[#Headers],[ID]])))="",TRUE()),"",IF(INDEX(tsk_IsSummary,(ROW()-ROW(MSPTasks[[#Headers],[ID]]))),"",INDEX(tsk_Predecessors,(ROW()-ROW(MSPTasks[[#Headers],[ID]])))))</f>
        <v/>
      </c>
      <c r="J87" s="24" t="str">
        <f aca="false">IF(IFERROR(INDEX(tsk_Name,(ROW()-ROW(MSPTasks[[#Headers],[ID]])))="",TRUE()),"",IF(INDEX(tsk_IsSummary,(ROW()-ROW(MSPTasks[[#Headers],[ID]]))),"",INDEX(tsk_UIDPredecessors,(ROW()-ROW(MSPTasks[[#Headers],[ID]])))))</f>
        <v/>
      </c>
      <c r="K87" s="24" t="str">
        <f aca="false">IF(IFERROR(INDEX(tsk_Name,(ROW()-ROW(MSPTasks[[#Headers],[ID]])))="",TRUE()),"",INDEX(tsk_ResourceNames,(ROW()-ROW(MSPTasks[[#Headers],[ID]])))&amp;"")</f>
        <v/>
      </c>
      <c r="L87" s="24" t="str">
        <f aca="false">IF(IFERROR(INDEX(tsk_Name,(ROW()-ROW(MSPTasks[[#Headers],[ID]])))="",TRUE()),"",IF(INDEX(tsk_IsSummary,(ROW()-ROW(MSPTasks[[#Headers],[ID]]))),"",ROUND(INDEX(tsk_Progress,(ROW()-ROW(MSPTasks[[#Headers],[ID]])))*100,0)))</f>
        <v/>
      </c>
      <c r="M87" s="137" t="str">
        <f aca="false">IF(IFERROR(INDEX(tsk_Name,(ROW()-ROW(MSPTasks[[#Headers],[ID]])))="",TRUE()),"",IF(N(INDEX(tsk_ActStart,(ROW()-ROW(MSPTasks[[#Headers],[ID]]))))=0,"",INDEX(tsk_ActStart,(ROW()-ROW(MSPTasks[[#Headers],[ID]])))))</f>
        <v/>
      </c>
      <c r="N87" s="137" t="str">
        <f aca="false">IF(IFERROR(INDEX(tsk_Name,(ROW()-ROW(MSPTasks[[#Headers],[ID]])))="",TRUE()),"",IF(N(INDEX(tsk_ActFinish,(ROW()-ROW(MSPTasks[[#Headers],[ID]]))))=0,"",INDEX(tsk_ActFinish,(ROW()-ROW(MSPTasks[[#Headers],[ID]])))))</f>
        <v/>
      </c>
      <c r="O87" s="137" t="str">
        <f aca="false">IF(IFERROR(INDEX(tsk_Name,(ROW()-ROW(MSPTasks[[#Headers],[ID]])))="",TRUE()),"",INDEX(tsk_PlanStart,(ROW()-ROW(MSPTasks[[#Headers],[ID]]))))</f>
        <v/>
      </c>
      <c r="P87" s="137" t="str">
        <f aca="false">IF(IFERROR(INDEX(tsk_Name,(ROW()-ROW(MSPTasks[[#Headers],[ID]])))="",TRUE()),"",INDEX(tsk_PlanFinish,(ROW()-ROW(MSPTasks[[#Headers],[ID]]))))</f>
        <v/>
      </c>
      <c r="Q87" s="24" t="str">
        <f aca="false">IF(IFERROR(INDEX(tsk_Name,(ROW()-ROW(MSPTasks[[#Headers],[ID]])))="",TRUE()),"",IF(INDEX(tsk_BaseDuration,(ROW()-ROW(MSPTasks[[#Headers],[ID]])))="","",N(INDEX(tsk_BaseDuration,(ROW()-ROW(MSPTasks[[#Headers],[ID]]))))&amp;"d"))</f>
        <v/>
      </c>
      <c r="R87" s="24" t="str">
        <f aca="false">IF(IFERROR(INDEX(tsk_Name,(ROW()-ROW(MSPTasks[[#Headers],[ID]])))="",TRUE()),"",IF(INDEX(tsk_BaseWork,(ROW()-ROW(MSPTasks[[#Headers],[ID]])))="","",N(INDEX(tsk_BaseWork,(ROW()-ROW(MSPTasks[[#Headers],[ID]]))))&amp;"h"))</f>
        <v/>
      </c>
      <c r="S87" s="24" t="str">
        <f aca="false">IF(IFERROR(INDEX(tsk_Name,(ROW()-ROW(MSPTasks[[#Headers],[ID]])))="",TRUE()),"",IF(INDEX(tsk_BaseCost,(ROW()-ROW(MSPTasks[[#Headers],[ID]])))="","",N(INDEX(tsk_BaseCost,(ROW()-ROW(MSPTasks[[#Headers],[ID]]))))))</f>
        <v/>
      </c>
      <c r="T87" s="24" t="str">
        <f aca="false">IF(IFERROR(INDEX(tsk_Name,(ROW()-ROW(MSPTasks[[#Headers],[ID]])))="",TRUE()),"",IF(INDEX(tsk_IsSummary,(ROW()-ROW(MSPTasks[[#Headers],[ID]]))),"",IF(N(INDEX(tsk_ActCostInput,(ROW()-ROW(MSPTasks[[#Headers],[ID]]))))=0,"",INDEX(tsk_ActCostInput,(ROW()-ROW(MSPTasks[[#Headers],[ID]]))))))</f>
        <v/>
      </c>
      <c r="U8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7" s="137" t="str">
        <f aca="false">IF(IFERROR(INDEX(tsk_Name,(ROW()-ROW(MSPTasks[[#Headers],[ID]])))="",TRUE()),"",IF(OR(INDEX(tsk_IsSummary,(ROW()-ROW(MSPTasks[[#Headers],[ID]]))),INDEX(tsk_Mode,(ROW()-ROW(MSPTasks[[#Headers],[ID]])))="Manual"),"",IF(N(INDEX(tsk_ConstraintCode,(ROW()-ROW(MSPTasks[[#Headers],[ID]]))))&lt;2,"",INDEX(tsk_Constraint,(ROW()-ROW(MSPTasks[[#Headers],[ID]]))))))</f>
        <v/>
      </c>
      <c r="W87" s="137" t="str">
        <f aca="false">IF(IFERROR(INDEX(tsk_Name,(ROW()-ROW(MSPTasks[[#Headers],[ID]])))="",TRUE()),"",IF(N(INDEX(tsk_Deadline,(ROW()-ROW(MSPTasks[[#Headers],[ID]]))))=0,"",INDEX(tsk_Deadline,(ROW()-ROW(MSPTasks[[#Headers],[ID]])))))</f>
        <v/>
      </c>
      <c r="X87" s="24" t="str">
        <f aca="false">IF(IFERROR(INDEX(tsk_Name,(ROW()-ROW(MSPTasks[[#Headers],[ID]])))="",TRUE()),"",IF(INDEX(tsk_IsSummary,(ROW()-ROW(MSPTasks[[#Headers],[ID]]))),"",INDEX(tsk_Sprint,(ROW()-ROW(MSPTasks[[#Headers],[ID]])))&amp;""))</f>
        <v/>
      </c>
      <c r="Y87" s="24" t="str">
        <f aca="false">IF(IFERROR(INDEX(tsk_Name,(ROW()-ROW(MSPTasks[[#Headers],[ID]])))="",TRUE()),"",IF(INDEX(tsk_IsSummary,(ROW()-ROW(MSPTasks[[#Headers],[ID]]))),"",IF(N(INDEX(tsk_StoryPoints,(ROW()-ROW(MSPTasks[[#Headers],[ID]]))))=0,"",INDEX(tsk_StoryPoints,(ROW()-ROW(MSPTasks[[#Headers],[ID]]))))))</f>
        <v/>
      </c>
      <c r="Z87" s="24" t="str">
        <f aca="false">IF(IFERROR(INDEX(tsk_Name,(ROW()-ROW(MSPTasks[[#Headers],[ID]])))="",TRUE()),"",INDEX(tsk_Notes,(ROW()-ROW(MSPTasks[[#Headers],[ID]])))&amp;"")</f>
        <v/>
      </c>
    </row>
    <row r="88" customFormat="false" ht="15" hidden="false" customHeight="false" outlineLevel="0" collapsed="false">
      <c r="A88" s="24" t="str">
        <f aca="false">IF(IFERROR(INDEX(tsk_Name,(ROW()-ROW(MSPTasks[[#Headers],[ID]])))="",TRUE()),"",INDEX(tsk_ID,(ROW()-ROW(MSPTasks[[#Headers],[ID]]))))</f>
        <v/>
      </c>
      <c r="B88" s="24" t="str">
        <f aca="false">IF(IFERROR(INDEX(tsk_Name,(ROW()-ROW(MSPTasks[[#Headers],[ID]])))="",TRUE()),"",INDEX(tsk_UID,(ROW()-ROW(MSPTasks[[#Headers],[ID]]))))</f>
        <v/>
      </c>
      <c r="C88" s="24" t="str">
        <f aca="false">IF(IFERROR(INDEX(tsk_Name,(ROW()-ROW(MSPTasks[[#Headers],[ID]])))="",TRUE()),"",INDEX(tsk_Name,(ROW()-ROW(MSPTasks[[#Headers],[ID]]))))</f>
        <v/>
      </c>
      <c r="D88" s="24" t="str">
        <f aca="false">IF(IFERROR(INDEX(tsk_Name,(ROW()-ROW(MSPTasks[[#Headers],[ID]])))="",TRUE()),"",INDEX(tsk_Level,(ROW()-ROW(MSPTasks[[#Headers],[ID]]))))</f>
        <v/>
      </c>
      <c r="E88" s="24" t="str">
        <f aca="false">IF(IFERROR(INDEX(tsk_Name,(ROW()-ROW(MSPTasks[[#Headers],[ID]])))="",TRUE()),"",IF(INDEX(tsk_Mode,(ROW()-ROW(MSPTasks[[#Headers],[ID]])))="Manual","Manually Scheduled","Auto Scheduled"))</f>
        <v/>
      </c>
      <c r="F88" s="24" t="str">
        <f aca="false">IF(IFERROR(INDEX(tsk_Name,(ROW()-ROW(MSPTasks[[#Headers],[ID]])))="",TRUE()),"",IF(INDEX(tsk_IsSummary,(ROW()-ROW(MSPTasks[[#Headers],[ID]]))),"",N(INDEX(tsk_Duration,(ROW()-ROW(MSPTasks[[#Headers],[ID]]))))&amp;"d"))</f>
        <v/>
      </c>
      <c r="G88" s="137" t="str">
        <f aca="false">IF(IFERROR(INDEX(tsk_Name,(ROW()-ROW(MSPTasks[[#Headers],[ID]])))="",TRUE()),"",INDEX(tsk_FcStart,(ROW()-ROW(MSPTasks[[#Headers],[ID]]))))</f>
        <v/>
      </c>
      <c r="H88" s="137" t="str">
        <f aca="false">IF(IFERROR(INDEX(tsk_Name,(ROW()-ROW(MSPTasks[[#Headers],[ID]])))="",TRUE()),"",INDEX(tsk_FcFinish,(ROW()-ROW(MSPTasks[[#Headers],[ID]]))))</f>
        <v/>
      </c>
      <c r="I88" s="24" t="str">
        <f aca="false">IF(IFERROR(INDEX(tsk_Name,(ROW()-ROW(MSPTasks[[#Headers],[ID]])))="",TRUE()),"",IF(INDEX(tsk_IsSummary,(ROW()-ROW(MSPTasks[[#Headers],[ID]]))),"",INDEX(tsk_Predecessors,(ROW()-ROW(MSPTasks[[#Headers],[ID]])))))</f>
        <v/>
      </c>
      <c r="J88" s="24" t="str">
        <f aca="false">IF(IFERROR(INDEX(tsk_Name,(ROW()-ROW(MSPTasks[[#Headers],[ID]])))="",TRUE()),"",IF(INDEX(tsk_IsSummary,(ROW()-ROW(MSPTasks[[#Headers],[ID]]))),"",INDEX(tsk_UIDPredecessors,(ROW()-ROW(MSPTasks[[#Headers],[ID]])))))</f>
        <v/>
      </c>
      <c r="K88" s="24" t="str">
        <f aca="false">IF(IFERROR(INDEX(tsk_Name,(ROW()-ROW(MSPTasks[[#Headers],[ID]])))="",TRUE()),"",INDEX(tsk_ResourceNames,(ROW()-ROW(MSPTasks[[#Headers],[ID]])))&amp;"")</f>
        <v/>
      </c>
      <c r="L88" s="24" t="str">
        <f aca="false">IF(IFERROR(INDEX(tsk_Name,(ROW()-ROW(MSPTasks[[#Headers],[ID]])))="",TRUE()),"",IF(INDEX(tsk_IsSummary,(ROW()-ROW(MSPTasks[[#Headers],[ID]]))),"",ROUND(INDEX(tsk_Progress,(ROW()-ROW(MSPTasks[[#Headers],[ID]])))*100,0)))</f>
        <v/>
      </c>
      <c r="M88" s="137" t="str">
        <f aca="false">IF(IFERROR(INDEX(tsk_Name,(ROW()-ROW(MSPTasks[[#Headers],[ID]])))="",TRUE()),"",IF(N(INDEX(tsk_ActStart,(ROW()-ROW(MSPTasks[[#Headers],[ID]]))))=0,"",INDEX(tsk_ActStart,(ROW()-ROW(MSPTasks[[#Headers],[ID]])))))</f>
        <v/>
      </c>
      <c r="N88" s="137" t="str">
        <f aca="false">IF(IFERROR(INDEX(tsk_Name,(ROW()-ROW(MSPTasks[[#Headers],[ID]])))="",TRUE()),"",IF(N(INDEX(tsk_ActFinish,(ROW()-ROW(MSPTasks[[#Headers],[ID]]))))=0,"",INDEX(tsk_ActFinish,(ROW()-ROW(MSPTasks[[#Headers],[ID]])))))</f>
        <v/>
      </c>
      <c r="O88" s="137" t="str">
        <f aca="false">IF(IFERROR(INDEX(tsk_Name,(ROW()-ROW(MSPTasks[[#Headers],[ID]])))="",TRUE()),"",INDEX(tsk_PlanStart,(ROW()-ROW(MSPTasks[[#Headers],[ID]]))))</f>
        <v/>
      </c>
      <c r="P88" s="137" t="str">
        <f aca="false">IF(IFERROR(INDEX(tsk_Name,(ROW()-ROW(MSPTasks[[#Headers],[ID]])))="",TRUE()),"",INDEX(tsk_PlanFinish,(ROW()-ROW(MSPTasks[[#Headers],[ID]]))))</f>
        <v/>
      </c>
      <c r="Q88" s="24" t="str">
        <f aca="false">IF(IFERROR(INDEX(tsk_Name,(ROW()-ROW(MSPTasks[[#Headers],[ID]])))="",TRUE()),"",IF(INDEX(tsk_BaseDuration,(ROW()-ROW(MSPTasks[[#Headers],[ID]])))="","",N(INDEX(tsk_BaseDuration,(ROW()-ROW(MSPTasks[[#Headers],[ID]]))))&amp;"d"))</f>
        <v/>
      </c>
      <c r="R88" s="24" t="str">
        <f aca="false">IF(IFERROR(INDEX(tsk_Name,(ROW()-ROW(MSPTasks[[#Headers],[ID]])))="",TRUE()),"",IF(INDEX(tsk_BaseWork,(ROW()-ROW(MSPTasks[[#Headers],[ID]])))="","",N(INDEX(tsk_BaseWork,(ROW()-ROW(MSPTasks[[#Headers],[ID]]))))&amp;"h"))</f>
        <v/>
      </c>
      <c r="S88" s="24" t="str">
        <f aca="false">IF(IFERROR(INDEX(tsk_Name,(ROW()-ROW(MSPTasks[[#Headers],[ID]])))="",TRUE()),"",IF(INDEX(tsk_BaseCost,(ROW()-ROW(MSPTasks[[#Headers],[ID]])))="","",N(INDEX(tsk_BaseCost,(ROW()-ROW(MSPTasks[[#Headers],[ID]]))))))</f>
        <v/>
      </c>
      <c r="T88" s="24" t="str">
        <f aca="false">IF(IFERROR(INDEX(tsk_Name,(ROW()-ROW(MSPTasks[[#Headers],[ID]])))="",TRUE()),"",IF(INDEX(tsk_IsSummary,(ROW()-ROW(MSPTasks[[#Headers],[ID]]))),"",IF(N(INDEX(tsk_ActCostInput,(ROW()-ROW(MSPTasks[[#Headers],[ID]]))))=0,"",INDEX(tsk_ActCostInput,(ROW()-ROW(MSPTasks[[#Headers],[ID]]))))))</f>
        <v/>
      </c>
      <c r="U8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8" s="137" t="str">
        <f aca="false">IF(IFERROR(INDEX(tsk_Name,(ROW()-ROW(MSPTasks[[#Headers],[ID]])))="",TRUE()),"",IF(OR(INDEX(tsk_IsSummary,(ROW()-ROW(MSPTasks[[#Headers],[ID]]))),INDEX(tsk_Mode,(ROW()-ROW(MSPTasks[[#Headers],[ID]])))="Manual"),"",IF(N(INDEX(tsk_ConstraintCode,(ROW()-ROW(MSPTasks[[#Headers],[ID]]))))&lt;2,"",INDEX(tsk_Constraint,(ROW()-ROW(MSPTasks[[#Headers],[ID]]))))))</f>
        <v/>
      </c>
      <c r="W88" s="137" t="str">
        <f aca="false">IF(IFERROR(INDEX(tsk_Name,(ROW()-ROW(MSPTasks[[#Headers],[ID]])))="",TRUE()),"",IF(N(INDEX(tsk_Deadline,(ROW()-ROW(MSPTasks[[#Headers],[ID]]))))=0,"",INDEX(tsk_Deadline,(ROW()-ROW(MSPTasks[[#Headers],[ID]])))))</f>
        <v/>
      </c>
      <c r="X88" s="24" t="str">
        <f aca="false">IF(IFERROR(INDEX(tsk_Name,(ROW()-ROW(MSPTasks[[#Headers],[ID]])))="",TRUE()),"",IF(INDEX(tsk_IsSummary,(ROW()-ROW(MSPTasks[[#Headers],[ID]]))),"",INDEX(tsk_Sprint,(ROW()-ROW(MSPTasks[[#Headers],[ID]])))&amp;""))</f>
        <v/>
      </c>
      <c r="Y88" s="24" t="str">
        <f aca="false">IF(IFERROR(INDEX(tsk_Name,(ROW()-ROW(MSPTasks[[#Headers],[ID]])))="",TRUE()),"",IF(INDEX(tsk_IsSummary,(ROW()-ROW(MSPTasks[[#Headers],[ID]]))),"",IF(N(INDEX(tsk_StoryPoints,(ROW()-ROW(MSPTasks[[#Headers],[ID]]))))=0,"",INDEX(tsk_StoryPoints,(ROW()-ROW(MSPTasks[[#Headers],[ID]]))))))</f>
        <v/>
      </c>
      <c r="Z88" s="24" t="str">
        <f aca="false">IF(IFERROR(INDEX(tsk_Name,(ROW()-ROW(MSPTasks[[#Headers],[ID]])))="",TRUE()),"",INDEX(tsk_Notes,(ROW()-ROW(MSPTasks[[#Headers],[ID]])))&amp;"")</f>
        <v/>
      </c>
    </row>
    <row r="89" customFormat="false" ht="15" hidden="false" customHeight="false" outlineLevel="0" collapsed="false">
      <c r="A89" s="24" t="str">
        <f aca="false">IF(IFERROR(INDEX(tsk_Name,(ROW()-ROW(MSPTasks[[#Headers],[ID]])))="",TRUE()),"",INDEX(tsk_ID,(ROW()-ROW(MSPTasks[[#Headers],[ID]]))))</f>
        <v/>
      </c>
      <c r="B89" s="24" t="str">
        <f aca="false">IF(IFERROR(INDEX(tsk_Name,(ROW()-ROW(MSPTasks[[#Headers],[ID]])))="",TRUE()),"",INDEX(tsk_UID,(ROW()-ROW(MSPTasks[[#Headers],[ID]]))))</f>
        <v/>
      </c>
      <c r="C89" s="24" t="str">
        <f aca="false">IF(IFERROR(INDEX(tsk_Name,(ROW()-ROW(MSPTasks[[#Headers],[ID]])))="",TRUE()),"",INDEX(tsk_Name,(ROW()-ROW(MSPTasks[[#Headers],[ID]]))))</f>
        <v/>
      </c>
      <c r="D89" s="24" t="str">
        <f aca="false">IF(IFERROR(INDEX(tsk_Name,(ROW()-ROW(MSPTasks[[#Headers],[ID]])))="",TRUE()),"",INDEX(tsk_Level,(ROW()-ROW(MSPTasks[[#Headers],[ID]]))))</f>
        <v/>
      </c>
      <c r="E89" s="24" t="str">
        <f aca="false">IF(IFERROR(INDEX(tsk_Name,(ROW()-ROW(MSPTasks[[#Headers],[ID]])))="",TRUE()),"",IF(INDEX(tsk_Mode,(ROW()-ROW(MSPTasks[[#Headers],[ID]])))="Manual","Manually Scheduled","Auto Scheduled"))</f>
        <v/>
      </c>
      <c r="F89" s="24" t="str">
        <f aca="false">IF(IFERROR(INDEX(tsk_Name,(ROW()-ROW(MSPTasks[[#Headers],[ID]])))="",TRUE()),"",IF(INDEX(tsk_IsSummary,(ROW()-ROW(MSPTasks[[#Headers],[ID]]))),"",N(INDEX(tsk_Duration,(ROW()-ROW(MSPTasks[[#Headers],[ID]]))))&amp;"d"))</f>
        <v/>
      </c>
      <c r="G89" s="137" t="str">
        <f aca="false">IF(IFERROR(INDEX(tsk_Name,(ROW()-ROW(MSPTasks[[#Headers],[ID]])))="",TRUE()),"",INDEX(tsk_FcStart,(ROW()-ROW(MSPTasks[[#Headers],[ID]]))))</f>
        <v/>
      </c>
      <c r="H89" s="137" t="str">
        <f aca="false">IF(IFERROR(INDEX(tsk_Name,(ROW()-ROW(MSPTasks[[#Headers],[ID]])))="",TRUE()),"",INDEX(tsk_FcFinish,(ROW()-ROW(MSPTasks[[#Headers],[ID]]))))</f>
        <v/>
      </c>
      <c r="I89" s="24" t="str">
        <f aca="false">IF(IFERROR(INDEX(tsk_Name,(ROW()-ROW(MSPTasks[[#Headers],[ID]])))="",TRUE()),"",IF(INDEX(tsk_IsSummary,(ROW()-ROW(MSPTasks[[#Headers],[ID]]))),"",INDEX(tsk_Predecessors,(ROW()-ROW(MSPTasks[[#Headers],[ID]])))))</f>
        <v/>
      </c>
      <c r="J89" s="24" t="str">
        <f aca="false">IF(IFERROR(INDEX(tsk_Name,(ROW()-ROW(MSPTasks[[#Headers],[ID]])))="",TRUE()),"",IF(INDEX(tsk_IsSummary,(ROW()-ROW(MSPTasks[[#Headers],[ID]]))),"",INDEX(tsk_UIDPredecessors,(ROW()-ROW(MSPTasks[[#Headers],[ID]])))))</f>
        <v/>
      </c>
      <c r="K89" s="24" t="str">
        <f aca="false">IF(IFERROR(INDEX(tsk_Name,(ROW()-ROW(MSPTasks[[#Headers],[ID]])))="",TRUE()),"",INDEX(tsk_ResourceNames,(ROW()-ROW(MSPTasks[[#Headers],[ID]])))&amp;"")</f>
        <v/>
      </c>
      <c r="L89" s="24" t="str">
        <f aca="false">IF(IFERROR(INDEX(tsk_Name,(ROW()-ROW(MSPTasks[[#Headers],[ID]])))="",TRUE()),"",IF(INDEX(tsk_IsSummary,(ROW()-ROW(MSPTasks[[#Headers],[ID]]))),"",ROUND(INDEX(tsk_Progress,(ROW()-ROW(MSPTasks[[#Headers],[ID]])))*100,0)))</f>
        <v/>
      </c>
      <c r="M89" s="137" t="str">
        <f aca="false">IF(IFERROR(INDEX(tsk_Name,(ROW()-ROW(MSPTasks[[#Headers],[ID]])))="",TRUE()),"",IF(N(INDEX(tsk_ActStart,(ROW()-ROW(MSPTasks[[#Headers],[ID]]))))=0,"",INDEX(tsk_ActStart,(ROW()-ROW(MSPTasks[[#Headers],[ID]])))))</f>
        <v/>
      </c>
      <c r="N89" s="137" t="str">
        <f aca="false">IF(IFERROR(INDEX(tsk_Name,(ROW()-ROW(MSPTasks[[#Headers],[ID]])))="",TRUE()),"",IF(N(INDEX(tsk_ActFinish,(ROW()-ROW(MSPTasks[[#Headers],[ID]]))))=0,"",INDEX(tsk_ActFinish,(ROW()-ROW(MSPTasks[[#Headers],[ID]])))))</f>
        <v/>
      </c>
      <c r="O89" s="137" t="str">
        <f aca="false">IF(IFERROR(INDEX(tsk_Name,(ROW()-ROW(MSPTasks[[#Headers],[ID]])))="",TRUE()),"",INDEX(tsk_PlanStart,(ROW()-ROW(MSPTasks[[#Headers],[ID]]))))</f>
        <v/>
      </c>
      <c r="P89" s="137" t="str">
        <f aca="false">IF(IFERROR(INDEX(tsk_Name,(ROW()-ROW(MSPTasks[[#Headers],[ID]])))="",TRUE()),"",INDEX(tsk_PlanFinish,(ROW()-ROW(MSPTasks[[#Headers],[ID]]))))</f>
        <v/>
      </c>
      <c r="Q89" s="24" t="str">
        <f aca="false">IF(IFERROR(INDEX(tsk_Name,(ROW()-ROW(MSPTasks[[#Headers],[ID]])))="",TRUE()),"",IF(INDEX(tsk_BaseDuration,(ROW()-ROW(MSPTasks[[#Headers],[ID]])))="","",N(INDEX(tsk_BaseDuration,(ROW()-ROW(MSPTasks[[#Headers],[ID]]))))&amp;"d"))</f>
        <v/>
      </c>
      <c r="R89" s="24" t="str">
        <f aca="false">IF(IFERROR(INDEX(tsk_Name,(ROW()-ROW(MSPTasks[[#Headers],[ID]])))="",TRUE()),"",IF(INDEX(tsk_BaseWork,(ROW()-ROW(MSPTasks[[#Headers],[ID]])))="","",N(INDEX(tsk_BaseWork,(ROW()-ROW(MSPTasks[[#Headers],[ID]]))))&amp;"h"))</f>
        <v/>
      </c>
      <c r="S89" s="24" t="str">
        <f aca="false">IF(IFERROR(INDEX(tsk_Name,(ROW()-ROW(MSPTasks[[#Headers],[ID]])))="",TRUE()),"",IF(INDEX(tsk_BaseCost,(ROW()-ROW(MSPTasks[[#Headers],[ID]])))="","",N(INDEX(tsk_BaseCost,(ROW()-ROW(MSPTasks[[#Headers],[ID]]))))))</f>
        <v/>
      </c>
      <c r="T89" s="24" t="str">
        <f aca="false">IF(IFERROR(INDEX(tsk_Name,(ROW()-ROW(MSPTasks[[#Headers],[ID]])))="",TRUE()),"",IF(INDEX(tsk_IsSummary,(ROW()-ROW(MSPTasks[[#Headers],[ID]]))),"",IF(N(INDEX(tsk_ActCostInput,(ROW()-ROW(MSPTasks[[#Headers],[ID]]))))=0,"",INDEX(tsk_ActCostInput,(ROW()-ROW(MSPTasks[[#Headers],[ID]]))))))</f>
        <v/>
      </c>
      <c r="U8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89" s="137" t="str">
        <f aca="false">IF(IFERROR(INDEX(tsk_Name,(ROW()-ROW(MSPTasks[[#Headers],[ID]])))="",TRUE()),"",IF(OR(INDEX(tsk_IsSummary,(ROW()-ROW(MSPTasks[[#Headers],[ID]]))),INDEX(tsk_Mode,(ROW()-ROW(MSPTasks[[#Headers],[ID]])))="Manual"),"",IF(N(INDEX(tsk_ConstraintCode,(ROW()-ROW(MSPTasks[[#Headers],[ID]]))))&lt;2,"",INDEX(tsk_Constraint,(ROW()-ROW(MSPTasks[[#Headers],[ID]]))))))</f>
        <v/>
      </c>
      <c r="W89" s="137" t="str">
        <f aca="false">IF(IFERROR(INDEX(tsk_Name,(ROW()-ROW(MSPTasks[[#Headers],[ID]])))="",TRUE()),"",IF(N(INDEX(tsk_Deadline,(ROW()-ROW(MSPTasks[[#Headers],[ID]]))))=0,"",INDEX(tsk_Deadline,(ROW()-ROW(MSPTasks[[#Headers],[ID]])))))</f>
        <v/>
      </c>
      <c r="X89" s="24" t="str">
        <f aca="false">IF(IFERROR(INDEX(tsk_Name,(ROW()-ROW(MSPTasks[[#Headers],[ID]])))="",TRUE()),"",IF(INDEX(tsk_IsSummary,(ROW()-ROW(MSPTasks[[#Headers],[ID]]))),"",INDEX(tsk_Sprint,(ROW()-ROW(MSPTasks[[#Headers],[ID]])))&amp;""))</f>
        <v/>
      </c>
      <c r="Y89" s="24" t="str">
        <f aca="false">IF(IFERROR(INDEX(tsk_Name,(ROW()-ROW(MSPTasks[[#Headers],[ID]])))="",TRUE()),"",IF(INDEX(tsk_IsSummary,(ROW()-ROW(MSPTasks[[#Headers],[ID]]))),"",IF(N(INDEX(tsk_StoryPoints,(ROW()-ROW(MSPTasks[[#Headers],[ID]]))))=0,"",INDEX(tsk_StoryPoints,(ROW()-ROW(MSPTasks[[#Headers],[ID]]))))))</f>
        <v/>
      </c>
      <c r="Z89" s="24" t="str">
        <f aca="false">IF(IFERROR(INDEX(tsk_Name,(ROW()-ROW(MSPTasks[[#Headers],[ID]])))="",TRUE()),"",INDEX(tsk_Notes,(ROW()-ROW(MSPTasks[[#Headers],[ID]])))&amp;"")</f>
        <v/>
      </c>
    </row>
    <row r="90" customFormat="false" ht="15" hidden="false" customHeight="false" outlineLevel="0" collapsed="false">
      <c r="A90" s="24" t="str">
        <f aca="false">IF(IFERROR(INDEX(tsk_Name,(ROW()-ROW(MSPTasks[[#Headers],[ID]])))="",TRUE()),"",INDEX(tsk_ID,(ROW()-ROW(MSPTasks[[#Headers],[ID]]))))</f>
        <v/>
      </c>
      <c r="B90" s="24" t="str">
        <f aca="false">IF(IFERROR(INDEX(tsk_Name,(ROW()-ROW(MSPTasks[[#Headers],[ID]])))="",TRUE()),"",INDEX(tsk_UID,(ROW()-ROW(MSPTasks[[#Headers],[ID]]))))</f>
        <v/>
      </c>
      <c r="C90" s="24" t="str">
        <f aca="false">IF(IFERROR(INDEX(tsk_Name,(ROW()-ROW(MSPTasks[[#Headers],[ID]])))="",TRUE()),"",INDEX(tsk_Name,(ROW()-ROW(MSPTasks[[#Headers],[ID]]))))</f>
        <v/>
      </c>
      <c r="D90" s="24" t="str">
        <f aca="false">IF(IFERROR(INDEX(tsk_Name,(ROW()-ROW(MSPTasks[[#Headers],[ID]])))="",TRUE()),"",INDEX(tsk_Level,(ROW()-ROW(MSPTasks[[#Headers],[ID]]))))</f>
        <v/>
      </c>
      <c r="E90" s="24" t="str">
        <f aca="false">IF(IFERROR(INDEX(tsk_Name,(ROW()-ROW(MSPTasks[[#Headers],[ID]])))="",TRUE()),"",IF(INDEX(tsk_Mode,(ROW()-ROW(MSPTasks[[#Headers],[ID]])))="Manual","Manually Scheduled","Auto Scheduled"))</f>
        <v/>
      </c>
      <c r="F90" s="24" t="str">
        <f aca="false">IF(IFERROR(INDEX(tsk_Name,(ROW()-ROW(MSPTasks[[#Headers],[ID]])))="",TRUE()),"",IF(INDEX(tsk_IsSummary,(ROW()-ROW(MSPTasks[[#Headers],[ID]]))),"",N(INDEX(tsk_Duration,(ROW()-ROW(MSPTasks[[#Headers],[ID]]))))&amp;"d"))</f>
        <v/>
      </c>
      <c r="G90" s="137" t="str">
        <f aca="false">IF(IFERROR(INDEX(tsk_Name,(ROW()-ROW(MSPTasks[[#Headers],[ID]])))="",TRUE()),"",INDEX(tsk_FcStart,(ROW()-ROW(MSPTasks[[#Headers],[ID]]))))</f>
        <v/>
      </c>
      <c r="H90" s="137" t="str">
        <f aca="false">IF(IFERROR(INDEX(tsk_Name,(ROW()-ROW(MSPTasks[[#Headers],[ID]])))="",TRUE()),"",INDEX(tsk_FcFinish,(ROW()-ROW(MSPTasks[[#Headers],[ID]]))))</f>
        <v/>
      </c>
      <c r="I90" s="24" t="str">
        <f aca="false">IF(IFERROR(INDEX(tsk_Name,(ROW()-ROW(MSPTasks[[#Headers],[ID]])))="",TRUE()),"",IF(INDEX(tsk_IsSummary,(ROW()-ROW(MSPTasks[[#Headers],[ID]]))),"",INDEX(tsk_Predecessors,(ROW()-ROW(MSPTasks[[#Headers],[ID]])))))</f>
        <v/>
      </c>
      <c r="J90" s="24" t="str">
        <f aca="false">IF(IFERROR(INDEX(tsk_Name,(ROW()-ROW(MSPTasks[[#Headers],[ID]])))="",TRUE()),"",IF(INDEX(tsk_IsSummary,(ROW()-ROW(MSPTasks[[#Headers],[ID]]))),"",INDEX(tsk_UIDPredecessors,(ROW()-ROW(MSPTasks[[#Headers],[ID]])))))</f>
        <v/>
      </c>
      <c r="K90" s="24" t="str">
        <f aca="false">IF(IFERROR(INDEX(tsk_Name,(ROW()-ROW(MSPTasks[[#Headers],[ID]])))="",TRUE()),"",INDEX(tsk_ResourceNames,(ROW()-ROW(MSPTasks[[#Headers],[ID]])))&amp;"")</f>
        <v/>
      </c>
      <c r="L90" s="24" t="str">
        <f aca="false">IF(IFERROR(INDEX(tsk_Name,(ROW()-ROW(MSPTasks[[#Headers],[ID]])))="",TRUE()),"",IF(INDEX(tsk_IsSummary,(ROW()-ROW(MSPTasks[[#Headers],[ID]]))),"",ROUND(INDEX(tsk_Progress,(ROW()-ROW(MSPTasks[[#Headers],[ID]])))*100,0)))</f>
        <v/>
      </c>
      <c r="M90" s="137" t="str">
        <f aca="false">IF(IFERROR(INDEX(tsk_Name,(ROW()-ROW(MSPTasks[[#Headers],[ID]])))="",TRUE()),"",IF(N(INDEX(tsk_ActStart,(ROW()-ROW(MSPTasks[[#Headers],[ID]]))))=0,"",INDEX(tsk_ActStart,(ROW()-ROW(MSPTasks[[#Headers],[ID]])))))</f>
        <v/>
      </c>
      <c r="N90" s="137" t="str">
        <f aca="false">IF(IFERROR(INDEX(tsk_Name,(ROW()-ROW(MSPTasks[[#Headers],[ID]])))="",TRUE()),"",IF(N(INDEX(tsk_ActFinish,(ROW()-ROW(MSPTasks[[#Headers],[ID]]))))=0,"",INDEX(tsk_ActFinish,(ROW()-ROW(MSPTasks[[#Headers],[ID]])))))</f>
        <v/>
      </c>
      <c r="O90" s="137" t="str">
        <f aca="false">IF(IFERROR(INDEX(tsk_Name,(ROW()-ROW(MSPTasks[[#Headers],[ID]])))="",TRUE()),"",INDEX(tsk_PlanStart,(ROW()-ROW(MSPTasks[[#Headers],[ID]]))))</f>
        <v/>
      </c>
      <c r="P90" s="137" t="str">
        <f aca="false">IF(IFERROR(INDEX(tsk_Name,(ROW()-ROW(MSPTasks[[#Headers],[ID]])))="",TRUE()),"",INDEX(tsk_PlanFinish,(ROW()-ROW(MSPTasks[[#Headers],[ID]]))))</f>
        <v/>
      </c>
      <c r="Q90" s="24" t="str">
        <f aca="false">IF(IFERROR(INDEX(tsk_Name,(ROW()-ROW(MSPTasks[[#Headers],[ID]])))="",TRUE()),"",IF(INDEX(tsk_BaseDuration,(ROW()-ROW(MSPTasks[[#Headers],[ID]])))="","",N(INDEX(tsk_BaseDuration,(ROW()-ROW(MSPTasks[[#Headers],[ID]]))))&amp;"d"))</f>
        <v/>
      </c>
      <c r="R90" s="24" t="str">
        <f aca="false">IF(IFERROR(INDEX(tsk_Name,(ROW()-ROW(MSPTasks[[#Headers],[ID]])))="",TRUE()),"",IF(INDEX(tsk_BaseWork,(ROW()-ROW(MSPTasks[[#Headers],[ID]])))="","",N(INDEX(tsk_BaseWork,(ROW()-ROW(MSPTasks[[#Headers],[ID]]))))&amp;"h"))</f>
        <v/>
      </c>
      <c r="S90" s="24" t="str">
        <f aca="false">IF(IFERROR(INDEX(tsk_Name,(ROW()-ROW(MSPTasks[[#Headers],[ID]])))="",TRUE()),"",IF(INDEX(tsk_BaseCost,(ROW()-ROW(MSPTasks[[#Headers],[ID]])))="","",N(INDEX(tsk_BaseCost,(ROW()-ROW(MSPTasks[[#Headers],[ID]]))))))</f>
        <v/>
      </c>
      <c r="T90" s="24" t="str">
        <f aca="false">IF(IFERROR(INDEX(tsk_Name,(ROW()-ROW(MSPTasks[[#Headers],[ID]])))="",TRUE()),"",IF(INDEX(tsk_IsSummary,(ROW()-ROW(MSPTasks[[#Headers],[ID]]))),"",IF(N(INDEX(tsk_ActCostInput,(ROW()-ROW(MSPTasks[[#Headers],[ID]]))))=0,"",INDEX(tsk_ActCostInput,(ROW()-ROW(MSPTasks[[#Headers],[ID]]))))))</f>
        <v/>
      </c>
      <c r="U9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0" s="137" t="str">
        <f aca="false">IF(IFERROR(INDEX(tsk_Name,(ROW()-ROW(MSPTasks[[#Headers],[ID]])))="",TRUE()),"",IF(OR(INDEX(tsk_IsSummary,(ROW()-ROW(MSPTasks[[#Headers],[ID]]))),INDEX(tsk_Mode,(ROW()-ROW(MSPTasks[[#Headers],[ID]])))="Manual"),"",IF(N(INDEX(tsk_ConstraintCode,(ROW()-ROW(MSPTasks[[#Headers],[ID]]))))&lt;2,"",INDEX(tsk_Constraint,(ROW()-ROW(MSPTasks[[#Headers],[ID]]))))))</f>
        <v/>
      </c>
      <c r="W90" s="137" t="str">
        <f aca="false">IF(IFERROR(INDEX(tsk_Name,(ROW()-ROW(MSPTasks[[#Headers],[ID]])))="",TRUE()),"",IF(N(INDEX(tsk_Deadline,(ROW()-ROW(MSPTasks[[#Headers],[ID]]))))=0,"",INDEX(tsk_Deadline,(ROW()-ROW(MSPTasks[[#Headers],[ID]])))))</f>
        <v/>
      </c>
      <c r="X90" s="24" t="str">
        <f aca="false">IF(IFERROR(INDEX(tsk_Name,(ROW()-ROW(MSPTasks[[#Headers],[ID]])))="",TRUE()),"",IF(INDEX(tsk_IsSummary,(ROW()-ROW(MSPTasks[[#Headers],[ID]]))),"",INDEX(tsk_Sprint,(ROW()-ROW(MSPTasks[[#Headers],[ID]])))&amp;""))</f>
        <v/>
      </c>
      <c r="Y90" s="24" t="str">
        <f aca="false">IF(IFERROR(INDEX(tsk_Name,(ROW()-ROW(MSPTasks[[#Headers],[ID]])))="",TRUE()),"",IF(INDEX(tsk_IsSummary,(ROW()-ROW(MSPTasks[[#Headers],[ID]]))),"",IF(N(INDEX(tsk_StoryPoints,(ROW()-ROW(MSPTasks[[#Headers],[ID]]))))=0,"",INDEX(tsk_StoryPoints,(ROW()-ROW(MSPTasks[[#Headers],[ID]]))))))</f>
        <v/>
      </c>
      <c r="Z90" s="24" t="str">
        <f aca="false">IF(IFERROR(INDEX(tsk_Name,(ROW()-ROW(MSPTasks[[#Headers],[ID]])))="",TRUE()),"",INDEX(tsk_Notes,(ROW()-ROW(MSPTasks[[#Headers],[ID]])))&amp;"")</f>
        <v/>
      </c>
    </row>
    <row r="91" customFormat="false" ht="15" hidden="false" customHeight="false" outlineLevel="0" collapsed="false">
      <c r="A91" s="24" t="str">
        <f aca="false">IF(IFERROR(INDEX(tsk_Name,(ROW()-ROW(MSPTasks[[#Headers],[ID]])))="",TRUE()),"",INDEX(tsk_ID,(ROW()-ROW(MSPTasks[[#Headers],[ID]]))))</f>
        <v/>
      </c>
      <c r="B91" s="24" t="str">
        <f aca="false">IF(IFERROR(INDEX(tsk_Name,(ROW()-ROW(MSPTasks[[#Headers],[ID]])))="",TRUE()),"",INDEX(tsk_UID,(ROW()-ROW(MSPTasks[[#Headers],[ID]]))))</f>
        <v/>
      </c>
      <c r="C91" s="24" t="str">
        <f aca="false">IF(IFERROR(INDEX(tsk_Name,(ROW()-ROW(MSPTasks[[#Headers],[ID]])))="",TRUE()),"",INDEX(tsk_Name,(ROW()-ROW(MSPTasks[[#Headers],[ID]]))))</f>
        <v/>
      </c>
      <c r="D91" s="24" t="str">
        <f aca="false">IF(IFERROR(INDEX(tsk_Name,(ROW()-ROW(MSPTasks[[#Headers],[ID]])))="",TRUE()),"",INDEX(tsk_Level,(ROW()-ROW(MSPTasks[[#Headers],[ID]]))))</f>
        <v/>
      </c>
      <c r="E91" s="24" t="str">
        <f aca="false">IF(IFERROR(INDEX(tsk_Name,(ROW()-ROW(MSPTasks[[#Headers],[ID]])))="",TRUE()),"",IF(INDEX(tsk_Mode,(ROW()-ROW(MSPTasks[[#Headers],[ID]])))="Manual","Manually Scheduled","Auto Scheduled"))</f>
        <v/>
      </c>
      <c r="F91" s="24" t="str">
        <f aca="false">IF(IFERROR(INDEX(tsk_Name,(ROW()-ROW(MSPTasks[[#Headers],[ID]])))="",TRUE()),"",IF(INDEX(tsk_IsSummary,(ROW()-ROW(MSPTasks[[#Headers],[ID]]))),"",N(INDEX(tsk_Duration,(ROW()-ROW(MSPTasks[[#Headers],[ID]]))))&amp;"d"))</f>
        <v/>
      </c>
      <c r="G91" s="137" t="str">
        <f aca="false">IF(IFERROR(INDEX(tsk_Name,(ROW()-ROW(MSPTasks[[#Headers],[ID]])))="",TRUE()),"",INDEX(tsk_FcStart,(ROW()-ROW(MSPTasks[[#Headers],[ID]]))))</f>
        <v/>
      </c>
      <c r="H91" s="137" t="str">
        <f aca="false">IF(IFERROR(INDEX(tsk_Name,(ROW()-ROW(MSPTasks[[#Headers],[ID]])))="",TRUE()),"",INDEX(tsk_FcFinish,(ROW()-ROW(MSPTasks[[#Headers],[ID]]))))</f>
        <v/>
      </c>
      <c r="I91" s="24" t="str">
        <f aca="false">IF(IFERROR(INDEX(tsk_Name,(ROW()-ROW(MSPTasks[[#Headers],[ID]])))="",TRUE()),"",IF(INDEX(tsk_IsSummary,(ROW()-ROW(MSPTasks[[#Headers],[ID]]))),"",INDEX(tsk_Predecessors,(ROW()-ROW(MSPTasks[[#Headers],[ID]])))))</f>
        <v/>
      </c>
      <c r="J91" s="24" t="str">
        <f aca="false">IF(IFERROR(INDEX(tsk_Name,(ROW()-ROW(MSPTasks[[#Headers],[ID]])))="",TRUE()),"",IF(INDEX(tsk_IsSummary,(ROW()-ROW(MSPTasks[[#Headers],[ID]]))),"",INDEX(tsk_UIDPredecessors,(ROW()-ROW(MSPTasks[[#Headers],[ID]])))))</f>
        <v/>
      </c>
      <c r="K91" s="24" t="str">
        <f aca="false">IF(IFERROR(INDEX(tsk_Name,(ROW()-ROW(MSPTasks[[#Headers],[ID]])))="",TRUE()),"",INDEX(tsk_ResourceNames,(ROW()-ROW(MSPTasks[[#Headers],[ID]])))&amp;"")</f>
        <v/>
      </c>
      <c r="L91" s="24" t="str">
        <f aca="false">IF(IFERROR(INDEX(tsk_Name,(ROW()-ROW(MSPTasks[[#Headers],[ID]])))="",TRUE()),"",IF(INDEX(tsk_IsSummary,(ROW()-ROW(MSPTasks[[#Headers],[ID]]))),"",ROUND(INDEX(tsk_Progress,(ROW()-ROW(MSPTasks[[#Headers],[ID]])))*100,0)))</f>
        <v/>
      </c>
      <c r="M91" s="137" t="str">
        <f aca="false">IF(IFERROR(INDEX(tsk_Name,(ROW()-ROW(MSPTasks[[#Headers],[ID]])))="",TRUE()),"",IF(N(INDEX(tsk_ActStart,(ROW()-ROW(MSPTasks[[#Headers],[ID]]))))=0,"",INDEX(tsk_ActStart,(ROW()-ROW(MSPTasks[[#Headers],[ID]])))))</f>
        <v/>
      </c>
      <c r="N91" s="137" t="str">
        <f aca="false">IF(IFERROR(INDEX(tsk_Name,(ROW()-ROW(MSPTasks[[#Headers],[ID]])))="",TRUE()),"",IF(N(INDEX(tsk_ActFinish,(ROW()-ROW(MSPTasks[[#Headers],[ID]]))))=0,"",INDEX(tsk_ActFinish,(ROW()-ROW(MSPTasks[[#Headers],[ID]])))))</f>
        <v/>
      </c>
      <c r="O91" s="137" t="str">
        <f aca="false">IF(IFERROR(INDEX(tsk_Name,(ROW()-ROW(MSPTasks[[#Headers],[ID]])))="",TRUE()),"",INDEX(tsk_PlanStart,(ROW()-ROW(MSPTasks[[#Headers],[ID]]))))</f>
        <v/>
      </c>
      <c r="P91" s="137" t="str">
        <f aca="false">IF(IFERROR(INDEX(tsk_Name,(ROW()-ROW(MSPTasks[[#Headers],[ID]])))="",TRUE()),"",INDEX(tsk_PlanFinish,(ROW()-ROW(MSPTasks[[#Headers],[ID]]))))</f>
        <v/>
      </c>
      <c r="Q91" s="24" t="str">
        <f aca="false">IF(IFERROR(INDEX(tsk_Name,(ROW()-ROW(MSPTasks[[#Headers],[ID]])))="",TRUE()),"",IF(INDEX(tsk_BaseDuration,(ROW()-ROW(MSPTasks[[#Headers],[ID]])))="","",N(INDEX(tsk_BaseDuration,(ROW()-ROW(MSPTasks[[#Headers],[ID]]))))&amp;"d"))</f>
        <v/>
      </c>
      <c r="R91" s="24" t="str">
        <f aca="false">IF(IFERROR(INDEX(tsk_Name,(ROW()-ROW(MSPTasks[[#Headers],[ID]])))="",TRUE()),"",IF(INDEX(tsk_BaseWork,(ROW()-ROW(MSPTasks[[#Headers],[ID]])))="","",N(INDEX(tsk_BaseWork,(ROW()-ROW(MSPTasks[[#Headers],[ID]]))))&amp;"h"))</f>
        <v/>
      </c>
      <c r="S91" s="24" t="str">
        <f aca="false">IF(IFERROR(INDEX(tsk_Name,(ROW()-ROW(MSPTasks[[#Headers],[ID]])))="",TRUE()),"",IF(INDEX(tsk_BaseCost,(ROW()-ROW(MSPTasks[[#Headers],[ID]])))="","",N(INDEX(tsk_BaseCost,(ROW()-ROW(MSPTasks[[#Headers],[ID]]))))))</f>
        <v/>
      </c>
      <c r="T91" s="24" t="str">
        <f aca="false">IF(IFERROR(INDEX(tsk_Name,(ROW()-ROW(MSPTasks[[#Headers],[ID]])))="",TRUE()),"",IF(INDEX(tsk_IsSummary,(ROW()-ROW(MSPTasks[[#Headers],[ID]]))),"",IF(N(INDEX(tsk_ActCostInput,(ROW()-ROW(MSPTasks[[#Headers],[ID]]))))=0,"",INDEX(tsk_ActCostInput,(ROW()-ROW(MSPTasks[[#Headers],[ID]]))))))</f>
        <v/>
      </c>
      <c r="U9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1" s="137" t="str">
        <f aca="false">IF(IFERROR(INDEX(tsk_Name,(ROW()-ROW(MSPTasks[[#Headers],[ID]])))="",TRUE()),"",IF(OR(INDEX(tsk_IsSummary,(ROW()-ROW(MSPTasks[[#Headers],[ID]]))),INDEX(tsk_Mode,(ROW()-ROW(MSPTasks[[#Headers],[ID]])))="Manual"),"",IF(N(INDEX(tsk_ConstraintCode,(ROW()-ROW(MSPTasks[[#Headers],[ID]]))))&lt;2,"",INDEX(tsk_Constraint,(ROW()-ROW(MSPTasks[[#Headers],[ID]]))))))</f>
        <v/>
      </c>
      <c r="W91" s="137" t="str">
        <f aca="false">IF(IFERROR(INDEX(tsk_Name,(ROW()-ROW(MSPTasks[[#Headers],[ID]])))="",TRUE()),"",IF(N(INDEX(tsk_Deadline,(ROW()-ROW(MSPTasks[[#Headers],[ID]]))))=0,"",INDEX(tsk_Deadline,(ROW()-ROW(MSPTasks[[#Headers],[ID]])))))</f>
        <v/>
      </c>
      <c r="X91" s="24" t="str">
        <f aca="false">IF(IFERROR(INDEX(tsk_Name,(ROW()-ROW(MSPTasks[[#Headers],[ID]])))="",TRUE()),"",IF(INDEX(tsk_IsSummary,(ROW()-ROW(MSPTasks[[#Headers],[ID]]))),"",INDEX(tsk_Sprint,(ROW()-ROW(MSPTasks[[#Headers],[ID]])))&amp;""))</f>
        <v/>
      </c>
      <c r="Y91" s="24" t="str">
        <f aca="false">IF(IFERROR(INDEX(tsk_Name,(ROW()-ROW(MSPTasks[[#Headers],[ID]])))="",TRUE()),"",IF(INDEX(tsk_IsSummary,(ROW()-ROW(MSPTasks[[#Headers],[ID]]))),"",IF(N(INDEX(tsk_StoryPoints,(ROW()-ROW(MSPTasks[[#Headers],[ID]]))))=0,"",INDEX(tsk_StoryPoints,(ROW()-ROW(MSPTasks[[#Headers],[ID]]))))))</f>
        <v/>
      </c>
      <c r="Z91" s="24" t="str">
        <f aca="false">IF(IFERROR(INDEX(tsk_Name,(ROW()-ROW(MSPTasks[[#Headers],[ID]])))="",TRUE()),"",INDEX(tsk_Notes,(ROW()-ROW(MSPTasks[[#Headers],[ID]])))&amp;"")</f>
        <v/>
      </c>
    </row>
    <row r="92" customFormat="false" ht="15" hidden="false" customHeight="false" outlineLevel="0" collapsed="false">
      <c r="A92" s="24" t="str">
        <f aca="false">IF(IFERROR(INDEX(tsk_Name,(ROW()-ROW(MSPTasks[[#Headers],[ID]])))="",TRUE()),"",INDEX(tsk_ID,(ROW()-ROW(MSPTasks[[#Headers],[ID]]))))</f>
        <v/>
      </c>
      <c r="B92" s="24" t="str">
        <f aca="false">IF(IFERROR(INDEX(tsk_Name,(ROW()-ROW(MSPTasks[[#Headers],[ID]])))="",TRUE()),"",INDEX(tsk_UID,(ROW()-ROW(MSPTasks[[#Headers],[ID]]))))</f>
        <v/>
      </c>
      <c r="C92" s="24" t="str">
        <f aca="false">IF(IFERROR(INDEX(tsk_Name,(ROW()-ROW(MSPTasks[[#Headers],[ID]])))="",TRUE()),"",INDEX(tsk_Name,(ROW()-ROW(MSPTasks[[#Headers],[ID]]))))</f>
        <v/>
      </c>
      <c r="D92" s="24" t="str">
        <f aca="false">IF(IFERROR(INDEX(tsk_Name,(ROW()-ROW(MSPTasks[[#Headers],[ID]])))="",TRUE()),"",INDEX(tsk_Level,(ROW()-ROW(MSPTasks[[#Headers],[ID]]))))</f>
        <v/>
      </c>
      <c r="E92" s="24" t="str">
        <f aca="false">IF(IFERROR(INDEX(tsk_Name,(ROW()-ROW(MSPTasks[[#Headers],[ID]])))="",TRUE()),"",IF(INDEX(tsk_Mode,(ROW()-ROW(MSPTasks[[#Headers],[ID]])))="Manual","Manually Scheduled","Auto Scheduled"))</f>
        <v/>
      </c>
      <c r="F92" s="24" t="str">
        <f aca="false">IF(IFERROR(INDEX(tsk_Name,(ROW()-ROW(MSPTasks[[#Headers],[ID]])))="",TRUE()),"",IF(INDEX(tsk_IsSummary,(ROW()-ROW(MSPTasks[[#Headers],[ID]]))),"",N(INDEX(tsk_Duration,(ROW()-ROW(MSPTasks[[#Headers],[ID]]))))&amp;"d"))</f>
        <v/>
      </c>
      <c r="G92" s="137" t="str">
        <f aca="false">IF(IFERROR(INDEX(tsk_Name,(ROW()-ROW(MSPTasks[[#Headers],[ID]])))="",TRUE()),"",INDEX(tsk_FcStart,(ROW()-ROW(MSPTasks[[#Headers],[ID]]))))</f>
        <v/>
      </c>
      <c r="H92" s="137" t="str">
        <f aca="false">IF(IFERROR(INDEX(tsk_Name,(ROW()-ROW(MSPTasks[[#Headers],[ID]])))="",TRUE()),"",INDEX(tsk_FcFinish,(ROW()-ROW(MSPTasks[[#Headers],[ID]]))))</f>
        <v/>
      </c>
      <c r="I92" s="24" t="str">
        <f aca="false">IF(IFERROR(INDEX(tsk_Name,(ROW()-ROW(MSPTasks[[#Headers],[ID]])))="",TRUE()),"",IF(INDEX(tsk_IsSummary,(ROW()-ROW(MSPTasks[[#Headers],[ID]]))),"",INDEX(tsk_Predecessors,(ROW()-ROW(MSPTasks[[#Headers],[ID]])))))</f>
        <v/>
      </c>
      <c r="J92" s="24" t="str">
        <f aca="false">IF(IFERROR(INDEX(tsk_Name,(ROW()-ROW(MSPTasks[[#Headers],[ID]])))="",TRUE()),"",IF(INDEX(tsk_IsSummary,(ROW()-ROW(MSPTasks[[#Headers],[ID]]))),"",INDEX(tsk_UIDPredecessors,(ROW()-ROW(MSPTasks[[#Headers],[ID]])))))</f>
        <v/>
      </c>
      <c r="K92" s="24" t="str">
        <f aca="false">IF(IFERROR(INDEX(tsk_Name,(ROW()-ROW(MSPTasks[[#Headers],[ID]])))="",TRUE()),"",INDEX(tsk_ResourceNames,(ROW()-ROW(MSPTasks[[#Headers],[ID]])))&amp;"")</f>
        <v/>
      </c>
      <c r="L92" s="24" t="str">
        <f aca="false">IF(IFERROR(INDEX(tsk_Name,(ROW()-ROW(MSPTasks[[#Headers],[ID]])))="",TRUE()),"",IF(INDEX(tsk_IsSummary,(ROW()-ROW(MSPTasks[[#Headers],[ID]]))),"",ROUND(INDEX(tsk_Progress,(ROW()-ROW(MSPTasks[[#Headers],[ID]])))*100,0)))</f>
        <v/>
      </c>
      <c r="M92" s="137" t="str">
        <f aca="false">IF(IFERROR(INDEX(tsk_Name,(ROW()-ROW(MSPTasks[[#Headers],[ID]])))="",TRUE()),"",IF(N(INDEX(tsk_ActStart,(ROW()-ROW(MSPTasks[[#Headers],[ID]]))))=0,"",INDEX(tsk_ActStart,(ROW()-ROW(MSPTasks[[#Headers],[ID]])))))</f>
        <v/>
      </c>
      <c r="N92" s="137" t="str">
        <f aca="false">IF(IFERROR(INDEX(tsk_Name,(ROW()-ROW(MSPTasks[[#Headers],[ID]])))="",TRUE()),"",IF(N(INDEX(tsk_ActFinish,(ROW()-ROW(MSPTasks[[#Headers],[ID]]))))=0,"",INDEX(tsk_ActFinish,(ROW()-ROW(MSPTasks[[#Headers],[ID]])))))</f>
        <v/>
      </c>
      <c r="O92" s="137" t="str">
        <f aca="false">IF(IFERROR(INDEX(tsk_Name,(ROW()-ROW(MSPTasks[[#Headers],[ID]])))="",TRUE()),"",INDEX(tsk_PlanStart,(ROW()-ROW(MSPTasks[[#Headers],[ID]]))))</f>
        <v/>
      </c>
      <c r="P92" s="137" t="str">
        <f aca="false">IF(IFERROR(INDEX(tsk_Name,(ROW()-ROW(MSPTasks[[#Headers],[ID]])))="",TRUE()),"",INDEX(tsk_PlanFinish,(ROW()-ROW(MSPTasks[[#Headers],[ID]]))))</f>
        <v/>
      </c>
      <c r="Q92" s="24" t="str">
        <f aca="false">IF(IFERROR(INDEX(tsk_Name,(ROW()-ROW(MSPTasks[[#Headers],[ID]])))="",TRUE()),"",IF(INDEX(tsk_BaseDuration,(ROW()-ROW(MSPTasks[[#Headers],[ID]])))="","",N(INDEX(tsk_BaseDuration,(ROW()-ROW(MSPTasks[[#Headers],[ID]]))))&amp;"d"))</f>
        <v/>
      </c>
      <c r="R92" s="24" t="str">
        <f aca="false">IF(IFERROR(INDEX(tsk_Name,(ROW()-ROW(MSPTasks[[#Headers],[ID]])))="",TRUE()),"",IF(INDEX(tsk_BaseWork,(ROW()-ROW(MSPTasks[[#Headers],[ID]])))="","",N(INDEX(tsk_BaseWork,(ROW()-ROW(MSPTasks[[#Headers],[ID]]))))&amp;"h"))</f>
        <v/>
      </c>
      <c r="S92" s="24" t="str">
        <f aca="false">IF(IFERROR(INDEX(tsk_Name,(ROW()-ROW(MSPTasks[[#Headers],[ID]])))="",TRUE()),"",IF(INDEX(tsk_BaseCost,(ROW()-ROW(MSPTasks[[#Headers],[ID]])))="","",N(INDEX(tsk_BaseCost,(ROW()-ROW(MSPTasks[[#Headers],[ID]]))))))</f>
        <v/>
      </c>
      <c r="T92" s="24" t="str">
        <f aca="false">IF(IFERROR(INDEX(tsk_Name,(ROW()-ROW(MSPTasks[[#Headers],[ID]])))="",TRUE()),"",IF(INDEX(tsk_IsSummary,(ROW()-ROW(MSPTasks[[#Headers],[ID]]))),"",IF(N(INDEX(tsk_ActCostInput,(ROW()-ROW(MSPTasks[[#Headers],[ID]]))))=0,"",INDEX(tsk_ActCostInput,(ROW()-ROW(MSPTasks[[#Headers],[ID]]))))))</f>
        <v/>
      </c>
      <c r="U9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2" s="137" t="str">
        <f aca="false">IF(IFERROR(INDEX(tsk_Name,(ROW()-ROW(MSPTasks[[#Headers],[ID]])))="",TRUE()),"",IF(OR(INDEX(tsk_IsSummary,(ROW()-ROW(MSPTasks[[#Headers],[ID]]))),INDEX(tsk_Mode,(ROW()-ROW(MSPTasks[[#Headers],[ID]])))="Manual"),"",IF(N(INDEX(tsk_ConstraintCode,(ROW()-ROW(MSPTasks[[#Headers],[ID]]))))&lt;2,"",INDEX(tsk_Constraint,(ROW()-ROW(MSPTasks[[#Headers],[ID]]))))))</f>
        <v/>
      </c>
      <c r="W92" s="137" t="str">
        <f aca="false">IF(IFERROR(INDEX(tsk_Name,(ROW()-ROW(MSPTasks[[#Headers],[ID]])))="",TRUE()),"",IF(N(INDEX(tsk_Deadline,(ROW()-ROW(MSPTasks[[#Headers],[ID]]))))=0,"",INDEX(tsk_Deadline,(ROW()-ROW(MSPTasks[[#Headers],[ID]])))))</f>
        <v/>
      </c>
      <c r="X92" s="24" t="str">
        <f aca="false">IF(IFERROR(INDEX(tsk_Name,(ROW()-ROW(MSPTasks[[#Headers],[ID]])))="",TRUE()),"",IF(INDEX(tsk_IsSummary,(ROW()-ROW(MSPTasks[[#Headers],[ID]]))),"",INDEX(tsk_Sprint,(ROW()-ROW(MSPTasks[[#Headers],[ID]])))&amp;""))</f>
        <v/>
      </c>
      <c r="Y92" s="24" t="str">
        <f aca="false">IF(IFERROR(INDEX(tsk_Name,(ROW()-ROW(MSPTasks[[#Headers],[ID]])))="",TRUE()),"",IF(INDEX(tsk_IsSummary,(ROW()-ROW(MSPTasks[[#Headers],[ID]]))),"",IF(N(INDEX(tsk_StoryPoints,(ROW()-ROW(MSPTasks[[#Headers],[ID]]))))=0,"",INDEX(tsk_StoryPoints,(ROW()-ROW(MSPTasks[[#Headers],[ID]]))))))</f>
        <v/>
      </c>
      <c r="Z92" s="24" t="str">
        <f aca="false">IF(IFERROR(INDEX(tsk_Name,(ROW()-ROW(MSPTasks[[#Headers],[ID]])))="",TRUE()),"",INDEX(tsk_Notes,(ROW()-ROW(MSPTasks[[#Headers],[ID]])))&amp;"")</f>
        <v/>
      </c>
    </row>
    <row r="93" customFormat="false" ht="15" hidden="false" customHeight="false" outlineLevel="0" collapsed="false">
      <c r="A93" s="24" t="str">
        <f aca="false">IF(IFERROR(INDEX(tsk_Name,(ROW()-ROW(MSPTasks[[#Headers],[ID]])))="",TRUE()),"",INDEX(tsk_ID,(ROW()-ROW(MSPTasks[[#Headers],[ID]]))))</f>
        <v/>
      </c>
      <c r="B93" s="24" t="str">
        <f aca="false">IF(IFERROR(INDEX(tsk_Name,(ROW()-ROW(MSPTasks[[#Headers],[ID]])))="",TRUE()),"",INDEX(tsk_UID,(ROW()-ROW(MSPTasks[[#Headers],[ID]]))))</f>
        <v/>
      </c>
      <c r="C93" s="24" t="str">
        <f aca="false">IF(IFERROR(INDEX(tsk_Name,(ROW()-ROW(MSPTasks[[#Headers],[ID]])))="",TRUE()),"",INDEX(tsk_Name,(ROW()-ROW(MSPTasks[[#Headers],[ID]]))))</f>
        <v/>
      </c>
      <c r="D93" s="24" t="str">
        <f aca="false">IF(IFERROR(INDEX(tsk_Name,(ROW()-ROW(MSPTasks[[#Headers],[ID]])))="",TRUE()),"",INDEX(tsk_Level,(ROW()-ROW(MSPTasks[[#Headers],[ID]]))))</f>
        <v/>
      </c>
      <c r="E93" s="24" t="str">
        <f aca="false">IF(IFERROR(INDEX(tsk_Name,(ROW()-ROW(MSPTasks[[#Headers],[ID]])))="",TRUE()),"",IF(INDEX(tsk_Mode,(ROW()-ROW(MSPTasks[[#Headers],[ID]])))="Manual","Manually Scheduled","Auto Scheduled"))</f>
        <v/>
      </c>
      <c r="F93" s="24" t="str">
        <f aca="false">IF(IFERROR(INDEX(tsk_Name,(ROW()-ROW(MSPTasks[[#Headers],[ID]])))="",TRUE()),"",IF(INDEX(tsk_IsSummary,(ROW()-ROW(MSPTasks[[#Headers],[ID]]))),"",N(INDEX(tsk_Duration,(ROW()-ROW(MSPTasks[[#Headers],[ID]]))))&amp;"d"))</f>
        <v/>
      </c>
      <c r="G93" s="137" t="str">
        <f aca="false">IF(IFERROR(INDEX(tsk_Name,(ROW()-ROW(MSPTasks[[#Headers],[ID]])))="",TRUE()),"",INDEX(tsk_FcStart,(ROW()-ROW(MSPTasks[[#Headers],[ID]]))))</f>
        <v/>
      </c>
      <c r="H93" s="137" t="str">
        <f aca="false">IF(IFERROR(INDEX(tsk_Name,(ROW()-ROW(MSPTasks[[#Headers],[ID]])))="",TRUE()),"",INDEX(tsk_FcFinish,(ROW()-ROW(MSPTasks[[#Headers],[ID]]))))</f>
        <v/>
      </c>
      <c r="I93" s="24" t="str">
        <f aca="false">IF(IFERROR(INDEX(tsk_Name,(ROW()-ROW(MSPTasks[[#Headers],[ID]])))="",TRUE()),"",IF(INDEX(tsk_IsSummary,(ROW()-ROW(MSPTasks[[#Headers],[ID]]))),"",INDEX(tsk_Predecessors,(ROW()-ROW(MSPTasks[[#Headers],[ID]])))))</f>
        <v/>
      </c>
      <c r="J93" s="24" t="str">
        <f aca="false">IF(IFERROR(INDEX(tsk_Name,(ROW()-ROW(MSPTasks[[#Headers],[ID]])))="",TRUE()),"",IF(INDEX(tsk_IsSummary,(ROW()-ROW(MSPTasks[[#Headers],[ID]]))),"",INDEX(tsk_UIDPredecessors,(ROW()-ROW(MSPTasks[[#Headers],[ID]])))))</f>
        <v/>
      </c>
      <c r="K93" s="24" t="str">
        <f aca="false">IF(IFERROR(INDEX(tsk_Name,(ROW()-ROW(MSPTasks[[#Headers],[ID]])))="",TRUE()),"",INDEX(tsk_ResourceNames,(ROW()-ROW(MSPTasks[[#Headers],[ID]])))&amp;"")</f>
        <v/>
      </c>
      <c r="L93" s="24" t="str">
        <f aca="false">IF(IFERROR(INDEX(tsk_Name,(ROW()-ROW(MSPTasks[[#Headers],[ID]])))="",TRUE()),"",IF(INDEX(tsk_IsSummary,(ROW()-ROW(MSPTasks[[#Headers],[ID]]))),"",ROUND(INDEX(tsk_Progress,(ROW()-ROW(MSPTasks[[#Headers],[ID]])))*100,0)))</f>
        <v/>
      </c>
      <c r="M93" s="137" t="str">
        <f aca="false">IF(IFERROR(INDEX(tsk_Name,(ROW()-ROW(MSPTasks[[#Headers],[ID]])))="",TRUE()),"",IF(N(INDEX(tsk_ActStart,(ROW()-ROW(MSPTasks[[#Headers],[ID]]))))=0,"",INDEX(tsk_ActStart,(ROW()-ROW(MSPTasks[[#Headers],[ID]])))))</f>
        <v/>
      </c>
      <c r="N93" s="137" t="str">
        <f aca="false">IF(IFERROR(INDEX(tsk_Name,(ROW()-ROW(MSPTasks[[#Headers],[ID]])))="",TRUE()),"",IF(N(INDEX(tsk_ActFinish,(ROW()-ROW(MSPTasks[[#Headers],[ID]]))))=0,"",INDEX(tsk_ActFinish,(ROW()-ROW(MSPTasks[[#Headers],[ID]])))))</f>
        <v/>
      </c>
      <c r="O93" s="137" t="str">
        <f aca="false">IF(IFERROR(INDEX(tsk_Name,(ROW()-ROW(MSPTasks[[#Headers],[ID]])))="",TRUE()),"",INDEX(tsk_PlanStart,(ROW()-ROW(MSPTasks[[#Headers],[ID]]))))</f>
        <v/>
      </c>
      <c r="P93" s="137" t="str">
        <f aca="false">IF(IFERROR(INDEX(tsk_Name,(ROW()-ROW(MSPTasks[[#Headers],[ID]])))="",TRUE()),"",INDEX(tsk_PlanFinish,(ROW()-ROW(MSPTasks[[#Headers],[ID]]))))</f>
        <v/>
      </c>
      <c r="Q93" s="24" t="str">
        <f aca="false">IF(IFERROR(INDEX(tsk_Name,(ROW()-ROW(MSPTasks[[#Headers],[ID]])))="",TRUE()),"",IF(INDEX(tsk_BaseDuration,(ROW()-ROW(MSPTasks[[#Headers],[ID]])))="","",N(INDEX(tsk_BaseDuration,(ROW()-ROW(MSPTasks[[#Headers],[ID]]))))&amp;"d"))</f>
        <v/>
      </c>
      <c r="R93" s="24" t="str">
        <f aca="false">IF(IFERROR(INDEX(tsk_Name,(ROW()-ROW(MSPTasks[[#Headers],[ID]])))="",TRUE()),"",IF(INDEX(tsk_BaseWork,(ROW()-ROW(MSPTasks[[#Headers],[ID]])))="","",N(INDEX(tsk_BaseWork,(ROW()-ROW(MSPTasks[[#Headers],[ID]]))))&amp;"h"))</f>
        <v/>
      </c>
      <c r="S93" s="24" t="str">
        <f aca="false">IF(IFERROR(INDEX(tsk_Name,(ROW()-ROW(MSPTasks[[#Headers],[ID]])))="",TRUE()),"",IF(INDEX(tsk_BaseCost,(ROW()-ROW(MSPTasks[[#Headers],[ID]])))="","",N(INDEX(tsk_BaseCost,(ROW()-ROW(MSPTasks[[#Headers],[ID]]))))))</f>
        <v/>
      </c>
      <c r="T93" s="24" t="str">
        <f aca="false">IF(IFERROR(INDEX(tsk_Name,(ROW()-ROW(MSPTasks[[#Headers],[ID]])))="",TRUE()),"",IF(INDEX(tsk_IsSummary,(ROW()-ROW(MSPTasks[[#Headers],[ID]]))),"",IF(N(INDEX(tsk_ActCostInput,(ROW()-ROW(MSPTasks[[#Headers],[ID]]))))=0,"",INDEX(tsk_ActCostInput,(ROW()-ROW(MSPTasks[[#Headers],[ID]]))))))</f>
        <v/>
      </c>
      <c r="U9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3" s="137" t="str">
        <f aca="false">IF(IFERROR(INDEX(tsk_Name,(ROW()-ROW(MSPTasks[[#Headers],[ID]])))="",TRUE()),"",IF(OR(INDEX(tsk_IsSummary,(ROW()-ROW(MSPTasks[[#Headers],[ID]]))),INDEX(tsk_Mode,(ROW()-ROW(MSPTasks[[#Headers],[ID]])))="Manual"),"",IF(N(INDEX(tsk_ConstraintCode,(ROW()-ROW(MSPTasks[[#Headers],[ID]]))))&lt;2,"",INDEX(tsk_Constraint,(ROW()-ROW(MSPTasks[[#Headers],[ID]]))))))</f>
        <v/>
      </c>
      <c r="W93" s="137" t="str">
        <f aca="false">IF(IFERROR(INDEX(tsk_Name,(ROW()-ROW(MSPTasks[[#Headers],[ID]])))="",TRUE()),"",IF(N(INDEX(tsk_Deadline,(ROW()-ROW(MSPTasks[[#Headers],[ID]]))))=0,"",INDEX(tsk_Deadline,(ROW()-ROW(MSPTasks[[#Headers],[ID]])))))</f>
        <v/>
      </c>
      <c r="X93" s="24" t="str">
        <f aca="false">IF(IFERROR(INDEX(tsk_Name,(ROW()-ROW(MSPTasks[[#Headers],[ID]])))="",TRUE()),"",IF(INDEX(tsk_IsSummary,(ROW()-ROW(MSPTasks[[#Headers],[ID]]))),"",INDEX(tsk_Sprint,(ROW()-ROW(MSPTasks[[#Headers],[ID]])))&amp;""))</f>
        <v/>
      </c>
      <c r="Y93" s="24" t="str">
        <f aca="false">IF(IFERROR(INDEX(tsk_Name,(ROW()-ROW(MSPTasks[[#Headers],[ID]])))="",TRUE()),"",IF(INDEX(tsk_IsSummary,(ROW()-ROW(MSPTasks[[#Headers],[ID]]))),"",IF(N(INDEX(tsk_StoryPoints,(ROW()-ROW(MSPTasks[[#Headers],[ID]]))))=0,"",INDEX(tsk_StoryPoints,(ROW()-ROW(MSPTasks[[#Headers],[ID]]))))))</f>
        <v/>
      </c>
      <c r="Z93" s="24" t="str">
        <f aca="false">IF(IFERROR(INDEX(tsk_Name,(ROW()-ROW(MSPTasks[[#Headers],[ID]])))="",TRUE()),"",INDEX(tsk_Notes,(ROW()-ROW(MSPTasks[[#Headers],[ID]])))&amp;"")</f>
        <v/>
      </c>
    </row>
    <row r="94" customFormat="false" ht="15" hidden="false" customHeight="false" outlineLevel="0" collapsed="false">
      <c r="A94" s="24" t="str">
        <f aca="false">IF(IFERROR(INDEX(tsk_Name,(ROW()-ROW(MSPTasks[[#Headers],[ID]])))="",TRUE()),"",INDEX(tsk_ID,(ROW()-ROW(MSPTasks[[#Headers],[ID]]))))</f>
        <v/>
      </c>
      <c r="B94" s="24" t="str">
        <f aca="false">IF(IFERROR(INDEX(tsk_Name,(ROW()-ROW(MSPTasks[[#Headers],[ID]])))="",TRUE()),"",INDEX(tsk_UID,(ROW()-ROW(MSPTasks[[#Headers],[ID]]))))</f>
        <v/>
      </c>
      <c r="C94" s="24" t="str">
        <f aca="false">IF(IFERROR(INDEX(tsk_Name,(ROW()-ROW(MSPTasks[[#Headers],[ID]])))="",TRUE()),"",INDEX(tsk_Name,(ROW()-ROW(MSPTasks[[#Headers],[ID]]))))</f>
        <v/>
      </c>
      <c r="D94" s="24" t="str">
        <f aca="false">IF(IFERROR(INDEX(tsk_Name,(ROW()-ROW(MSPTasks[[#Headers],[ID]])))="",TRUE()),"",INDEX(tsk_Level,(ROW()-ROW(MSPTasks[[#Headers],[ID]]))))</f>
        <v/>
      </c>
      <c r="E94" s="24" t="str">
        <f aca="false">IF(IFERROR(INDEX(tsk_Name,(ROW()-ROW(MSPTasks[[#Headers],[ID]])))="",TRUE()),"",IF(INDEX(tsk_Mode,(ROW()-ROW(MSPTasks[[#Headers],[ID]])))="Manual","Manually Scheduled","Auto Scheduled"))</f>
        <v/>
      </c>
      <c r="F94" s="24" t="str">
        <f aca="false">IF(IFERROR(INDEX(tsk_Name,(ROW()-ROW(MSPTasks[[#Headers],[ID]])))="",TRUE()),"",IF(INDEX(tsk_IsSummary,(ROW()-ROW(MSPTasks[[#Headers],[ID]]))),"",N(INDEX(tsk_Duration,(ROW()-ROW(MSPTasks[[#Headers],[ID]]))))&amp;"d"))</f>
        <v/>
      </c>
      <c r="G94" s="137" t="str">
        <f aca="false">IF(IFERROR(INDEX(tsk_Name,(ROW()-ROW(MSPTasks[[#Headers],[ID]])))="",TRUE()),"",INDEX(tsk_FcStart,(ROW()-ROW(MSPTasks[[#Headers],[ID]]))))</f>
        <v/>
      </c>
      <c r="H94" s="137" t="str">
        <f aca="false">IF(IFERROR(INDEX(tsk_Name,(ROW()-ROW(MSPTasks[[#Headers],[ID]])))="",TRUE()),"",INDEX(tsk_FcFinish,(ROW()-ROW(MSPTasks[[#Headers],[ID]]))))</f>
        <v/>
      </c>
      <c r="I94" s="24" t="str">
        <f aca="false">IF(IFERROR(INDEX(tsk_Name,(ROW()-ROW(MSPTasks[[#Headers],[ID]])))="",TRUE()),"",IF(INDEX(tsk_IsSummary,(ROW()-ROW(MSPTasks[[#Headers],[ID]]))),"",INDEX(tsk_Predecessors,(ROW()-ROW(MSPTasks[[#Headers],[ID]])))))</f>
        <v/>
      </c>
      <c r="J94" s="24" t="str">
        <f aca="false">IF(IFERROR(INDEX(tsk_Name,(ROW()-ROW(MSPTasks[[#Headers],[ID]])))="",TRUE()),"",IF(INDEX(tsk_IsSummary,(ROW()-ROW(MSPTasks[[#Headers],[ID]]))),"",INDEX(tsk_UIDPredecessors,(ROW()-ROW(MSPTasks[[#Headers],[ID]])))))</f>
        <v/>
      </c>
      <c r="K94" s="24" t="str">
        <f aca="false">IF(IFERROR(INDEX(tsk_Name,(ROW()-ROW(MSPTasks[[#Headers],[ID]])))="",TRUE()),"",INDEX(tsk_ResourceNames,(ROW()-ROW(MSPTasks[[#Headers],[ID]])))&amp;"")</f>
        <v/>
      </c>
      <c r="L94" s="24" t="str">
        <f aca="false">IF(IFERROR(INDEX(tsk_Name,(ROW()-ROW(MSPTasks[[#Headers],[ID]])))="",TRUE()),"",IF(INDEX(tsk_IsSummary,(ROW()-ROW(MSPTasks[[#Headers],[ID]]))),"",ROUND(INDEX(tsk_Progress,(ROW()-ROW(MSPTasks[[#Headers],[ID]])))*100,0)))</f>
        <v/>
      </c>
      <c r="M94" s="137" t="str">
        <f aca="false">IF(IFERROR(INDEX(tsk_Name,(ROW()-ROW(MSPTasks[[#Headers],[ID]])))="",TRUE()),"",IF(N(INDEX(tsk_ActStart,(ROW()-ROW(MSPTasks[[#Headers],[ID]]))))=0,"",INDEX(tsk_ActStart,(ROW()-ROW(MSPTasks[[#Headers],[ID]])))))</f>
        <v/>
      </c>
      <c r="N94" s="137" t="str">
        <f aca="false">IF(IFERROR(INDEX(tsk_Name,(ROW()-ROW(MSPTasks[[#Headers],[ID]])))="",TRUE()),"",IF(N(INDEX(tsk_ActFinish,(ROW()-ROW(MSPTasks[[#Headers],[ID]]))))=0,"",INDEX(tsk_ActFinish,(ROW()-ROW(MSPTasks[[#Headers],[ID]])))))</f>
        <v/>
      </c>
      <c r="O94" s="137" t="str">
        <f aca="false">IF(IFERROR(INDEX(tsk_Name,(ROW()-ROW(MSPTasks[[#Headers],[ID]])))="",TRUE()),"",INDEX(tsk_PlanStart,(ROW()-ROW(MSPTasks[[#Headers],[ID]]))))</f>
        <v/>
      </c>
      <c r="P94" s="137" t="str">
        <f aca="false">IF(IFERROR(INDEX(tsk_Name,(ROW()-ROW(MSPTasks[[#Headers],[ID]])))="",TRUE()),"",INDEX(tsk_PlanFinish,(ROW()-ROW(MSPTasks[[#Headers],[ID]]))))</f>
        <v/>
      </c>
      <c r="Q94" s="24" t="str">
        <f aca="false">IF(IFERROR(INDEX(tsk_Name,(ROW()-ROW(MSPTasks[[#Headers],[ID]])))="",TRUE()),"",IF(INDEX(tsk_BaseDuration,(ROW()-ROW(MSPTasks[[#Headers],[ID]])))="","",N(INDEX(tsk_BaseDuration,(ROW()-ROW(MSPTasks[[#Headers],[ID]]))))&amp;"d"))</f>
        <v/>
      </c>
      <c r="R94" s="24" t="str">
        <f aca="false">IF(IFERROR(INDEX(tsk_Name,(ROW()-ROW(MSPTasks[[#Headers],[ID]])))="",TRUE()),"",IF(INDEX(tsk_BaseWork,(ROW()-ROW(MSPTasks[[#Headers],[ID]])))="","",N(INDEX(tsk_BaseWork,(ROW()-ROW(MSPTasks[[#Headers],[ID]]))))&amp;"h"))</f>
        <v/>
      </c>
      <c r="S94" s="24" t="str">
        <f aca="false">IF(IFERROR(INDEX(tsk_Name,(ROW()-ROW(MSPTasks[[#Headers],[ID]])))="",TRUE()),"",IF(INDEX(tsk_BaseCost,(ROW()-ROW(MSPTasks[[#Headers],[ID]])))="","",N(INDEX(tsk_BaseCost,(ROW()-ROW(MSPTasks[[#Headers],[ID]]))))))</f>
        <v/>
      </c>
      <c r="T94" s="24" t="str">
        <f aca="false">IF(IFERROR(INDEX(tsk_Name,(ROW()-ROW(MSPTasks[[#Headers],[ID]])))="",TRUE()),"",IF(INDEX(tsk_IsSummary,(ROW()-ROW(MSPTasks[[#Headers],[ID]]))),"",IF(N(INDEX(tsk_ActCostInput,(ROW()-ROW(MSPTasks[[#Headers],[ID]]))))=0,"",INDEX(tsk_ActCostInput,(ROW()-ROW(MSPTasks[[#Headers],[ID]]))))))</f>
        <v/>
      </c>
      <c r="U9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4" s="137" t="str">
        <f aca="false">IF(IFERROR(INDEX(tsk_Name,(ROW()-ROW(MSPTasks[[#Headers],[ID]])))="",TRUE()),"",IF(OR(INDEX(tsk_IsSummary,(ROW()-ROW(MSPTasks[[#Headers],[ID]]))),INDEX(tsk_Mode,(ROW()-ROW(MSPTasks[[#Headers],[ID]])))="Manual"),"",IF(N(INDEX(tsk_ConstraintCode,(ROW()-ROW(MSPTasks[[#Headers],[ID]]))))&lt;2,"",INDEX(tsk_Constraint,(ROW()-ROW(MSPTasks[[#Headers],[ID]]))))))</f>
        <v/>
      </c>
      <c r="W94" s="137" t="str">
        <f aca="false">IF(IFERROR(INDEX(tsk_Name,(ROW()-ROW(MSPTasks[[#Headers],[ID]])))="",TRUE()),"",IF(N(INDEX(tsk_Deadline,(ROW()-ROW(MSPTasks[[#Headers],[ID]]))))=0,"",INDEX(tsk_Deadline,(ROW()-ROW(MSPTasks[[#Headers],[ID]])))))</f>
        <v/>
      </c>
      <c r="X94" s="24" t="str">
        <f aca="false">IF(IFERROR(INDEX(tsk_Name,(ROW()-ROW(MSPTasks[[#Headers],[ID]])))="",TRUE()),"",IF(INDEX(tsk_IsSummary,(ROW()-ROW(MSPTasks[[#Headers],[ID]]))),"",INDEX(tsk_Sprint,(ROW()-ROW(MSPTasks[[#Headers],[ID]])))&amp;""))</f>
        <v/>
      </c>
      <c r="Y94" s="24" t="str">
        <f aca="false">IF(IFERROR(INDEX(tsk_Name,(ROW()-ROW(MSPTasks[[#Headers],[ID]])))="",TRUE()),"",IF(INDEX(tsk_IsSummary,(ROW()-ROW(MSPTasks[[#Headers],[ID]]))),"",IF(N(INDEX(tsk_StoryPoints,(ROW()-ROW(MSPTasks[[#Headers],[ID]]))))=0,"",INDEX(tsk_StoryPoints,(ROW()-ROW(MSPTasks[[#Headers],[ID]]))))))</f>
        <v/>
      </c>
      <c r="Z94" s="24" t="str">
        <f aca="false">IF(IFERROR(INDEX(tsk_Name,(ROW()-ROW(MSPTasks[[#Headers],[ID]])))="",TRUE()),"",INDEX(tsk_Notes,(ROW()-ROW(MSPTasks[[#Headers],[ID]])))&amp;"")</f>
        <v/>
      </c>
    </row>
    <row r="95" customFormat="false" ht="15" hidden="false" customHeight="false" outlineLevel="0" collapsed="false">
      <c r="A95" s="24" t="str">
        <f aca="false">IF(IFERROR(INDEX(tsk_Name,(ROW()-ROW(MSPTasks[[#Headers],[ID]])))="",TRUE()),"",INDEX(tsk_ID,(ROW()-ROW(MSPTasks[[#Headers],[ID]]))))</f>
        <v/>
      </c>
      <c r="B95" s="24" t="str">
        <f aca="false">IF(IFERROR(INDEX(tsk_Name,(ROW()-ROW(MSPTasks[[#Headers],[ID]])))="",TRUE()),"",INDEX(tsk_UID,(ROW()-ROW(MSPTasks[[#Headers],[ID]]))))</f>
        <v/>
      </c>
      <c r="C95" s="24" t="str">
        <f aca="false">IF(IFERROR(INDEX(tsk_Name,(ROW()-ROW(MSPTasks[[#Headers],[ID]])))="",TRUE()),"",INDEX(tsk_Name,(ROW()-ROW(MSPTasks[[#Headers],[ID]]))))</f>
        <v/>
      </c>
      <c r="D95" s="24" t="str">
        <f aca="false">IF(IFERROR(INDEX(tsk_Name,(ROW()-ROW(MSPTasks[[#Headers],[ID]])))="",TRUE()),"",INDEX(tsk_Level,(ROW()-ROW(MSPTasks[[#Headers],[ID]]))))</f>
        <v/>
      </c>
      <c r="E95" s="24" t="str">
        <f aca="false">IF(IFERROR(INDEX(tsk_Name,(ROW()-ROW(MSPTasks[[#Headers],[ID]])))="",TRUE()),"",IF(INDEX(tsk_Mode,(ROW()-ROW(MSPTasks[[#Headers],[ID]])))="Manual","Manually Scheduled","Auto Scheduled"))</f>
        <v/>
      </c>
      <c r="F95" s="24" t="str">
        <f aca="false">IF(IFERROR(INDEX(tsk_Name,(ROW()-ROW(MSPTasks[[#Headers],[ID]])))="",TRUE()),"",IF(INDEX(tsk_IsSummary,(ROW()-ROW(MSPTasks[[#Headers],[ID]]))),"",N(INDEX(tsk_Duration,(ROW()-ROW(MSPTasks[[#Headers],[ID]]))))&amp;"d"))</f>
        <v/>
      </c>
      <c r="G95" s="137" t="str">
        <f aca="false">IF(IFERROR(INDEX(tsk_Name,(ROW()-ROW(MSPTasks[[#Headers],[ID]])))="",TRUE()),"",INDEX(tsk_FcStart,(ROW()-ROW(MSPTasks[[#Headers],[ID]]))))</f>
        <v/>
      </c>
      <c r="H95" s="137" t="str">
        <f aca="false">IF(IFERROR(INDEX(tsk_Name,(ROW()-ROW(MSPTasks[[#Headers],[ID]])))="",TRUE()),"",INDEX(tsk_FcFinish,(ROW()-ROW(MSPTasks[[#Headers],[ID]]))))</f>
        <v/>
      </c>
      <c r="I95" s="24" t="str">
        <f aca="false">IF(IFERROR(INDEX(tsk_Name,(ROW()-ROW(MSPTasks[[#Headers],[ID]])))="",TRUE()),"",IF(INDEX(tsk_IsSummary,(ROW()-ROW(MSPTasks[[#Headers],[ID]]))),"",INDEX(tsk_Predecessors,(ROW()-ROW(MSPTasks[[#Headers],[ID]])))))</f>
        <v/>
      </c>
      <c r="J95" s="24" t="str">
        <f aca="false">IF(IFERROR(INDEX(tsk_Name,(ROW()-ROW(MSPTasks[[#Headers],[ID]])))="",TRUE()),"",IF(INDEX(tsk_IsSummary,(ROW()-ROW(MSPTasks[[#Headers],[ID]]))),"",INDEX(tsk_UIDPredecessors,(ROW()-ROW(MSPTasks[[#Headers],[ID]])))))</f>
        <v/>
      </c>
      <c r="K95" s="24" t="str">
        <f aca="false">IF(IFERROR(INDEX(tsk_Name,(ROW()-ROW(MSPTasks[[#Headers],[ID]])))="",TRUE()),"",INDEX(tsk_ResourceNames,(ROW()-ROW(MSPTasks[[#Headers],[ID]])))&amp;"")</f>
        <v/>
      </c>
      <c r="L95" s="24" t="str">
        <f aca="false">IF(IFERROR(INDEX(tsk_Name,(ROW()-ROW(MSPTasks[[#Headers],[ID]])))="",TRUE()),"",IF(INDEX(tsk_IsSummary,(ROW()-ROW(MSPTasks[[#Headers],[ID]]))),"",ROUND(INDEX(tsk_Progress,(ROW()-ROW(MSPTasks[[#Headers],[ID]])))*100,0)))</f>
        <v/>
      </c>
      <c r="M95" s="137" t="str">
        <f aca="false">IF(IFERROR(INDEX(tsk_Name,(ROW()-ROW(MSPTasks[[#Headers],[ID]])))="",TRUE()),"",IF(N(INDEX(tsk_ActStart,(ROW()-ROW(MSPTasks[[#Headers],[ID]]))))=0,"",INDEX(tsk_ActStart,(ROW()-ROW(MSPTasks[[#Headers],[ID]])))))</f>
        <v/>
      </c>
      <c r="N95" s="137" t="str">
        <f aca="false">IF(IFERROR(INDEX(tsk_Name,(ROW()-ROW(MSPTasks[[#Headers],[ID]])))="",TRUE()),"",IF(N(INDEX(tsk_ActFinish,(ROW()-ROW(MSPTasks[[#Headers],[ID]]))))=0,"",INDEX(tsk_ActFinish,(ROW()-ROW(MSPTasks[[#Headers],[ID]])))))</f>
        <v/>
      </c>
      <c r="O95" s="137" t="str">
        <f aca="false">IF(IFERROR(INDEX(tsk_Name,(ROW()-ROW(MSPTasks[[#Headers],[ID]])))="",TRUE()),"",INDEX(tsk_PlanStart,(ROW()-ROW(MSPTasks[[#Headers],[ID]]))))</f>
        <v/>
      </c>
      <c r="P95" s="137" t="str">
        <f aca="false">IF(IFERROR(INDEX(tsk_Name,(ROW()-ROW(MSPTasks[[#Headers],[ID]])))="",TRUE()),"",INDEX(tsk_PlanFinish,(ROW()-ROW(MSPTasks[[#Headers],[ID]]))))</f>
        <v/>
      </c>
      <c r="Q95" s="24" t="str">
        <f aca="false">IF(IFERROR(INDEX(tsk_Name,(ROW()-ROW(MSPTasks[[#Headers],[ID]])))="",TRUE()),"",IF(INDEX(tsk_BaseDuration,(ROW()-ROW(MSPTasks[[#Headers],[ID]])))="","",N(INDEX(tsk_BaseDuration,(ROW()-ROW(MSPTasks[[#Headers],[ID]]))))&amp;"d"))</f>
        <v/>
      </c>
      <c r="R95" s="24" t="str">
        <f aca="false">IF(IFERROR(INDEX(tsk_Name,(ROW()-ROW(MSPTasks[[#Headers],[ID]])))="",TRUE()),"",IF(INDEX(tsk_BaseWork,(ROW()-ROW(MSPTasks[[#Headers],[ID]])))="","",N(INDEX(tsk_BaseWork,(ROW()-ROW(MSPTasks[[#Headers],[ID]]))))&amp;"h"))</f>
        <v/>
      </c>
      <c r="S95" s="24" t="str">
        <f aca="false">IF(IFERROR(INDEX(tsk_Name,(ROW()-ROW(MSPTasks[[#Headers],[ID]])))="",TRUE()),"",IF(INDEX(tsk_BaseCost,(ROW()-ROW(MSPTasks[[#Headers],[ID]])))="","",N(INDEX(tsk_BaseCost,(ROW()-ROW(MSPTasks[[#Headers],[ID]]))))))</f>
        <v/>
      </c>
      <c r="T95" s="24" t="str">
        <f aca="false">IF(IFERROR(INDEX(tsk_Name,(ROW()-ROW(MSPTasks[[#Headers],[ID]])))="",TRUE()),"",IF(INDEX(tsk_IsSummary,(ROW()-ROW(MSPTasks[[#Headers],[ID]]))),"",IF(N(INDEX(tsk_ActCostInput,(ROW()-ROW(MSPTasks[[#Headers],[ID]]))))=0,"",INDEX(tsk_ActCostInput,(ROW()-ROW(MSPTasks[[#Headers],[ID]]))))))</f>
        <v/>
      </c>
      <c r="U9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5" s="137" t="str">
        <f aca="false">IF(IFERROR(INDEX(tsk_Name,(ROW()-ROW(MSPTasks[[#Headers],[ID]])))="",TRUE()),"",IF(OR(INDEX(tsk_IsSummary,(ROW()-ROW(MSPTasks[[#Headers],[ID]]))),INDEX(tsk_Mode,(ROW()-ROW(MSPTasks[[#Headers],[ID]])))="Manual"),"",IF(N(INDEX(tsk_ConstraintCode,(ROW()-ROW(MSPTasks[[#Headers],[ID]]))))&lt;2,"",INDEX(tsk_Constraint,(ROW()-ROW(MSPTasks[[#Headers],[ID]]))))))</f>
        <v/>
      </c>
      <c r="W95" s="137" t="str">
        <f aca="false">IF(IFERROR(INDEX(tsk_Name,(ROW()-ROW(MSPTasks[[#Headers],[ID]])))="",TRUE()),"",IF(N(INDEX(tsk_Deadline,(ROW()-ROW(MSPTasks[[#Headers],[ID]]))))=0,"",INDEX(tsk_Deadline,(ROW()-ROW(MSPTasks[[#Headers],[ID]])))))</f>
        <v/>
      </c>
      <c r="X95" s="24" t="str">
        <f aca="false">IF(IFERROR(INDEX(tsk_Name,(ROW()-ROW(MSPTasks[[#Headers],[ID]])))="",TRUE()),"",IF(INDEX(tsk_IsSummary,(ROW()-ROW(MSPTasks[[#Headers],[ID]]))),"",INDEX(tsk_Sprint,(ROW()-ROW(MSPTasks[[#Headers],[ID]])))&amp;""))</f>
        <v/>
      </c>
      <c r="Y95" s="24" t="str">
        <f aca="false">IF(IFERROR(INDEX(tsk_Name,(ROW()-ROW(MSPTasks[[#Headers],[ID]])))="",TRUE()),"",IF(INDEX(tsk_IsSummary,(ROW()-ROW(MSPTasks[[#Headers],[ID]]))),"",IF(N(INDEX(tsk_StoryPoints,(ROW()-ROW(MSPTasks[[#Headers],[ID]]))))=0,"",INDEX(tsk_StoryPoints,(ROW()-ROW(MSPTasks[[#Headers],[ID]]))))))</f>
        <v/>
      </c>
      <c r="Z95" s="24" t="str">
        <f aca="false">IF(IFERROR(INDEX(tsk_Name,(ROW()-ROW(MSPTasks[[#Headers],[ID]])))="",TRUE()),"",INDEX(tsk_Notes,(ROW()-ROW(MSPTasks[[#Headers],[ID]])))&amp;"")</f>
        <v/>
      </c>
    </row>
    <row r="96" customFormat="false" ht="15" hidden="false" customHeight="false" outlineLevel="0" collapsed="false">
      <c r="A96" s="24" t="str">
        <f aca="false">IF(IFERROR(INDEX(tsk_Name,(ROW()-ROW(MSPTasks[[#Headers],[ID]])))="",TRUE()),"",INDEX(tsk_ID,(ROW()-ROW(MSPTasks[[#Headers],[ID]]))))</f>
        <v/>
      </c>
      <c r="B96" s="24" t="str">
        <f aca="false">IF(IFERROR(INDEX(tsk_Name,(ROW()-ROW(MSPTasks[[#Headers],[ID]])))="",TRUE()),"",INDEX(tsk_UID,(ROW()-ROW(MSPTasks[[#Headers],[ID]]))))</f>
        <v/>
      </c>
      <c r="C96" s="24" t="str">
        <f aca="false">IF(IFERROR(INDEX(tsk_Name,(ROW()-ROW(MSPTasks[[#Headers],[ID]])))="",TRUE()),"",INDEX(tsk_Name,(ROW()-ROW(MSPTasks[[#Headers],[ID]]))))</f>
        <v/>
      </c>
      <c r="D96" s="24" t="str">
        <f aca="false">IF(IFERROR(INDEX(tsk_Name,(ROW()-ROW(MSPTasks[[#Headers],[ID]])))="",TRUE()),"",INDEX(tsk_Level,(ROW()-ROW(MSPTasks[[#Headers],[ID]]))))</f>
        <v/>
      </c>
      <c r="E96" s="24" t="str">
        <f aca="false">IF(IFERROR(INDEX(tsk_Name,(ROW()-ROW(MSPTasks[[#Headers],[ID]])))="",TRUE()),"",IF(INDEX(tsk_Mode,(ROW()-ROW(MSPTasks[[#Headers],[ID]])))="Manual","Manually Scheduled","Auto Scheduled"))</f>
        <v/>
      </c>
      <c r="F96" s="24" t="str">
        <f aca="false">IF(IFERROR(INDEX(tsk_Name,(ROW()-ROW(MSPTasks[[#Headers],[ID]])))="",TRUE()),"",IF(INDEX(tsk_IsSummary,(ROW()-ROW(MSPTasks[[#Headers],[ID]]))),"",N(INDEX(tsk_Duration,(ROW()-ROW(MSPTasks[[#Headers],[ID]]))))&amp;"d"))</f>
        <v/>
      </c>
      <c r="G96" s="137" t="str">
        <f aca="false">IF(IFERROR(INDEX(tsk_Name,(ROW()-ROW(MSPTasks[[#Headers],[ID]])))="",TRUE()),"",INDEX(tsk_FcStart,(ROW()-ROW(MSPTasks[[#Headers],[ID]]))))</f>
        <v/>
      </c>
      <c r="H96" s="137" t="str">
        <f aca="false">IF(IFERROR(INDEX(tsk_Name,(ROW()-ROW(MSPTasks[[#Headers],[ID]])))="",TRUE()),"",INDEX(tsk_FcFinish,(ROW()-ROW(MSPTasks[[#Headers],[ID]]))))</f>
        <v/>
      </c>
      <c r="I96" s="24" t="str">
        <f aca="false">IF(IFERROR(INDEX(tsk_Name,(ROW()-ROW(MSPTasks[[#Headers],[ID]])))="",TRUE()),"",IF(INDEX(tsk_IsSummary,(ROW()-ROW(MSPTasks[[#Headers],[ID]]))),"",INDEX(tsk_Predecessors,(ROW()-ROW(MSPTasks[[#Headers],[ID]])))))</f>
        <v/>
      </c>
      <c r="J96" s="24" t="str">
        <f aca="false">IF(IFERROR(INDEX(tsk_Name,(ROW()-ROW(MSPTasks[[#Headers],[ID]])))="",TRUE()),"",IF(INDEX(tsk_IsSummary,(ROW()-ROW(MSPTasks[[#Headers],[ID]]))),"",INDEX(tsk_UIDPredecessors,(ROW()-ROW(MSPTasks[[#Headers],[ID]])))))</f>
        <v/>
      </c>
      <c r="K96" s="24" t="str">
        <f aca="false">IF(IFERROR(INDEX(tsk_Name,(ROW()-ROW(MSPTasks[[#Headers],[ID]])))="",TRUE()),"",INDEX(tsk_ResourceNames,(ROW()-ROW(MSPTasks[[#Headers],[ID]])))&amp;"")</f>
        <v/>
      </c>
      <c r="L96" s="24" t="str">
        <f aca="false">IF(IFERROR(INDEX(tsk_Name,(ROW()-ROW(MSPTasks[[#Headers],[ID]])))="",TRUE()),"",IF(INDEX(tsk_IsSummary,(ROW()-ROW(MSPTasks[[#Headers],[ID]]))),"",ROUND(INDEX(tsk_Progress,(ROW()-ROW(MSPTasks[[#Headers],[ID]])))*100,0)))</f>
        <v/>
      </c>
      <c r="M96" s="137" t="str">
        <f aca="false">IF(IFERROR(INDEX(tsk_Name,(ROW()-ROW(MSPTasks[[#Headers],[ID]])))="",TRUE()),"",IF(N(INDEX(tsk_ActStart,(ROW()-ROW(MSPTasks[[#Headers],[ID]]))))=0,"",INDEX(tsk_ActStart,(ROW()-ROW(MSPTasks[[#Headers],[ID]])))))</f>
        <v/>
      </c>
      <c r="N96" s="137" t="str">
        <f aca="false">IF(IFERROR(INDEX(tsk_Name,(ROW()-ROW(MSPTasks[[#Headers],[ID]])))="",TRUE()),"",IF(N(INDEX(tsk_ActFinish,(ROW()-ROW(MSPTasks[[#Headers],[ID]]))))=0,"",INDEX(tsk_ActFinish,(ROW()-ROW(MSPTasks[[#Headers],[ID]])))))</f>
        <v/>
      </c>
      <c r="O96" s="137" t="str">
        <f aca="false">IF(IFERROR(INDEX(tsk_Name,(ROW()-ROW(MSPTasks[[#Headers],[ID]])))="",TRUE()),"",INDEX(tsk_PlanStart,(ROW()-ROW(MSPTasks[[#Headers],[ID]]))))</f>
        <v/>
      </c>
      <c r="P96" s="137" t="str">
        <f aca="false">IF(IFERROR(INDEX(tsk_Name,(ROW()-ROW(MSPTasks[[#Headers],[ID]])))="",TRUE()),"",INDEX(tsk_PlanFinish,(ROW()-ROW(MSPTasks[[#Headers],[ID]]))))</f>
        <v/>
      </c>
      <c r="Q96" s="24" t="str">
        <f aca="false">IF(IFERROR(INDEX(tsk_Name,(ROW()-ROW(MSPTasks[[#Headers],[ID]])))="",TRUE()),"",IF(INDEX(tsk_BaseDuration,(ROW()-ROW(MSPTasks[[#Headers],[ID]])))="","",N(INDEX(tsk_BaseDuration,(ROW()-ROW(MSPTasks[[#Headers],[ID]]))))&amp;"d"))</f>
        <v/>
      </c>
      <c r="R96" s="24" t="str">
        <f aca="false">IF(IFERROR(INDEX(tsk_Name,(ROW()-ROW(MSPTasks[[#Headers],[ID]])))="",TRUE()),"",IF(INDEX(tsk_BaseWork,(ROW()-ROW(MSPTasks[[#Headers],[ID]])))="","",N(INDEX(tsk_BaseWork,(ROW()-ROW(MSPTasks[[#Headers],[ID]]))))&amp;"h"))</f>
        <v/>
      </c>
      <c r="S96" s="24" t="str">
        <f aca="false">IF(IFERROR(INDEX(tsk_Name,(ROW()-ROW(MSPTasks[[#Headers],[ID]])))="",TRUE()),"",IF(INDEX(tsk_BaseCost,(ROW()-ROW(MSPTasks[[#Headers],[ID]])))="","",N(INDEX(tsk_BaseCost,(ROW()-ROW(MSPTasks[[#Headers],[ID]]))))))</f>
        <v/>
      </c>
      <c r="T96" s="24" t="str">
        <f aca="false">IF(IFERROR(INDEX(tsk_Name,(ROW()-ROW(MSPTasks[[#Headers],[ID]])))="",TRUE()),"",IF(INDEX(tsk_IsSummary,(ROW()-ROW(MSPTasks[[#Headers],[ID]]))),"",IF(N(INDEX(tsk_ActCostInput,(ROW()-ROW(MSPTasks[[#Headers],[ID]]))))=0,"",INDEX(tsk_ActCostInput,(ROW()-ROW(MSPTasks[[#Headers],[ID]]))))))</f>
        <v/>
      </c>
      <c r="U9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6" s="137" t="str">
        <f aca="false">IF(IFERROR(INDEX(tsk_Name,(ROW()-ROW(MSPTasks[[#Headers],[ID]])))="",TRUE()),"",IF(OR(INDEX(tsk_IsSummary,(ROW()-ROW(MSPTasks[[#Headers],[ID]]))),INDEX(tsk_Mode,(ROW()-ROW(MSPTasks[[#Headers],[ID]])))="Manual"),"",IF(N(INDEX(tsk_ConstraintCode,(ROW()-ROW(MSPTasks[[#Headers],[ID]]))))&lt;2,"",INDEX(tsk_Constraint,(ROW()-ROW(MSPTasks[[#Headers],[ID]]))))))</f>
        <v/>
      </c>
      <c r="W96" s="137" t="str">
        <f aca="false">IF(IFERROR(INDEX(tsk_Name,(ROW()-ROW(MSPTasks[[#Headers],[ID]])))="",TRUE()),"",IF(N(INDEX(tsk_Deadline,(ROW()-ROW(MSPTasks[[#Headers],[ID]]))))=0,"",INDEX(tsk_Deadline,(ROW()-ROW(MSPTasks[[#Headers],[ID]])))))</f>
        <v/>
      </c>
      <c r="X96" s="24" t="str">
        <f aca="false">IF(IFERROR(INDEX(tsk_Name,(ROW()-ROW(MSPTasks[[#Headers],[ID]])))="",TRUE()),"",IF(INDEX(tsk_IsSummary,(ROW()-ROW(MSPTasks[[#Headers],[ID]]))),"",INDEX(tsk_Sprint,(ROW()-ROW(MSPTasks[[#Headers],[ID]])))&amp;""))</f>
        <v/>
      </c>
      <c r="Y96" s="24" t="str">
        <f aca="false">IF(IFERROR(INDEX(tsk_Name,(ROW()-ROW(MSPTasks[[#Headers],[ID]])))="",TRUE()),"",IF(INDEX(tsk_IsSummary,(ROW()-ROW(MSPTasks[[#Headers],[ID]]))),"",IF(N(INDEX(tsk_StoryPoints,(ROW()-ROW(MSPTasks[[#Headers],[ID]]))))=0,"",INDEX(tsk_StoryPoints,(ROW()-ROW(MSPTasks[[#Headers],[ID]]))))))</f>
        <v/>
      </c>
      <c r="Z96" s="24" t="str">
        <f aca="false">IF(IFERROR(INDEX(tsk_Name,(ROW()-ROW(MSPTasks[[#Headers],[ID]])))="",TRUE()),"",INDEX(tsk_Notes,(ROW()-ROW(MSPTasks[[#Headers],[ID]])))&amp;"")</f>
        <v/>
      </c>
    </row>
    <row r="97" customFormat="false" ht="15" hidden="false" customHeight="false" outlineLevel="0" collapsed="false">
      <c r="A97" s="24" t="str">
        <f aca="false">IF(IFERROR(INDEX(tsk_Name,(ROW()-ROW(MSPTasks[[#Headers],[ID]])))="",TRUE()),"",INDEX(tsk_ID,(ROW()-ROW(MSPTasks[[#Headers],[ID]]))))</f>
        <v/>
      </c>
      <c r="B97" s="24" t="str">
        <f aca="false">IF(IFERROR(INDEX(tsk_Name,(ROW()-ROW(MSPTasks[[#Headers],[ID]])))="",TRUE()),"",INDEX(tsk_UID,(ROW()-ROW(MSPTasks[[#Headers],[ID]]))))</f>
        <v/>
      </c>
      <c r="C97" s="24" t="str">
        <f aca="false">IF(IFERROR(INDEX(tsk_Name,(ROW()-ROW(MSPTasks[[#Headers],[ID]])))="",TRUE()),"",INDEX(tsk_Name,(ROW()-ROW(MSPTasks[[#Headers],[ID]]))))</f>
        <v/>
      </c>
      <c r="D97" s="24" t="str">
        <f aca="false">IF(IFERROR(INDEX(tsk_Name,(ROW()-ROW(MSPTasks[[#Headers],[ID]])))="",TRUE()),"",INDEX(tsk_Level,(ROW()-ROW(MSPTasks[[#Headers],[ID]]))))</f>
        <v/>
      </c>
      <c r="E97" s="24" t="str">
        <f aca="false">IF(IFERROR(INDEX(tsk_Name,(ROW()-ROW(MSPTasks[[#Headers],[ID]])))="",TRUE()),"",IF(INDEX(tsk_Mode,(ROW()-ROW(MSPTasks[[#Headers],[ID]])))="Manual","Manually Scheduled","Auto Scheduled"))</f>
        <v/>
      </c>
      <c r="F97" s="24" t="str">
        <f aca="false">IF(IFERROR(INDEX(tsk_Name,(ROW()-ROW(MSPTasks[[#Headers],[ID]])))="",TRUE()),"",IF(INDEX(tsk_IsSummary,(ROW()-ROW(MSPTasks[[#Headers],[ID]]))),"",N(INDEX(tsk_Duration,(ROW()-ROW(MSPTasks[[#Headers],[ID]]))))&amp;"d"))</f>
        <v/>
      </c>
      <c r="G97" s="137" t="str">
        <f aca="false">IF(IFERROR(INDEX(tsk_Name,(ROW()-ROW(MSPTasks[[#Headers],[ID]])))="",TRUE()),"",INDEX(tsk_FcStart,(ROW()-ROW(MSPTasks[[#Headers],[ID]]))))</f>
        <v/>
      </c>
      <c r="H97" s="137" t="str">
        <f aca="false">IF(IFERROR(INDEX(tsk_Name,(ROW()-ROW(MSPTasks[[#Headers],[ID]])))="",TRUE()),"",INDEX(tsk_FcFinish,(ROW()-ROW(MSPTasks[[#Headers],[ID]]))))</f>
        <v/>
      </c>
      <c r="I97" s="24" t="str">
        <f aca="false">IF(IFERROR(INDEX(tsk_Name,(ROW()-ROW(MSPTasks[[#Headers],[ID]])))="",TRUE()),"",IF(INDEX(tsk_IsSummary,(ROW()-ROW(MSPTasks[[#Headers],[ID]]))),"",INDEX(tsk_Predecessors,(ROW()-ROW(MSPTasks[[#Headers],[ID]])))))</f>
        <v/>
      </c>
      <c r="J97" s="24" t="str">
        <f aca="false">IF(IFERROR(INDEX(tsk_Name,(ROW()-ROW(MSPTasks[[#Headers],[ID]])))="",TRUE()),"",IF(INDEX(tsk_IsSummary,(ROW()-ROW(MSPTasks[[#Headers],[ID]]))),"",INDEX(tsk_UIDPredecessors,(ROW()-ROW(MSPTasks[[#Headers],[ID]])))))</f>
        <v/>
      </c>
      <c r="K97" s="24" t="str">
        <f aca="false">IF(IFERROR(INDEX(tsk_Name,(ROW()-ROW(MSPTasks[[#Headers],[ID]])))="",TRUE()),"",INDEX(tsk_ResourceNames,(ROW()-ROW(MSPTasks[[#Headers],[ID]])))&amp;"")</f>
        <v/>
      </c>
      <c r="L97" s="24" t="str">
        <f aca="false">IF(IFERROR(INDEX(tsk_Name,(ROW()-ROW(MSPTasks[[#Headers],[ID]])))="",TRUE()),"",IF(INDEX(tsk_IsSummary,(ROW()-ROW(MSPTasks[[#Headers],[ID]]))),"",ROUND(INDEX(tsk_Progress,(ROW()-ROW(MSPTasks[[#Headers],[ID]])))*100,0)))</f>
        <v/>
      </c>
      <c r="M97" s="137" t="str">
        <f aca="false">IF(IFERROR(INDEX(tsk_Name,(ROW()-ROW(MSPTasks[[#Headers],[ID]])))="",TRUE()),"",IF(N(INDEX(tsk_ActStart,(ROW()-ROW(MSPTasks[[#Headers],[ID]]))))=0,"",INDEX(tsk_ActStart,(ROW()-ROW(MSPTasks[[#Headers],[ID]])))))</f>
        <v/>
      </c>
      <c r="N97" s="137" t="str">
        <f aca="false">IF(IFERROR(INDEX(tsk_Name,(ROW()-ROW(MSPTasks[[#Headers],[ID]])))="",TRUE()),"",IF(N(INDEX(tsk_ActFinish,(ROW()-ROW(MSPTasks[[#Headers],[ID]]))))=0,"",INDEX(tsk_ActFinish,(ROW()-ROW(MSPTasks[[#Headers],[ID]])))))</f>
        <v/>
      </c>
      <c r="O97" s="137" t="str">
        <f aca="false">IF(IFERROR(INDEX(tsk_Name,(ROW()-ROW(MSPTasks[[#Headers],[ID]])))="",TRUE()),"",INDEX(tsk_PlanStart,(ROW()-ROW(MSPTasks[[#Headers],[ID]]))))</f>
        <v/>
      </c>
      <c r="P97" s="137" t="str">
        <f aca="false">IF(IFERROR(INDEX(tsk_Name,(ROW()-ROW(MSPTasks[[#Headers],[ID]])))="",TRUE()),"",INDEX(tsk_PlanFinish,(ROW()-ROW(MSPTasks[[#Headers],[ID]]))))</f>
        <v/>
      </c>
      <c r="Q97" s="24" t="str">
        <f aca="false">IF(IFERROR(INDEX(tsk_Name,(ROW()-ROW(MSPTasks[[#Headers],[ID]])))="",TRUE()),"",IF(INDEX(tsk_BaseDuration,(ROW()-ROW(MSPTasks[[#Headers],[ID]])))="","",N(INDEX(tsk_BaseDuration,(ROW()-ROW(MSPTasks[[#Headers],[ID]]))))&amp;"d"))</f>
        <v/>
      </c>
      <c r="R97" s="24" t="str">
        <f aca="false">IF(IFERROR(INDEX(tsk_Name,(ROW()-ROW(MSPTasks[[#Headers],[ID]])))="",TRUE()),"",IF(INDEX(tsk_BaseWork,(ROW()-ROW(MSPTasks[[#Headers],[ID]])))="","",N(INDEX(tsk_BaseWork,(ROW()-ROW(MSPTasks[[#Headers],[ID]]))))&amp;"h"))</f>
        <v/>
      </c>
      <c r="S97" s="24" t="str">
        <f aca="false">IF(IFERROR(INDEX(tsk_Name,(ROW()-ROW(MSPTasks[[#Headers],[ID]])))="",TRUE()),"",IF(INDEX(tsk_BaseCost,(ROW()-ROW(MSPTasks[[#Headers],[ID]])))="","",N(INDEX(tsk_BaseCost,(ROW()-ROW(MSPTasks[[#Headers],[ID]]))))))</f>
        <v/>
      </c>
      <c r="T97" s="24" t="str">
        <f aca="false">IF(IFERROR(INDEX(tsk_Name,(ROW()-ROW(MSPTasks[[#Headers],[ID]])))="",TRUE()),"",IF(INDEX(tsk_IsSummary,(ROW()-ROW(MSPTasks[[#Headers],[ID]]))),"",IF(N(INDEX(tsk_ActCostInput,(ROW()-ROW(MSPTasks[[#Headers],[ID]]))))=0,"",INDEX(tsk_ActCostInput,(ROW()-ROW(MSPTasks[[#Headers],[ID]]))))))</f>
        <v/>
      </c>
      <c r="U9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7" s="137" t="str">
        <f aca="false">IF(IFERROR(INDEX(tsk_Name,(ROW()-ROW(MSPTasks[[#Headers],[ID]])))="",TRUE()),"",IF(OR(INDEX(tsk_IsSummary,(ROW()-ROW(MSPTasks[[#Headers],[ID]]))),INDEX(tsk_Mode,(ROW()-ROW(MSPTasks[[#Headers],[ID]])))="Manual"),"",IF(N(INDEX(tsk_ConstraintCode,(ROW()-ROW(MSPTasks[[#Headers],[ID]]))))&lt;2,"",INDEX(tsk_Constraint,(ROW()-ROW(MSPTasks[[#Headers],[ID]]))))))</f>
        <v/>
      </c>
      <c r="W97" s="137" t="str">
        <f aca="false">IF(IFERROR(INDEX(tsk_Name,(ROW()-ROW(MSPTasks[[#Headers],[ID]])))="",TRUE()),"",IF(N(INDEX(tsk_Deadline,(ROW()-ROW(MSPTasks[[#Headers],[ID]]))))=0,"",INDEX(tsk_Deadline,(ROW()-ROW(MSPTasks[[#Headers],[ID]])))))</f>
        <v/>
      </c>
      <c r="X97" s="24" t="str">
        <f aca="false">IF(IFERROR(INDEX(tsk_Name,(ROW()-ROW(MSPTasks[[#Headers],[ID]])))="",TRUE()),"",IF(INDEX(tsk_IsSummary,(ROW()-ROW(MSPTasks[[#Headers],[ID]]))),"",INDEX(tsk_Sprint,(ROW()-ROW(MSPTasks[[#Headers],[ID]])))&amp;""))</f>
        <v/>
      </c>
      <c r="Y97" s="24" t="str">
        <f aca="false">IF(IFERROR(INDEX(tsk_Name,(ROW()-ROW(MSPTasks[[#Headers],[ID]])))="",TRUE()),"",IF(INDEX(tsk_IsSummary,(ROW()-ROW(MSPTasks[[#Headers],[ID]]))),"",IF(N(INDEX(tsk_StoryPoints,(ROW()-ROW(MSPTasks[[#Headers],[ID]]))))=0,"",INDEX(tsk_StoryPoints,(ROW()-ROW(MSPTasks[[#Headers],[ID]]))))))</f>
        <v/>
      </c>
      <c r="Z97" s="24" t="str">
        <f aca="false">IF(IFERROR(INDEX(tsk_Name,(ROW()-ROW(MSPTasks[[#Headers],[ID]])))="",TRUE()),"",INDEX(tsk_Notes,(ROW()-ROW(MSPTasks[[#Headers],[ID]])))&amp;"")</f>
        <v/>
      </c>
    </row>
    <row r="98" customFormat="false" ht="15" hidden="false" customHeight="false" outlineLevel="0" collapsed="false">
      <c r="A98" s="24" t="str">
        <f aca="false">IF(IFERROR(INDEX(tsk_Name,(ROW()-ROW(MSPTasks[[#Headers],[ID]])))="",TRUE()),"",INDEX(tsk_ID,(ROW()-ROW(MSPTasks[[#Headers],[ID]]))))</f>
        <v/>
      </c>
      <c r="B98" s="24" t="str">
        <f aca="false">IF(IFERROR(INDEX(tsk_Name,(ROW()-ROW(MSPTasks[[#Headers],[ID]])))="",TRUE()),"",INDEX(tsk_UID,(ROW()-ROW(MSPTasks[[#Headers],[ID]]))))</f>
        <v/>
      </c>
      <c r="C98" s="24" t="str">
        <f aca="false">IF(IFERROR(INDEX(tsk_Name,(ROW()-ROW(MSPTasks[[#Headers],[ID]])))="",TRUE()),"",INDEX(tsk_Name,(ROW()-ROW(MSPTasks[[#Headers],[ID]]))))</f>
        <v/>
      </c>
      <c r="D98" s="24" t="str">
        <f aca="false">IF(IFERROR(INDEX(tsk_Name,(ROW()-ROW(MSPTasks[[#Headers],[ID]])))="",TRUE()),"",INDEX(tsk_Level,(ROW()-ROW(MSPTasks[[#Headers],[ID]]))))</f>
        <v/>
      </c>
      <c r="E98" s="24" t="str">
        <f aca="false">IF(IFERROR(INDEX(tsk_Name,(ROW()-ROW(MSPTasks[[#Headers],[ID]])))="",TRUE()),"",IF(INDEX(tsk_Mode,(ROW()-ROW(MSPTasks[[#Headers],[ID]])))="Manual","Manually Scheduled","Auto Scheduled"))</f>
        <v/>
      </c>
      <c r="F98" s="24" t="str">
        <f aca="false">IF(IFERROR(INDEX(tsk_Name,(ROW()-ROW(MSPTasks[[#Headers],[ID]])))="",TRUE()),"",IF(INDEX(tsk_IsSummary,(ROW()-ROW(MSPTasks[[#Headers],[ID]]))),"",N(INDEX(tsk_Duration,(ROW()-ROW(MSPTasks[[#Headers],[ID]]))))&amp;"d"))</f>
        <v/>
      </c>
      <c r="G98" s="137" t="str">
        <f aca="false">IF(IFERROR(INDEX(tsk_Name,(ROW()-ROW(MSPTasks[[#Headers],[ID]])))="",TRUE()),"",INDEX(tsk_FcStart,(ROW()-ROW(MSPTasks[[#Headers],[ID]]))))</f>
        <v/>
      </c>
      <c r="H98" s="137" t="str">
        <f aca="false">IF(IFERROR(INDEX(tsk_Name,(ROW()-ROW(MSPTasks[[#Headers],[ID]])))="",TRUE()),"",INDEX(tsk_FcFinish,(ROW()-ROW(MSPTasks[[#Headers],[ID]]))))</f>
        <v/>
      </c>
      <c r="I98" s="24" t="str">
        <f aca="false">IF(IFERROR(INDEX(tsk_Name,(ROW()-ROW(MSPTasks[[#Headers],[ID]])))="",TRUE()),"",IF(INDEX(tsk_IsSummary,(ROW()-ROW(MSPTasks[[#Headers],[ID]]))),"",INDEX(tsk_Predecessors,(ROW()-ROW(MSPTasks[[#Headers],[ID]])))))</f>
        <v/>
      </c>
      <c r="J98" s="24" t="str">
        <f aca="false">IF(IFERROR(INDEX(tsk_Name,(ROW()-ROW(MSPTasks[[#Headers],[ID]])))="",TRUE()),"",IF(INDEX(tsk_IsSummary,(ROW()-ROW(MSPTasks[[#Headers],[ID]]))),"",INDEX(tsk_UIDPredecessors,(ROW()-ROW(MSPTasks[[#Headers],[ID]])))))</f>
        <v/>
      </c>
      <c r="K98" s="24" t="str">
        <f aca="false">IF(IFERROR(INDEX(tsk_Name,(ROW()-ROW(MSPTasks[[#Headers],[ID]])))="",TRUE()),"",INDEX(tsk_ResourceNames,(ROW()-ROW(MSPTasks[[#Headers],[ID]])))&amp;"")</f>
        <v/>
      </c>
      <c r="L98" s="24" t="str">
        <f aca="false">IF(IFERROR(INDEX(tsk_Name,(ROW()-ROW(MSPTasks[[#Headers],[ID]])))="",TRUE()),"",IF(INDEX(tsk_IsSummary,(ROW()-ROW(MSPTasks[[#Headers],[ID]]))),"",ROUND(INDEX(tsk_Progress,(ROW()-ROW(MSPTasks[[#Headers],[ID]])))*100,0)))</f>
        <v/>
      </c>
      <c r="M98" s="137" t="str">
        <f aca="false">IF(IFERROR(INDEX(tsk_Name,(ROW()-ROW(MSPTasks[[#Headers],[ID]])))="",TRUE()),"",IF(N(INDEX(tsk_ActStart,(ROW()-ROW(MSPTasks[[#Headers],[ID]]))))=0,"",INDEX(tsk_ActStart,(ROW()-ROW(MSPTasks[[#Headers],[ID]])))))</f>
        <v/>
      </c>
      <c r="N98" s="137" t="str">
        <f aca="false">IF(IFERROR(INDEX(tsk_Name,(ROW()-ROW(MSPTasks[[#Headers],[ID]])))="",TRUE()),"",IF(N(INDEX(tsk_ActFinish,(ROW()-ROW(MSPTasks[[#Headers],[ID]]))))=0,"",INDEX(tsk_ActFinish,(ROW()-ROW(MSPTasks[[#Headers],[ID]])))))</f>
        <v/>
      </c>
      <c r="O98" s="137" t="str">
        <f aca="false">IF(IFERROR(INDEX(tsk_Name,(ROW()-ROW(MSPTasks[[#Headers],[ID]])))="",TRUE()),"",INDEX(tsk_PlanStart,(ROW()-ROW(MSPTasks[[#Headers],[ID]]))))</f>
        <v/>
      </c>
      <c r="P98" s="137" t="str">
        <f aca="false">IF(IFERROR(INDEX(tsk_Name,(ROW()-ROW(MSPTasks[[#Headers],[ID]])))="",TRUE()),"",INDEX(tsk_PlanFinish,(ROW()-ROW(MSPTasks[[#Headers],[ID]]))))</f>
        <v/>
      </c>
      <c r="Q98" s="24" t="str">
        <f aca="false">IF(IFERROR(INDEX(tsk_Name,(ROW()-ROW(MSPTasks[[#Headers],[ID]])))="",TRUE()),"",IF(INDEX(tsk_BaseDuration,(ROW()-ROW(MSPTasks[[#Headers],[ID]])))="","",N(INDEX(tsk_BaseDuration,(ROW()-ROW(MSPTasks[[#Headers],[ID]]))))&amp;"d"))</f>
        <v/>
      </c>
      <c r="R98" s="24" t="str">
        <f aca="false">IF(IFERROR(INDEX(tsk_Name,(ROW()-ROW(MSPTasks[[#Headers],[ID]])))="",TRUE()),"",IF(INDEX(tsk_BaseWork,(ROW()-ROW(MSPTasks[[#Headers],[ID]])))="","",N(INDEX(tsk_BaseWork,(ROW()-ROW(MSPTasks[[#Headers],[ID]]))))&amp;"h"))</f>
        <v/>
      </c>
      <c r="S98" s="24" t="str">
        <f aca="false">IF(IFERROR(INDEX(tsk_Name,(ROW()-ROW(MSPTasks[[#Headers],[ID]])))="",TRUE()),"",IF(INDEX(tsk_BaseCost,(ROW()-ROW(MSPTasks[[#Headers],[ID]])))="","",N(INDEX(tsk_BaseCost,(ROW()-ROW(MSPTasks[[#Headers],[ID]]))))))</f>
        <v/>
      </c>
      <c r="T98" s="24" t="str">
        <f aca="false">IF(IFERROR(INDEX(tsk_Name,(ROW()-ROW(MSPTasks[[#Headers],[ID]])))="",TRUE()),"",IF(INDEX(tsk_IsSummary,(ROW()-ROW(MSPTasks[[#Headers],[ID]]))),"",IF(N(INDEX(tsk_ActCostInput,(ROW()-ROW(MSPTasks[[#Headers],[ID]]))))=0,"",INDEX(tsk_ActCostInput,(ROW()-ROW(MSPTasks[[#Headers],[ID]]))))))</f>
        <v/>
      </c>
      <c r="U9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8" s="137" t="str">
        <f aca="false">IF(IFERROR(INDEX(tsk_Name,(ROW()-ROW(MSPTasks[[#Headers],[ID]])))="",TRUE()),"",IF(OR(INDEX(tsk_IsSummary,(ROW()-ROW(MSPTasks[[#Headers],[ID]]))),INDEX(tsk_Mode,(ROW()-ROW(MSPTasks[[#Headers],[ID]])))="Manual"),"",IF(N(INDEX(tsk_ConstraintCode,(ROW()-ROW(MSPTasks[[#Headers],[ID]]))))&lt;2,"",INDEX(tsk_Constraint,(ROW()-ROW(MSPTasks[[#Headers],[ID]]))))))</f>
        <v/>
      </c>
      <c r="W98" s="137" t="str">
        <f aca="false">IF(IFERROR(INDEX(tsk_Name,(ROW()-ROW(MSPTasks[[#Headers],[ID]])))="",TRUE()),"",IF(N(INDEX(tsk_Deadline,(ROW()-ROW(MSPTasks[[#Headers],[ID]]))))=0,"",INDEX(tsk_Deadline,(ROW()-ROW(MSPTasks[[#Headers],[ID]])))))</f>
        <v/>
      </c>
      <c r="X98" s="24" t="str">
        <f aca="false">IF(IFERROR(INDEX(tsk_Name,(ROW()-ROW(MSPTasks[[#Headers],[ID]])))="",TRUE()),"",IF(INDEX(tsk_IsSummary,(ROW()-ROW(MSPTasks[[#Headers],[ID]]))),"",INDEX(tsk_Sprint,(ROW()-ROW(MSPTasks[[#Headers],[ID]])))&amp;""))</f>
        <v/>
      </c>
      <c r="Y98" s="24" t="str">
        <f aca="false">IF(IFERROR(INDEX(tsk_Name,(ROW()-ROW(MSPTasks[[#Headers],[ID]])))="",TRUE()),"",IF(INDEX(tsk_IsSummary,(ROW()-ROW(MSPTasks[[#Headers],[ID]]))),"",IF(N(INDEX(tsk_StoryPoints,(ROW()-ROW(MSPTasks[[#Headers],[ID]]))))=0,"",INDEX(tsk_StoryPoints,(ROW()-ROW(MSPTasks[[#Headers],[ID]]))))))</f>
        <v/>
      </c>
      <c r="Z98" s="24" t="str">
        <f aca="false">IF(IFERROR(INDEX(tsk_Name,(ROW()-ROW(MSPTasks[[#Headers],[ID]])))="",TRUE()),"",INDEX(tsk_Notes,(ROW()-ROW(MSPTasks[[#Headers],[ID]])))&amp;"")</f>
        <v/>
      </c>
    </row>
    <row r="99" customFormat="false" ht="15" hidden="false" customHeight="false" outlineLevel="0" collapsed="false">
      <c r="A99" s="24" t="str">
        <f aca="false">IF(IFERROR(INDEX(tsk_Name,(ROW()-ROW(MSPTasks[[#Headers],[ID]])))="",TRUE()),"",INDEX(tsk_ID,(ROW()-ROW(MSPTasks[[#Headers],[ID]]))))</f>
        <v/>
      </c>
      <c r="B99" s="24" t="str">
        <f aca="false">IF(IFERROR(INDEX(tsk_Name,(ROW()-ROW(MSPTasks[[#Headers],[ID]])))="",TRUE()),"",INDEX(tsk_UID,(ROW()-ROW(MSPTasks[[#Headers],[ID]]))))</f>
        <v/>
      </c>
      <c r="C99" s="24" t="str">
        <f aca="false">IF(IFERROR(INDEX(tsk_Name,(ROW()-ROW(MSPTasks[[#Headers],[ID]])))="",TRUE()),"",INDEX(tsk_Name,(ROW()-ROW(MSPTasks[[#Headers],[ID]]))))</f>
        <v/>
      </c>
      <c r="D99" s="24" t="str">
        <f aca="false">IF(IFERROR(INDEX(tsk_Name,(ROW()-ROW(MSPTasks[[#Headers],[ID]])))="",TRUE()),"",INDEX(tsk_Level,(ROW()-ROW(MSPTasks[[#Headers],[ID]]))))</f>
        <v/>
      </c>
      <c r="E99" s="24" t="str">
        <f aca="false">IF(IFERROR(INDEX(tsk_Name,(ROW()-ROW(MSPTasks[[#Headers],[ID]])))="",TRUE()),"",IF(INDEX(tsk_Mode,(ROW()-ROW(MSPTasks[[#Headers],[ID]])))="Manual","Manually Scheduled","Auto Scheduled"))</f>
        <v/>
      </c>
      <c r="F99" s="24" t="str">
        <f aca="false">IF(IFERROR(INDEX(tsk_Name,(ROW()-ROW(MSPTasks[[#Headers],[ID]])))="",TRUE()),"",IF(INDEX(tsk_IsSummary,(ROW()-ROW(MSPTasks[[#Headers],[ID]]))),"",N(INDEX(tsk_Duration,(ROW()-ROW(MSPTasks[[#Headers],[ID]]))))&amp;"d"))</f>
        <v/>
      </c>
      <c r="G99" s="137" t="str">
        <f aca="false">IF(IFERROR(INDEX(tsk_Name,(ROW()-ROW(MSPTasks[[#Headers],[ID]])))="",TRUE()),"",INDEX(tsk_FcStart,(ROW()-ROW(MSPTasks[[#Headers],[ID]]))))</f>
        <v/>
      </c>
      <c r="H99" s="137" t="str">
        <f aca="false">IF(IFERROR(INDEX(tsk_Name,(ROW()-ROW(MSPTasks[[#Headers],[ID]])))="",TRUE()),"",INDEX(tsk_FcFinish,(ROW()-ROW(MSPTasks[[#Headers],[ID]]))))</f>
        <v/>
      </c>
      <c r="I99" s="24" t="str">
        <f aca="false">IF(IFERROR(INDEX(tsk_Name,(ROW()-ROW(MSPTasks[[#Headers],[ID]])))="",TRUE()),"",IF(INDEX(tsk_IsSummary,(ROW()-ROW(MSPTasks[[#Headers],[ID]]))),"",INDEX(tsk_Predecessors,(ROW()-ROW(MSPTasks[[#Headers],[ID]])))))</f>
        <v/>
      </c>
      <c r="J99" s="24" t="str">
        <f aca="false">IF(IFERROR(INDEX(tsk_Name,(ROW()-ROW(MSPTasks[[#Headers],[ID]])))="",TRUE()),"",IF(INDEX(tsk_IsSummary,(ROW()-ROW(MSPTasks[[#Headers],[ID]]))),"",INDEX(tsk_UIDPredecessors,(ROW()-ROW(MSPTasks[[#Headers],[ID]])))))</f>
        <v/>
      </c>
      <c r="K99" s="24" t="str">
        <f aca="false">IF(IFERROR(INDEX(tsk_Name,(ROW()-ROW(MSPTasks[[#Headers],[ID]])))="",TRUE()),"",INDEX(tsk_ResourceNames,(ROW()-ROW(MSPTasks[[#Headers],[ID]])))&amp;"")</f>
        <v/>
      </c>
      <c r="L99" s="24" t="str">
        <f aca="false">IF(IFERROR(INDEX(tsk_Name,(ROW()-ROW(MSPTasks[[#Headers],[ID]])))="",TRUE()),"",IF(INDEX(tsk_IsSummary,(ROW()-ROW(MSPTasks[[#Headers],[ID]]))),"",ROUND(INDEX(tsk_Progress,(ROW()-ROW(MSPTasks[[#Headers],[ID]])))*100,0)))</f>
        <v/>
      </c>
      <c r="M99" s="137" t="str">
        <f aca="false">IF(IFERROR(INDEX(tsk_Name,(ROW()-ROW(MSPTasks[[#Headers],[ID]])))="",TRUE()),"",IF(N(INDEX(tsk_ActStart,(ROW()-ROW(MSPTasks[[#Headers],[ID]]))))=0,"",INDEX(tsk_ActStart,(ROW()-ROW(MSPTasks[[#Headers],[ID]])))))</f>
        <v/>
      </c>
      <c r="N99" s="137" t="str">
        <f aca="false">IF(IFERROR(INDEX(tsk_Name,(ROW()-ROW(MSPTasks[[#Headers],[ID]])))="",TRUE()),"",IF(N(INDEX(tsk_ActFinish,(ROW()-ROW(MSPTasks[[#Headers],[ID]]))))=0,"",INDEX(tsk_ActFinish,(ROW()-ROW(MSPTasks[[#Headers],[ID]])))))</f>
        <v/>
      </c>
      <c r="O99" s="137" t="str">
        <f aca="false">IF(IFERROR(INDEX(tsk_Name,(ROW()-ROW(MSPTasks[[#Headers],[ID]])))="",TRUE()),"",INDEX(tsk_PlanStart,(ROW()-ROW(MSPTasks[[#Headers],[ID]]))))</f>
        <v/>
      </c>
      <c r="P99" s="137" t="str">
        <f aca="false">IF(IFERROR(INDEX(tsk_Name,(ROW()-ROW(MSPTasks[[#Headers],[ID]])))="",TRUE()),"",INDEX(tsk_PlanFinish,(ROW()-ROW(MSPTasks[[#Headers],[ID]]))))</f>
        <v/>
      </c>
      <c r="Q99" s="24" t="str">
        <f aca="false">IF(IFERROR(INDEX(tsk_Name,(ROW()-ROW(MSPTasks[[#Headers],[ID]])))="",TRUE()),"",IF(INDEX(tsk_BaseDuration,(ROW()-ROW(MSPTasks[[#Headers],[ID]])))="","",N(INDEX(tsk_BaseDuration,(ROW()-ROW(MSPTasks[[#Headers],[ID]]))))&amp;"d"))</f>
        <v/>
      </c>
      <c r="R99" s="24" t="str">
        <f aca="false">IF(IFERROR(INDEX(tsk_Name,(ROW()-ROW(MSPTasks[[#Headers],[ID]])))="",TRUE()),"",IF(INDEX(tsk_BaseWork,(ROW()-ROW(MSPTasks[[#Headers],[ID]])))="","",N(INDEX(tsk_BaseWork,(ROW()-ROW(MSPTasks[[#Headers],[ID]]))))&amp;"h"))</f>
        <v/>
      </c>
      <c r="S99" s="24" t="str">
        <f aca="false">IF(IFERROR(INDEX(tsk_Name,(ROW()-ROW(MSPTasks[[#Headers],[ID]])))="",TRUE()),"",IF(INDEX(tsk_BaseCost,(ROW()-ROW(MSPTasks[[#Headers],[ID]])))="","",N(INDEX(tsk_BaseCost,(ROW()-ROW(MSPTasks[[#Headers],[ID]]))))))</f>
        <v/>
      </c>
      <c r="T99" s="24" t="str">
        <f aca="false">IF(IFERROR(INDEX(tsk_Name,(ROW()-ROW(MSPTasks[[#Headers],[ID]])))="",TRUE()),"",IF(INDEX(tsk_IsSummary,(ROW()-ROW(MSPTasks[[#Headers],[ID]]))),"",IF(N(INDEX(tsk_ActCostInput,(ROW()-ROW(MSPTasks[[#Headers],[ID]]))))=0,"",INDEX(tsk_ActCostInput,(ROW()-ROW(MSPTasks[[#Headers],[ID]]))))))</f>
        <v/>
      </c>
      <c r="U9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99" s="137" t="str">
        <f aca="false">IF(IFERROR(INDEX(tsk_Name,(ROW()-ROW(MSPTasks[[#Headers],[ID]])))="",TRUE()),"",IF(OR(INDEX(tsk_IsSummary,(ROW()-ROW(MSPTasks[[#Headers],[ID]]))),INDEX(tsk_Mode,(ROW()-ROW(MSPTasks[[#Headers],[ID]])))="Manual"),"",IF(N(INDEX(tsk_ConstraintCode,(ROW()-ROW(MSPTasks[[#Headers],[ID]]))))&lt;2,"",INDEX(tsk_Constraint,(ROW()-ROW(MSPTasks[[#Headers],[ID]]))))))</f>
        <v/>
      </c>
      <c r="W99" s="137" t="str">
        <f aca="false">IF(IFERROR(INDEX(tsk_Name,(ROW()-ROW(MSPTasks[[#Headers],[ID]])))="",TRUE()),"",IF(N(INDEX(tsk_Deadline,(ROW()-ROW(MSPTasks[[#Headers],[ID]]))))=0,"",INDEX(tsk_Deadline,(ROW()-ROW(MSPTasks[[#Headers],[ID]])))))</f>
        <v/>
      </c>
      <c r="X99" s="24" t="str">
        <f aca="false">IF(IFERROR(INDEX(tsk_Name,(ROW()-ROW(MSPTasks[[#Headers],[ID]])))="",TRUE()),"",IF(INDEX(tsk_IsSummary,(ROW()-ROW(MSPTasks[[#Headers],[ID]]))),"",INDEX(tsk_Sprint,(ROW()-ROW(MSPTasks[[#Headers],[ID]])))&amp;""))</f>
        <v/>
      </c>
      <c r="Y99" s="24" t="str">
        <f aca="false">IF(IFERROR(INDEX(tsk_Name,(ROW()-ROW(MSPTasks[[#Headers],[ID]])))="",TRUE()),"",IF(INDEX(tsk_IsSummary,(ROW()-ROW(MSPTasks[[#Headers],[ID]]))),"",IF(N(INDEX(tsk_StoryPoints,(ROW()-ROW(MSPTasks[[#Headers],[ID]]))))=0,"",INDEX(tsk_StoryPoints,(ROW()-ROW(MSPTasks[[#Headers],[ID]]))))))</f>
        <v/>
      </c>
      <c r="Z99" s="24" t="str">
        <f aca="false">IF(IFERROR(INDEX(tsk_Name,(ROW()-ROW(MSPTasks[[#Headers],[ID]])))="",TRUE()),"",INDEX(tsk_Notes,(ROW()-ROW(MSPTasks[[#Headers],[ID]])))&amp;"")</f>
        <v/>
      </c>
    </row>
    <row r="100" customFormat="false" ht="15" hidden="false" customHeight="false" outlineLevel="0" collapsed="false">
      <c r="A100" s="24" t="str">
        <f aca="false">IF(IFERROR(INDEX(tsk_Name,(ROW()-ROW(MSPTasks[[#Headers],[ID]])))="",TRUE()),"",INDEX(tsk_ID,(ROW()-ROW(MSPTasks[[#Headers],[ID]]))))</f>
        <v/>
      </c>
      <c r="B100" s="24" t="str">
        <f aca="false">IF(IFERROR(INDEX(tsk_Name,(ROW()-ROW(MSPTasks[[#Headers],[ID]])))="",TRUE()),"",INDEX(tsk_UID,(ROW()-ROW(MSPTasks[[#Headers],[ID]]))))</f>
        <v/>
      </c>
      <c r="C100" s="24" t="str">
        <f aca="false">IF(IFERROR(INDEX(tsk_Name,(ROW()-ROW(MSPTasks[[#Headers],[ID]])))="",TRUE()),"",INDEX(tsk_Name,(ROW()-ROW(MSPTasks[[#Headers],[ID]]))))</f>
        <v/>
      </c>
      <c r="D100" s="24" t="str">
        <f aca="false">IF(IFERROR(INDEX(tsk_Name,(ROW()-ROW(MSPTasks[[#Headers],[ID]])))="",TRUE()),"",INDEX(tsk_Level,(ROW()-ROW(MSPTasks[[#Headers],[ID]]))))</f>
        <v/>
      </c>
      <c r="E100" s="24" t="str">
        <f aca="false">IF(IFERROR(INDEX(tsk_Name,(ROW()-ROW(MSPTasks[[#Headers],[ID]])))="",TRUE()),"",IF(INDEX(tsk_Mode,(ROW()-ROW(MSPTasks[[#Headers],[ID]])))="Manual","Manually Scheduled","Auto Scheduled"))</f>
        <v/>
      </c>
      <c r="F100" s="24" t="str">
        <f aca="false">IF(IFERROR(INDEX(tsk_Name,(ROW()-ROW(MSPTasks[[#Headers],[ID]])))="",TRUE()),"",IF(INDEX(tsk_IsSummary,(ROW()-ROW(MSPTasks[[#Headers],[ID]]))),"",N(INDEX(tsk_Duration,(ROW()-ROW(MSPTasks[[#Headers],[ID]]))))&amp;"d"))</f>
        <v/>
      </c>
      <c r="G100" s="137" t="str">
        <f aca="false">IF(IFERROR(INDEX(tsk_Name,(ROW()-ROW(MSPTasks[[#Headers],[ID]])))="",TRUE()),"",INDEX(tsk_FcStart,(ROW()-ROW(MSPTasks[[#Headers],[ID]]))))</f>
        <v/>
      </c>
      <c r="H100" s="137" t="str">
        <f aca="false">IF(IFERROR(INDEX(tsk_Name,(ROW()-ROW(MSPTasks[[#Headers],[ID]])))="",TRUE()),"",INDEX(tsk_FcFinish,(ROW()-ROW(MSPTasks[[#Headers],[ID]]))))</f>
        <v/>
      </c>
      <c r="I100" s="24" t="str">
        <f aca="false">IF(IFERROR(INDEX(tsk_Name,(ROW()-ROW(MSPTasks[[#Headers],[ID]])))="",TRUE()),"",IF(INDEX(tsk_IsSummary,(ROW()-ROW(MSPTasks[[#Headers],[ID]]))),"",INDEX(tsk_Predecessors,(ROW()-ROW(MSPTasks[[#Headers],[ID]])))))</f>
        <v/>
      </c>
      <c r="J100" s="24" t="str">
        <f aca="false">IF(IFERROR(INDEX(tsk_Name,(ROW()-ROW(MSPTasks[[#Headers],[ID]])))="",TRUE()),"",IF(INDEX(tsk_IsSummary,(ROW()-ROW(MSPTasks[[#Headers],[ID]]))),"",INDEX(tsk_UIDPredecessors,(ROW()-ROW(MSPTasks[[#Headers],[ID]])))))</f>
        <v/>
      </c>
      <c r="K100" s="24" t="str">
        <f aca="false">IF(IFERROR(INDEX(tsk_Name,(ROW()-ROW(MSPTasks[[#Headers],[ID]])))="",TRUE()),"",INDEX(tsk_ResourceNames,(ROW()-ROW(MSPTasks[[#Headers],[ID]])))&amp;"")</f>
        <v/>
      </c>
      <c r="L100" s="24" t="str">
        <f aca="false">IF(IFERROR(INDEX(tsk_Name,(ROW()-ROW(MSPTasks[[#Headers],[ID]])))="",TRUE()),"",IF(INDEX(tsk_IsSummary,(ROW()-ROW(MSPTasks[[#Headers],[ID]]))),"",ROUND(INDEX(tsk_Progress,(ROW()-ROW(MSPTasks[[#Headers],[ID]])))*100,0)))</f>
        <v/>
      </c>
      <c r="M100" s="137" t="str">
        <f aca="false">IF(IFERROR(INDEX(tsk_Name,(ROW()-ROW(MSPTasks[[#Headers],[ID]])))="",TRUE()),"",IF(N(INDEX(tsk_ActStart,(ROW()-ROW(MSPTasks[[#Headers],[ID]]))))=0,"",INDEX(tsk_ActStart,(ROW()-ROW(MSPTasks[[#Headers],[ID]])))))</f>
        <v/>
      </c>
      <c r="N100" s="137" t="str">
        <f aca="false">IF(IFERROR(INDEX(tsk_Name,(ROW()-ROW(MSPTasks[[#Headers],[ID]])))="",TRUE()),"",IF(N(INDEX(tsk_ActFinish,(ROW()-ROW(MSPTasks[[#Headers],[ID]]))))=0,"",INDEX(tsk_ActFinish,(ROW()-ROW(MSPTasks[[#Headers],[ID]])))))</f>
        <v/>
      </c>
      <c r="O100" s="137" t="str">
        <f aca="false">IF(IFERROR(INDEX(tsk_Name,(ROW()-ROW(MSPTasks[[#Headers],[ID]])))="",TRUE()),"",INDEX(tsk_PlanStart,(ROW()-ROW(MSPTasks[[#Headers],[ID]]))))</f>
        <v/>
      </c>
      <c r="P100" s="137" t="str">
        <f aca="false">IF(IFERROR(INDEX(tsk_Name,(ROW()-ROW(MSPTasks[[#Headers],[ID]])))="",TRUE()),"",INDEX(tsk_PlanFinish,(ROW()-ROW(MSPTasks[[#Headers],[ID]]))))</f>
        <v/>
      </c>
      <c r="Q100" s="24" t="str">
        <f aca="false">IF(IFERROR(INDEX(tsk_Name,(ROW()-ROW(MSPTasks[[#Headers],[ID]])))="",TRUE()),"",IF(INDEX(tsk_BaseDuration,(ROW()-ROW(MSPTasks[[#Headers],[ID]])))="","",N(INDEX(tsk_BaseDuration,(ROW()-ROW(MSPTasks[[#Headers],[ID]]))))&amp;"d"))</f>
        <v/>
      </c>
      <c r="R100" s="24" t="str">
        <f aca="false">IF(IFERROR(INDEX(tsk_Name,(ROW()-ROW(MSPTasks[[#Headers],[ID]])))="",TRUE()),"",IF(INDEX(tsk_BaseWork,(ROW()-ROW(MSPTasks[[#Headers],[ID]])))="","",N(INDEX(tsk_BaseWork,(ROW()-ROW(MSPTasks[[#Headers],[ID]]))))&amp;"h"))</f>
        <v/>
      </c>
      <c r="S100" s="24" t="str">
        <f aca="false">IF(IFERROR(INDEX(tsk_Name,(ROW()-ROW(MSPTasks[[#Headers],[ID]])))="",TRUE()),"",IF(INDEX(tsk_BaseCost,(ROW()-ROW(MSPTasks[[#Headers],[ID]])))="","",N(INDEX(tsk_BaseCost,(ROW()-ROW(MSPTasks[[#Headers],[ID]]))))))</f>
        <v/>
      </c>
      <c r="T100" s="24" t="str">
        <f aca="false">IF(IFERROR(INDEX(tsk_Name,(ROW()-ROW(MSPTasks[[#Headers],[ID]])))="",TRUE()),"",IF(INDEX(tsk_IsSummary,(ROW()-ROW(MSPTasks[[#Headers],[ID]]))),"",IF(N(INDEX(tsk_ActCostInput,(ROW()-ROW(MSPTasks[[#Headers],[ID]]))))=0,"",INDEX(tsk_ActCostInput,(ROW()-ROW(MSPTasks[[#Headers],[ID]]))))))</f>
        <v/>
      </c>
      <c r="U10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0" s="137" t="str">
        <f aca="false">IF(IFERROR(INDEX(tsk_Name,(ROW()-ROW(MSPTasks[[#Headers],[ID]])))="",TRUE()),"",IF(OR(INDEX(tsk_IsSummary,(ROW()-ROW(MSPTasks[[#Headers],[ID]]))),INDEX(tsk_Mode,(ROW()-ROW(MSPTasks[[#Headers],[ID]])))="Manual"),"",IF(N(INDEX(tsk_ConstraintCode,(ROW()-ROW(MSPTasks[[#Headers],[ID]]))))&lt;2,"",INDEX(tsk_Constraint,(ROW()-ROW(MSPTasks[[#Headers],[ID]]))))))</f>
        <v/>
      </c>
      <c r="W100" s="137" t="str">
        <f aca="false">IF(IFERROR(INDEX(tsk_Name,(ROW()-ROW(MSPTasks[[#Headers],[ID]])))="",TRUE()),"",IF(N(INDEX(tsk_Deadline,(ROW()-ROW(MSPTasks[[#Headers],[ID]]))))=0,"",INDEX(tsk_Deadline,(ROW()-ROW(MSPTasks[[#Headers],[ID]])))))</f>
        <v/>
      </c>
      <c r="X100" s="24" t="str">
        <f aca="false">IF(IFERROR(INDEX(tsk_Name,(ROW()-ROW(MSPTasks[[#Headers],[ID]])))="",TRUE()),"",IF(INDEX(tsk_IsSummary,(ROW()-ROW(MSPTasks[[#Headers],[ID]]))),"",INDEX(tsk_Sprint,(ROW()-ROW(MSPTasks[[#Headers],[ID]])))&amp;""))</f>
        <v/>
      </c>
      <c r="Y100" s="24" t="str">
        <f aca="false">IF(IFERROR(INDEX(tsk_Name,(ROW()-ROW(MSPTasks[[#Headers],[ID]])))="",TRUE()),"",IF(INDEX(tsk_IsSummary,(ROW()-ROW(MSPTasks[[#Headers],[ID]]))),"",IF(N(INDEX(tsk_StoryPoints,(ROW()-ROW(MSPTasks[[#Headers],[ID]]))))=0,"",INDEX(tsk_StoryPoints,(ROW()-ROW(MSPTasks[[#Headers],[ID]]))))))</f>
        <v/>
      </c>
      <c r="Z100" s="24" t="str">
        <f aca="false">IF(IFERROR(INDEX(tsk_Name,(ROW()-ROW(MSPTasks[[#Headers],[ID]])))="",TRUE()),"",INDEX(tsk_Notes,(ROW()-ROW(MSPTasks[[#Headers],[ID]])))&amp;"")</f>
        <v/>
      </c>
    </row>
    <row r="101" customFormat="false" ht="15" hidden="false" customHeight="false" outlineLevel="0" collapsed="false">
      <c r="A101" s="24" t="str">
        <f aca="false">IF(IFERROR(INDEX(tsk_Name,(ROW()-ROW(MSPTasks[[#Headers],[ID]])))="",TRUE()),"",INDEX(tsk_ID,(ROW()-ROW(MSPTasks[[#Headers],[ID]]))))</f>
        <v/>
      </c>
      <c r="B101" s="24" t="str">
        <f aca="false">IF(IFERROR(INDEX(tsk_Name,(ROW()-ROW(MSPTasks[[#Headers],[ID]])))="",TRUE()),"",INDEX(tsk_UID,(ROW()-ROW(MSPTasks[[#Headers],[ID]]))))</f>
        <v/>
      </c>
      <c r="C101" s="24" t="str">
        <f aca="false">IF(IFERROR(INDEX(tsk_Name,(ROW()-ROW(MSPTasks[[#Headers],[ID]])))="",TRUE()),"",INDEX(tsk_Name,(ROW()-ROW(MSPTasks[[#Headers],[ID]]))))</f>
        <v/>
      </c>
      <c r="D101" s="24" t="str">
        <f aca="false">IF(IFERROR(INDEX(tsk_Name,(ROW()-ROW(MSPTasks[[#Headers],[ID]])))="",TRUE()),"",INDEX(tsk_Level,(ROW()-ROW(MSPTasks[[#Headers],[ID]]))))</f>
        <v/>
      </c>
      <c r="E101" s="24" t="str">
        <f aca="false">IF(IFERROR(INDEX(tsk_Name,(ROW()-ROW(MSPTasks[[#Headers],[ID]])))="",TRUE()),"",IF(INDEX(tsk_Mode,(ROW()-ROW(MSPTasks[[#Headers],[ID]])))="Manual","Manually Scheduled","Auto Scheduled"))</f>
        <v/>
      </c>
      <c r="F101" s="24" t="str">
        <f aca="false">IF(IFERROR(INDEX(tsk_Name,(ROW()-ROW(MSPTasks[[#Headers],[ID]])))="",TRUE()),"",IF(INDEX(tsk_IsSummary,(ROW()-ROW(MSPTasks[[#Headers],[ID]]))),"",N(INDEX(tsk_Duration,(ROW()-ROW(MSPTasks[[#Headers],[ID]]))))&amp;"d"))</f>
        <v/>
      </c>
      <c r="G101" s="137" t="str">
        <f aca="false">IF(IFERROR(INDEX(tsk_Name,(ROW()-ROW(MSPTasks[[#Headers],[ID]])))="",TRUE()),"",INDEX(tsk_FcStart,(ROW()-ROW(MSPTasks[[#Headers],[ID]]))))</f>
        <v/>
      </c>
      <c r="H101" s="137" t="str">
        <f aca="false">IF(IFERROR(INDEX(tsk_Name,(ROW()-ROW(MSPTasks[[#Headers],[ID]])))="",TRUE()),"",INDEX(tsk_FcFinish,(ROW()-ROW(MSPTasks[[#Headers],[ID]]))))</f>
        <v/>
      </c>
      <c r="I101" s="24" t="str">
        <f aca="false">IF(IFERROR(INDEX(tsk_Name,(ROW()-ROW(MSPTasks[[#Headers],[ID]])))="",TRUE()),"",IF(INDEX(tsk_IsSummary,(ROW()-ROW(MSPTasks[[#Headers],[ID]]))),"",INDEX(tsk_Predecessors,(ROW()-ROW(MSPTasks[[#Headers],[ID]])))))</f>
        <v/>
      </c>
      <c r="J101" s="24" t="str">
        <f aca="false">IF(IFERROR(INDEX(tsk_Name,(ROW()-ROW(MSPTasks[[#Headers],[ID]])))="",TRUE()),"",IF(INDEX(tsk_IsSummary,(ROW()-ROW(MSPTasks[[#Headers],[ID]]))),"",INDEX(tsk_UIDPredecessors,(ROW()-ROW(MSPTasks[[#Headers],[ID]])))))</f>
        <v/>
      </c>
      <c r="K101" s="24" t="str">
        <f aca="false">IF(IFERROR(INDEX(tsk_Name,(ROW()-ROW(MSPTasks[[#Headers],[ID]])))="",TRUE()),"",INDEX(tsk_ResourceNames,(ROW()-ROW(MSPTasks[[#Headers],[ID]])))&amp;"")</f>
        <v/>
      </c>
      <c r="L101" s="24" t="str">
        <f aca="false">IF(IFERROR(INDEX(tsk_Name,(ROW()-ROW(MSPTasks[[#Headers],[ID]])))="",TRUE()),"",IF(INDEX(tsk_IsSummary,(ROW()-ROW(MSPTasks[[#Headers],[ID]]))),"",ROUND(INDEX(tsk_Progress,(ROW()-ROW(MSPTasks[[#Headers],[ID]])))*100,0)))</f>
        <v/>
      </c>
      <c r="M101" s="137" t="str">
        <f aca="false">IF(IFERROR(INDEX(tsk_Name,(ROW()-ROW(MSPTasks[[#Headers],[ID]])))="",TRUE()),"",IF(N(INDEX(tsk_ActStart,(ROW()-ROW(MSPTasks[[#Headers],[ID]]))))=0,"",INDEX(tsk_ActStart,(ROW()-ROW(MSPTasks[[#Headers],[ID]])))))</f>
        <v/>
      </c>
      <c r="N101" s="137" t="str">
        <f aca="false">IF(IFERROR(INDEX(tsk_Name,(ROW()-ROW(MSPTasks[[#Headers],[ID]])))="",TRUE()),"",IF(N(INDEX(tsk_ActFinish,(ROW()-ROW(MSPTasks[[#Headers],[ID]]))))=0,"",INDEX(tsk_ActFinish,(ROW()-ROW(MSPTasks[[#Headers],[ID]])))))</f>
        <v/>
      </c>
      <c r="O101" s="137" t="str">
        <f aca="false">IF(IFERROR(INDEX(tsk_Name,(ROW()-ROW(MSPTasks[[#Headers],[ID]])))="",TRUE()),"",INDEX(tsk_PlanStart,(ROW()-ROW(MSPTasks[[#Headers],[ID]]))))</f>
        <v/>
      </c>
      <c r="P101" s="137" t="str">
        <f aca="false">IF(IFERROR(INDEX(tsk_Name,(ROW()-ROW(MSPTasks[[#Headers],[ID]])))="",TRUE()),"",INDEX(tsk_PlanFinish,(ROW()-ROW(MSPTasks[[#Headers],[ID]]))))</f>
        <v/>
      </c>
      <c r="Q101" s="24" t="str">
        <f aca="false">IF(IFERROR(INDEX(tsk_Name,(ROW()-ROW(MSPTasks[[#Headers],[ID]])))="",TRUE()),"",IF(INDEX(tsk_BaseDuration,(ROW()-ROW(MSPTasks[[#Headers],[ID]])))="","",N(INDEX(tsk_BaseDuration,(ROW()-ROW(MSPTasks[[#Headers],[ID]]))))&amp;"d"))</f>
        <v/>
      </c>
      <c r="R101" s="24" t="str">
        <f aca="false">IF(IFERROR(INDEX(tsk_Name,(ROW()-ROW(MSPTasks[[#Headers],[ID]])))="",TRUE()),"",IF(INDEX(tsk_BaseWork,(ROW()-ROW(MSPTasks[[#Headers],[ID]])))="","",N(INDEX(tsk_BaseWork,(ROW()-ROW(MSPTasks[[#Headers],[ID]]))))&amp;"h"))</f>
        <v/>
      </c>
      <c r="S101" s="24" t="str">
        <f aca="false">IF(IFERROR(INDEX(tsk_Name,(ROW()-ROW(MSPTasks[[#Headers],[ID]])))="",TRUE()),"",IF(INDEX(tsk_BaseCost,(ROW()-ROW(MSPTasks[[#Headers],[ID]])))="","",N(INDEX(tsk_BaseCost,(ROW()-ROW(MSPTasks[[#Headers],[ID]]))))))</f>
        <v/>
      </c>
      <c r="T101" s="24" t="str">
        <f aca="false">IF(IFERROR(INDEX(tsk_Name,(ROW()-ROW(MSPTasks[[#Headers],[ID]])))="",TRUE()),"",IF(INDEX(tsk_IsSummary,(ROW()-ROW(MSPTasks[[#Headers],[ID]]))),"",IF(N(INDEX(tsk_ActCostInput,(ROW()-ROW(MSPTasks[[#Headers],[ID]]))))=0,"",INDEX(tsk_ActCostInput,(ROW()-ROW(MSPTasks[[#Headers],[ID]]))))))</f>
        <v/>
      </c>
      <c r="U10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1" s="137" t="str">
        <f aca="false">IF(IFERROR(INDEX(tsk_Name,(ROW()-ROW(MSPTasks[[#Headers],[ID]])))="",TRUE()),"",IF(OR(INDEX(tsk_IsSummary,(ROW()-ROW(MSPTasks[[#Headers],[ID]]))),INDEX(tsk_Mode,(ROW()-ROW(MSPTasks[[#Headers],[ID]])))="Manual"),"",IF(N(INDEX(tsk_ConstraintCode,(ROW()-ROW(MSPTasks[[#Headers],[ID]]))))&lt;2,"",INDEX(tsk_Constraint,(ROW()-ROW(MSPTasks[[#Headers],[ID]]))))))</f>
        <v/>
      </c>
      <c r="W101" s="137" t="str">
        <f aca="false">IF(IFERROR(INDEX(tsk_Name,(ROW()-ROW(MSPTasks[[#Headers],[ID]])))="",TRUE()),"",IF(N(INDEX(tsk_Deadline,(ROW()-ROW(MSPTasks[[#Headers],[ID]]))))=0,"",INDEX(tsk_Deadline,(ROW()-ROW(MSPTasks[[#Headers],[ID]])))))</f>
        <v/>
      </c>
      <c r="X101" s="24" t="str">
        <f aca="false">IF(IFERROR(INDEX(tsk_Name,(ROW()-ROW(MSPTasks[[#Headers],[ID]])))="",TRUE()),"",IF(INDEX(tsk_IsSummary,(ROW()-ROW(MSPTasks[[#Headers],[ID]]))),"",INDEX(tsk_Sprint,(ROW()-ROW(MSPTasks[[#Headers],[ID]])))&amp;""))</f>
        <v/>
      </c>
      <c r="Y101" s="24" t="str">
        <f aca="false">IF(IFERROR(INDEX(tsk_Name,(ROW()-ROW(MSPTasks[[#Headers],[ID]])))="",TRUE()),"",IF(INDEX(tsk_IsSummary,(ROW()-ROW(MSPTasks[[#Headers],[ID]]))),"",IF(N(INDEX(tsk_StoryPoints,(ROW()-ROW(MSPTasks[[#Headers],[ID]]))))=0,"",INDEX(tsk_StoryPoints,(ROW()-ROW(MSPTasks[[#Headers],[ID]]))))))</f>
        <v/>
      </c>
      <c r="Z101" s="24" t="str">
        <f aca="false">IF(IFERROR(INDEX(tsk_Name,(ROW()-ROW(MSPTasks[[#Headers],[ID]])))="",TRUE()),"",INDEX(tsk_Notes,(ROW()-ROW(MSPTasks[[#Headers],[ID]])))&amp;"")</f>
        <v/>
      </c>
    </row>
    <row r="102" customFormat="false" ht="15" hidden="false" customHeight="false" outlineLevel="0" collapsed="false">
      <c r="A102" s="24" t="str">
        <f aca="false">IF(IFERROR(INDEX(tsk_Name,(ROW()-ROW(MSPTasks[[#Headers],[ID]])))="",TRUE()),"",INDEX(tsk_ID,(ROW()-ROW(MSPTasks[[#Headers],[ID]]))))</f>
        <v/>
      </c>
      <c r="B102" s="24" t="str">
        <f aca="false">IF(IFERROR(INDEX(tsk_Name,(ROW()-ROW(MSPTasks[[#Headers],[ID]])))="",TRUE()),"",INDEX(tsk_UID,(ROW()-ROW(MSPTasks[[#Headers],[ID]]))))</f>
        <v/>
      </c>
      <c r="C102" s="24" t="str">
        <f aca="false">IF(IFERROR(INDEX(tsk_Name,(ROW()-ROW(MSPTasks[[#Headers],[ID]])))="",TRUE()),"",INDEX(tsk_Name,(ROW()-ROW(MSPTasks[[#Headers],[ID]]))))</f>
        <v/>
      </c>
      <c r="D102" s="24" t="str">
        <f aca="false">IF(IFERROR(INDEX(tsk_Name,(ROW()-ROW(MSPTasks[[#Headers],[ID]])))="",TRUE()),"",INDEX(tsk_Level,(ROW()-ROW(MSPTasks[[#Headers],[ID]]))))</f>
        <v/>
      </c>
      <c r="E102" s="24" t="str">
        <f aca="false">IF(IFERROR(INDEX(tsk_Name,(ROW()-ROW(MSPTasks[[#Headers],[ID]])))="",TRUE()),"",IF(INDEX(tsk_Mode,(ROW()-ROW(MSPTasks[[#Headers],[ID]])))="Manual","Manually Scheduled","Auto Scheduled"))</f>
        <v/>
      </c>
      <c r="F102" s="24" t="str">
        <f aca="false">IF(IFERROR(INDEX(tsk_Name,(ROW()-ROW(MSPTasks[[#Headers],[ID]])))="",TRUE()),"",IF(INDEX(tsk_IsSummary,(ROW()-ROW(MSPTasks[[#Headers],[ID]]))),"",N(INDEX(tsk_Duration,(ROW()-ROW(MSPTasks[[#Headers],[ID]]))))&amp;"d"))</f>
        <v/>
      </c>
      <c r="G102" s="137" t="str">
        <f aca="false">IF(IFERROR(INDEX(tsk_Name,(ROW()-ROW(MSPTasks[[#Headers],[ID]])))="",TRUE()),"",INDEX(tsk_FcStart,(ROW()-ROW(MSPTasks[[#Headers],[ID]]))))</f>
        <v/>
      </c>
      <c r="H102" s="137" t="str">
        <f aca="false">IF(IFERROR(INDEX(tsk_Name,(ROW()-ROW(MSPTasks[[#Headers],[ID]])))="",TRUE()),"",INDEX(tsk_FcFinish,(ROW()-ROW(MSPTasks[[#Headers],[ID]]))))</f>
        <v/>
      </c>
      <c r="I102" s="24" t="str">
        <f aca="false">IF(IFERROR(INDEX(tsk_Name,(ROW()-ROW(MSPTasks[[#Headers],[ID]])))="",TRUE()),"",IF(INDEX(tsk_IsSummary,(ROW()-ROW(MSPTasks[[#Headers],[ID]]))),"",INDEX(tsk_Predecessors,(ROW()-ROW(MSPTasks[[#Headers],[ID]])))))</f>
        <v/>
      </c>
      <c r="J102" s="24" t="str">
        <f aca="false">IF(IFERROR(INDEX(tsk_Name,(ROW()-ROW(MSPTasks[[#Headers],[ID]])))="",TRUE()),"",IF(INDEX(tsk_IsSummary,(ROW()-ROW(MSPTasks[[#Headers],[ID]]))),"",INDEX(tsk_UIDPredecessors,(ROW()-ROW(MSPTasks[[#Headers],[ID]])))))</f>
        <v/>
      </c>
      <c r="K102" s="24" t="str">
        <f aca="false">IF(IFERROR(INDEX(tsk_Name,(ROW()-ROW(MSPTasks[[#Headers],[ID]])))="",TRUE()),"",INDEX(tsk_ResourceNames,(ROW()-ROW(MSPTasks[[#Headers],[ID]])))&amp;"")</f>
        <v/>
      </c>
      <c r="L102" s="24" t="str">
        <f aca="false">IF(IFERROR(INDEX(tsk_Name,(ROW()-ROW(MSPTasks[[#Headers],[ID]])))="",TRUE()),"",IF(INDEX(tsk_IsSummary,(ROW()-ROW(MSPTasks[[#Headers],[ID]]))),"",ROUND(INDEX(tsk_Progress,(ROW()-ROW(MSPTasks[[#Headers],[ID]])))*100,0)))</f>
        <v/>
      </c>
      <c r="M102" s="137" t="str">
        <f aca="false">IF(IFERROR(INDEX(tsk_Name,(ROW()-ROW(MSPTasks[[#Headers],[ID]])))="",TRUE()),"",IF(N(INDEX(tsk_ActStart,(ROW()-ROW(MSPTasks[[#Headers],[ID]]))))=0,"",INDEX(tsk_ActStart,(ROW()-ROW(MSPTasks[[#Headers],[ID]])))))</f>
        <v/>
      </c>
      <c r="N102" s="137" t="str">
        <f aca="false">IF(IFERROR(INDEX(tsk_Name,(ROW()-ROW(MSPTasks[[#Headers],[ID]])))="",TRUE()),"",IF(N(INDEX(tsk_ActFinish,(ROW()-ROW(MSPTasks[[#Headers],[ID]]))))=0,"",INDEX(tsk_ActFinish,(ROW()-ROW(MSPTasks[[#Headers],[ID]])))))</f>
        <v/>
      </c>
      <c r="O102" s="137" t="str">
        <f aca="false">IF(IFERROR(INDEX(tsk_Name,(ROW()-ROW(MSPTasks[[#Headers],[ID]])))="",TRUE()),"",INDEX(tsk_PlanStart,(ROW()-ROW(MSPTasks[[#Headers],[ID]]))))</f>
        <v/>
      </c>
      <c r="P102" s="137" t="str">
        <f aca="false">IF(IFERROR(INDEX(tsk_Name,(ROW()-ROW(MSPTasks[[#Headers],[ID]])))="",TRUE()),"",INDEX(tsk_PlanFinish,(ROW()-ROW(MSPTasks[[#Headers],[ID]]))))</f>
        <v/>
      </c>
      <c r="Q102" s="24" t="str">
        <f aca="false">IF(IFERROR(INDEX(tsk_Name,(ROW()-ROW(MSPTasks[[#Headers],[ID]])))="",TRUE()),"",IF(INDEX(tsk_BaseDuration,(ROW()-ROW(MSPTasks[[#Headers],[ID]])))="","",N(INDEX(tsk_BaseDuration,(ROW()-ROW(MSPTasks[[#Headers],[ID]]))))&amp;"d"))</f>
        <v/>
      </c>
      <c r="R102" s="24" t="str">
        <f aca="false">IF(IFERROR(INDEX(tsk_Name,(ROW()-ROW(MSPTasks[[#Headers],[ID]])))="",TRUE()),"",IF(INDEX(tsk_BaseWork,(ROW()-ROW(MSPTasks[[#Headers],[ID]])))="","",N(INDEX(tsk_BaseWork,(ROW()-ROW(MSPTasks[[#Headers],[ID]]))))&amp;"h"))</f>
        <v/>
      </c>
      <c r="S102" s="24" t="str">
        <f aca="false">IF(IFERROR(INDEX(tsk_Name,(ROW()-ROW(MSPTasks[[#Headers],[ID]])))="",TRUE()),"",IF(INDEX(tsk_BaseCost,(ROW()-ROW(MSPTasks[[#Headers],[ID]])))="","",N(INDEX(tsk_BaseCost,(ROW()-ROW(MSPTasks[[#Headers],[ID]]))))))</f>
        <v/>
      </c>
      <c r="T102" s="24" t="str">
        <f aca="false">IF(IFERROR(INDEX(tsk_Name,(ROW()-ROW(MSPTasks[[#Headers],[ID]])))="",TRUE()),"",IF(INDEX(tsk_IsSummary,(ROW()-ROW(MSPTasks[[#Headers],[ID]]))),"",IF(N(INDEX(tsk_ActCostInput,(ROW()-ROW(MSPTasks[[#Headers],[ID]]))))=0,"",INDEX(tsk_ActCostInput,(ROW()-ROW(MSPTasks[[#Headers],[ID]]))))))</f>
        <v/>
      </c>
      <c r="U10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2" s="137" t="str">
        <f aca="false">IF(IFERROR(INDEX(tsk_Name,(ROW()-ROW(MSPTasks[[#Headers],[ID]])))="",TRUE()),"",IF(OR(INDEX(tsk_IsSummary,(ROW()-ROW(MSPTasks[[#Headers],[ID]]))),INDEX(tsk_Mode,(ROW()-ROW(MSPTasks[[#Headers],[ID]])))="Manual"),"",IF(N(INDEX(tsk_ConstraintCode,(ROW()-ROW(MSPTasks[[#Headers],[ID]]))))&lt;2,"",INDEX(tsk_Constraint,(ROW()-ROW(MSPTasks[[#Headers],[ID]]))))))</f>
        <v/>
      </c>
      <c r="W102" s="137" t="str">
        <f aca="false">IF(IFERROR(INDEX(tsk_Name,(ROW()-ROW(MSPTasks[[#Headers],[ID]])))="",TRUE()),"",IF(N(INDEX(tsk_Deadline,(ROW()-ROW(MSPTasks[[#Headers],[ID]]))))=0,"",INDEX(tsk_Deadline,(ROW()-ROW(MSPTasks[[#Headers],[ID]])))))</f>
        <v/>
      </c>
      <c r="X102" s="24" t="str">
        <f aca="false">IF(IFERROR(INDEX(tsk_Name,(ROW()-ROW(MSPTasks[[#Headers],[ID]])))="",TRUE()),"",IF(INDEX(tsk_IsSummary,(ROW()-ROW(MSPTasks[[#Headers],[ID]]))),"",INDEX(tsk_Sprint,(ROW()-ROW(MSPTasks[[#Headers],[ID]])))&amp;""))</f>
        <v/>
      </c>
      <c r="Y102" s="24" t="str">
        <f aca="false">IF(IFERROR(INDEX(tsk_Name,(ROW()-ROW(MSPTasks[[#Headers],[ID]])))="",TRUE()),"",IF(INDEX(tsk_IsSummary,(ROW()-ROW(MSPTasks[[#Headers],[ID]]))),"",IF(N(INDEX(tsk_StoryPoints,(ROW()-ROW(MSPTasks[[#Headers],[ID]]))))=0,"",INDEX(tsk_StoryPoints,(ROW()-ROW(MSPTasks[[#Headers],[ID]]))))))</f>
        <v/>
      </c>
      <c r="Z102" s="24" t="str">
        <f aca="false">IF(IFERROR(INDEX(tsk_Name,(ROW()-ROW(MSPTasks[[#Headers],[ID]])))="",TRUE()),"",INDEX(tsk_Notes,(ROW()-ROW(MSPTasks[[#Headers],[ID]])))&amp;"")</f>
        <v/>
      </c>
    </row>
    <row r="103" customFormat="false" ht="15" hidden="false" customHeight="false" outlineLevel="0" collapsed="false">
      <c r="A103" s="24" t="str">
        <f aca="false">IF(IFERROR(INDEX(tsk_Name,(ROW()-ROW(MSPTasks[[#Headers],[ID]])))="",TRUE()),"",INDEX(tsk_ID,(ROW()-ROW(MSPTasks[[#Headers],[ID]]))))</f>
        <v/>
      </c>
      <c r="B103" s="24" t="str">
        <f aca="false">IF(IFERROR(INDEX(tsk_Name,(ROW()-ROW(MSPTasks[[#Headers],[ID]])))="",TRUE()),"",INDEX(tsk_UID,(ROW()-ROW(MSPTasks[[#Headers],[ID]]))))</f>
        <v/>
      </c>
      <c r="C103" s="24" t="str">
        <f aca="false">IF(IFERROR(INDEX(tsk_Name,(ROW()-ROW(MSPTasks[[#Headers],[ID]])))="",TRUE()),"",INDEX(tsk_Name,(ROW()-ROW(MSPTasks[[#Headers],[ID]]))))</f>
        <v/>
      </c>
      <c r="D103" s="24" t="str">
        <f aca="false">IF(IFERROR(INDEX(tsk_Name,(ROW()-ROW(MSPTasks[[#Headers],[ID]])))="",TRUE()),"",INDEX(tsk_Level,(ROW()-ROW(MSPTasks[[#Headers],[ID]]))))</f>
        <v/>
      </c>
      <c r="E103" s="24" t="str">
        <f aca="false">IF(IFERROR(INDEX(tsk_Name,(ROW()-ROW(MSPTasks[[#Headers],[ID]])))="",TRUE()),"",IF(INDEX(tsk_Mode,(ROW()-ROW(MSPTasks[[#Headers],[ID]])))="Manual","Manually Scheduled","Auto Scheduled"))</f>
        <v/>
      </c>
      <c r="F103" s="24" t="str">
        <f aca="false">IF(IFERROR(INDEX(tsk_Name,(ROW()-ROW(MSPTasks[[#Headers],[ID]])))="",TRUE()),"",IF(INDEX(tsk_IsSummary,(ROW()-ROW(MSPTasks[[#Headers],[ID]]))),"",N(INDEX(tsk_Duration,(ROW()-ROW(MSPTasks[[#Headers],[ID]]))))&amp;"d"))</f>
        <v/>
      </c>
      <c r="G103" s="137" t="str">
        <f aca="false">IF(IFERROR(INDEX(tsk_Name,(ROW()-ROW(MSPTasks[[#Headers],[ID]])))="",TRUE()),"",INDEX(tsk_FcStart,(ROW()-ROW(MSPTasks[[#Headers],[ID]]))))</f>
        <v/>
      </c>
      <c r="H103" s="137" t="str">
        <f aca="false">IF(IFERROR(INDEX(tsk_Name,(ROW()-ROW(MSPTasks[[#Headers],[ID]])))="",TRUE()),"",INDEX(tsk_FcFinish,(ROW()-ROW(MSPTasks[[#Headers],[ID]]))))</f>
        <v/>
      </c>
      <c r="I103" s="24" t="str">
        <f aca="false">IF(IFERROR(INDEX(tsk_Name,(ROW()-ROW(MSPTasks[[#Headers],[ID]])))="",TRUE()),"",IF(INDEX(tsk_IsSummary,(ROW()-ROW(MSPTasks[[#Headers],[ID]]))),"",INDEX(tsk_Predecessors,(ROW()-ROW(MSPTasks[[#Headers],[ID]])))))</f>
        <v/>
      </c>
      <c r="J103" s="24" t="str">
        <f aca="false">IF(IFERROR(INDEX(tsk_Name,(ROW()-ROW(MSPTasks[[#Headers],[ID]])))="",TRUE()),"",IF(INDEX(tsk_IsSummary,(ROW()-ROW(MSPTasks[[#Headers],[ID]]))),"",INDEX(tsk_UIDPredecessors,(ROW()-ROW(MSPTasks[[#Headers],[ID]])))))</f>
        <v/>
      </c>
      <c r="K103" s="24" t="str">
        <f aca="false">IF(IFERROR(INDEX(tsk_Name,(ROW()-ROW(MSPTasks[[#Headers],[ID]])))="",TRUE()),"",INDEX(tsk_ResourceNames,(ROW()-ROW(MSPTasks[[#Headers],[ID]])))&amp;"")</f>
        <v/>
      </c>
      <c r="L103" s="24" t="str">
        <f aca="false">IF(IFERROR(INDEX(tsk_Name,(ROW()-ROW(MSPTasks[[#Headers],[ID]])))="",TRUE()),"",IF(INDEX(tsk_IsSummary,(ROW()-ROW(MSPTasks[[#Headers],[ID]]))),"",ROUND(INDEX(tsk_Progress,(ROW()-ROW(MSPTasks[[#Headers],[ID]])))*100,0)))</f>
        <v/>
      </c>
      <c r="M103" s="137" t="str">
        <f aca="false">IF(IFERROR(INDEX(tsk_Name,(ROW()-ROW(MSPTasks[[#Headers],[ID]])))="",TRUE()),"",IF(N(INDEX(tsk_ActStart,(ROW()-ROW(MSPTasks[[#Headers],[ID]]))))=0,"",INDEX(tsk_ActStart,(ROW()-ROW(MSPTasks[[#Headers],[ID]])))))</f>
        <v/>
      </c>
      <c r="N103" s="137" t="str">
        <f aca="false">IF(IFERROR(INDEX(tsk_Name,(ROW()-ROW(MSPTasks[[#Headers],[ID]])))="",TRUE()),"",IF(N(INDEX(tsk_ActFinish,(ROW()-ROW(MSPTasks[[#Headers],[ID]]))))=0,"",INDEX(tsk_ActFinish,(ROW()-ROW(MSPTasks[[#Headers],[ID]])))))</f>
        <v/>
      </c>
      <c r="O103" s="137" t="str">
        <f aca="false">IF(IFERROR(INDEX(tsk_Name,(ROW()-ROW(MSPTasks[[#Headers],[ID]])))="",TRUE()),"",INDEX(tsk_PlanStart,(ROW()-ROW(MSPTasks[[#Headers],[ID]]))))</f>
        <v/>
      </c>
      <c r="P103" s="137" t="str">
        <f aca="false">IF(IFERROR(INDEX(tsk_Name,(ROW()-ROW(MSPTasks[[#Headers],[ID]])))="",TRUE()),"",INDEX(tsk_PlanFinish,(ROW()-ROW(MSPTasks[[#Headers],[ID]]))))</f>
        <v/>
      </c>
      <c r="Q103" s="24" t="str">
        <f aca="false">IF(IFERROR(INDEX(tsk_Name,(ROW()-ROW(MSPTasks[[#Headers],[ID]])))="",TRUE()),"",IF(INDEX(tsk_BaseDuration,(ROW()-ROW(MSPTasks[[#Headers],[ID]])))="","",N(INDEX(tsk_BaseDuration,(ROW()-ROW(MSPTasks[[#Headers],[ID]]))))&amp;"d"))</f>
        <v/>
      </c>
      <c r="R103" s="24" t="str">
        <f aca="false">IF(IFERROR(INDEX(tsk_Name,(ROW()-ROW(MSPTasks[[#Headers],[ID]])))="",TRUE()),"",IF(INDEX(tsk_BaseWork,(ROW()-ROW(MSPTasks[[#Headers],[ID]])))="","",N(INDEX(tsk_BaseWork,(ROW()-ROW(MSPTasks[[#Headers],[ID]]))))&amp;"h"))</f>
        <v/>
      </c>
      <c r="S103" s="24" t="str">
        <f aca="false">IF(IFERROR(INDEX(tsk_Name,(ROW()-ROW(MSPTasks[[#Headers],[ID]])))="",TRUE()),"",IF(INDEX(tsk_BaseCost,(ROW()-ROW(MSPTasks[[#Headers],[ID]])))="","",N(INDEX(tsk_BaseCost,(ROW()-ROW(MSPTasks[[#Headers],[ID]]))))))</f>
        <v/>
      </c>
      <c r="T103" s="24" t="str">
        <f aca="false">IF(IFERROR(INDEX(tsk_Name,(ROW()-ROW(MSPTasks[[#Headers],[ID]])))="",TRUE()),"",IF(INDEX(tsk_IsSummary,(ROW()-ROW(MSPTasks[[#Headers],[ID]]))),"",IF(N(INDEX(tsk_ActCostInput,(ROW()-ROW(MSPTasks[[#Headers],[ID]]))))=0,"",INDEX(tsk_ActCostInput,(ROW()-ROW(MSPTasks[[#Headers],[ID]]))))))</f>
        <v/>
      </c>
      <c r="U10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3" s="137" t="str">
        <f aca="false">IF(IFERROR(INDEX(tsk_Name,(ROW()-ROW(MSPTasks[[#Headers],[ID]])))="",TRUE()),"",IF(OR(INDEX(tsk_IsSummary,(ROW()-ROW(MSPTasks[[#Headers],[ID]]))),INDEX(tsk_Mode,(ROW()-ROW(MSPTasks[[#Headers],[ID]])))="Manual"),"",IF(N(INDEX(tsk_ConstraintCode,(ROW()-ROW(MSPTasks[[#Headers],[ID]]))))&lt;2,"",INDEX(tsk_Constraint,(ROW()-ROW(MSPTasks[[#Headers],[ID]]))))))</f>
        <v/>
      </c>
      <c r="W103" s="137" t="str">
        <f aca="false">IF(IFERROR(INDEX(tsk_Name,(ROW()-ROW(MSPTasks[[#Headers],[ID]])))="",TRUE()),"",IF(N(INDEX(tsk_Deadline,(ROW()-ROW(MSPTasks[[#Headers],[ID]]))))=0,"",INDEX(tsk_Deadline,(ROW()-ROW(MSPTasks[[#Headers],[ID]])))))</f>
        <v/>
      </c>
      <c r="X103" s="24" t="str">
        <f aca="false">IF(IFERROR(INDEX(tsk_Name,(ROW()-ROW(MSPTasks[[#Headers],[ID]])))="",TRUE()),"",IF(INDEX(tsk_IsSummary,(ROW()-ROW(MSPTasks[[#Headers],[ID]]))),"",INDEX(tsk_Sprint,(ROW()-ROW(MSPTasks[[#Headers],[ID]])))&amp;""))</f>
        <v/>
      </c>
      <c r="Y103" s="24" t="str">
        <f aca="false">IF(IFERROR(INDEX(tsk_Name,(ROW()-ROW(MSPTasks[[#Headers],[ID]])))="",TRUE()),"",IF(INDEX(tsk_IsSummary,(ROW()-ROW(MSPTasks[[#Headers],[ID]]))),"",IF(N(INDEX(tsk_StoryPoints,(ROW()-ROW(MSPTasks[[#Headers],[ID]]))))=0,"",INDEX(tsk_StoryPoints,(ROW()-ROW(MSPTasks[[#Headers],[ID]]))))))</f>
        <v/>
      </c>
      <c r="Z103" s="24" t="str">
        <f aca="false">IF(IFERROR(INDEX(tsk_Name,(ROW()-ROW(MSPTasks[[#Headers],[ID]])))="",TRUE()),"",INDEX(tsk_Notes,(ROW()-ROW(MSPTasks[[#Headers],[ID]])))&amp;"")</f>
        <v/>
      </c>
    </row>
    <row r="104" customFormat="false" ht="15" hidden="false" customHeight="false" outlineLevel="0" collapsed="false">
      <c r="A104" s="24" t="str">
        <f aca="false">IF(IFERROR(INDEX(tsk_Name,(ROW()-ROW(MSPTasks[[#Headers],[ID]])))="",TRUE()),"",INDEX(tsk_ID,(ROW()-ROW(MSPTasks[[#Headers],[ID]]))))</f>
        <v/>
      </c>
      <c r="B104" s="24" t="str">
        <f aca="false">IF(IFERROR(INDEX(tsk_Name,(ROW()-ROW(MSPTasks[[#Headers],[ID]])))="",TRUE()),"",INDEX(tsk_UID,(ROW()-ROW(MSPTasks[[#Headers],[ID]]))))</f>
        <v/>
      </c>
      <c r="C104" s="24" t="str">
        <f aca="false">IF(IFERROR(INDEX(tsk_Name,(ROW()-ROW(MSPTasks[[#Headers],[ID]])))="",TRUE()),"",INDEX(tsk_Name,(ROW()-ROW(MSPTasks[[#Headers],[ID]]))))</f>
        <v/>
      </c>
      <c r="D104" s="24" t="str">
        <f aca="false">IF(IFERROR(INDEX(tsk_Name,(ROW()-ROW(MSPTasks[[#Headers],[ID]])))="",TRUE()),"",INDEX(tsk_Level,(ROW()-ROW(MSPTasks[[#Headers],[ID]]))))</f>
        <v/>
      </c>
      <c r="E104" s="24" t="str">
        <f aca="false">IF(IFERROR(INDEX(tsk_Name,(ROW()-ROW(MSPTasks[[#Headers],[ID]])))="",TRUE()),"",IF(INDEX(tsk_Mode,(ROW()-ROW(MSPTasks[[#Headers],[ID]])))="Manual","Manually Scheduled","Auto Scheduled"))</f>
        <v/>
      </c>
      <c r="F104" s="24" t="str">
        <f aca="false">IF(IFERROR(INDEX(tsk_Name,(ROW()-ROW(MSPTasks[[#Headers],[ID]])))="",TRUE()),"",IF(INDEX(tsk_IsSummary,(ROW()-ROW(MSPTasks[[#Headers],[ID]]))),"",N(INDEX(tsk_Duration,(ROW()-ROW(MSPTasks[[#Headers],[ID]]))))&amp;"d"))</f>
        <v/>
      </c>
      <c r="G104" s="137" t="str">
        <f aca="false">IF(IFERROR(INDEX(tsk_Name,(ROW()-ROW(MSPTasks[[#Headers],[ID]])))="",TRUE()),"",INDEX(tsk_FcStart,(ROW()-ROW(MSPTasks[[#Headers],[ID]]))))</f>
        <v/>
      </c>
      <c r="H104" s="137" t="str">
        <f aca="false">IF(IFERROR(INDEX(tsk_Name,(ROW()-ROW(MSPTasks[[#Headers],[ID]])))="",TRUE()),"",INDEX(tsk_FcFinish,(ROW()-ROW(MSPTasks[[#Headers],[ID]]))))</f>
        <v/>
      </c>
      <c r="I104" s="24" t="str">
        <f aca="false">IF(IFERROR(INDEX(tsk_Name,(ROW()-ROW(MSPTasks[[#Headers],[ID]])))="",TRUE()),"",IF(INDEX(tsk_IsSummary,(ROW()-ROW(MSPTasks[[#Headers],[ID]]))),"",INDEX(tsk_Predecessors,(ROW()-ROW(MSPTasks[[#Headers],[ID]])))))</f>
        <v/>
      </c>
      <c r="J104" s="24" t="str">
        <f aca="false">IF(IFERROR(INDEX(tsk_Name,(ROW()-ROW(MSPTasks[[#Headers],[ID]])))="",TRUE()),"",IF(INDEX(tsk_IsSummary,(ROW()-ROW(MSPTasks[[#Headers],[ID]]))),"",INDEX(tsk_UIDPredecessors,(ROW()-ROW(MSPTasks[[#Headers],[ID]])))))</f>
        <v/>
      </c>
      <c r="K104" s="24" t="str">
        <f aca="false">IF(IFERROR(INDEX(tsk_Name,(ROW()-ROW(MSPTasks[[#Headers],[ID]])))="",TRUE()),"",INDEX(tsk_ResourceNames,(ROW()-ROW(MSPTasks[[#Headers],[ID]])))&amp;"")</f>
        <v/>
      </c>
      <c r="L104" s="24" t="str">
        <f aca="false">IF(IFERROR(INDEX(tsk_Name,(ROW()-ROW(MSPTasks[[#Headers],[ID]])))="",TRUE()),"",IF(INDEX(tsk_IsSummary,(ROW()-ROW(MSPTasks[[#Headers],[ID]]))),"",ROUND(INDEX(tsk_Progress,(ROW()-ROW(MSPTasks[[#Headers],[ID]])))*100,0)))</f>
        <v/>
      </c>
      <c r="M104" s="137" t="str">
        <f aca="false">IF(IFERROR(INDEX(tsk_Name,(ROW()-ROW(MSPTasks[[#Headers],[ID]])))="",TRUE()),"",IF(N(INDEX(tsk_ActStart,(ROW()-ROW(MSPTasks[[#Headers],[ID]]))))=0,"",INDEX(tsk_ActStart,(ROW()-ROW(MSPTasks[[#Headers],[ID]])))))</f>
        <v/>
      </c>
      <c r="N104" s="137" t="str">
        <f aca="false">IF(IFERROR(INDEX(tsk_Name,(ROW()-ROW(MSPTasks[[#Headers],[ID]])))="",TRUE()),"",IF(N(INDEX(tsk_ActFinish,(ROW()-ROW(MSPTasks[[#Headers],[ID]]))))=0,"",INDEX(tsk_ActFinish,(ROW()-ROW(MSPTasks[[#Headers],[ID]])))))</f>
        <v/>
      </c>
      <c r="O104" s="137" t="str">
        <f aca="false">IF(IFERROR(INDEX(tsk_Name,(ROW()-ROW(MSPTasks[[#Headers],[ID]])))="",TRUE()),"",INDEX(tsk_PlanStart,(ROW()-ROW(MSPTasks[[#Headers],[ID]]))))</f>
        <v/>
      </c>
      <c r="P104" s="137" t="str">
        <f aca="false">IF(IFERROR(INDEX(tsk_Name,(ROW()-ROW(MSPTasks[[#Headers],[ID]])))="",TRUE()),"",INDEX(tsk_PlanFinish,(ROW()-ROW(MSPTasks[[#Headers],[ID]]))))</f>
        <v/>
      </c>
      <c r="Q104" s="24" t="str">
        <f aca="false">IF(IFERROR(INDEX(tsk_Name,(ROW()-ROW(MSPTasks[[#Headers],[ID]])))="",TRUE()),"",IF(INDEX(tsk_BaseDuration,(ROW()-ROW(MSPTasks[[#Headers],[ID]])))="","",N(INDEX(tsk_BaseDuration,(ROW()-ROW(MSPTasks[[#Headers],[ID]]))))&amp;"d"))</f>
        <v/>
      </c>
      <c r="R104" s="24" t="str">
        <f aca="false">IF(IFERROR(INDEX(tsk_Name,(ROW()-ROW(MSPTasks[[#Headers],[ID]])))="",TRUE()),"",IF(INDEX(tsk_BaseWork,(ROW()-ROW(MSPTasks[[#Headers],[ID]])))="","",N(INDEX(tsk_BaseWork,(ROW()-ROW(MSPTasks[[#Headers],[ID]]))))&amp;"h"))</f>
        <v/>
      </c>
      <c r="S104" s="24" t="str">
        <f aca="false">IF(IFERROR(INDEX(tsk_Name,(ROW()-ROW(MSPTasks[[#Headers],[ID]])))="",TRUE()),"",IF(INDEX(tsk_BaseCost,(ROW()-ROW(MSPTasks[[#Headers],[ID]])))="","",N(INDEX(tsk_BaseCost,(ROW()-ROW(MSPTasks[[#Headers],[ID]]))))))</f>
        <v/>
      </c>
      <c r="T104" s="24" t="str">
        <f aca="false">IF(IFERROR(INDEX(tsk_Name,(ROW()-ROW(MSPTasks[[#Headers],[ID]])))="",TRUE()),"",IF(INDEX(tsk_IsSummary,(ROW()-ROW(MSPTasks[[#Headers],[ID]]))),"",IF(N(INDEX(tsk_ActCostInput,(ROW()-ROW(MSPTasks[[#Headers],[ID]]))))=0,"",INDEX(tsk_ActCostInput,(ROW()-ROW(MSPTasks[[#Headers],[ID]]))))))</f>
        <v/>
      </c>
      <c r="U10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4" s="137" t="str">
        <f aca="false">IF(IFERROR(INDEX(tsk_Name,(ROW()-ROW(MSPTasks[[#Headers],[ID]])))="",TRUE()),"",IF(OR(INDEX(tsk_IsSummary,(ROW()-ROW(MSPTasks[[#Headers],[ID]]))),INDEX(tsk_Mode,(ROW()-ROW(MSPTasks[[#Headers],[ID]])))="Manual"),"",IF(N(INDEX(tsk_ConstraintCode,(ROW()-ROW(MSPTasks[[#Headers],[ID]]))))&lt;2,"",INDEX(tsk_Constraint,(ROW()-ROW(MSPTasks[[#Headers],[ID]]))))))</f>
        <v/>
      </c>
      <c r="W104" s="137" t="str">
        <f aca="false">IF(IFERROR(INDEX(tsk_Name,(ROW()-ROW(MSPTasks[[#Headers],[ID]])))="",TRUE()),"",IF(N(INDEX(tsk_Deadline,(ROW()-ROW(MSPTasks[[#Headers],[ID]]))))=0,"",INDEX(tsk_Deadline,(ROW()-ROW(MSPTasks[[#Headers],[ID]])))))</f>
        <v/>
      </c>
      <c r="X104" s="24" t="str">
        <f aca="false">IF(IFERROR(INDEX(tsk_Name,(ROW()-ROW(MSPTasks[[#Headers],[ID]])))="",TRUE()),"",IF(INDEX(tsk_IsSummary,(ROW()-ROW(MSPTasks[[#Headers],[ID]]))),"",INDEX(tsk_Sprint,(ROW()-ROW(MSPTasks[[#Headers],[ID]])))&amp;""))</f>
        <v/>
      </c>
      <c r="Y104" s="24" t="str">
        <f aca="false">IF(IFERROR(INDEX(tsk_Name,(ROW()-ROW(MSPTasks[[#Headers],[ID]])))="",TRUE()),"",IF(INDEX(tsk_IsSummary,(ROW()-ROW(MSPTasks[[#Headers],[ID]]))),"",IF(N(INDEX(tsk_StoryPoints,(ROW()-ROW(MSPTasks[[#Headers],[ID]]))))=0,"",INDEX(tsk_StoryPoints,(ROW()-ROW(MSPTasks[[#Headers],[ID]]))))))</f>
        <v/>
      </c>
      <c r="Z104" s="24" t="str">
        <f aca="false">IF(IFERROR(INDEX(tsk_Name,(ROW()-ROW(MSPTasks[[#Headers],[ID]])))="",TRUE()),"",INDEX(tsk_Notes,(ROW()-ROW(MSPTasks[[#Headers],[ID]])))&amp;"")</f>
        <v/>
      </c>
    </row>
    <row r="105" customFormat="false" ht="15" hidden="false" customHeight="false" outlineLevel="0" collapsed="false">
      <c r="A105" s="24" t="str">
        <f aca="false">IF(IFERROR(INDEX(tsk_Name,(ROW()-ROW(MSPTasks[[#Headers],[ID]])))="",TRUE()),"",INDEX(tsk_ID,(ROW()-ROW(MSPTasks[[#Headers],[ID]]))))</f>
        <v/>
      </c>
      <c r="B105" s="24" t="str">
        <f aca="false">IF(IFERROR(INDEX(tsk_Name,(ROW()-ROW(MSPTasks[[#Headers],[ID]])))="",TRUE()),"",INDEX(tsk_UID,(ROW()-ROW(MSPTasks[[#Headers],[ID]]))))</f>
        <v/>
      </c>
      <c r="C105" s="24" t="str">
        <f aca="false">IF(IFERROR(INDEX(tsk_Name,(ROW()-ROW(MSPTasks[[#Headers],[ID]])))="",TRUE()),"",INDEX(tsk_Name,(ROW()-ROW(MSPTasks[[#Headers],[ID]]))))</f>
        <v/>
      </c>
      <c r="D105" s="24" t="str">
        <f aca="false">IF(IFERROR(INDEX(tsk_Name,(ROW()-ROW(MSPTasks[[#Headers],[ID]])))="",TRUE()),"",INDEX(tsk_Level,(ROW()-ROW(MSPTasks[[#Headers],[ID]]))))</f>
        <v/>
      </c>
      <c r="E105" s="24" t="str">
        <f aca="false">IF(IFERROR(INDEX(tsk_Name,(ROW()-ROW(MSPTasks[[#Headers],[ID]])))="",TRUE()),"",IF(INDEX(tsk_Mode,(ROW()-ROW(MSPTasks[[#Headers],[ID]])))="Manual","Manually Scheduled","Auto Scheduled"))</f>
        <v/>
      </c>
      <c r="F105" s="24" t="str">
        <f aca="false">IF(IFERROR(INDEX(tsk_Name,(ROW()-ROW(MSPTasks[[#Headers],[ID]])))="",TRUE()),"",IF(INDEX(tsk_IsSummary,(ROW()-ROW(MSPTasks[[#Headers],[ID]]))),"",N(INDEX(tsk_Duration,(ROW()-ROW(MSPTasks[[#Headers],[ID]]))))&amp;"d"))</f>
        <v/>
      </c>
      <c r="G105" s="137" t="str">
        <f aca="false">IF(IFERROR(INDEX(tsk_Name,(ROW()-ROW(MSPTasks[[#Headers],[ID]])))="",TRUE()),"",INDEX(tsk_FcStart,(ROW()-ROW(MSPTasks[[#Headers],[ID]]))))</f>
        <v/>
      </c>
      <c r="H105" s="137" t="str">
        <f aca="false">IF(IFERROR(INDEX(tsk_Name,(ROW()-ROW(MSPTasks[[#Headers],[ID]])))="",TRUE()),"",INDEX(tsk_FcFinish,(ROW()-ROW(MSPTasks[[#Headers],[ID]]))))</f>
        <v/>
      </c>
      <c r="I105" s="24" t="str">
        <f aca="false">IF(IFERROR(INDEX(tsk_Name,(ROW()-ROW(MSPTasks[[#Headers],[ID]])))="",TRUE()),"",IF(INDEX(tsk_IsSummary,(ROW()-ROW(MSPTasks[[#Headers],[ID]]))),"",INDEX(tsk_Predecessors,(ROW()-ROW(MSPTasks[[#Headers],[ID]])))))</f>
        <v/>
      </c>
      <c r="J105" s="24" t="str">
        <f aca="false">IF(IFERROR(INDEX(tsk_Name,(ROW()-ROW(MSPTasks[[#Headers],[ID]])))="",TRUE()),"",IF(INDEX(tsk_IsSummary,(ROW()-ROW(MSPTasks[[#Headers],[ID]]))),"",INDEX(tsk_UIDPredecessors,(ROW()-ROW(MSPTasks[[#Headers],[ID]])))))</f>
        <v/>
      </c>
      <c r="K105" s="24" t="str">
        <f aca="false">IF(IFERROR(INDEX(tsk_Name,(ROW()-ROW(MSPTasks[[#Headers],[ID]])))="",TRUE()),"",INDEX(tsk_ResourceNames,(ROW()-ROW(MSPTasks[[#Headers],[ID]])))&amp;"")</f>
        <v/>
      </c>
      <c r="L105" s="24" t="str">
        <f aca="false">IF(IFERROR(INDEX(tsk_Name,(ROW()-ROW(MSPTasks[[#Headers],[ID]])))="",TRUE()),"",IF(INDEX(tsk_IsSummary,(ROW()-ROW(MSPTasks[[#Headers],[ID]]))),"",ROUND(INDEX(tsk_Progress,(ROW()-ROW(MSPTasks[[#Headers],[ID]])))*100,0)))</f>
        <v/>
      </c>
      <c r="M105" s="137" t="str">
        <f aca="false">IF(IFERROR(INDEX(tsk_Name,(ROW()-ROW(MSPTasks[[#Headers],[ID]])))="",TRUE()),"",IF(N(INDEX(tsk_ActStart,(ROW()-ROW(MSPTasks[[#Headers],[ID]]))))=0,"",INDEX(tsk_ActStart,(ROW()-ROW(MSPTasks[[#Headers],[ID]])))))</f>
        <v/>
      </c>
      <c r="N105" s="137" t="str">
        <f aca="false">IF(IFERROR(INDEX(tsk_Name,(ROW()-ROW(MSPTasks[[#Headers],[ID]])))="",TRUE()),"",IF(N(INDEX(tsk_ActFinish,(ROW()-ROW(MSPTasks[[#Headers],[ID]]))))=0,"",INDEX(tsk_ActFinish,(ROW()-ROW(MSPTasks[[#Headers],[ID]])))))</f>
        <v/>
      </c>
      <c r="O105" s="137" t="str">
        <f aca="false">IF(IFERROR(INDEX(tsk_Name,(ROW()-ROW(MSPTasks[[#Headers],[ID]])))="",TRUE()),"",INDEX(tsk_PlanStart,(ROW()-ROW(MSPTasks[[#Headers],[ID]]))))</f>
        <v/>
      </c>
      <c r="P105" s="137" t="str">
        <f aca="false">IF(IFERROR(INDEX(tsk_Name,(ROW()-ROW(MSPTasks[[#Headers],[ID]])))="",TRUE()),"",INDEX(tsk_PlanFinish,(ROW()-ROW(MSPTasks[[#Headers],[ID]]))))</f>
        <v/>
      </c>
      <c r="Q105" s="24" t="str">
        <f aca="false">IF(IFERROR(INDEX(tsk_Name,(ROW()-ROW(MSPTasks[[#Headers],[ID]])))="",TRUE()),"",IF(INDEX(tsk_BaseDuration,(ROW()-ROW(MSPTasks[[#Headers],[ID]])))="","",N(INDEX(tsk_BaseDuration,(ROW()-ROW(MSPTasks[[#Headers],[ID]]))))&amp;"d"))</f>
        <v/>
      </c>
      <c r="R105" s="24" t="str">
        <f aca="false">IF(IFERROR(INDEX(tsk_Name,(ROW()-ROW(MSPTasks[[#Headers],[ID]])))="",TRUE()),"",IF(INDEX(tsk_BaseWork,(ROW()-ROW(MSPTasks[[#Headers],[ID]])))="","",N(INDEX(tsk_BaseWork,(ROW()-ROW(MSPTasks[[#Headers],[ID]]))))&amp;"h"))</f>
        <v/>
      </c>
      <c r="S105" s="24" t="str">
        <f aca="false">IF(IFERROR(INDEX(tsk_Name,(ROW()-ROW(MSPTasks[[#Headers],[ID]])))="",TRUE()),"",IF(INDEX(tsk_BaseCost,(ROW()-ROW(MSPTasks[[#Headers],[ID]])))="","",N(INDEX(tsk_BaseCost,(ROW()-ROW(MSPTasks[[#Headers],[ID]]))))))</f>
        <v/>
      </c>
      <c r="T105" s="24" t="str">
        <f aca="false">IF(IFERROR(INDEX(tsk_Name,(ROW()-ROW(MSPTasks[[#Headers],[ID]])))="",TRUE()),"",IF(INDEX(tsk_IsSummary,(ROW()-ROW(MSPTasks[[#Headers],[ID]]))),"",IF(N(INDEX(tsk_ActCostInput,(ROW()-ROW(MSPTasks[[#Headers],[ID]]))))=0,"",INDEX(tsk_ActCostInput,(ROW()-ROW(MSPTasks[[#Headers],[ID]]))))))</f>
        <v/>
      </c>
      <c r="U10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5" s="137" t="str">
        <f aca="false">IF(IFERROR(INDEX(tsk_Name,(ROW()-ROW(MSPTasks[[#Headers],[ID]])))="",TRUE()),"",IF(OR(INDEX(tsk_IsSummary,(ROW()-ROW(MSPTasks[[#Headers],[ID]]))),INDEX(tsk_Mode,(ROW()-ROW(MSPTasks[[#Headers],[ID]])))="Manual"),"",IF(N(INDEX(tsk_ConstraintCode,(ROW()-ROW(MSPTasks[[#Headers],[ID]]))))&lt;2,"",INDEX(tsk_Constraint,(ROW()-ROW(MSPTasks[[#Headers],[ID]]))))))</f>
        <v/>
      </c>
      <c r="W105" s="137" t="str">
        <f aca="false">IF(IFERROR(INDEX(tsk_Name,(ROW()-ROW(MSPTasks[[#Headers],[ID]])))="",TRUE()),"",IF(N(INDEX(tsk_Deadline,(ROW()-ROW(MSPTasks[[#Headers],[ID]]))))=0,"",INDEX(tsk_Deadline,(ROW()-ROW(MSPTasks[[#Headers],[ID]])))))</f>
        <v/>
      </c>
      <c r="X105" s="24" t="str">
        <f aca="false">IF(IFERROR(INDEX(tsk_Name,(ROW()-ROW(MSPTasks[[#Headers],[ID]])))="",TRUE()),"",IF(INDEX(tsk_IsSummary,(ROW()-ROW(MSPTasks[[#Headers],[ID]]))),"",INDEX(tsk_Sprint,(ROW()-ROW(MSPTasks[[#Headers],[ID]])))&amp;""))</f>
        <v/>
      </c>
      <c r="Y105" s="24" t="str">
        <f aca="false">IF(IFERROR(INDEX(tsk_Name,(ROW()-ROW(MSPTasks[[#Headers],[ID]])))="",TRUE()),"",IF(INDEX(tsk_IsSummary,(ROW()-ROW(MSPTasks[[#Headers],[ID]]))),"",IF(N(INDEX(tsk_StoryPoints,(ROW()-ROW(MSPTasks[[#Headers],[ID]]))))=0,"",INDEX(tsk_StoryPoints,(ROW()-ROW(MSPTasks[[#Headers],[ID]]))))))</f>
        <v/>
      </c>
      <c r="Z105" s="24" t="str">
        <f aca="false">IF(IFERROR(INDEX(tsk_Name,(ROW()-ROW(MSPTasks[[#Headers],[ID]])))="",TRUE()),"",INDEX(tsk_Notes,(ROW()-ROW(MSPTasks[[#Headers],[ID]])))&amp;"")</f>
        <v/>
      </c>
    </row>
    <row r="106" customFormat="false" ht="15" hidden="false" customHeight="false" outlineLevel="0" collapsed="false">
      <c r="A106" s="24" t="str">
        <f aca="false">IF(IFERROR(INDEX(tsk_Name,(ROW()-ROW(MSPTasks[[#Headers],[ID]])))="",TRUE()),"",INDEX(tsk_ID,(ROW()-ROW(MSPTasks[[#Headers],[ID]]))))</f>
        <v/>
      </c>
      <c r="B106" s="24" t="str">
        <f aca="false">IF(IFERROR(INDEX(tsk_Name,(ROW()-ROW(MSPTasks[[#Headers],[ID]])))="",TRUE()),"",INDEX(tsk_UID,(ROW()-ROW(MSPTasks[[#Headers],[ID]]))))</f>
        <v/>
      </c>
      <c r="C106" s="24" t="str">
        <f aca="false">IF(IFERROR(INDEX(tsk_Name,(ROW()-ROW(MSPTasks[[#Headers],[ID]])))="",TRUE()),"",INDEX(tsk_Name,(ROW()-ROW(MSPTasks[[#Headers],[ID]]))))</f>
        <v/>
      </c>
      <c r="D106" s="24" t="str">
        <f aca="false">IF(IFERROR(INDEX(tsk_Name,(ROW()-ROW(MSPTasks[[#Headers],[ID]])))="",TRUE()),"",INDEX(tsk_Level,(ROW()-ROW(MSPTasks[[#Headers],[ID]]))))</f>
        <v/>
      </c>
      <c r="E106" s="24" t="str">
        <f aca="false">IF(IFERROR(INDEX(tsk_Name,(ROW()-ROW(MSPTasks[[#Headers],[ID]])))="",TRUE()),"",IF(INDEX(tsk_Mode,(ROW()-ROW(MSPTasks[[#Headers],[ID]])))="Manual","Manually Scheduled","Auto Scheduled"))</f>
        <v/>
      </c>
      <c r="F106" s="24" t="str">
        <f aca="false">IF(IFERROR(INDEX(tsk_Name,(ROW()-ROW(MSPTasks[[#Headers],[ID]])))="",TRUE()),"",IF(INDEX(tsk_IsSummary,(ROW()-ROW(MSPTasks[[#Headers],[ID]]))),"",N(INDEX(tsk_Duration,(ROW()-ROW(MSPTasks[[#Headers],[ID]]))))&amp;"d"))</f>
        <v/>
      </c>
      <c r="G106" s="137" t="str">
        <f aca="false">IF(IFERROR(INDEX(tsk_Name,(ROW()-ROW(MSPTasks[[#Headers],[ID]])))="",TRUE()),"",INDEX(tsk_FcStart,(ROW()-ROW(MSPTasks[[#Headers],[ID]]))))</f>
        <v/>
      </c>
      <c r="H106" s="137" t="str">
        <f aca="false">IF(IFERROR(INDEX(tsk_Name,(ROW()-ROW(MSPTasks[[#Headers],[ID]])))="",TRUE()),"",INDEX(tsk_FcFinish,(ROW()-ROW(MSPTasks[[#Headers],[ID]]))))</f>
        <v/>
      </c>
      <c r="I106" s="24" t="str">
        <f aca="false">IF(IFERROR(INDEX(tsk_Name,(ROW()-ROW(MSPTasks[[#Headers],[ID]])))="",TRUE()),"",IF(INDEX(tsk_IsSummary,(ROW()-ROW(MSPTasks[[#Headers],[ID]]))),"",INDEX(tsk_Predecessors,(ROW()-ROW(MSPTasks[[#Headers],[ID]])))))</f>
        <v/>
      </c>
      <c r="J106" s="24" t="str">
        <f aca="false">IF(IFERROR(INDEX(tsk_Name,(ROW()-ROW(MSPTasks[[#Headers],[ID]])))="",TRUE()),"",IF(INDEX(tsk_IsSummary,(ROW()-ROW(MSPTasks[[#Headers],[ID]]))),"",INDEX(tsk_UIDPredecessors,(ROW()-ROW(MSPTasks[[#Headers],[ID]])))))</f>
        <v/>
      </c>
      <c r="K106" s="24" t="str">
        <f aca="false">IF(IFERROR(INDEX(tsk_Name,(ROW()-ROW(MSPTasks[[#Headers],[ID]])))="",TRUE()),"",INDEX(tsk_ResourceNames,(ROW()-ROW(MSPTasks[[#Headers],[ID]])))&amp;"")</f>
        <v/>
      </c>
      <c r="L106" s="24" t="str">
        <f aca="false">IF(IFERROR(INDEX(tsk_Name,(ROW()-ROW(MSPTasks[[#Headers],[ID]])))="",TRUE()),"",IF(INDEX(tsk_IsSummary,(ROW()-ROW(MSPTasks[[#Headers],[ID]]))),"",ROUND(INDEX(tsk_Progress,(ROW()-ROW(MSPTasks[[#Headers],[ID]])))*100,0)))</f>
        <v/>
      </c>
      <c r="M106" s="137" t="str">
        <f aca="false">IF(IFERROR(INDEX(tsk_Name,(ROW()-ROW(MSPTasks[[#Headers],[ID]])))="",TRUE()),"",IF(N(INDEX(tsk_ActStart,(ROW()-ROW(MSPTasks[[#Headers],[ID]]))))=0,"",INDEX(tsk_ActStart,(ROW()-ROW(MSPTasks[[#Headers],[ID]])))))</f>
        <v/>
      </c>
      <c r="N106" s="137" t="str">
        <f aca="false">IF(IFERROR(INDEX(tsk_Name,(ROW()-ROW(MSPTasks[[#Headers],[ID]])))="",TRUE()),"",IF(N(INDEX(tsk_ActFinish,(ROW()-ROW(MSPTasks[[#Headers],[ID]]))))=0,"",INDEX(tsk_ActFinish,(ROW()-ROW(MSPTasks[[#Headers],[ID]])))))</f>
        <v/>
      </c>
      <c r="O106" s="137" t="str">
        <f aca="false">IF(IFERROR(INDEX(tsk_Name,(ROW()-ROW(MSPTasks[[#Headers],[ID]])))="",TRUE()),"",INDEX(tsk_PlanStart,(ROW()-ROW(MSPTasks[[#Headers],[ID]]))))</f>
        <v/>
      </c>
      <c r="P106" s="137" t="str">
        <f aca="false">IF(IFERROR(INDEX(tsk_Name,(ROW()-ROW(MSPTasks[[#Headers],[ID]])))="",TRUE()),"",INDEX(tsk_PlanFinish,(ROW()-ROW(MSPTasks[[#Headers],[ID]]))))</f>
        <v/>
      </c>
      <c r="Q106" s="24" t="str">
        <f aca="false">IF(IFERROR(INDEX(tsk_Name,(ROW()-ROW(MSPTasks[[#Headers],[ID]])))="",TRUE()),"",IF(INDEX(tsk_BaseDuration,(ROW()-ROW(MSPTasks[[#Headers],[ID]])))="","",N(INDEX(tsk_BaseDuration,(ROW()-ROW(MSPTasks[[#Headers],[ID]]))))&amp;"d"))</f>
        <v/>
      </c>
      <c r="R106" s="24" t="str">
        <f aca="false">IF(IFERROR(INDEX(tsk_Name,(ROW()-ROW(MSPTasks[[#Headers],[ID]])))="",TRUE()),"",IF(INDEX(tsk_BaseWork,(ROW()-ROW(MSPTasks[[#Headers],[ID]])))="","",N(INDEX(tsk_BaseWork,(ROW()-ROW(MSPTasks[[#Headers],[ID]]))))&amp;"h"))</f>
        <v/>
      </c>
      <c r="S106" s="24" t="str">
        <f aca="false">IF(IFERROR(INDEX(tsk_Name,(ROW()-ROW(MSPTasks[[#Headers],[ID]])))="",TRUE()),"",IF(INDEX(tsk_BaseCost,(ROW()-ROW(MSPTasks[[#Headers],[ID]])))="","",N(INDEX(tsk_BaseCost,(ROW()-ROW(MSPTasks[[#Headers],[ID]]))))))</f>
        <v/>
      </c>
      <c r="T106" s="24" t="str">
        <f aca="false">IF(IFERROR(INDEX(tsk_Name,(ROW()-ROW(MSPTasks[[#Headers],[ID]])))="",TRUE()),"",IF(INDEX(tsk_IsSummary,(ROW()-ROW(MSPTasks[[#Headers],[ID]]))),"",IF(N(INDEX(tsk_ActCostInput,(ROW()-ROW(MSPTasks[[#Headers],[ID]]))))=0,"",INDEX(tsk_ActCostInput,(ROW()-ROW(MSPTasks[[#Headers],[ID]]))))))</f>
        <v/>
      </c>
      <c r="U10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6" s="137" t="str">
        <f aca="false">IF(IFERROR(INDEX(tsk_Name,(ROW()-ROW(MSPTasks[[#Headers],[ID]])))="",TRUE()),"",IF(OR(INDEX(tsk_IsSummary,(ROW()-ROW(MSPTasks[[#Headers],[ID]]))),INDEX(tsk_Mode,(ROW()-ROW(MSPTasks[[#Headers],[ID]])))="Manual"),"",IF(N(INDEX(tsk_ConstraintCode,(ROW()-ROW(MSPTasks[[#Headers],[ID]]))))&lt;2,"",INDEX(tsk_Constraint,(ROW()-ROW(MSPTasks[[#Headers],[ID]]))))))</f>
        <v/>
      </c>
      <c r="W106" s="137" t="str">
        <f aca="false">IF(IFERROR(INDEX(tsk_Name,(ROW()-ROW(MSPTasks[[#Headers],[ID]])))="",TRUE()),"",IF(N(INDEX(tsk_Deadline,(ROW()-ROW(MSPTasks[[#Headers],[ID]]))))=0,"",INDEX(tsk_Deadline,(ROW()-ROW(MSPTasks[[#Headers],[ID]])))))</f>
        <v/>
      </c>
      <c r="X106" s="24" t="str">
        <f aca="false">IF(IFERROR(INDEX(tsk_Name,(ROW()-ROW(MSPTasks[[#Headers],[ID]])))="",TRUE()),"",IF(INDEX(tsk_IsSummary,(ROW()-ROW(MSPTasks[[#Headers],[ID]]))),"",INDEX(tsk_Sprint,(ROW()-ROW(MSPTasks[[#Headers],[ID]])))&amp;""))</f>
        <v/>
      </c>
      <c r="Y106" s="24" t="str">
        <f aca="false">IF(IFERROR(INDEX(tsk_Name,(ROW()-ROW(MSPTasks[[#Headers],[ID]])))="",TRUE()),"",IF(INDEX(tsk_IsSummary,(ROW()-ROW(MSPTasks[[#Headers],[ID]]))),"",IF(N(INDEX(tsk_StoryPoints,(ROW()-ROW(MSPTasks[[#Headers],[ID]]))))=0,"",INDEX(tsk_StoryPoints,(ROW()-ROW(MSPTasks[[#Headers],[ID]]))))))</f>
        <v/>
      </c>
      <c r="Z106" s="24" t="str">
        <f aca="false">IF(IFERROR(INDEX(tsk_Name,(ROW()-ROW(MSPTasks[[#Headers],[ID]])))="",TRUE()),"",INDEX(tsk_Notes,(ROW()-ROW(MSPTasks[[#Headers],[ID]])))&amp;"")</f>
        <v/>
      </c>
    </row>
    <row r="107" customFormat="false" ht="15" hidden="false" customHeight="false" outlineLevel="0" collapsed="false">
      <c r="A107" s="24" t="str">
        <f aca="false">IF(IFERROR(INDEX(tsk_Name,(ROW()-ROW(MSPTasks[[#Headers],[ID]])))="",TRUE()),"",INDEX(tsk_ID,(ROW()-ROW(MSPTasks[[#Headers],[ID]]))))</f>
        <v/>
      </c>
      <c r="B107" s="24" t="str">
        <f aca="false">IF(IFERROR(INDEX(tsk_Name,(ROW()-ROW(MSPTasks[[#Headers],[ID]])))="",TRUE()),"",INDEX(tsk_UID,(ROW()-ROW(MSPTasks[[#Headers],[ID]]))))</f>
        <v/>
      </c>
      <c r="C107" s="24" t="str">
        <f aca="false">IF(IFERROR(INDEX(tsk_Name,(ROW()-ROW(MSPTasks[[#Headers],[ID]])))="",TRUE()),"",INDEX(tsk_Name,(ROW()-ROW(MSPTasks[[#Headers],[ID]]))))</f>
        <v/>
      </c>
      <c r="D107" s="24" t="str">
        <f aca="false">IF(IFERROR(INDEX(tsk_Name,(ROW()-ROW(MSPTasks[[#Headers],[ID]])))="",TRUE()),"",INDEX(tsk_Level,(ROW()-ROW(MSPTasks[[#Headers],[ID]]))))</f>
        <v/>
      </c>
      <c r="E107" s="24" t="str">
        <f aca="false">IF(IFERROR(INDEX(tsk_Name,(ROW()-ROW(MSPTasks[[#Headers],[ID]])))="",TRUE()),"",IF(INDEX(tsk_Mode,(ROW()-ROW(MSPTasks[[#Headers],[ID]])))="Manual","Manually Scheduled","Auto Scheduled"))</f>
        <v/>
      </c>
      <c r="F107" s="24" t="str">
        <f aca="false">IF(IFERROR(INDEX(tsk_Name,(ROW()-ROW(MSPTasks[[#Headers],[ID]])))="",TRUE()),"",IF(INDEX(tsk_IsSummary,(ROW()-ROW(MSPTasks[[#Headers],[ID]]))),"",N(INDEX(tsk_Duration,(ROW()-ROW(MSPTasks[[#Headers],[ID]]))))&amp;"d"))</f>
        <v/>
      </c>
      <c r="G107" s="137" t="str">
        <f aca="false">IF(IFERROR(INDEX(tsk_Name,(ROW()-ROW(MSPTasks[[#Headers],[ID]])))="",TRUE()),"",INDEX(tsk_FcStart,(ROW()-ROW(MSPTasks[[#Headers],[ID]]))))</f>
        <v/>
      </c>
      <c r="H107" s="137" t="str">
        <f aca="false">IF(IFERROR(INDEX(tsk_Name,(ROW()-ROW(MSPTasks[[#Headers],[ID]])))="",TRUE()),"",INDEX(tsk_FcFinish,(ROW()-ROW(MSPTasks[[#Headers],[ID]]))))</f>
        <v/>
      </c>
      <c r="I107" s="24" t="str">
        <f aca="false">IF(IFERROR(INDEX(tsk_Name,(ROW()-ROW(MSPTasks[[#Headers],[ID]])))="",TRUE()),"",IF(INDEX(tsk_IsSummary,(ROW()-ROW(MSPTasks[[#Headers],[ID]]))),"",INDEX(tsk_Predecessors,(ROW()-ROW(MSPTasks[[#Headers],[ID]])))))</f>
        <v/>
      </c>
      <c r="J107" s="24" t="str">
        <f aca="false">IF(IFERROR(INDEX(tsk_Name,(ROW()-ROW(MSPTasks[[#Headers],[ID]])))="",TRUE()),"",IF(INDEX(tsk_IsSummary,(ROW()-ROW(MSPTasks[[#Headers],[ID]]))),"",INDEX(tsk_UIDPredecessors,(ROW()-ROW(MSPTasks[[#Headers],[ID]])))))</f>
        <v/>
      </c>
      <c r="K107" s="24" t="str">
        <f aca="false">IF(IFERROR(INDEX(tsk_Name,(ROW()-ROW(MSPTasks[[#Headers],[ID]])))="",TRUE()),"",INDEX(tsk_ResourceNames,(ROW()-ROW(MSPTasks[[#Headers],[ID]])))&amp;"")</f>
        <v/>
      </c>
      <c r="L107" s="24" t="str">
        <f aca="false">IF(IFERROR(INDEX(tsk_Name,(ROW()-ROW(MSPTasks[[#Headers],[ID]])))="",TRUE()),"",IF(INDEX(tsk_IsSummary,(ROW()-ROW(MSPTasks[[#Headers],[ID]]))),"",ROUND(INDEX(tsk_Progress,(ROW()-ROW(MSPTasks[[#Headers],[ID]])))*100,0)))</f>
        <v/>
      </c>
      <c r="M107" s="137" t="str">
        <f aca="false">IF(IFERROR(INDEX(tsk_Name,(ROW()-ROW(MSPTasks[[#Headers],[ID]])))="",TRUE()),"",IF(N(INDEX(tsk_ActStart,(ROW()-ROW(MSPTasks[[#Headers],[ID]]))))=0,"",INDEX(tsk_ActStart,(ROW()-ROW(MSPTasks[[#Headers],[ID]])))))</f>
        <v/>
      </c>
      <c r="N107" s="137" t="str">
        <f aca="false">IF(IFERROR(INDEX(tsk_Name,(ROW()-ROW(MSPTasks[[#Headers],[ID]])))="",TRUE()),"",IF(N(INDEX(tsk_ActFinish,(ROW()-ROW(MSPTasks[[#Headers],[ID]]))))=0,"",INDEX(tsk_ActFinish,(ROW()-ROW(MSPTasks[[#Headers],[ID]])))))</f>
        <v/>
      </c>
      <c r="O107" s="137" t="str">
        <f aca="false">IF(IFERROR(INDEX(tsk_Name,(ROW()-ROW(MSPTasks[[#Headers],[ID]])))="",TRUE()),"",INDEX(tsk_PlanStart,(ROW()-ROW(MSPTasks[[#Headers],[ID]]))))</f>
        <v/>
      </c>
      <c r="P107" s="137" t="str">
        <f aca="false">IF(IFERROR(INDEX(tsk_Name,(ROW()-ROW(MSPTasks[[#Headers],[ID]])))="",TRUE()),"",INDEX(tsk_PlanFinish,(ROW()-ROW(MSPTasks[[#Headers],[ID]]))))</f>
        <v/>
      </c>
      <c r="Q107" s="24" t="str">
        <f aca="false">IF(IFERROR(INDEX(tsk_Name,(ROW()-ROW(MSPTasks[[#Headers],[ID]])))="",TRUE()),"",IF(INDEX(tsk_BaseDuration,(ROW()-ROW(MSPTasks[[#Headers],[ID]])))="","",N(INDEX(tsk_BaseDuration,(ROW()-ROW(MSPTasks[[#Headers],[ID]]))))&amp;"d"))</f>
        <v/>
      </c>
      <c r="R107" s="24" t="str">
        <f aca="false">IF(IFERROR(INDEX(tsk_Name,(ROW()-ROW(MSPTasks[[#Headers],[ID]])))="",TRUE()),"",IF(INDEX(tsk_BaseWork,(ROW()-ROW(MSPTasks[[#Headers],[ID]])))="","",N(INDEX(tsk_BaseWork,(ROW()-ROW(MSPTasks[[#Headers],[ID]]))))&amp;"h"))</f>
        <v/>
      </c>
      <c r="S107" s="24" t="str">
        <f aca="false">IF(IFERROR(INDEX(tsk_Name,(ROW()-ROW(MSPTasks[[#Headers],[ID]])))="",TRUE()),"",IF(INDEX(tsk_BaseCost,(ROW()-ROW(MSPTasks[[#Headers],[ID]])))="","",N(INDEX(tsk_BaseCost,(ROW()-ROW(MSPTasks[[#Headers],[ID]]))))))</f>
        <v/>
      </c>
      <c r="T107" s="24" t="str">
        <f aca="false">IF(IFERROR(INDEX(tsk_Name,(ROW()-ROW(MSPTasks[[#Headers],[ID]])))="",TRUE()),"",IF(INDEX(tsk_IsSummary,(ROW()-ROW(MSPTasks[[#Headers],[ID]]))),"",IF(N(INDEX(tsk_ActCostInput,(ROW()-ROW(MSPTasks[[#Headers],[ID]]))))=0,"",INDEX(tsk_ActCostInput,(ROW()-ROW(MSPTasks[[#Headers],[ID]]))))))</f>
        <v/>
      </c>
      <c r="U10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7" s="137" t="str">
        <f aca="false">IF(IFERROR(INDEX(tsk_Name,(ROW()-ROW(MSPTasks[[#Headers],[ID]])))="",TRUE()),"",IF(OR(INDEX(tsk_IsSummary,(ROW()-ROW(MSPTasks[[#Headers],[ID]]))),INDEX(tsk_Mode,(ROW()-ROW(MSPTasks[[#Headers],[ID]])))="Manual"),"",IF(N(INDEX(tsk_ConstraintCode,(ROW()-ROW(MSPTasks[[#Headers],[ID]]))))&lt;2,"",INDEX(tsk_Constraint,(ROW()-ROW(MSPTasks[[#Headers],[ID]]))))))</f>
        <v/>
      </c>
      <c r="W107" s="137" t="str">
        <f aca="false">IF(IFERROR(INDEX(tsk_Name,(ROW()-ROW(MSPTasks[[#Headers],[ID]])))="",TRUE()),"",IF(N(INDEX(tsk_Deadline,(ROW()-ROW(MSPTasks[[#Headers],[ID]]))))=0,"",INDEX(tsk_Deadline,(ROW()-ROW(MSPTasks[[#Headers],[ID]])))))</f>
        <v/>
      </c>
      <c r="X107" s="24" t="str">
        <f aca="false">IF(IFERROR(INDEX(tsk_Name,(ROW()-ROW(MSPTasks[[#Headers],[ID]])))="",TRUE()),"",IF(INDEX(tsk_IsSummary,(ROW()-ROW(MSPTasks[[#Headers],[ID]]))),"",INDEX(tsk_Sprint,(ROW()-ROW(MSPTasks[[#Headers],[ID]])))&amp;""))</f>
        <v/>
      </c>
      <c r="Y107" s="24" t="str">
        <f aca="false">IF(IFERROR(INDEX(tsk_Name,(ROW()-ROW(MSPTasks[[#Headers],[ID]])))="",TRUE()),"",IF(INDEX(tsk_IsSummary,(ROW()-ROW(MSPTasks[[#Headers],[ID]]))),"",IF(N(INDEX(tsk_StoryPoints,(ROW()-ROW(MSPTasks[[#Headers],[ID]]))))=0,"",INDEX(tsk_StoryPoints,(ROW()-ROW(MSPTasks[[#Headers],[ID]]))))))</f>
        <v/>
      </c>
      <c r="Z107" s="24" t="str">
        <f aca="false">IF(IFERROR(INDEX(tsk_Name,(ROW()-ROW(MSPTasks[[#Headers],[ID]])))="",TRUE()),"",INDEX(tsk_Notes,(ROW()-ROW(MSPTasks[[#Headers],[ID]])))&amp;"")</f>
        <v/>
      </c>
    </row>
    <row r="108" customFormat="false" ht="15" hidden="false" customHeight="false" outlineLevel="0" collapsed="false">
      <c r="A108" s="24" t="str">
        <f aca="false">IF(IFERROR(INDEX(tsk_Name,(ROW()-ROW(MSPTasks[[#Headers],[ID]])))="",TRUE()),"",INDEX(tsk_ID,(ROW()-ROW(MSPTasks[[#Headers],[ID]]))))</f>
        <v/>
      </c>
      <c r="B108" s="24" t="str">
        <f aca="false">IF(IFERROR(INDEX(tsk_Name,(ROW()-ROW(MSPTasks[[#Headers],[ID]])))="",TRUE()),"",INDEX(tsk_UID,(ROW()-ROW(MSPTasks[[#Headers],[ID]]))))</f>
        <v/>
      </c>
      <c r="C108" s="24" t="str">
        <f aca="false">IF(IFERROR(INDEX(tsk_Name,(ROW()-ROW(MSPTasks[[#Headers],[ID]])))="",TRUE()),"",INDEX(tsk_Name,(ROW()-ROW(MSPTasks[[#Headers],[ID]]))))</f>
        <v/>
      </c>
      <c r="D108" s="24" t="str">
        <f aca="false">IF(IFERROR(INDEX(tsk_Name,(ROW()-ROW(MSPTasks[[#Headers],[ID]])))="",TRUE()),"",INDEX(tsk_Level,(ROW()-ROW(MSPTasks[[#Headers],[ID]]))))</f>
        <v/>
      </c>
      <c r="E108" s="24" t="str">
        <f aca="false">IF(IFERROR(INDEX(tsk_Name,(ROW()-ROW(MSPTasks[[#Headers],[ID]])))="",TRUE()),"",IF(INDEX(tsk_Mode,(ROW()-ROW(MSPTasks[[#Headers],[ID]])))="Manual","Manually Scheduled","Auto Scheduled"))</f>
        <v/>
      </c>
      <c r="F108" s="24" t="str">
        <f aca="false">IF(IFERROR(INDEX(tsk_Name,(ROW()-ROW(MSPTasks[[#Headers],[ID]])))="",TRUE()),"",IF(INDEX(tsk_IsSummary,(ROW()-ROW(MSPTasks[[#Headers],[ID]]))),"",N(INDEX(tsk_Duration,(ROW()-ROW(MSPTasks[[#Headers],[ID]]))))&amp;"d"))</f>
        <v/>
      </c>
      <c r="G108" s="137" t="str">
        <f aca="false">IF(IFERROR(INDEX(tsk_Name,(ROW()-ROW(MSPTasks[[#Headers],[ID]])))="",TRUE()),"",INDEX(tsk_FcStart,(ROW()-ROW(MSPTasks[[#Headers],[ID]]))))</f>
        <v/>
      </c>
      <c r="H108" s="137" t="str">
        <f aca="false">IF(IFERROR(INDEX(tsk_Name,(ROW()-ROW(MSPTasks[[#Headers],[ID]])))="",TRUE()),"",INDEX(tsk_FcFinish,(ROW()-ROW(MSPTasks[[#Headers],[ID]]))))</f>
        <v/>
      </c>
      <c r="I108" s="24" t="str">
        <f aca="false">IF(IFERROR(INDEX(tsk_Name,(ROW()-ROW(MSPTasks[[#Headers],[ID]])))="",TRUE()),"",IF(INDEX(tsk_IsSummary,(ROW()-ROW(MSPTasks[[#Headers],[ID]]))),"",INDEX(tsk_Predecessors,(ROW()-ROW(MSPTasks[[#Headers],[ID]])))))</f>
        <v/>
      </c>
      <c r="J108" s="24" t="str">
        <f aca="false">IF(IFERROR(INDEX(tsk_Name,(ROW()-ROW(MSPTasks[[#Headers],[ID]])))="",TRUE()),"",IF(INDEX(tsk_IsSummary,(ROW()-ROW(MSPTasks[[#Headers],[ID]]))),"",INDEX(tsk_UIDPredecessors,(ROW()-ROW(MSPTasks[[#Headers],[ID]])))))</f>
        <v/>
      </c>
      <c r="K108" s="24" t="str">
        <f aca="false">IF(IFERROR(INDEX(tsk_Name,(ROW()-ROW(MSPTasks[[#Headers],[ID]])))="",TRUE()),"",INDEX(tsk_ResourceNames,(ROW()-ROW(MSPTasks[[#Headers],[ID]])))&amp;"")</f>
        <v/>
      </c>
      <c r="L108" s="24" t="str">
        <f aca="false">IF(IFERROR(INDEX(tsk_Name,(ROW()-ROW(MSPTasks[[#Headers],[ID]])))="",TRUE()),"",IF(INDEX(tsk_IsSummary,(ROW()-ROW(MSPTasks[[#Headers],[ID]]))),"",ROUND(INDEX(tsk_Progress,(ROW()-ROW(MSPTasks[[#Headers],[ID]])))*100,0)))</f>
        <v/>
      </c>
      <c r="M108" s="137" t="str">
        <f aca="false">IF(IFERROR(INDEX(tsk_Name,(ROW()-ROW(MSPTasks[[#Headers],[ID]])))="",TRUE()),"",IF(N(INDEX(tsk_ActStart,(ROW()-ROW(MSPTasks[[#Headers],[ID]]))))=0,"",INDEX(tsk_ActStart,(ROW()-ROW(MSPTasks[[#Headers],[ID]])))))</f>
        <v/>
      </c>
      <c r="N108" s="137" t="str">
        <f aca="false">IF(IFERROR(INDEX(tsk_Name,(ROW()-ROW(MSPTasks[[#Headers],[ID]])))="",TRUE()),"",IF(N(INDEX(tsk_ActFinish,(ROW()-ROW(MSPTasks[[#Headers],[ID]]))))=0,"",INDEX(tsk_ActFinish,(ROW()-ROW(MSPTasks[[#Headers],[ID]])))))</f>
        <v/>
      </c>
      <c r="O108" s="137" t="str">
        <f aca="false">IF(IFERROR(INDEX(tsk_Name,(ROW()-ROW(MSPTasks[[#Headers],[ID]])))="",TRUE()),"",INDEX(tsk_PlanStart,(ROW()-ROW(MSPTasks[[#Headers],[ID]]))))</f>
        <v/>
      </c>
      <c r="P108" s="137" t="str">
        <f aca="false">IF(IFERROR(INDEX(tsk_Name,(ROW()-ROW(MSPTasks[[#Headers],[ID]])))="",TRUE()),"",INDEX(tsk_PlanFinish,(ROW()-ROW(MSPTasks[[#Headers],[ID]]))))</f>
        <v/>
      </c>
      <c r="Q108" s="24" t="str">
        <f aca="false">IF(IFERROR(INDEX(tsk_Name,(ROW()-ROW(MSPTasks[[#Headers],[ID]])))="",TRUE()),"",IF(INDEX(tsk_BaseDuration,(ROW()-ROW(MSPTasks[[#Headers],[ID]])))="","",N(INDEX(tsk_BaseDuration,(ROW()-ROW(MSPTasks[[#Headers],[ID]]))))&amp;"d"))</f>
        <v/>
      </c>
      <c r="R108" s="24" t="str">
        <f aca="false">IF(IFERROR(INDEX(tsk_Name,(ROW()-ROW(MSPTasks[[#Headers],[ID]])))="",TRUE()),"",IF(INDEX(tsk_BaseWork,(ROW()-ROW(MSPTasks[[#Headers],[ID]])))="","",N(INDEX(tsk_BaseWork,(ROW()-ROW(MSPTasks[[#Headers],[ID]]))))&amp;"h"))</f>
        <v/>
      </c>
      <c r="S108" s="24" t="str">
        <f aca="false">IF(IFERROR(INDEX(tsk_Name,(ROW()-ROW(MSPTasks[[#Headers],[ID]])))="",TRUE()),"",IF(INDEX(tsk_BaseCost,(ROW()-ROW(MSPTasks[[#Headers],[ID]])))="","",N(INDEX(tsk_BaseCost,(ROW()-ROW(MSPTasks[[#Headers],[ID]]))))))</f>
        <v/>
      </c>
      <c r="T108" s="24" t="str">
        <f aca="false">IF(IFERROR(INDEX(tsk_Name,(ROW()-ROW(MSPTasks[[#Headers],[ID]])))="",TRUE()),"",IF(INDEX(tsk_IsSummary,(ROW()-ROW(MSPTasks[[#Headers],[ID]]))),"",IF(N(INDEX(tsk_ActCostInput,(ROW()-ROW(MSPTasks[[#Headers],[ID]]))))=0,"",INDEX(tsk_ActCostInput,(ROW()-ROW(MSPTasks[[#Headers],[ID]]))))))</f>
        <v/>
      </c>
      <c r="U10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8" s="137" t="str">
        <f aca="false">IF(IFERROR(INDEX(tsk_Name,(ROW()-ROW(MSPTasks[[#Headers],[ID]])))="",TRUE()),"",IF(OR(INDEX(tsk_IsSummary,(ROW()-ROW(MSPTasks[[#Headers],[ID]]))),INDEX(tsk_Mode,(ROW()-ROW(MSPTasks[[#Headers],[ID]])))="Manual"),"",IF(N(INDEX(tsk_ConstraintCode,(ROW()-ROW(MSPTasks[[#Headers],[ID]]))))&lt;2,"",INDEX(tsk_Constraint,(ROW()-ROW(MSPTasks[[#Headers],[ID]]))))))</f>
        <v/>
      </c>
      <c r="W108" s="137" t="str">
        <f aca="false">IF(IFERROR(INDEX(tsk_Name,(ROW()-ROW(MSPTasks[[#Headers],[ID]])))="",TRUE()),"",IF(N(INDEX(tsk_Deadline,(ROW()-ROW(MSPTasks[[#Headers],[ID]]))))=0,"",INDEX(tsk_Deadline,(ROW()-ROW(MSPTasks[[#Headers],[ID]])))))</f>
        <v/>
      </c>
      <c r="X108" s="24" t="str">
        <f aca="false">IF(IFERROR(INDEX(tsk_Name,(ROW()-ROW(MSPTasks[[#Headers],[ID]])))="",TRUE()),"",IF(INDEX(tsk_IsSummary,(ROW()-ROW(MSPTasks[[#Headers],[ID]]))),"",INDEX(tsk_Sprint,(ROW()-ROW(MSPTasks[[#Headers],[ID]])))&amp;""))</f>
        <v/>
      </c>
      <c r="Y108" s="24" t="str">
        <f aca="false">IF(IFERROR(INDEX(tsk_Name,(ROW()-ROW(MSPTasks[[#Headers],[ID]])))="",TRUE()),"",IF(INDEX(tsk_IsSummary,(ROW()-ROW(MSPTasks[[#Headers],[ID]]))),"",IF(N(INDEX(tsk_StoryPoints,(ROW()-ROW(MSPTasks[[#Headers],[ID]]))))=0,"",INDEX(tsk_StoryPoints,(ROW()-ROW(MSPTasks[[#Headers],[ID]]))))))</f>
        <v/>
      </c>
      <c r="Z108" s="24" t="str">
        <f aca="false">IF(IFERROR(INDEX(tsk_Name,(ROW()-ROW(MSPTasks[[#Headers],[ID]])))="",TRUE()),"",INDEX(tsk_Notes,(ROW()-ROW(MSPTasks[[#Headers],[ID]])))&amp;"")</f>
        <v/>
      </c>
    </row>
    <row r="109" customFormat="false" ht="15" hidden="false" customHeight="false" outlineLevel="0" collapsed="false">
      <c r="A109" s="24" t="str">
        <f aca="false">IF(IFERROR(INDEX(tsk_Name,(ROW()-ROW(MSPTasks[[#Headers],[ID]])))="",TRUE()),"",INDEX(tsk_ID,(ROW()-ROW(MSPTasks[[#Headers],[ID]]))))</f>
        <v/>
      </c>
      <c r="B109" s="24" t="str">
        <f aca="false">IF(IFERROR(INDEX(tsk_Name,(ROW()-ROW(MSPTasks[[#Headers],[ID]])))="",TRUE()),"",INDEX(tsk_UID,(ROW()-ROW(MSPTasks[[#Headers],[ID]]))))</f>
        <v/>
      </c>
      <c r="C109" s="24" t="str">
        <f aca="false">IF(IFERROR(INDEX(tsk_Name,(ROW()-ROW(MSPTasks[[#Headers],[ID]])))="",TRUE()),"",INDEX(tsk_Name,(ROW()-ROW(MSPTasks[[#Headers],[ID]]))))</f>
        <v/>
      </c>
      <c r="D109" s="24" t="str">
        <f aca="false">IF(IFERROR(INDEX(tsk_Name,(ROW()-ROW(MSPTasks[[#Headers],[ID]])))="",TRUE()),"",INDEX(tsk_Level,(ROW()-ROW(MSPTasks[[#Headers],[ID]]))))</f>
        <v/>
      </c>
      <c r="E109" s="24" t="str">
        <f aca="false">IF(IFERROR(INDEX(tsk_Name,(ROW()-ROW(MSPTasks[[#Headers],[ID]])))="",TRUE()),"",IF(INDEX(tsk_Mode,(ROW()-ROW(MSPTasks[[#Headers],[ID]])))="Manual","Manually Scheduled","Auto Scheduled"))</f>
        <v/>
      </c>
      <c r="F109" s="24" t="str">
        <f aca="false">IF(IFERROR(INDEX(tsk_Name,(ROW()-ROW(MSPTasks[[#Headers],[ID]])))="",TRUE()),"",IF(INDEX(tsk_IsSummary,(ROW()-ROW(MSPTasks[[#Headers],[ID]]))),"",N(INDEX(tsk_Duration,(ROW()-ROW(MSPTasks[[#Headers],[ID]]))))&amp;"d"))</f>
        <v/>
      </c>
      <c r="G109" s="137" t="str">
        <f aca="false">IF(IFERROR(INDEX(tsk_Name,(ROW()-ROW(MSPTasks[[#Headers],[ID]])))="",TRUE()),"",INDEX(tsk_FcStart,(ROW()-ROW(MSPTasks[[#Headers],[ID]]))))</f>
        <v/>
      </c>
      <c r="H109" s="137" t="str">
        <f aca="false">IF(IFERROR(INDEX(tsk_Name,(ROW()-ROW(MSPTasks[[#Headers],[ID]])))="",TRUE()),"",INDEX(tsk_FcFinish,(ROW()-ROW(MSPTasks[[#Headers],[ID]]))))</f>
        <v/>
      </c>
      <c r="I109" s="24" t="str">
        <f aca="false">IF(IFERROR(INDEX(tsk_Name,(ROW()-ROW(MSPTasks[[#Headers],[ID]])))="",TRUE()),"",IF(INDEX(tsk_IsSummary,(ROW()-ROW(MSPTasks[[#Headers],[ID]]))),"",INDEX(tsk_Predecessors,(ROW()-ROW(MSPTasks[[#Headers],[ID]])))))</f>
        <v/>
      </c>
      <c r="J109" s="24" t="str">
        <f aca="false">IF(IFERROR(INDEX(tsk_Name,(ROW()-ROW(MSPTasks[[#Headers],[ID]])))="",TRUE()),"",IF(INDEX(tsk_IsSummary,(ROW()-ROW(MSPTasks[[#Headers],[ID]]))),"",INDEX(tsk_UIDPredecessors,(ROW()-ROW(MSPTasks[[#Headers],[ID]])))))</f>
        <v/>
      </c>
      <c r="K109" s="24" t="str">
        <f aca="false">IF(IFERROR(INDEX(tsk_Name,(ROW()-ROW(MSPTasks[[#Headers],[ID]])))="",TRUE()),"",INDEX(tsk_ResourceNames,(ROW()-ROW(MSPTasks[[#Headers],[ID]])))&amp;"")</f>
        <v/>
      </c>
      <c r="L109" s="24" t="str">
        <f aca="false">IF(IFERROR(INDEX(tsk_Name,(ROW()-ROW(MSPTasks[[#Headers],[ID]])))="",TRUE()),"",IF(INDEX(tsk_IsSummary,(ROW()-ROW(MSPTasks[[#Headers],[ID]]))),"",ROUND(INDEX(tsk_Progress,(ROW()-ROW(MSPTasks[[#Headers],[ID]])))*100,0)))</f>
        <v/>
      </c>
      <c r="M109" s="137" t="str">
        <f aca="false">IF(IFERROR(INDEX(tsk_Name,(ROW()-ROW(MSPTasks[[#Headers],[ID]])))="",TRUE()),"",IF(N(INDEX(tsk_ActStart,(ROW()-ROW(MSPTasks[[#Headers],[ID]]))))=0,"",INDEX(tsk_ActStart,(ROW()-ROW(MSPTasks[[#Headers],[ID]])))))</f>
        <v/>
      </c>
      <c r="N109" s="137" t="str">
        <f aca="false">IF(IFERROR(INDEX(tsk_Name,(ROW()-ROW(MSPTasks[[#Headers],[ID]])))="",TRUE()),"",IF(N(INDEX(tsk_ActFinish,(ROW()-ROW(MSPTasks[[#Headers],[ID]]))))=0,"",INDEX(tsk_ActFinish,(ROW()-ROW(MSPTasks[[#Headers],[ID]])))))</f>
        <v/>
      </c>
      <c r="O109" s="137" t="str">
        <f aca="false">IF(IFERROR(INDEX(tsk_Name,(ROW()-ROW(MSPTasks[[#Headers],[ID]])))="",TRUE()),"",INDEX(tsk_PlanStart,(ROW()-ROW(MSPTasks[[#Headers],[ID]]))))</f>
        <v/>
      </c>
      <c r="P109" s="137" t="str">
        <f aca="false">IF(IFERROR(INDEX(tsk_Name,(ROW()-ROW(MSPTasks[[#Headers],[ID]])))="",TRUE()),"",INDEX(tsk_PlanFinish,(ROW()-ROW(MSPTasks[[#Headers],[ID]]))))</f>
        <v/>
      </c>
      <c r="Q109" s="24" t="str">
        <f aca="false">IF(IFERROR(INDEX(tsk_Name,(ROW()-ROW(MSPTasks[[#Headers],[ID]])))="",TRUE()),"",IF(INDEX(tsk_BaseDuration,(ROW()-ROW(MSPTasks[[#Headers],[ID]])))="","",N(INDEX(tsk_BaseDuration,(ROW()-ROW(MSPTasks[[#Headers],[ID]]))))&amp;"d"))</f>
        <v/>
      </c>
      <c r="R109" s="24" t="str">
        <f aca="false">IF(IFERROR(INDEX(tsk_Name,(ROW()-ROW(MSPTasks[[#Headers],[ID]])))="",TRUE()),"",IF(INDEX(tsk_BaseWork,(ROW()-ROW(MSPTasks[[#Headers],[ID]])))="","",N(INDEX(tsk_BaseWork,(ROW()-ROW(MSPTasks[[#Headers],[ID]]))))&amp;"h"))</f>
        <v/>
      </c>
      <c r="S109" s="24" t="str">
        <f aca="false">IF(IFERROR(INDEX(tsk_Name,(ROW()-ROW(MSPTasks[[#Headers],[ID]])))="",TRUE()),"",IF(INDEX(tsk_BaseCost,(ROW()-ROW(MSPTasks[[#Headers],[ID]])))="","",N(INDEX(tsk_BaseCost,(ROW()-ROW(MSPTasks[[#Headers],[ID]]))))))</f>
        <v/>
      </c>
      <c r="T109" s="24" t="str">
        <f aca="false">IF(IFERROR(INDEX(tsk_Name,(ROW()-ROW(MSPTasks[[#Headers],[ID]])))="",TRUE()),"",IF(INDEX(tsk_IsSummary,(ROW()-ROW(MSPTasks[[#Headers],[ID]]))),"",IF(N(INDEX(tsk_ActCostInput,(ROW()-ROW(MSPTasks[[#Headers],[ID]]))))=0,"",INDEX(tsk_ActCostInput,(ROW()-ROW(MSPTasks[[#Headers],[ID]]))))))</f>
        <v/>
      </c>
      <c r="U10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09" s="137" t="str">
        <f aca="false">IF(IFERROR(INDEX(tsk_Name,(ROW()-ROW(MSPTasks[[#Headers],[ID]])))="",TRUE()),"",IF(OR(INDEX(tsk_IsSummary,(ROW()-ROW(MSPTasks[[#Headers],[ID]]))),INDEX(tsk_Mode,(ROW()-ROW(MSPTasks[[#Headers],[ID]])))="Manual"),"",IF(N(INDEX(tsk_ConstraintCode,(ROW()-ROW(MSPTasks[[#Headers],[ID]]))))&lt;2,"",INDEX(tsk_Constraint,(ROW()-ROW(MSPTasks[[#Headers],[ID]]))))))</f>
        <v/>
      </c>
      <c r="W109" s="137" t="str">
        <f aca="false">IF(IFERROR(INDEX(tsk_Name,(ROW()-ROW(MSPTasks[[#Headers],[ID]])))="",TRUE()),"",IF(N(INDEX(tsk_Deadline,(ROW()-ROW(MSPTasks[[#Headers],[ID]]))))=0,"",INDEX(tsk_Deadline,(ROW()-ROW(MSPTasks[[#Headers],[ID]])))))</f>
        <v/>
      </c>
      <c r="X109" s="24" t="str">
        <f aca="false">IF(IFERROR(INDEX(tsk_Name,(ROW()-ROW(MSPTasks[[#Headers],[ID]])))="",TRUE()),"",IF(INDEX(tsk_IsSummary,(ROW()-ROW(MSPTasks[[#Headers],[ID]]))),"",INDEX(tsk_Sprint,(ROW()-ROW(MSPTasks[[#Headers],[ID]])))&amp;""))</f>
        <v/>
      </c>
      <c r="Y109" s="24" t="str">
        <f aca="false">IF(IFERROR(INDEX(tsk_Name,(ROW()-ROW(MSPTasks[[#Headers],[ID]])))="",TRUE()),"",IF(INDEX(tsk_IsSummary,(ROW()-ROW(MSPTasks[[#Headers],[ID]]))),"",IF(N(INDEX(tsk_StoryPoints,(ROW()-ROW(MSPTasks[[#Headers],[ID]]))))=0,"",INDEX(tsk_StoryPoints,(ROW()-ROW(MSPTasks[[#Headers],[ID]]))))))</f>
        <v/>
      </c>
      <c r="Z109" s="24" t="str">
        <f aca="false">IF(IFERROR(INDEX(tsk_Name,(ROW()-ROW(MSPTasks[[#Headers],[ID]])))="",TRUE()),"",INDEX(tsk_Notes,(ROW()-ROW(MSPTasks[[#Headers],[ID]])))&amp;"")</f>
        <v/>
      </c>
    </row>
    <row r="110" customFormat="false" ht="15" hidden="false" customHeight="false" outlineLevel="0" collapsed="false">
      <c r="A110" s="24" t="str">
        <f aca="false">IF(IFERROR(INDEX(tsk_Name,(ROW()-ROW(MSPTasks[[#Headers],[ID]])))="",TRUE()),"",INDEX(tsk_ID,(ROW()-ROW(MSPTasks[[#Headers],[ID]]))))</f>
        <v/>
      </c>
      <c r="B110" s="24" t="str">
        <f aca="false">IF(IFERROR(INDEX(tsk_Name,(ROW()-ROW(MSPTasks[[#Headers],[ID]])))="",TRUE()),"",INDEX(tsk_UID,(ROW()-ROW(MSPTasks[[#Headers],[ID]]))))</f>
        <v/>
      </c>
      <c r="C110" s="24" t="str">
        <f aca="false">IF(IFERROR(INDEX(tsk_Name,(ROW()-ROW(MSPTasks[[#Headers],[ID]])))="",TRUE()),"",INDEX(tsk_Name,(ROW()-ROW(MSPTasks[[#Headers],[ID]]))))</f>
        <v/>
      </c>
      <c r="D110" s="24" t="str">
        <f aca="false">IF(IFERROR(INDEX(tsk_Name,(ROW()-ROW(MSPTasks[[#Headers],[ID]])))="",TRUE()),"",INDEX(tsk_Level,(ROW()-ROW(MSPTasks[[#Headers],[ID]]))))</f>
        <v/>
      </c>
      <c r="E110" s="24" t="str">
        <f aca="false">IF(IFERROR(INDEX(tsk_Name,(ROW()-ROW(MSPTasks[[#Headers],[ID]])))="",TRUE()),"",IF(INDEX(tsk_Mode,(ROW()-ROW(MSPTasks[[#Headers],[ID]])))="Manual","Manually Scheduled","Auto Scheduled"))</f>
        <v/>
      </c>
      <c r="F110" s="24" t="str">
        <f aca="false">IF(IFERROR(INDEX(tsk_Name,(ROW()-ROW(MSPTasks[[#Headers],[ID]])))="",TRUE()),"",IF(INDEX(tsk_IsSummary,(ROW()-ROW(MSPTasks[[#Headers],[ID]]))),"",N(INDEX(tsk_Duration,(ROW()-ROW(MSPTasks[[#Headers],[ID]]))))&amp;"d"))</f>
        <v/>
      </c>
      <c r="G110" s="137" t="str">
        <f aca="false">IF(IFERROR(INDEX(tsk_Name,(ROW()-ROW(MSPTasks[[#Headers],[ID]])))="",TRUE()),"",INDEX(tsk_FcStart,(ROW()-ROW(MSPTasks[[#Headers],[ID]]))))</f>
        <v/>
      </c>
      <c r="H110" s="137" t="str">
        <f aca="false">IF(IFERROR(INDEX(tsk_Name,(ROW()-ROW(MSPTasks[[#Headers],[ID]])))="",TRUE()),"",INDEX(tsk_FcFinish,(ROW()-ROW(MSPTasks[[#Headers],[ID]]))))</f>
        <v/>
      </c>
      <c r="I110" s="24" t="str">
        <f aca="false">IF(IFERROR(INDEX(tsk_Name,(ROW()-ROW(MSPTasks[[#Headers],[ID]])))="",TRUE()),"",IF(INDEX(tsk_IsSummary,(ROW()-ROW(MSPTasks[[#Headers],[ID]]))),"",INDEX(tsk_Predecessors,(ROW()-ROW(MSPTasks[[#Headers],[ID]])))))</f>
        <v/>
      </c>
      <c r="J110" s="24" t="str">
        <f aca="false">IF(IFERROR(INDEX(tsk_Name,(ROW()-ROW(MSPTasks[[#Headers],[ID]])))="",TRUE()),"",IF(INDEX(tsk_IsSummary,(ROW()-ROW(MSPTasks[[#Headers],[ID]]))),"",INDEX(tsk_UIDPredecessors,(ROW()-ROW(MSPTasks[[#Headers],[ID]])))))</f>
        <v/>
      </c>
      <c r="K110" s="24" t="str">
        <f aca="false">IF(IFERROR(INDEX(tsk_Name,(ROW()-ROW(MSPTasks[[#Headers],[ID]])))="",TRUE()),"",INDEX(tsk_ResourceNames,(ROW()-ROW(MSPTasks[[#Headers],[ID]])))&amp;"")</f>
        <v/>
      </c>
      <c r="L110" s="24" t="str">
        <f aca="false">IF(IFERROR(INDEX(tsk_Name,(ROW()-ROW(MSPTasks[[#Headers],[ID]])))="",TRUE()),"",IF(INDEX(tsk_IsSummary,(ROW()-ROW(MSPTasks[[#Headers],[ID]]))),"",ROUND(INDEX(tsk_Progress,(ROW()-ROW(MSPTasks[[#Headers],[ID]])))*100,0)))</f>
        <v/>
      </c>
      <c r="M110" s="137" t="str">
        <f aca="false">IF(IFERROR(INDEX(tsk_Name,(ROW()-ROW(MSPTasks[[#Headers],[ID]])))="",TRUE()),"",IF(N(INDEX(tsk_ActStart,(ROW()-ROW(MSPTasks[[#Headers],[ID]]))))=0,"",INDEX(tsk_ActStart,(ROW()-ROW(MSPTasks[[#Headers],[ID]])))))</f>
        <v/>
      </c>
      <c r="N110" s="137" t="str">
        <f aca="false">IF(IFERROR(INDEX(tsk_Name,(ROW()-ROW(MSPTasks[[#Headers],[ID]])))="",TRUE()),"",IF(N(INDEX(tsk_ActFinish,(ROW()-ROW(MSPTasks[[#Headers],[ID]]))))=0,"",INDEX(tsk_ActFinish,(ROW()-ROW(MSPTasks[[#Headers],[ID]])))))</f>
        <v/>
      </c>
      <c r="O110" s="137" t="str">
        <f aca="false">IF(IFERROR(INDEX(tsk_Name,(ROW()-ROW(MSPTasks[[#Headers],[ID]])))="",TRUE()),"",INDEX(tsk_PlanStart,(ROW()-ROW(MSPTasks[[#Headers],[ID]]))))</f>
        <v/>
      </c>
      <c r="P110" s="137" t="str">
        <f aca="false">IF(IFERROR(INDEX(tsk_Name,(ROW()-ROW(MSPTasks[[#Headers],[ID]])))="",TRUE()),"",INDEX(tsk_PlanFinish,(ROW()-ROW(MSPTasks[[#Headers],[ID]]))))</f>
        <v/>
      </c>
      <c r="Q110" s="24" t="str">
        <f aca="false">IF(IFERROR(INDEX(tsk_Name,(ROW()-ROW(MSPTasks[[#Headers],[ID]])))="",TRUE()),"",IF(INDEX(tsk_BaseDuration,(ROW()-ROW(MSPTasks[[#Headers],[ID]])))="","",N(INDEX(tsk_BaseDuration,(ROW()-ROW(MSPTasks[[#Headers],[ID]]))))&amp;"d"))</f>
        <v/>
      </c>
      <c r="R110" s="24" t="str">
        <f aca="false">IF(IFERROR(INDEX(tsk_Name,(ROW()-ROW(MSPTasks[[#Headers],[ID]])))="",TRUE()),"",IF(INDEX(tsk_BaseWork,(ROW()-ROW(MSPTasks[[#Headers],[ID]])))="","",N(INDEX(tsk_BaseWork,(ROW()-ROW(MSPTasks[[#Headers],[ID]]))))&amp;"h"))</f>
        <v/>
      </c>
      <c r="S110" s="24" t="str">
        <f aca="false">IF(IFERROR(INDEX(tsk_Name,(ROW()-ROW(MSPTasks[[#Headers],[ID]])))="",TRUE()),"",IF(INDEX(tsk_BaseCost,(ROW()-ROW(MSPTasks[[#Headers],[ID]])))="","",N(INDEX(tsk_BaseCost,(ROW()-ROW(MSPTasks[[#Headers],[ID]]))))))</f>
        <v/>
      </c>
      <c r="T110" s="24" t="str">
        <f aca="false">IF(IFERROR(INDEX(tsk_Name,(ROW()-ROW(MSPTasks[[#Headers],[ID]])))="",TRUE()),"",IF(INDEX(tsk_IsSummary,(ROW()-ROW(MSPTasks[[#Headers],[ID]]))),"",IF(N(INDEX(tsk_ActCostInput,(ROW()-ROW(MSPTasks[[#Headers],[ID]]))))=0,"",INDEX(tsk_ActCostInput,(ROW()-ROW(MSPTasks[[#Headers],[ID]]))))))</f>
        <v/>
      </c>
      <c r="U11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0" s="137" t="str">
        <f aca="false">IF(IFERROR(INDEX(tsk_Name,(ROW()-ROW(MSPTasks[[#Headers],[ID]])))="",TRUE()),"",IF(OR(INDEX(tsk_IsSummary,(ROW()-ROW(MSPTasks[[#Headers],[ID]]))),INDEX(tsk_Mode,(ROW()-ROW(MSPTasks[[#Headers],[ID]])))="Manual"),"",IF(N(INDEX(tsk_ConstraintCode,(ROW()-ROW(MSPTasks[[#Headers],[ID]]))))&lt;2,"",INDEX(tsk_Constraint,(ROW()-ROW(MSPTasks[[#Headers],[ID]]))))))</f>
        <v/>
      </c>
      <c r="W110" s="137" t="str">
        <f aca="false">IF(IFERROR(INDEX(tsk_Name,(ROW()-ROW(MSPTasks[[#Headers],[ID]])))="",TRUE()),"",IF(N(INDEX(tsk_Deadline,(ROW()-ROW(MSPTasks[[#Headers],[ID]]))))=0,"",INDEX(tsk_Deadline,(ROW()-ROW(MSPTasks[[#Headers],[ID]])))))</f>
        <v/>
      </c>
      <c r="X110" s="24" t="str">
        <f aca="false">IF(IFERROR(INDEX(tsk_Name,(ROW()-ROW(MSPTasks[[#Headers],[ID]])))="",TRUE()),"",IF(INDEX(tsk_IsSummary,(ROW()-ROW(MSPTasks[[#Headers],[ID]]))),"",INDEX(tsk_Sprint,(ROW()-ROW(MSPTasks[[#Headers],[ID]])))&amp;""))</f>
        <v/>
      </c>
      <c r="Y110" s="24" t="str">
        <f aca="false">IF(IFERROR(INDEX(tsk_Name,(ROW()-ROW(MSPTasks[[#Headers],[ID]])))="",TRUE()),"",IF(INDEX(tsk_IsSummary,(ROW()-ROW(MSPTasks[[#Headers],[ID]]))),"",IF(N(INDEX(tsk_StoryPoints,(ROW()-ROW(MSPTasks[[#Headers],[ID]]))))=0,"",INDEX(tsk_StoryPoints,(ROW()-ROW(MSPTasks[[#Headers],[ID]]))))))</f>
        <v/>
      </c>
      <c r="Z110" s="24" t="str">
        <f aca="false">IF(IFERROR(INDEX(tsk_Name,(ROW()-ROW(MSPTasks[[#Headers],[ID]])))="",TRUE()),"",INDEX(tsk_Notes,(ROW()-ROW(MSPTasks[[#Headers],[ID]])))&amp;"")</f>
        <v/>
      </c>
    </row>
    <row r="111" customFormat="false" ht="15" hidden="false" customHeight="false" outlineLevel="0" collapsed="false">
      <c r="A111" s="24" t="str">
        <f aca="false">IF(IFERROR(INDEX(tsk_Name,(ROW()-ROW(MSPTasks[[#Headers],[ID]])))="",TRUE()),"",INDEX(tsk_ID,(ROW()-ROW(MSPTasks[[#Headers],[ID]]))))</f>
        <v/>
      </c>
      <c r="B111" s="24" t="str">
        <f aca="false">IF(IFERROR(INDEX(tsk_Name,(ROW()-ROW(MSPTasks[[#Headers],[ID]])))="",TRUE()),"",INDEX(tsk_UID,(ROW()-ROW(MSPTasks[[#Headers],[ID]]))))</f>
        <v/>
      </c>
      <c r="C111" s="24" t="str">
        <f aca="false">IF(IFERROR(INDEX(tsk_Name,(ROW()-ROW(MSPTasks[[#Headers],[ID]])))="",TRUE()),"",INDEX(tsk_Name,(ROW()-ROW(MSPTasks[[#Headers],[ID]]))))</f>
        <v/>
      </c>
      <c r="D111" s="24" t="str">
        <f aca="false">IF(IFERROR(INDEX(tsk_Name,(ROW()-ROW(MSPTasks[[#Headers],[ID]])))="",TRUE()),"",INDEX(tsk_Level,(ROW()-ROW(MSPTasks[[#Headers],[ID]]))))</f>
        <v/>
      </c>
      <c r="E111" s="24" t="str">
        <f aca="false">IF(IFERROR(INDEX(tsk_Name,(ROW()-ROW(MSPTasks[[#Headers],[ID]])))="",TRUE()),"",IF(INDEX(tsk_Mode,(ROW()-ROW(MSPTasks[[#Headers],[ID]])))="Manual","Manually Scheduled","Auto Scheduled"))</f>
        <v/>
      </c>
      <c r="F111" s="24" t="str">
        <f aca="false">IF(IFERROR(INDEX(tsk_Name,(ROW()-ROW(MSPTasks[[#Headers],[ID]])))="",TRUE()),"",IF(INDEX(tsk_IsSummary,(ROW()-ROW(MSPTasks[[#Headers],[ID]]))),"",N(INDEX(tsk_Duration,(ROW()-ROW(MSPTasks[[#Headers],[ID]]))))&amp;"d"))</f>
        <v/>
      </c>
      <c r="G111" s="137" t="str">
        <f aca="false">IF(IFERROR(INDEX(tsk_Name,(ROW()-ROW(MSPTasks[[#Headers],[ID]])))="",TRUE()),"",INDEX(tsk_FcStart,(ROW()-ROW(MSPTasks[[#Headers],[ID]]))))</f>
        <v/>
      </c>
      <c r="H111" s="137" t="str">
        <f aca="false">IF(IFERROR(INDEX(tsk_Name,(ROW()-ROW(MSPTasks[[#Headers],[ID]])))="",TRUE()),"",INDEX(tsk_FcFinish,(ROW()-ROW(MSPTasks[[#Headers],[ID]]))))</f>
        <v/>
      </c>
      <c r="I111" s="24" t="str">
        <f aca="false">IF(IFERROR(INDEX(tsk_Name,(ROW()-ROW(MSPTasks[[#Headers],[ID]])))="",TRUE()),"",IF(INDEX(tsk_IsSummary,(ROW()-ROW(MSPTasks[[#Headers],[ID]]))),"",INDEX(tsk_Predecessors,(ROW()-ROW(MSPTasks[[#Headers],[ID]])))))</f>
        <v/>
      </c>
      <c r="J111" s="24" t="str">
        <f aca="false">IF(IFERROR(INDEX(tsk_Name,(ROW()-ROW(MSPTasks[[#Headers],[ID]])))="",TRUE()),"",IF(INDEX(tsk_IsSummary,(ROW()-ROW(MSPTasks[[#Headers],[ID]]))),"",INDEX(tsk_UIDPredecessors,(ROW()-ROW(MSPTasks[[#Headers],[ID]])))))</f>
        <v/>
      </c>
      <c r="K111" s="24" t="str">
        <f aca="false">IF(IFERROR(INDEX(tsk_Name,(ROW()-ROW(MSPTasks[[#Headers],[ID]])))="",TRUE()),"",INDEX(tsk_ResourceNames,(ROW()-ROW(MSPTasks[[#Headers],[ID]])))&amp;"")</f>
        <v/>
      </c>
      <c r="L111" s="24" t="str">
        <f aca="false">IF(IFERROR(INDEX(tsk_Name,(ROW()-ROW(MSPTasks[[#Headers],[ID]])))="",TRUE()),"",IF(INDEX(tsk_IsSummary,(ROW()-ROW(MSPTasks[[#Headers],[ID]]))),"",ROUND(INDEX(tsk_Progress,(ROW()-ROW(MSPTasks[[#Headers],[ID]])))*100,0)))</f>
        <v/>
      </c>
      <c r="M111" s="137" t="str">
        <f aca="false">IF(IFERROR(INDEX(tsk_Name,(ROW()-ROW(MSPTasks[[#Headers],[ID]])))="",TRUE()),"",IF(N(INDEX(tsk_ActStart,(ROW()-ROW(MSPTasks[[#Headers],[ID]]))))=0,"",INDEX(tsk_ActStart,(ROW()-ROW(MSPTasks[[#Headers],[ID]])))))</f>
        <v/>
      </c>
      <c r="N111" s="137" t="str">
        <f aca="false">IF(IFERROR(INDEX(tsk_Name,(ROW()-ROW(MSPTasks[[#Headers],[ID]])))="",TRUE()),"",IF(N(INDEX(tsk_ActFinish,(ROW()-ROW(MSPTasks[[#Headers],[ID]]))))=0,"",INDEX(tsk_ActFinish,(ROW()-ROW(MSPTasks[[#Headers],[ID]])))))</f>
        <v/>
      </c>
      <c r="O111" s="137" t="str">
        <f aca="false">IF(IFERROR(INDEX(tsk_Name,(ROW()-ROW(MSPTasks[[#Headers],[ID]])))="",TRUE()),"",INDEX(tsk_PlanStart,(ROW()-ROW(MSPTasks[[#Headers],[ID]]))))</f>
        <v/>
      </c>
      <c r="P111" s="137" t="str">
        <f aca="false">IF(IFERROR(INDEX(tsk_Name,(ROW()-ROW(MSPTasks[[#Headers],[ID]])))="",TRUE()),"",INDEX(tsk_PlanFinish,(ROW()-ROW(MSPTasks[[#Headers],[ID]]))))</f>
        <v/>
      </c>
      <c r="Q111" s="24" t="str">
        <f aca="false">IF(IFERROR(INDEX(tsk_Name,(ROW()-ROW(MSPTasks[[#Headers],[ID]])))="",TRUE()),"",IF(INDEX(tsk_BaseDuration,(ROW()-ROW(MSPTasks[[#Headers],[ID]])))="","",N(INDEX(tsk_BaseDuration,(ROW()-ROW(MSPTasks[[#Headers],[ID]]))))&amp;"d"))</f>
        <v/>
      </c>
      <c r="R111" s="24" t="str">
        <f aca="false">IF(IFERROR(INDEX(tsk_Name,(ROW()-ROW(MSPTasks[[#Headers],[ID]])))="",TRUE()),"",IF(INDEX(tsk_BaseWork,(ROW()-ROW(MSPTasks[[#Headers],[ID]])))="","",N(INDEX(tsk_BaseWork,(ROW()-ROW(MSPTasks[[#Headers],[ID]]))))&amp;"h"))</f>
        <v/>
      </c>
      <c r="S111" s="24" t="str">
        <f aca="false">IF(IFERROR(INDEX(tsk_Name,(ROW()-ROW(MSPTasks[[#Headers],[ID]])))="",TRUE()),"",IF(INDEX(tsk_BaseCost,(ROW()-ROW(MSPTasks[[#Headers],[ID]])))="","",N(INDEX(tsk_BaseCost,(ROW()-ROW(MSPTasks[[#Headers],[ID]]))))))</f>
        <v/>
      </c>
      <c r="T111" s="24" t="str">
        <f aca="false">IF(IFERROR(INDEX(tsk_Name,(ROW()-ROW(MSPTasks[[#Headers],[ID]])))="",TRUE()),"",IF(INDEX(tsk_IsSummary,(ROW()-ROW(MSPTasks[[#Headers],[ID]]))),"",IF(N(INDEX(tsk_ActCostInput,(ROW()-ROW(MSPTasks[[#Headers],[ID]]))))=0,"",INDEX(tsk_ActCostInput,(ROW()-ROW(MSPTasks[[#Headers],[ID]]))))))</f>
        <v/>
      </c>
      <c r="U11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1" s="137" t="str">
        <f aca="false">IF(IFERROR(INDEX(tsk_Name,(ROW()-ROW(MSPTasks[[#Headers],[ID]])))="",TRUE()),"",IF(OR(INDEX(tsk_IsSummary,(ROW()-ROW(MSPTasks[[#Headers],[ID]]))),INDEX(tsk_Mode,(ROW()-ROW(MSPTasks[[#Headers],[ID]])))="Manual"),"",IF(N(INDEX(tsk_ConstraintCode,(ROW()-ROW(MSPTasks[[#Headers],[ID]]))))&lt;2,"",INDEX(tsk_Constraint,(ROW()-ROW(MSPTasks[[#Headers],[ID]]))))))</f>
        <v/>
      </c>
      <c r="W111" s="137" t="str">
        <f aca="false">IF(IFERROR(INDEX(tsk_Name,(ROW()-ROW(MSPTasks[[#Headers],[ID]])))="",TRUE()),"",IF(N(INDEX(tsk_Deadline,(ROW()-ROW(MSPTasks[[#Headers],[ID]]))))=0,"",INDEX(tsk_Deadline,(ROW()-ROW(MSPTasks[[#Headers],[ID]])))))</f>
        <v/>
      </c>
      <c r="X111" s="24" t="str">
        <f aca="false">IF(IFERROR(INDEX(tsk_Name,(ROW()-ROW(MSPTasks[[#Headers],[ID]])))="",TRUE()),"",IF(INDEX(tsk_IsSummary,(ROW()-ROW(MSPTasks[[#Headers],[ID]]))),"",INDEX(tsk_Sprint,(ROW()-ROW(MSPTasks[[#Headers],[ID]])))&amp;""))</f>
        <v/>
      </c>
      <c r="Y111" s="24" t="str">
        <f aca="false">IF(IFERROR(INDEX(tsk_Name,(ROW()-ROW(MSPTasks[[#Headers],[ID]])))="",TRUE()),"",IF(INDEX(tsk_IsSummary,(ROW()-ROW(MSPTasks[[#Headers],[ID]]))),"",IF(N(INDEX(tsk_StoryPoints,(ROW()-ROW(MSPTasks[[#Headers],[ID]]))))=0,"",INDEX(tsk_StoryPoints,(ROW()-ROW(MSPTasks[[#Headers],[ID]]))))))</f>
        <v/>
      </c>
      <c r="Z111" s="24" t="str">
        <f aca="false">IF(IFERROR(INDEX(tsk_Name,(ROW()-ROW(MSPTasks[[#Headers],[ID]])))="",TRUE()),"",INDEX(tsk_Notes,(ROW()-ROW(MSPTasks[[#Headers],[ID]])))&amp;"")</f>
        <v/>
      </c>
    </row>
    <row r="112" customFormat="false" ht="15" hidden="false" customHeight="false" outlineLevel="0" collapsed="false">
      <c r="A112" s="24" t="str">
        <f aca="false">IF(IFERROR(INDEX(tsk_Name,(ROW()-ROW(MSPTasks[[#Headers],[ID]])))="",TRUE()),"",INDEX(tsk_ID,(ROW()-ROW(MSPTasks[[#Headers],[ID]]))))</f>
        <v/>
      </c>
      <c r="B112" s="24" t="str">
        <f aca="false">IF(IFERROR(INDEX(tsk_Name,(ROW()-ROW(MSPTasks[[#Headers],[ID]])))="",TRUE()),"",INDEX(tsk_UID,(ROW()-ROW(MSPTasks[[#Headers],[ID]]))))</f>
        <v/>
      </c>
      <c r="C112" s="24" t="str">
        <f aca="false">IF(IFERROR(INDEX(tsk_Name,(ROW()-ROW(MSPTasks[[#Headers],[ID]])))="",TRUE()),"",INDEX(tsk_Name,(ROW()-ROW(MSPTasks[[#Headers],[ID]]))))</f>
        <v/>
      </c>
      <c r="D112" s="24" t="str">
        <f aca="false">IF(IFERROR(INDEX(tsk_Name,(ROW()-ROW(MSPTasks[[#Headers],[ID]])))="",TRUE()),"",INDEX(tsk_Level,(ROW()-ROW(MSPTasks[[#Headers],[ID]]))))</f>
        <v/>
      </c>
      <c r="E112" s="24" t="str">
        <f aca="false">IF(IFERROR(INDEX(tsk_Name,(ROW()-ROW(MSPTasks[[#Headers],[ID]])))="",TRUE()),"",IF(INDEX(tsk_Mode,(ROW()-ROW(MSPTasks[[#Headers],[ID]])))="Manual","Manually Scheduled","Auto Scheduled"))</f>
        <v/>
      </c>
      <c r="F112" s="24" t="str">
        <f aca="false">IF(IFERROR(INDEX(tsk_Name,(ROW()-ROW(MSPTasks[[#Headers],[ID]])))="",TRUE()),"",IF(INDEX(tsk_IsSummary,(ROW()-ROW(MSPTasks[[#Headers],[ID]]))),"",N(INDEX(tsk_Duration,(ROW()-ROW(MSPTasks[[#Headers],[ID]]))))&amp;"d"))</f>
        <v/>
      </c>
      <c r="G112" s="137" t="str">
        <f aca="false">IF(IFERROR(INDEX(tsk_Name,(ROW()-ROW(MSPTasks[[#Headers],[ID]])))="",TRUE()),"",INDEX(tsk_FcStart,(ROW()-ROW(MSPTasks[[#Headers],[ID]]))))</f>
        <v/>
      </c>
      <c r="H112" s="137" t="str">
        <f aca="false">IF(IFERROR(INDEX(tsk_Name,(ROW()-ROW(MSPTasks[[#Headers],[ID]])))="",TRUE()),"",INDEX(tsk_FcFinish,(ROW()-ROW(MSPTasks[[#Headers],[ID]]))))</f>
        <v/>
      </c>
      <c r="I112" s="24" t="str">
        <f aca="false">IF(IFERROR(INDEX(tsk_Name,(ROW()-ROW(MSPTasks[[#Headers],[ID]])))="",TRUE()),"",IF(INDEX(tsk_IsSummary,(ROW()-ROW(MSPTasks[[#Headers],[ID]]))),"",INDEX(tsk_Predecessors,(ROW()-ROW(MSPTasks[[#Headers],[ID]])))))</f>
        <v/>
      </c>
      <c r="J112" s="24" t="str">
        <f aca="false">IF(IFERROR(INDEX(tsk_Name,(ROW()-ROW(MSPTasks[[#Headers],[ID]])))="",TRUE()),"",IF(INDEX(tsk_IsSummary,(ROW()-ROW(MSPTasks[[#Headers],[ID]]))),"",INDEX(tsk_UIDPredecessors,(ROW()-ROW(MSPTasks[[#Headers],[ID]])))))</f>
        <v/>
      </c>
      <c r="K112" s="24" t="str">
        <f aca="false">IF(IFERROR(INDEX(tsk_Name,(ROW()-ROW(MSPTasks[[#Headers],[ID]])))="",TRUE()),"",INDEX(tsk_ResourceNames,(ROW()-ROW(MSPTasks[[#Headers],[ID]])))&amp;"")</f>
        <v/>
      </c>
      <c r="L112" s="24" t="str">
        <f aca="false">IF(IFERROR(INDEX(tsk_Name,(ROW()-ROW(MSPTasks[[#Headers],[ID]])))="",TRUE()),"",IF(INDEX(tsk_IsSummary,(ROW()-ROW(MSPTasks[[#Headers],[ID]]))),"",ROUND(INDEX(tsk_Progress,(ROW()-ROW(MSPTasks[[#Headers],[ID]])))*100,0)))</f>
        <v/>
      </c>
      <c r="M112" s="137" t="str">
        <f aca="false">IF(IFERROR(INDEX(tsk_Name,(ROW()-ROW(MSPTasks[[#Headers],[ID]])))="",TRUE()),"",IF(N(INDEX(tsk_ActStart,(ROW()-ROW(MSPTasks[[#Headers],[ID]]))))=0,"",INDEX(tsk_ActStart,(ROW()-ROW(MSPTasks[[#Headers],[ID]])))))</f>
        <v/>
      </c>
      <c r="N112" s="137" t="str">
        <f aca="false">IF(IFERROR(INDEX(tsk_Name,(ROW()-ROW(MSPTasks[[#Headers],[ID]])))="",TRUE()),"",IF(N(INDEX(tsk_ActFinish,(ROW()-ROW(MSPTasks[[#Headers],[ID]]))))=0,"",INDEX(tsk_ActFinish,(ROW()-ROW(MSPTasks[[#Headers],[ID]])))))</f>
        <v/>
      </c>
      <c r="O112" s="137" t="str">
        <f aca="false">IF(IFERROR(INDEX(tsk_Name,(ROW()-ROW(MSPTasks[[#Headers],[ID]])))="",TRUE()),"",INDEX(tsk_PlanStart,(ROW()-ROW(MSPTasks[[#Headers],[ID]]))))</f>
        <v/>
      </c>
      <c r="P112" s="137" t="str">
        <f aca="false">IF(IFERROR(INDEX(tsk_Name,(ROW()-ROW(MSPTasks[[#Headers],[ID]])))="",TRUE()),"",INDEX(tsk_PlanFinish,(ROW()-ROW(MSPTasks[[#Headers],[ID]]))))</f>
        <v/>
      </c>
      <c r="Q112" s="24" t="str">
        <f aca="false">IF(IFERROR(INDEX(tsk_Name,(ROW()-ROW(MSPTasks[[#Headers],[ID]])))="",TRUE()),"",IF(INDEX(tsk_BaseDuration,(ROW()-ROW(MSPTasks[[#Headers],[ID]])))="","",N(INDEX(tsk_BaseDuration,(ROW()-ROW(MSPTasks[[#Headers],[ID]]))))&amp;"d"))</f>
        <v/>
      </c>
      <c r="R112" s="24" t="str">
        <f aca="false">IF(IFERROR(INDEX(tsk_Name,(ROW()-ROW(MSPTasks[[#Headers],[ID]])))="",TRUE()),"",IF(INDEX(tsk_BaseWork,(ROW()-ROW(MSPTasks[[#Headers],[ID]])))="","",N(INDEX(tsk_BaseWork,(ROW()-ROW(MSPTasks[[#Headers],[ID]]))))&amp;"h"))</f>
        <v/>
      </c>
      <c r="S112" s="24" t="str">
        <f aca="false">IF(IFERROR(INDEX(tsk_Name,(ROW()-ROW(MSPTasks[[#Headers],[ID]])))="",TRUE()),"",IF(INDEX(tsk_BaseCost,(ROW()-ROW(MSPTasks[[#Headers],[ID]])))="","",N(INDEX(tsk_BaseCost,(ROW()-ROW(MSPTasks[[#Headers],[ID]]))))))</f>
        <v/>
      </c>
      <c r="T112" s="24" t="str">
        <f aca="false">IF(IFERROR(INDEX(tsk_Name,(ROW()-ROW(MSPTasks[[#Headers],[ID]])))="",TRUE()),"",IF(INDEX(tsk_IsSummary,(ROW()-ROW(MSPTasks[[#Headers],[ID]]))),"",IF(N(INDEX(tsk_ActCostInput,(ROW()-ROW(MSPTasks[[#Headers],[ID]]))))=0,"",INDEX(tsk_ActCostInput,(ROW()-ROW(MSPTasks[[#Headers],[ID]]))))))</f>
        <v/>
      </c>
      <c r="U11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2" s="137" t="str">
        <f aca="false">IF(IFERROR(INDEX(tsk_Name,(ROW()-ROW(MSPTasks[[#Headers],[ID]])))="",TRUE()),"",IF(OR(INDEX(tsk_IsSummary,(ROW()-ROW(MSPTasks[[#Headers],[ID]]))),INDEX(tsk_Mode,(ROW()-ROW(MSPTasks[[#Headers],[ID]])))="Manual"),"",IF(N(INDEX(tsk_ConstraintCode,(ROW()-ROW(MSPTasks[[#Headers],[ID]]))))&lt;2,"",INDEX(tsk_Constraint,(ROW()-ROW(MSPTasks[[#Headers],[ID]]))))))</f>
        <v/>
      </c>
      <c r="W112" s="137" t="str">
        <f aca="false">IF(IFERROR(INDEX(tsk_Name,(ROW()-ROW(MSPTasks[[#Headers],[ID]])))="",TRUE()),"",IF(N(INDEX(tsk_Deadline,(ROW()-ROW(MSPTasks[[#Headers],[ID]]))))=0,"",INDEX(tsk_Deadline,(ROW()-ROW(MSPTasks[[#Headers],[ID]])))))</f>
        <v/>
      </c>
      <c r="X112" s="24" t="str">
        <f aca="false">IF(IFERROR(INDEX(tsk_Name,(ROW()-ROW(MSPTasks[[#Headers],[ID]])))="",TRUE()),"",IF(INDEX(tsk_IsSummary,(ROW()-ROW(MSPTasks[[#Headers],[ID]]))),"",INDEX(tsk_Sprint,(ROW()-ROW(MSPTasks[[#Headers],[ID]])))&amp;""))</f>
        <v/>
      </c>
      <c r="Y112" s="24" t="str">
        <f aca="false">IF(IFERROR(INDEX(tsk_Name,(ROW()-ROW(MSPTasks[[#Headers],[ID]])))="",TRUE()),"",IF(INDEX(tsk_IsSummary,(ROW()-ROW(MSPTasks[[#Headers],[ID]]))),"",IF(N(INDEX(tsk_StoryPoints,(ROW()-ROW(MSPTasks[[#Headers],[ID]]))))=0,"",INDEX(tsk_StoryPoints,(ROW()-ROW(MSPTasks[[#Headers],[ID]]))))))</f>
        <v/>
      </c>
      <c r="Z112" s="24" t="str">
        <f aca="false">IF(IFERROR(INDEX(tsk_Name,(ROW()-ROW(MSPTasks[[#Headers],[ID]])))="",TRUE()),"",INDEX(tsk_Notes,(ROW()-ROW(MSPTasks[[#Headers],[ID]])))&amp;"")</f>
        <v/>
      </c>
    </row>
    <row r="113" customFormat="false" ht="15" hidden="false" customHeight="false" outlineLevel="0" collapsed="false">
      <c r="A113" s="24" t="str">
        <f aca="false">IF(IFERROR(INDEX(tsk_Name,(ROW()-ROW(MSPTasks[[#Headers],[ID]])))="",TRUE()),"",INDEX(tsk_ID,(ROW()-ROW(MSPTasks[[#Headers],[ID]]))))</f>
        <v/>
      </c>
      <c r="B113" s="24" t="str">
        <f aca="false">IF(IFERROR(INDEX(tsk_Name,(ROW()-ROW(MSPTasks[[#Headers],[ID]])))="",TRUE()),"",INDEX(tsk_UID,(ROW()-ROW(MSPTasks[[#Headers],[ID]]))))</f>
        <v/>
      </c>
      <c r="C113" s="24" t="str">
        <f aca="false">IF(IFERROR(INDEX(tsk_Name,(ROW()-ROW(MSPTasks[[#Headers],[ID]])))="",TRUE()),"",INDEX(tsk_Name,(ROW()-ROW(MSPTasks[[#Headers],[ID]]))))</f>
        <v/>
      </c>
      <c r="D113" s="24" t="str">
        <f aca="false">IF(IFERROR(INDEX(tsk_Name,(ROW()-ROW(MSPTasks[[#Headers],[ID]])))="",TRUE()),"",INDEX(tsk_Level,(ROW()-ROW(MSPTasks[[#Headers],[ID]]))))</f>
        <v/>
      </c>
      <c r="E113" s="24" t="str">
        <f aca="false">IF(IFERROR(INDEX(tsk_Name,(ROW()-ROW(MSPTasks[[#Headers],[ID]])))="",TRUE()),"",IF(INDEX(tsk_Mode,(ROW()-ROW(MSPTasks[[#Headers],[ID]])))="Manual","Manually Scheduled","Auto Scheduled"))</f>
        <v/>
      </c>
      <c r="F113" s="24" t="str">
        <f aca="false">IF(IFERROR(INDEX(tsk_Name,(ROW()-ROW(MSPTasks[[#Headers],[ID]])))="",TRUE()),"",IF(INDEX(tsk_IsSummary,(ROW()-ROW(MSPTasks[[#Headers],[ID]]))),"",N(INDEX(tsk_Duration,(ROW()-ROW(MSPTasks[[#Headers],[ID]]))))&amp;"d"))</f>
        <v/>
      </c>
      <c r="G113" s="137" t="str">
        <f aca="false">IF(IFERROR(INDEX(tsk_Name,(ROW()-ROW(MSPTasks[[#Headers],[ID]])))="",TRUE()),"",INDEX(tsk_FcStart,(ROW()-ROW(MSPTasks[[#Headers],[ID]]))))</f>
        <v/>
      </c>
      <c r="H113" s="137" t="str">
        <f aca="false">IF(IFERROR(INDEX(tsk_Name,(ROW()-ROW(MSPTasks[[#Headers],[ID]])))="",TRUE()),"",INDEX(tsk_FcFinish,(ROW()-ROW(MSPTasks[[#Headers],[ID]]))))</f>
        <v/>
      </c>
      <c r="I113" s="24" t="str">
        <f aca="false">IF(IFERROR(INDEX(tsk_Name,(ROW()-ROW(MSPTasks[[#Headers],[ID]])))="",TRUE()),"",IF(INDEX(tsk_IsSummary,(ROW()-ROW(MSPTasks[[#Headers],[ID]]))),"",INDEX(tsk_Predecessors,(ROW()-ROW(MSPTasks[[#Headers],[ID]])))))</f>
        <v/>
      </c>
      <c r="J113" s="24" t="str">
        <f aca="false">IF(IFERROR(INDEX(tsk_Name,(ROW()-ROW(MSPTasks[[#Headers],[ID]])))="",TRUE()),"",IF(INDEX(tsk_IsSummary,(ROW()-ROW(MSPTasks[[#Headers],[ID]]))),"",INDEX(tsk_UIDPredecessors,(ROW()-ROW(MSPTasks[[#Headers],[ID]])))))</f>
        <v/>
      </c>
      <c r="K113" s="24" t="str">
        <f aca="false">IF(IFERROR(INDEX(tsk_Name,(ROW()-ROW(MSPTasks[[#Headers],[ID]])))="",TRUE()),"",INDEX(tsk_ResourceNames,(ROW()-ROW(MSPTasks[[#Headers],[ID]])))&amp;"")</f>
        <v/>
      </c>
      <c r="L113" s="24" t="str">
        <f aca="false">IF(IFERROR(INDEX(tsk_Name,(ROW()-ROW(MSPTasks[[#Headers],[ID]])))="",TRUE()),"",IF(INDEX(tsk_IsSummary,(ROW()-ROW(MSPTasks[[#Headers],[ID]]))),"",ROUND(INDEX(tsk_Progress,(ROW()-ROW(MSPTasks[[#Headers],[ID]])))*100,0)))</f>
        <v/>
      </c>
      <c r="M113" s="137" t="str">
        <f aca="false">IF(IFERROR(INDEX(tsk_Name,(ROW()-ROW(MSPTasks[[#Headers],[ID]])))="",TRUE()),"",IF(N(INDEX(tsk_ActStart,(ROW()-ROW(MSPTasks[[#Headers],[ID]]))))=0,"",INDEX(tsk_ActStart,(ROW()-ROW(MSPTasks[[#Headers],[ID]])))))</f>
        <v/>
      </c>
      <c r="N113" s="137" t="str">
        <f aca="false">IF(IFERROR(INDEX(tsk_Name,(ROW()-ROW(MSPTasks[[#Headers],[ID]])))="",TRUE()),"",IF(N(INDEX(tsk_ActFinish,(ROW()-ROW(MSPTasks[[#Headers],[ID]]))))=0,"",INDEX(tsk_ActFinish,(ROW()-ROW(MSPTasks[[#Headers],[ID]])))))</f>
        <v/>
      </c>
      <c r="O113" s="137" t="str">
        <f aca="false">IF(IFERROR(INDEX(tsk_Name,(ROW()-ROW(MSPTasks[[#Headers],[ID]])))="",TRUE()),"",INDEX(tsk_PlanStart,(ROW()-ROW(MSPTasks[[#Headers],[ID]]))))</f>
        <v/>
      </c>
      <c r="P113" s="137" t="str">
        <f aca="false">IF(IFERROR(INDEX(tsk_Name,(ROW()-ROW(MSPTasks[[#Headers],[ID]])))="",TRUE()),"",INDEX(tsk_PlanFinish,(ROW()-ROW(MSPTasks[[#Headers],[ID]]))))</f>
        <v/>
      </c>
      <c r="Q113" s="24" t="str">
        <f aca="false">IF(IFERROR(INDEX(tsk_Name,(ROW()-ROW(MSPTasks[[#Headers],[ID]])))="",TRUE()),"",IF(INDEX(tsk_BaseDuration,(ROW()-ROW(MSPTasks[[#Headers],[ID]])))="","",N(INDEX(tsk_BaseDuration,(ROW()-ROW(MSPTasks[[#Headers],[ID]]))))&amp;"d"))</f>
        <v/>
      </c>
      <c r="R113" s="24" t="str">
        <f aca="false">IF(IFERROR(INDEX(tsk_Name,(ROW()-ROW(MSPTasks[[#Headers],[ID]])))="",TRUE()),"",IF(INDEX(tsk_BaseWork,(ROW()-ROW(MSPTasks[[#Headers],[ID]])))="","",N(INDEX(tsk_BaseWork,(ROW()-ROW(MSPTasks[[#Headers],[ID]]))))&amp;"h"))</f>
        <v/>
      </c>
      <c r="S113" s="24" t="str">
        <f aca="false">IF(IFERROR(INDEX(tsk_Name,(ROW()-ROW(MSPTasks[[#Headers],[ID]])))="",TRUE()),"",IF(INDEX(tsk_BaseCost,(ROW()-ROW(MSPTasks[[#Headers],[ID]])))="","",N(INDEX(tsk_BaseCost,(ROW()-ROW(MSPTasks[[#Headers],[ID]]))))))</f>
        <v/>
      </c>
      <c r="T113" s="24" t="str">
        <f aca="false">IF(IFERROR(INDEX(tsk_Name,(ROW()-ROW(MSPTasks[[#Headers],[ID]])))="",TRUE()),"",IF(INDEX(tsk_IsSummary,(ROW()-ROW(MSPTasks[[#Headers],[ID]]))),"",IF(N(INDEX(tsk_ActCostInput,(ROW()-ROW(MSPTasks[[#Headers],[ID]]))))=0,"",INDEX(tsk_ActCostInput,(ROW()-ROW(MSPTasks[[#Headers],[ID]]))))))</f>
        <v/>
      </c>
      <c r="U11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3" s="137" t="str">
        <f aca="false">IF(IFERROR(INDEX(tsk_Name,(ROW()-ROW(MSPTasks[[#Headers],[ID]])))="",TRUE()),"",IF(OR(INDEX(tsk_IsSummary,(ROW()-ROW(MSPTasks[[#Headers],[ID]]))),INDEX(tsk_Mode,(ROW()-ROW(MSPTasks[[#Headers],[ID]])))="Manual"),"",IF(N(INDEX(tsk_ConstraintCode,(ROW()-ROW(MSPTasks[[#Headers],[ID]]))))&lt;2,"",INDEX(tsk_Constraint,(ROW()-ROW(MSPTasks[[#Headers],[ID]]))))))</f>
        <v/>
      </c>
      <c r="W113" s="137" t="str">
        <f aca="false">IF(IFERROR(INDEX(tsk_Name,(ROW()-ROW(MSPTasks[[#Headers],[ID]])))="",TRUE()),"",IF(N(INDEX(tsk_Deadline,(ROW()-ROW(MSPTasks[[#Headers],[ID]]))))=0,"",INDEX(tsk_Deadline,(ROW()-ROW(MSPTasks[[#Headers],[ID]])))))</f>
        <v/>
      </c>
      <c r="X113" s="24" t="str">
        <f aca="false">IF(IFERROR(INDEX(tsk_Name,(ROW()-ROW(MSPTasks[[#Headers],[ID]])))="",TRUE()),"",IF(INDEX(tsk_IsSummary,(ROW()-ROW(MSPTasks[[#Headers],[ID]]))),"",INDEX(tsk_Sprint,(ROW()-ROW(MSPTasks[[#Headers],[ID]])))&amp;""))</f>
        <v/>
      </c>
      <c r="Y113" s="24" t="str">
        <f aca="false">IF(IFERROR(INDEX(tsk_Name,(ROW()-ROW(MSPTasks[[#Headers],[ID]])))="",TRUE()),"",IF(INDEX(tsk_IsSummary,(ROW()-ROW(MSPTasks[[#Headers],[ID]]))),"",IF(N(INDEX(tsk_StoryPoints,(ROW()-ROW(MSPTasks[[#Headers],[ID]]))))=0,"",INDEX(tsk_StoryPoints,(ROW()-ROW(MSPTasks[[#Headers],[ID]]))))))</f>
        <v/>
      </c>
      <c r="Z113" s="24" t="str">
        <f aca="false">IF(IFERROR(INDEX(tsk_Name,(ROW()-ROW(MSPTasks[[#Headers],[ID]])))="",TRUE()),"",INDEX(tsk_Notes,(ROW()-ROW(MSPTasks[[#Headers],[ID]])))&amp;"")</f>
        <v/>
      </c>
    </row>
    <row r="114" customFormat="false" ht="15" hidden="false" customHeight="false" outlineLevel="0" collapsed="false">
      <c r="A114" s="24" t="str">
        <f aca="false">IF(IFERROR(INDEX(tsk_Name,(ROW()-ROW(MSPTasks[[#Headers],[ID]])))="",TRUE()),"",INDEX(tsk_ID,(ROW()-ROW(MSPTasks[[#Headers],[ID]]))))</f>
        <v/>
      </c>
      <c r="B114" s="24" t="str">
        <f aca="false">IF(IFERROR(INDEX(tsk_Name,(ROW()-ROW(MSPTasks[[#Headers],[ID]])))="",TRUE()),"",INDEX(tsk_UID,(ROW()-ROW(MSPTasks[[#Headers],[ID]]))))</f>
        <v/>
      </c>
      <c r="C114" s="24" t="str">
        <f aca="false">IF(IFERROR(INDEX(tsk_Name,(ROW()-ROW(MSPTasks[[#Headers],[ID]])))="",TRUE()),"",INDEX(tsk_Name,(ROW()-ROW(MSPTasks[[#Headers],[ID]]))))</f>
        <v/>
      </c>
      <c r="D114" s="24" t="str">
        <f aca="false">IF(IFERROR(INDEX(tsk_Name,(ROW()-ROW(MSPTasks[[#Headers],[ID]])))="",TRUE()),"",INDEX(tsk_Level,(ROW()-ROW(MSPTasks[[#Headers],[ID]]))))</f>
        <v/>
      </c>
      <c r="E114" s="24" t="str">
        <f aca="false">IF(IFERROR(INDEX(tsk_Name,(ROW()-ROW(MSPTasks[[#Headers],[ID]])))="",TRUE()),"",IF(INDEX(tsk_Mode,(ROW()-ROW(MSPTasks[[#Headers],[ID]])))="Manual","Manually Scheduled","Auto Scheduled"))</f>
        <v/>
      </c>
      <c r="F114" s="24" t="str">
        <f aca="false">IF(IFERROR(INDEX(tsk_Name,(ROW()-ROW(MSPTasks[[#Headers],[ID]])))="",TRUE()),"",IF(INDEX(tsk_IsSummary,(ROW()-ROW(MSPTasks[[#Headers],[ID]]))),"",N(INDEX(tsk_Duration,(ROW()-ROW(MSPTasks[[#Headers],[ID]]))))&amp;"d"))</f>
        <v/>
      </c>
      <c r="G114" s="137" t="str">
        <f aca="false">IF(IFERROR(INDEX(tsk_Name,(ROW()-ROW(MSPTasks[[#Headers],[ID]])))="",TRUE()),"",INDEX(tsk_FcStart,(ROW()-ROW(MSPTasks[[#Headers],[ID]]))))</f>
        <v/>
      </c>
      <c r="H114" s="137" t="str">
        <f aca="false">IF(IFERROR(INDEX(tsk_Name,(ROW()-ROW(MSPTasks[[#Headers],[ID]])))="",TRUE()),"",INDEX(tsk_FcFinish,(ROW()-ROW(MSPTasks[[#Headers],[ID]]))))</f>
        <v/>
      </c>
      <c r="I114" s="24" t="str">
        <f aca="false">IF(IFERROR(INDEX(tsk_Name,(ROW()-ROW(MSPTasks[[#Headers],[ID]])))="",TRUE()),"",IF(INDEX(tsk_IsSummary,(ROW()-ROW(MSPTasks[[#Headers],[ID]]))),"",INDEX(tsk_Predecessors,(ROW()-ROW(MSPTasks[[#Headers],[ID]])))))</f>
        <v/>
      </c>
      <c r="J114" s="24" t="str">
        <f aca="false">IF(IFERROR(INDEX(tsk_Name,(ROW()-ROW(MSPTasks[[#Headers],[ID]])))="",TRUE()),"",IF(INDEX(tsk_IsSummary,(ROW()-ROW(MSPTasks[[#Headers],[ID]]))),"",INDEX(tsk_UIDPredecessors,(ROW()-ROW(MSPTasks[[#Headers],[ID]])))))</f>
        <v/>
      </c>
      <c r="K114" s="24" t="str">
        <f aca="false">IF(IFERROR(INDEX(tsk_Name,(ROW()-ROW(MSPTasks[[#Headers],[ID]])))="",TRUE()),"",INDEX(tsk_ResourceNames,(ROW()-ROW(MSPTasks[[#Headers],[ID]])))&amp;"")</f>
        <v/>
      </c>
      <c r="L114" s="24" t="str">
        <f aca="false">IF(IFERROR(INDEX(tsk_Name,(ROW()-ROW(MSPTasks[[#Headers],[ID]])))="",TRUE()),"",IF(INDEX(tsk_IsSummary,(ROW()-ROW(MSPTasks[[#Headers],[ID]]))),"",ROUND(INDEX(tsk_Progress,(ROW()-ROW(MSPTasks[[#Headers],[ID]])))*100,0)))</f>
        <v/>
      </c>
      <c r="M114" s="137" t="str">
        <f aca="false">IF(IFERROR(INDEX(tsk_Name,(ROW()-ROW(MSPTasks[[#Headers],[ID]])))="",TRUE()),"",IF(N(INDEX(tsk_ActStart,(ROW()-ROW(MSPTasks[[#Headers],[ID]]))))=0,"",INDEX(tsk_ActStart,(ROW()-ROW(MSPTasks[[#Headers],[ID]])))))</f>
        <v/>
      </c>
      <c r="N114" s="137" t="str">
        <f aca="false">IF(IFERROR(INDEX(tsk_Name,(ROW()-ROW(MSPTasks[[#Headers],[ID]])))="",TRUE()),"",IF(N(INDEX(tsk_ActFinish,(ROW()-ROW(MSPTasks[[#Headers],[ID]]))))=0,"",INDEX(tsk_ActFinish,(ROW()-ROW(MSPTasks[[#Headers],[ID]])))))</f>
        <v/>
      </c>
      <c r="O114" s="137" t="str">
        <f aca="false">IF(IFERROR(INDEX(tsk_Name,(ROW()-ROW(MSPTasks[[#Headers],[ID]])))="",TRUE()),"",INDEX(tsk_PlanStart,(ROW()-ROW(MSPTasks[[#Headers],[ID]]))))</f>
        <v/>
      </c>
      <c r="P114" s="137" t="str">
        <f aca="false">IF(IFERROR(INDEX(tsk_Name,(ROW()-ROW(MSPTasks[[#Headers],[ID]])))="",TRUE()),"",INDEX(tsk_PlanFinish,(ROW()-ROW(MSPTasks[[#Headers],[ID]]))))</f>
        <v/>
      </c>
      <c r="Q114" s="24" t="str">
        <f aca="false">IF(IFERROR(INDEX(tsk_Name,(ROW()-ROW(MSPTasks[[#Headers],[ID]])))="",TRUE()),"",IF(INDEX(tsk_BaseDuration,(ROW()-ROW(MSPTasks[[#Headers],[ID]])))="","",N(INDEX(tsk_BaseDuration,(ROW()-ROW(MSPTasks[[#Headers],[ID]]))))&amp;"d"))</f>
        <v/>
      </c>
      <c r="R114" s="24" t="str">
        <f aca="false">IF(IFERROR(INDEX(tsk_Name,(ROW()-ROW(MSPTasks[[#Headers],[ID]])))="",TRUE()),"",IF(INDEX(tsk_BaseWork,(ROW()-ROW(MSPTasks[[#Headers],[ID]])))="","",N(INDEX(tsk_BaseWork,(ROW()-ROW(MSPTasks[[#Headers],[ID]]))))&amp;"h"))</f>
        <v/>
      </c>
      <c r="S114" s="24" t="str">
        <f aca="false">IF(IFERROR(INDEX(tsk_Name,(ROW()-ROW(MSPTasks[[#Headers],[ID]])))="",TRUE()),"",IF(INDEX(tsk_BaseCost,(ROW()-ROW(MSPTasks[[#Headers],[ID]])))="","",N(INDEX(tsk_BaseCost,(ROW()-ROW(MSPTasks[[#Headers],[ID]]))))))</f>
        <v/>
      </c>
      <c r="T114" s="24" t="str">
        <f aca="false">IF(IFERROR(INDEX(tsk_Name,(ROW()-ROW(MSPTasks[[#Headers],[ID]])))="",TRUE()),"",IF(INDEX(tsk_IsSummary,(ROW()-ROW(MSPTasks[[#Headers],[ID]]))),"",IF(N(INDEX(tsk_ActCostInput,(ROW()-ROW(MSPTasks[[#Headers],[ID]]))))=0,"",INDEX(tsk_ActCostInput,(ROW()-ROW(MSPTasks[[#Headers],[ID]]))))))</f>
        <v/>
      </c>
      <c r="U11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4" s="137" t="str">
        <f aca="false">IF(IFERROR(INDEX(tsk_Name,(ROW()-ROW(MSPTasks[[#Headers],[ID]])))="",TRUE()),"",IF(OR(INDEX(tsk_IsSummary,(ROW()-ROW(MSPTasks[[#Headers],[ID]]))),INDEX(tsk_Mode,(ROW()-ROW(MSPTasks[[#Headers],[ID]])))="Manual"),"",IF(N(INDEX(tsk_ConstraintCode,(ROW()-ROW(MSPTasks[[#Headers],[ID]]))))&lt;2,"",INDEX(tsk_Constraint,(ROW()-ROW(MSPTasks[[#Headers],[ID]]))))))</f>
        <v/>
      </c>
      <c r="W114" s="137" t="str">
        <f aca="false">IF(IFERROR(INDEX(tsk_Name,(ROW()-ROW(MSPTasks[[#Headers],[ID]])))="",TRUE()),"",IF(N(INDEX(tsk_Deadline,(ROW()-ROW(MSPTasks[[#Headers],[ID]]))))=0,"",INDEX(tsk_Deadline,(ROW()-ROW(MSPTasks[[#Headers],[ID]])))))</f>
        <v/>
      </c>
      <c r="X114" s="24" t="str">
        <f aca="false">IF(IFERROR(INDEX(tsk_Name,(ROW()-ROW(MSPTasks[[#Headers],[ID]])))="",TRUE()),"",IF(INDEX(tsk_IsSummary,(ROW()-ROW(MSPTasks[[#Headers],[ID]]))),"",INDEX(tsk_Sprint,(ROW()-ROW(MSPTasks[[#Headers],[ID]])))&amp;""))</f>
        <v/>
      </c>
      <c r="Y114" s="24" t="str">
        <f aca="false">IF(IFERROR(INDEX(tsk_Name,(ROW()-ROW(MSPTasks[[#Headers],[ID]])))="",TRUE()),"",IF(INDEX(tsk_IsSummary,(ROW()-ROW(MSPTasks[[#Headers],[ID]]))),"",IF(N(INDEX(tsk_StoryPoints,(ROW()-ROW(MSPTasks[[#Headers],[ID]]))))=0,"",INDEX(tsk_StoryPoints,(ROW()-ROW(MSPTasks[[#Headers],[ID]]))))))</f>
        <v/>
      </c>
      <c r="Z114" s="24" t="str">
        <f aca="false">IF(IFERROR(INDEX(tsk_Name,(ROW()-ROW(MSPTasks[[#Headers],[ID]])))="",TRUE()),"",INDEX(tsk_Notes,(ROW()-ROW(MSPTasks[[#Headers],[ID]])))&amp;"")</f>
        <v/>
      </c>
    </row>
    <row r="115" customFormat="false" ht="15" hidden="false" customHeight="false" outlineLevel="0" collapsed="false">
      <c r="A115" s="24" t="str">
        <f aca="false">IF(IFERROR(INDEX(tsk_Name,(ROW()-ROW(MSPTasks[[#Headers],[ID]])))="",TRUE()),"",INDEX(tsk_ID,(ROW()-ROW(MSPTasks[[#Headers],[ID]]))))</f>
        <v/>
      </c>
      <c r="B115" s="24" t="str">
        <f aca="false">IF(IFERROR(INDEX(tsk_Name,(ROW()-ROW(MSPTasks[[#Headers],[ID]])))="",TRUE()),"",INDEX(tsk_UID,(ROW()-ROW(MSPTasks[[#Headers],[ID]]))))</f>
        <v/>
      </c>
      <c r="C115" s="24" t="str">
        <f aca="false">IF(IFERROR(INDEX(tsk_Name,(ROW()-ROW(MSPTasks[[#Headers],[ID]])))="",TRUE()),"",INDEX(tsk_Name,(ROW()-ROW(MSPTasks[[#Headers],[ID]]))))</f>
        <v/>
      </c>
      <c r="D115" s="24" t="str">
        <f aca="false">IF(IFERROR(INDEX(tsk_Name,(ROW()-ROW(MSPTasks[[#Headers],[ID]])))="",TRUE()),"",INDEX(tsk_Level,(ROW()-ROW(MSPTasks[[#Headers],[ID]]))))</f>
        <v/>
      </c>
      <c r="E115" s="24" t="str">
        <f aca="false">IF(IFERROR(INDEX(tsk_Name,(ROW()-ROW(MSPTasks[[#Headers],[ID]])))="",TRUE()),"",IF(INDEX(tsk_Mode,(ROW()-ROW(MSPTasks[[#Headers],[ID]])))="Manual","Manually Scheduled","Auto Scheduled"))</f>
        <v/>
      </c>
      <c r="F115" s="24" t="str">
        <f aca="false">IF(IFERROR(INDEX(tsk_Name,(ROW()-ROW(MSPTasks[[#Headers],[ID]])))="",TRUE()),"",IF(INDEX(tsk_IsSummary,(ROW()-ROW(MSPTasks[[#Headers],[ID]]))),"",N(INDEX(tsk_Duration,(ROW()-ROW(MSPTasks[[#Headers],[ID]]))))&amp;"d"))</f>
        <v/>
      </c>
      <c r="G115" s="137" t="str">
        <f aca="false">IF(IFERROR(INDEX(tsk_Name,(ROW()-ROW(MSPTasks[[#Headers],[ID]])))="",TRUE()),"",INDEX(tsk_FcStart,(ROW()-ROW(MSPTasks[[#Headers],[ID]]))))</f>
        <v/>
      </c>
      <c r="H115" s="137" t="str">
        <f aca="false">IF(IFERROR(INDEX(tsk_Name,(ROW()-ROW(MSPTasks[[#Headers],[ID]])))="",TRUE()),"",INDEX(tsk_FcFinish,(ROW()-ROW(MSPTasks[[#Headers],[ID]]))))</f>
        <v/>
      </c>
      <c r="I115" s="24" t="str">
        <f aca="false">IF(IFERROR(INDEX(tsk_Name,(ROW()-ROW(MSPTasks[[#Headers],[ID]])))="",TRUE()),"",IF(INDEX(tsk_IsSummary,(ROW()-ROW(MSPTasks[[#Headers],[ID]]))),"",INDEX(tsk_Predecessors,(ROW()-ROW(MSPTasks[[#Headers],[ID]])))))</f>
        <v/>
      </c>
      <c r="J115" s="24" t="str">
        <f aca="false">IF(IFERROR(INDEX(tsk_Name,(ROW()-ROW(MSPTasks[[#Headers],[ID]])))="",TRUE()),"",IF(INDEX(tsk_IsSummary,(ROW()-ROW(MSPTasks[[#Headers],[ID]]))),"",INDEX(tsk_UIDPredecessors,(ROW()-ROW(MSPTasks[[#Headers],[ID]])))))</f>
        <v/>
      </c>
      <c r="K115" s="24" t="str">
        <f aca="false">IF(IFERROR(INDEX(tsk_Name,(ROW()-ROW(MSPTasks[[#Headers],[ID]])))="",TRUE()),"",INDEX(tsk_ResourceNames,(ROW()-ROW(MSPTasks[[#Headers],[ID]])))&amp;"")</f>
        <v/>
      </c>
      <c r="L115" s="24" t="str">
        <f aca="false">IF(IFERROR(INDEX(tsk_Name,(ROW()-ROW(MSPTasks[[#Headers],[ID]])))="",TRUE()),"",IF(INDEX(tsk_IsSummary,(ROW()-ROW(MSPTasks[[#Headers],[ID]]))),"",ROUND(INDEX(tsk_Progress,(ROW()-ROW(MSPTasks[[#Headers],[ID]])))*100,0)))</f>
        <v/>
      </c>
      <c r="M115" s="137" t="str">
        <f aca="false">IF(IFERROR(INDEX(tsk_Name,(ROW()-ROW(MSPTasks[[#Headers],[ID]])))="",TRUE()),"",IF(N(INDEX(tsk_ActStart,(ROW()-ROW(MSPTasks[[#Headers],[ID]]))))=0,"",INDEX(tsk_ActStart,(ROW()-ROW(MSPTasks[[#Headers],[ID]])))))</f>
        <v/>
      </c>
      <c r="N115" s="137" t="str">
        <f aca="false">IF(IFERROR(INDEX(tsk_Name,(ROW()-ROW(MSPTasks[[#Headers],[ID]])))="",TRUE()),"",IF(N(INDEX(tsk_ActFinish,(ROW()-ROW(MSPTasks[[#Headers],[ID]]))))=0,"",INDEX(tsk_ActFinish,(ROW()-ROW(MSPTasks[[#Headers],[ID]])))))</f>
        <v/>
      </c>
      <c r="O115" s="137" t="str">
        <f aca="false">IF(IFERROR(INDEX(tsk_Name,(ROW()-ROW(MSPTasks[[#Headers],[ID]])))="",TRUE()),"",INDEX(tsk_PlanStart,(ROW()-ROW(MSPTasks[[#Headers],[ID]]))))</f>
        <v/>
      </c>
      <c r="P115" s="137" t="str">
        <f aca="false">IF(IFERROR(INDEX(tsk_Name,(ROW()-ROW(MSPTasks[[#Headers],[ID]])))="",TRUE()),"",INDEX(tsk_PlanFinish,(ROW()-ROW(MSPTasks[[#Headers],[ID]]))))</f>
        <v/>
      </c>
      <c r="Q115" s="24" t="str">
        <f aca="false">IF(IFERROR(INDEX(tsk_Name,(ROW()-ROW(MSPTasks[[#Headers],[ID]])))="",TRUE()),"",IF(INDEX(tsk_BaseDuration,(ROW()-ROW(MSPTasks[[#Headers],[ID]])))="","",N(INDEX(tsk_BaseDuration,(ROW()-ROW(MSPTasks[[#Headers],[ID]]))))&amp;"d"))</f>
        <v/>
      </c>
      <c r="R115" s="24" t="str">
        <f aca="false">IF(IFERROR(INDEX(tsk_Name,(ROW()-ROW(MSPTasks[[#Headers],[ID]])))="",TRUE()),"",IF(INDEX(tsk_BaseWork,(ROW()-ROW(MSPTasks[[#Headers],[ID]])))="","",N(INDEX(tsk_BaseWork,(ROW()-ROW(MSPTasks[[#Headers],[ID]]))))&amp;"h"))</f>
        <v/>
      </c>
      <c r="S115" s="24" t="str">
        <f aca="false">IF(IFERROR(INDEX(tsk_Name,(ROW()-ROW(MSPTasks[[#Headers],[ID]])))="",TRUE()),"",IF(INDEX(tsk_BaseCost,(ROW()-ROW(MSPTasks[[#Headers],[ID]])))="","",N(INDEX(tsk_BaseCost,(ROW()-ROW(MSPTasks[[#Headers],[ID]]))))))</f>
        <v/>
      </c>
      <c r="T115" s="24" t="str">
        <f aca="false">IF(IFERROR(INDEX(tsk_Name,(ROW()-ROW(MSPTasks[[#Headers],[ID]])))="",TRUE()),"",IF(INDEX(tsk_IsSummary,(ROW()-ROW(MSPTasks[[#Headers],[ID]]))),"",IF(N(INDEX(tsk_ActCostInput,(ROW()-ROW(MSPTasks[[#Headers],[ID]]))))=0,"",INDEX(tsk_ActCostInput,(ROW()-ROW(MSPTasks[[#Headers],[ID]]))))))</f>
        <v/>
      </c>
      <c r="U11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5" s="137" t="str">
        <f aca="false">IF(IFERROR(INDEX(tsk_Name,(ROW()-ROW(MSPTasks[[#Headers],[ID]])))="",TRUE()),"",IF(OR(INDEX(tsk_IsSummary,(ROW()-ROW(MSPTasks[[#Headers],[ID]]))),INDEX(tsk_Mode,(ROW()-ROW(MSPTasks[[#Headers],[ID]])))="Manual"),"",IF(N(INDEX(tsk_ConstraintCode,(ROW()-ROW(MSPTasks[[#Headers],[ID]]))))&lt;2,"",INDEX(tsk_Constraint,(ROW()-ROW(MSPTasks[[#Headers],[ID]]))))))</f>
        <v/>
      </c>
      <c r="W115" s="137" t="str">
        <f aca="false">IF(IFERROR(INDEX(tsk_Name,(ROW()-ROW(MSPTasks[[#Headers],[ID]])))="",TRUE()),"",IF(N(INDEX(tsk_Deadline,(ROW()-ROW(MSPTasks[[#Headers],[ID]]))))=0,"",INDEX(tsk_Deadline,(ROW()-ROW(MSPTasks[[#Headers],[ID]])))))</f>
        <v/>
      </c>
      <c r="X115" s="24" t="str">
        <f aca="false">IF(IFERROR(INDEX(tsk_Name,(ROW()-ROW(MSPTasks[[#Headers],[ID]])))="",TRUE()),"",IF(INDEX(tsk_IsSummary,(ROW()-ROW(MSPTasks[[#Headers],[ID]]))),"",INDEX(tsk_Sprint,(ROW()-ROW(MSPTasks[[#Headers],[ID]])))&amp;""))</f>
        <v/>
      </c>
      <c r="Y115" s="24" t="str">
        <f aca="false">IF(IFERROR(INDEX(tsk_Name,(ROW()-ROW(MSPTasks[[#Headers],[ID]])))="",TRUE()),"",IF(INDEX(tsk_IsSummary,(ROW()-ROW(MSPTasks[[#Headers],[ID]]))),"",IF(N(INDEX(tsk_StoryPoints,(ROW()-ROW(MSPTasks[[#Headers],[ID]]))))=0,"",INDEX(tsk_StoryPoints,(ROW()-ROW(MSPTasks[[#Headers],[ID]]))))))</f>
        <v/>
      </c>
      <c r="Z115" s="24" t="str">
        <f aca="false">IF(IFERROR(INDEX(tsk_Name,(ROW()-ROW(MSPTasks[[#Headers],[ID]])))="",TRUE()),"",INDEX(tsk_Notes,(ROW()-ROW(MSPTasks[[#Headers],[ID]])))&amp;"")</f>
        <v/>
      </c>
    </row>
    <row r="116" customFormat="false" ht="15" hidden="false" customHeight="false" outlineLevel="0" collapsed="false">
      <c r="A116" s="24" t="str">
        <f aca="false">IF(IFERROR(INDEX(tsk_Name,(ROW()-ROW(MSPTasks[[#Headers],[ID]])))="",TRUE()),"",INDEX(tsk_ID,(ROW()-ROW(MSPTasks[[#Headers],[ID]]))))</f>
        <v/>
      </c>
      <c r="B116" s="24" t="str">
        <f aca="false">IF(IFERROR(INDEX(tsk_Name,(ROW()-ROW(MSPTasks[[#Headers],[ID]])))="",TRUE()),"",INDEX(tsk_UID,(ROW()-ROW(MSPTasks[[#Headers],[ID]]))))</f>
        <v/>
      </c>
      <c r="C116" s="24" t="str">
        <f aca="false">IF(IFERROR(INDEX(tsk_Name,(ROW()-ROW(MSPTasks[[#Headers],[ID]])))="",TRUE()),"",INDEX(tsk_Name,(ROW()-ROW(MSPTasks[[#Headers],[ID]]))))</f>
        <v/>
      </c>
      <c r="D116" s="24" t="str">
        <f aca="false">IF(IFERROR(INDEX(tsk_Name,(ROW()-ROW(MSPTasks[[#Headers],[ID]])))="",TRUE()),"",INDEX(tsk_Level,(ROW()-ROW(MSPTasks[[#Headers],[ID]]))))</f>
        <v/>
      </c>
      <c r="E116" s="24" t="str">
        <f aca="false">IF(IFERROR(INDEX(tsk_Name,(ROW()-ROW(MSPTasks[[#Headers],[ID]])))="",TRUE()),"",IF(INDEX(tsk_Mode,(ROW()-ROW(MSPTasks[[#Headers],[ID]])))="Manual","Manually Scheduled","Auto Scheduled"))</f>
        <v/>
      </c>
      <c r="F116" s="24" t="str">
        <f aca="false">IF(IFERROR(INDEX(tsk_Name,(ROW()-ROW(MSPTasks[[#Headers],[ID]])))="",TRUE()),"",IF(INDEX(tsk_IsSummary,(ROW()-ROW(MSPTasks[[#Headers],[ID]]))),"",N(INDEX(tsk_Duration,(ROW()-ROW(MSPTasks[[#Headers],[ID]]))))&amp;"d"))</f>
        <v/>
      </c>
      <c r="G116" s="137" t="str">
        <f aca="false">IF(IFERROR(INDEX(tsk_Name,(ROW()-ROW(MSPTasks[[#Headers],[ID]])))="",TRUE()),"",INDEX(tsk_FcStart,(ROW()-ROW(MSPTasks[[#Headers],[ID]]))))</f>
        <v/>
      </c>
      <c r="H116" s="137" t="str">
        <f aca="false">IF(IFERROR(INDEX(tsk_Name,(ROW()-ROW(MSPTasks[[#Headers],[ID]])))="",TRUE()),"",INDEX(tsk_FcFinish,(ROW()-ROW(MSPTasks[[#Headers],[ID]]))))</f>
        <v/>
      </c>
      <c r="I116" s="24" t="str">
        <f aca="false">IF(IFERROR(INDEX(tsk_Name,(ROW()-ROW(MSPTasks[[#Headers],[ID]])))="",TRUE()),"",IF(INDEX(tsk_IsSummary,(ROW()-ROW(MSPTasks[[#Headers],[ID]]))),"",INDEX(tsk_Predecessors,(ROW()-ROW(MSPTasks[[#Headers],[ID]])))))</f>
        <v/>
      </c>
      <c r="J116" s="24" t="str">
        <f aca="false">IF(IFERROR(INDEX(tsk_Name,(ROW()-ROW(MSPTasks[[#Headers],[ID]])))="",TRUE()),"",IF(INDEX(tsk_IsSummary,(ROW()-ROW(MSPTasks[[#Headers],[ID]]))),"",INDEX(tsk_UIDPredecessors,(ROW()-ROW(MSPTasks[[#Headers],[ID]])))))</f>
        <v/>
      </c>
      <c r="K116" s="24" t="str">
        <f aca="false">IF(IFERROR(INDEX(tsk_Name,(ROW()-ROW(MSPTasks[[#Headers],[ID]])))="",TRUE()),"",INDEX(tsk_ResourceNames,(ROW()-ROW(MSPTasks[[#Headers],[ID]])))&amp;"")</f>
        <v/>
      </c>
      <c r="L116" s="24" t="str">
        <f aca="false">IF(IFERROR(INDEX(tsk_Name,(ROW()-ROW(MSPTasks[[#Headers],[ID]])))="",TRUE()),"",IF(INDEX(tsk_IsSummary,(ROW()-ROW(MSPTasks[[#Headers],[ID]]))),"",ROUND(INDEX(tsk_Progress,(ROW()-ROW(MSPTasks[[#Headers],[ID]])))*100,0)))</f>
        <v/>
      </c>
      <c r="M116" s="137" t="str">
        <f aca="false">IF(IFERROR(INDEX(tsk_Name,(ROW()-ROW(MSPTasks[[#Headers],[ID]])))="",TRUE()),"",IF(N(INDEX(tsk_ActStart,(ROW()-ROW(MSPTasks[[#Headers],[ID]]))))=0,"",INDEX(tsk_ActStart,(ROW()-ROW(MSPTasks[[#Headers],[ID]])))))</f>
        <v/>
      </c>
      <c r="N116" s="137" t="str">
        <f aca="false">IF(IFERROR(INDEX(tsk_Name,(ROW()-ROW(MSPTasks[[#Headers],[ID]])))="",TRUE()),"",IF(N(INDEX(tsk_ActFinish,(ROW()-ROW(MSPTasks[[#Headers],[ID]]))))=0,"",INDEX(tsk_ActFinish,(ROW()-ROW(MSPTasks[[#Headers],[ID]])))))</f>
        <v/>
      </c>
      <c r="O116" s="137" t="str">
        <f aca="false">IF(IFERROR(INDEX(tsk_Name,(ROW()-ROW(MSPTasks[[#Headers],[ID]])))="",TRUE()),"",INDEX(tsk_PlanStart,(ROW()-ROW(MSPTasks[[#Headers],[ID]]))))</f>
        <v/>
      </c>
      <c r="P116" s="137" t="str">
        <f aca="false">IF(IFERROR(INDEX(tsk_Name,(ROW()-ROW(MSPTasks[[#Headers],[ID]])))="",TRUE()),"",INDEX(tsk_PlanFinish,(ROW()-ROW(MSPTasks[[#Headers],[ID]]))))</f>
        <v/>
      </c>
      <c r="Q116" s="24" t="str">
        <f aca="false">IF(IFERROR(INDEX(tsk_Name,(ROW()-ROW(MSPTasks[[#Headers],[ID]])))="",TRUE()),"",IF(INDEX(tsk_BaseDuration,(ROW()-ROW(MSPTasks[[#Headers],[ID]])))="","",N(INDEX(tsk_BaseDuration,(ROW()-ROW(MSPTasks[[#Headers],[ID]]))))&amp;"d"))</f>
        <v/>
      </c>
      <c r="R116" s="24" t="str">
        <f aca="false">IF(IFERROR(INDEX(tsk_Name,(ROW()-ROW(MSPTasks[[#Headers],[ID]])))="",TRUE()),"",IF(INDEX(tsk_BaseWork,(ROW()-ROW(MSPTasks[[#Headers],[ID]])))="","",N(INDEX(tsk_BaseWork,(ROW()-ROW(MSPTasks[[#Headers],[ID]]))))&amp;"h"))</f>
        <v/>
      </c>
      <c r="S116" s="24" t="str">
        <f aca="false">IF(IFERROR(INDEX(tsk_Name,(ROW()-ROW(MSPTasks[[#Headers],[ID]])))="",TRUE()),"",IF(INDEX(tsk_BaseCost,(ROW()-ROW(MSPTasks[[#Headers],[ID]])))="","",N(INDEX(tsk_BaseCost,(ROW()-ROW(MSPTasks[[#Headers],[ID]]))))))</f>
        <v/>
      </c>
      <c r="T116" s="24" t="str">
        <f aca="false">IF(IFERROR(INDEX(tsk_Name,(ROW()-ROW(MSPTasks[[#Headers],[ID]])))="",TRUE()),"",IF(INDEX(tsk_IsSummary,(ROW()-ROW(MSPTasks[[#Headers],[ID]]))),"",IF(N(INDEX(tsk_ActCostInput,(ROW()-ROW(MSPTasks[[#Headers],[ID]]))))=0,"",INDEX(tsk_ActCostInput,(ROW()-ROW(MSPTasks[[#Headers],[ID]]))))))</f>
        <v/>
      </c>
      <c r="U11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6" s="137" t="str">
        <f aca="false">IF(IFERROR(INDEX(tsk_Name,(ROW()-ROW(MSPTasks[[#Headers],[ID]])))="",TRUE()),"",IF(OR(INDEX(tsk_IsSummary,(ROW()-ROW(MSPTasks[[#Headers],[ID]]))),INDEX(tsk_Mode,(ROW()-ROW(MSPTasks[[#Headers],[ID]])))="Manual"),"",IF(N(INDEX(tsk_ConstraintCode,(ROW()-ROW(MSPTasks[[#Headers],[ID]]))))&lt;2,"",INDEX(tsk_Constraint,(ROW()-ROW(MSPTasks[[#Headers],[ID]]))))))</f>
        <v/>
      </c>
      <c r="W116" s="137" t="str">
        <f aca="false">IF(IFERROR(INDEX(tsk_Name,(ROW()-ROW(MSPTasks[[#Headers],[ID]])))="",TRUE()),"",IF(N(INDEX(tsk_Deadline,(ROW()-ROW(MSPTasks[[#Headers],[ID]]))))=0,"",INDEX(tsk_Deadline,(ROW()-ROW(MSPTasks[[#Headers],[ID]])))))</f>
        <v/>
      </c>
      <c r="X116" s="24" t="str">
        <f aca="false">IF(IFERROR(INDEX(tsk_Name,(ROW()-ROW(MSPTasks[[#Headers],[ID]])))="",TRUE()),"",IF(INDEX(tsk_IsSummary,(ROW()-ROW(MSPTasks[[#Headers],[ID]]))),"",INDEX(tsk_Sprint,(ROW()-ROW(MSPTasks[[#Headers],[ID]])))&amp;""))</f>
        <v/>
      </c>
      <c r="Y116" s="24" t="str">
        <f aca="false">IF(IFERROR(INDEX(tsk_Name,(ROW()-ROW(MSPTasks[[#Headers],[ID]])))="",TRUE()),"",IF(INDEX(tsk_IsSummary,(ROW()-ROW(MSPTasks[[#Headers],[ID]]))),"",IF(N(INDEX(tsk_StoryPoints,(ROW()-ROW(MSPTasks[[#Headers],[ID]]))))=0,"",INDEX(tsk_StoryPoints,(ROW()-ROW(MSPTasks[[#Headers],[ID]]))))))</f>
        <v/>
      </c>
      <c r="Z116" s="24" t="str">
        <f aca="false">IF(IFERROR(INDEX(tsk_Name,(ROW()-ROW(MSPTasks[[#Headers],[ID]])))="",TRUE()),"",INDEX(tsk_Notes,(ROW()-ROW(MSPTasks[[#Headers],[ID]])))&amp;"")</f>
        <v/>
      </c>
    </row>
    <row r="117" customFormat="false" ht="15" hidden="false" customHeight="false" outlineLevel="0" collapsed="false">
      <c r="A117" s="24" t="str">
        <f aca="false">IF(IFERROR(INDEX(tsk_Name,(ROW()-ROW(MSPTasks[[#Headers],[ID]])))="",TRUE()),"",INDEX(tsk_ID,(ROW()-ROW(MSPTasks[[#Headers],[ID]]))))</f>
        <v/>
      </c>
      <c r="B117" s="24" t="str">
        <f aca="false">IF(IFERROR(INDEX(tsk_Name,(ROW()-ROW(MSPTasks[[#Headers],[ID]])))="",TRUE()),"",INDEX(tsk_UID,(ROW()-ROW(MSPTasks[[#Headers],[ID]]))))</f>
        <v/>
      </c>
      <c r="C117" s="24" t="str">
        <f aca="false">IF(IFERROR(INDEX(tsk_Name,(ROW()-ROW(MSPTasks[[#Headers],[ID]])))="",TRUE()),"",INDEX(tsk_Name,(ROW()-ROW(MSPTasks[[#Headers],[ID]]))))</f>
        <v/>
      </c>
      <c r="D117" s="24" t="str">
        <f aca="false">IF(IFERROR(INDEX(tsk_Name,(ROW()-ROW(MSPTasks[[#Headers],[ID]])))="",TRUE()),"",INDEX(tsk_Level,(ROW()-ROW(MSPTasks[[#Headers],[ID]]))))</f>
        <v/>
      </c>
      <c r="E117" s="24" t="str">
        <f aca="false">IF(IFERROR(INDEX(tsk_Name,(ROW()-ROW(MSPTasks[[#Headers],[ID]])))="",TRUE()),"",IF(INDEX(tsk_Mode,(ROW()-ROW(MSPTasks[[#Headers],[ID]])))="Manual","Manually Scheduled","Auto Scheduled"))</f>
        <v/>
      </c>
      <c r="F117" s="24" t="str">
        <f aca="false">IF(IFERROR(INDEX(tsk_Name,(ROW()-ROW(MSPTasks[[#Headers],[ID]])))="",TRUE()),"",IF(INDEX(tsk_IsSummary,(ROW()-ROW(MSPTasks[[#Headers],[ID]]))),"",N(INDEX(tsk_Duration,(ROW()-ROW(MSPTasks[[#Headers],[ID]]))))&amp;"d"))</f>
        <v/>
      </c>
      <c r="G117" s="137" t="str">
        <f aca="false">IF(IFERROR(INDEX(tsk_Name,(ROW()-ROW(MSPTasks[[#Headers],[ID]])))="",TRUE()),"",INDEX(tsk_FcStart,(ROW()-ROW(MSPTasks[[#Headers],[ID]]))))</f>
        <v/>
      </c>
      <c r="H117" s="137" t="str">
        <f aca="false">IF(IFERROR(INDEX(tsk_Name,(ROW()-ROW(MSPTasks[[#Headers],[ID]])))="",TRUE()),"",INDEX(tsk_FcFinish,(ROW()-ROW(MSPTasks[[#Headers],[ID]]))))</f>
        <v/>
      </c>
      <c r="I117" s="24" t="str">
        <f aca="false">IF(IFERROR(INDEX(tsk_Name,(ROW()-ROW(MSPTasks[[#Headers],[ID]])))="",TRUE()),"",IF(INDEX(tsk_IsSummary,(ROW()-ROW(MSPTasks[[#Headers],[ID]]))),"",INDEX(tsk_Predecessors,(ROW()-ROW(MSPTasks[[#Headers],[ID]])))))</f>
        <v/>
      </c>
      <c r="J117" s="24" t="str">
        <f aca="false">IF(IFERROR(INDEX(tsk_Name,(ROW()-ROW(MSPTasks[[#Headers],[ID]])))="",TRUE()),"",IF(INDEX(tsk_IsSummary,(ROW()-ROW(MSPTasks[[#Headers],[ID]]))),"",INDEX(tsk_UIDPredecessors,(ROW()-ROW(MSPTasks[[#Headers],[ID]])))))</f>
        <v/>
      </c>
      <c r="K117" s="24" t="str">
        <f aca="false">IF(IFERROR(INDEX(tsk_Name,(ROW()-ROW(MSPTasks[[#Headers],[ID]])))="",TRUE()),"",INDEX(tsk_ResourceNames,(ROW()-ROW(MSPTasks[[#Headers],[ID]])))&amp;"")</f>
        <v/>
      </c>
      <c r="L117" s="24" t="str">
        <f aca="false">IF(IFERROR(INDEX(tsk_Name,(ROW()-ROW(MSPTasks[[#Headers],[ID]])))="",TRUE()),"",IF(INDEX(tsk_IsSummary,(ROW()-ROW(MSPTasks[[#Headers],[ID]]))),"",ROUND(INDEX(tsk_Progress,(ROW()-ROW(MSPTasks[[#Headers],[ID]])))*100,0)))</f>
        <v/>
      </c>
      <c r="M117" s="137" t="str">
        <f aca="false">IF(IFERROR(INDEX(tsk_Name,(ROW()-ROW(MSPTasks[[#Headers],[ID]])))="",TRUE()),"",IF(N(INDEX(tsk_ActStart,(ROW()-ROW(MSPTasks[[#Headers],[ID]]))))=0,"",INDEX(tsk_ActStart,(ROW()-ROW(MSPTasks[[#Headers],[ID]])))))</f>
        <v/>
      </c>
      <c r="N117" s="137" t="str">
        <f aca="false">IF(IFERROR(INDEX(tsk_Name,(ROW()-ROW(MSPTasks[[#Headers],[ID]])))="",TRUE()),"",IF(N(INDEX(tsk_ActFinish,(ROW()-ROW(MSPTasks[[#Headers],[ID]]))))=0,"",INDEX(tsk_ActFinish,(ROW()-ROW(MSPTasks[[#Headers],[ID]])))))</f>
        <v/>
      </c>
      <c r="O117" s="137" t="str">
        <f aca="false">IF(IFERROR(INDEX(tsk_Name,(ROW()-ROW(MSPTasks[[#Headers],[ID]])))="",TRUE()),"",INDEX(tsk_PlanStart,(ROW()-ROW(MSPTasks[[#Headers],[ID]]))))</f>
        <v/>
      </c>
      <c r="P117" s="137" t="str">
        <f aca="false">IF(IFERROR(INDEX(tsk_Name,(ROW()-ROW(MSPTasks[[#Headers],[ID]])))="",TRUE()),"",INDEX(tsk_PlanFinish,(ROW()-ROW(MSPTasks[[#Headers],[ID]]))))</f>
        <v/>
      </c>
      <c r="Q117" s="24" t="str">
        <f aca="false">IF(IFERROR(INDEX(tsk_Name,(ROW()-ROW(MSPTasks[[#Headers],[ID]])))="",TRUE()),"",IF(INDEX(tsk_BaseDuration,(ROW()-ROW(MSPTasks[[#Headers],[ID]])))="","",N(INDEX(tsk_BaseDuration,(ROW()-ROW(MSPTasks[[#Headers],[ID]]))))&amp;"d"))</f>
        <v/>
      </c>
      <c r="R117" s="24" t="str">
        <f aca="false">IF(IFERROR(INDEX(tsk_Name,(ROW()-ROW(MSPTasks[[#Headers],[ID]])))="",TRUE()),"",IF(INDEX(tsk_BaseWork,(ROW()-ROW(MSPTasks[[#Headers],[ID]])))="","",N(INDEX(tsk_BaseWork,(ROW()-ROW(MSPTasks[[#Headers],[ID]]))))&amp;"h"))</f>
        <v/>
      </c>
      <c r="S117" s="24" t="str">
        <f aca="false">IF(IFERROR(INDEX(tsk_Name,(ROW()-ROW(MSPTasks[[#Headers],[ID]])))="",TRUE()),"",IF(INDEX(tsk_BaseCost,(ROW()-ROW(MSPTasks[[#Headers],[ID]])))="","",N(INDEX(tsk_BaseCost,(ROW()-ROW(MSPTasks[[#Headers],[ID]]))))))</f>
        <v/>
      </c>
      <c r="T117" s="24" t="str">
        <f aca="false">IF(IFERROR(INDEX(tsk_Name,(ROW()-ROW(MSPTasks[[#Headers],[ID]])))="",TRUE()),"",IF(INDEX(tsk_IsSummary,(ROW()-ROW(MSPTasks[[#Headers],[ID]]))),"",IF(N(INDEX(tsk_ActCostInput,(ROW()-ROW(MSPTasks[[#Headers],[ID]]))))=0,"",INDEX(tsk_ActCostInput,(ROW()-ROW(MSPTasks[[#Headers],[ID]]))))))</f>
        <v/>
      </c>
      <c r="U11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7" s="137" t="str">
        <f aca="false">IF(IFERROR(INDEX(tsk_Name,(ROW()-ROW(MSPTasks[[#Headers],[ID]])))="",TRUE()),"",IF(OR(INDEX(tsk_IsSummary,(ROW()-ROW(MSPTasks[[#Headers],[ID]]))),INDEX(tsk_Mode,(ROW()-ROW(MSPTasks[[#Headers],[ID]])))="Manual"),"",IF(N(INDEX(tsk_ConstraintCode,(ROW()-ROW(MSPTasks[[#Headers],[ID]]))))&lt;2,"",INDEX(tsk_Constraint,(ROW()-ROW(MSPTasks[[#Headers],[ID]]))))))</f>
        <v/>
      </c>
      <c r="W117" s="137" t="str">
        <f aca="false">IF(IFERROR(INDEX(tsk_Name,(ROW()-ROW(MSPTasks[[#Headers],[ID]])))="",TRUE()),"",IF(N(INDEX(tsk_Deadline,(ROW()-ROW(MSPTasks[[#Headers],[ID]]))))=0,"",INDEX(tsk_Deadline,(ROW()-ROW(MSPTasks[[#Headers],[ID]])))))</f>
        <v/>
      </c>
      <c r="X117" s="24" t="str">
        <f aca="false">IF(IFERROR(INDEX(tsk_Name,(ROW()-ROW(MSPTasks[[#Headers],[ID]])))="",TRUE()),"",IF(INDEX(tsk_IsSummary,(ROW()-ROW(MSPTasks[[#Headers],[ID]]))),"",INDEX(tsk_Sprint,(ROW()-ROW(MSPTasks[[#Headers],[ID]])))&amp;""))</f>
        <v/>
      </c>
      <c r="Y117" s="24" t="str">
        <f aca="false">IF(IFERROR(INDEX(tsk_Name,(ROW()-ROW(MSPTasks[[#Headers],[ID]])))="",TRUE()),"",IF(INDEX(tsk_IsSummary,(ROW()-ROW(MSPTasks[[#Headers],[ID]]))),"",IF(N(INDEX(tsk_StoryPoints,(ROW()-ROW(MSPTasks[[#Headers],[ID]]))))=0,"",INDEX(tsk_StoryPoints,(ROW()-ROW(MSPTasks[[#Headers],[ID]]))))))</f>
        <v/>
      </c>
      <c r="Z117" s="24" t="str">
        <f aca="false">IF(IFERROR(INDEX(tsk_Name,(ROW()-ROW(MSPTasks[[#Headers],[ID]])))="",TRUE()),"",INDEX(tsk_Notes,(ROW()-ROW(MSPTasks[[#Headers],[ID]])))&amp;"")</f>
        <v/>
      </c>
    </row>
    <row r="118" customFormat="false" ht="15" hidden="false" customHeight="false" outlineLevel="0" collapsed="false">
      <c r="A118" s="24" t="str">
        <f aca="false">IF(IFERROR(INDEX(tsk_Name,(ROW()-ROW(MSPTasks[[#Headers],[ID]])))="",TRUE()),"",INDEX(tsk_ID,(ROW()-ROW(MSPTasks[[#Headers],[ID]]))))</f>
        <v/>
      </c>
      <c r="B118" s="24" t="str">
        <f aca="false">IF(IFERROR(INDEX(tsk_Name,(ROW()-ROW(MSPTasks[[#Headers],[ID]])))="",TRUE()),"",INDEX(tsk_UID,(ROW()-ROW(MSPTasks[[#Headers],[ID]]))))</f>
        <v/>
      </c>
      <c r="C118" s="24" t="str">
        <f aca="false">IF(IFERROR(INDEX(tsk_Name,(ROW()-ROW(MSPTasks[[#Headers],[ID]])))="",TRUE()),"",INDEX(tsk_Name,(ROW()-ROW(MSPTasks[[#Headers],[ID]]))))</f>
        <v/>
      </c>
      <c r="D118" s="24" t="str">
        <f aca="false">IF(IFERROR(INDEX(tsk_Name,(ROW()-ROW(MSPTasks[[#Headers],[ID]])))="",TRUE()),"",INDEX(tsk_Level,(ROW()-ROW(MSPTasks[[#Headers],[ID]]))))</f>
        <v/>
      </c>
      <c r="E118" s="24" t="str">
        <f aca="false">IF(IFERROR(INDEX(tsk_Name,(ROW()-ROW(MSPTasks[[#Headers],[ID]])))="",TRUE()),"",IF(INDEX(tsk_Mode,(ROW()-ROW(MSPTasks[[#Headers],[ID]])))="Manual","Manually Scheduled","Auto Scheduled"))</f>
        <v/>
      </c>
      <c r="F118" s="24" t="str">
        <f aca="false">IF(IFERROR(INDEX(tsk_Name,(ROW()-ROW(MSPTasks[[#Headers],[ID]])))="",TRUE()),"",IF(INDEX(tsk_IsSummary,(ROW()-ROW(MSPTasks[[#Headers],[ID]]))),"",N(INDEX(tsk_Duration,(ROW()-ROW(MSPTasks[[#Headers],[ID]]))))&amp;"d"))</f>
        <v/>
      </c>
      <c r="G118" s="137" t="str">
        <f aca="false">IF(IFERROR(INDEX(tsk_Name,(ROW()-ROW(MSPTasks[[#Headers],[ID]])))="",TRUE()),"",INDEX(tsk_FcStart,(ROW()-ROW(MSPTasks[[#Headers],[ID]]))))</f>
        <v/>
      </c>
      <c r="H118" s="137" t="str">
        <f aca="false">IF(IFERROR(INDEX(tsk_Name,(ROW()-ROW(MSPTasks[[#Headers],[ID]])))="",TRUE()),"",INDEX(tsk_FcFinish,(ROW()-ROW(MSPTasks[[#Headers],[ID]]))))</f>
        <v/>
      </c>
      <c r="I118" s="24" t="str">
        <f aca="false">IF(IFERROR(INDEX(tsk_Name,(ROW()-ROW(MSPTasks[[#Headers],[ID]])))="",TRUE()),"",IF(INDEX(tsk_IsSummary,(ROW()-ROW(MSPTasks[[#Headers],[ID]]))),"",INDEX(tsk_Predecessors,(ROW()-ROW(MSPTasks[[#Headers],[ID]])))))</f>
        <v/>
      </c>
      <c r="J118" s="24" t="str">
        <f aca="false">IF(IFERROR(INDEX(tsk_Name,(ROW()-ROW(MSPTasks[[#Headers],[ID]])))="",TRUE()),"",IF(INDEX(tsk_IsSummary,(ROW()-ROW(MSPTasks[[#Headers],[ID]]))),"",INDEX(tsk_UIDPredecessors,(ROW()-ROW(MSPTasks[[#Headers],[ID]])))))</f>
        <v/>
      </c>
      <c r="K118" s="24" t="str">
        <f aca="false">IF(IFERROR(INDEX(tsk_Name,(ROW()-ROW(MSPTasks[[#Headers],[ID]])))="",TRUE()),"",INDEX(tsk_ResourceNames,(ROW()-ROW(MSPTasks[[#Headers],[ID]])))&amp;"")</f>
        <v/>
      </c>
      <c r="L118" s="24" t="str">
        <f aca="false">IF(IFERROR(INDEX(tsk_Name,(ROW()-ROW(MSPTasks[[#Headers],[ID]])))="",TRUE()),"",IF(INDEX(tsk_IsSummary,(ROW()-ROW(MSPTasks[[#Headers],[ID]]))),"",ROUND(INDEX(tsk_Progress,(ROW()-ROW(MSPTasks[[#Headers],[ID]])))*100,0)))</f>
        <v/>
      </c>
      <c r="M118" s="137" t="str">
        <f aca="false">IF(IFERROR(INDEX(tsk_Name,(ROW()-ROW(MSPTasks[[#Headers],[ID]])))="",TRUE()),"",IF(N(INDEX(tsk_ActStart,(ROW()-ROW(MSPTasks[[#Headers],[ID]]))))=0,"",INDEX(tsk_ActStart,(ROW()-ROW(MSPTasks[[#Headers],[ID]])))))</f>
        <v/>
      </c>
      <c r="N118" s="137" t="str">
        <f aca="false">IF(IFERROR(INDEX(tsk_Name,(ROW()-ROW(MSPTasks[[#Headers],[ID]])))="",TRUE()),"",IF(N(INDEX(tsk_ActFinish,(ROW()-ROW(MSPTasks[[#Headers],[ID]]))))=0,"",INDEX(tsk_ActFinish,(ROW()-ROW(MSPTasks[[#Headers],[ID]])))))</f>
        <v/>
      </c>
      <c r="O118" s="137" t="str">
        <f aca="false">IF(IFERROR(INDEX(tsk_Name,(ROW()-ROW(MSPTasks[[#Headers],[ID]])))="",TRUE()),"",INDEX(tsk_PlanStart,(ROW()-ROW(MSPTasks[[#Headers],[ID]]))))</f>
        <v/>
      </c>
      <c r="P118" s="137" t="str">
        <f aca="false">IF(IFERROR(INDEX(tsk_Name,(ROW()-ROW(MSPTasks[[#Headers],[ID]])))="",TRUE()),"",INDEX(tsk_PlanFinish,(ROW()-ROW(MSPTasks[[#Headers],[ID]]))))</f>
        <v/>
      </c>
      <c r="Q118" s="24" t="str">
        <f aca="false">IF(IFERROR(INDEX(tsk_Name,(ROW()-ROW(MSPTasks[[#Headers],[ID]])))="",TRUE()),"",IF(INDEX(tsk_BaseDuration,(ROW()-ROW(MSPTasks[[#Headers],[ID]])))="","",N(INDEX(tsk_BaseDuration,(ROW()-ROW(MSPTasks[[#Headers],[ID]]))))&amp;"d"))</f>
        <v/>
      </c>
      <c r="R118" s="24" t="str">
        <f aca="false">IF(IFERROR(INDEX(tsk_Name,(ROW()-ROW(MSPTasks[[#Headers],[ID]])))="",TRUE()),"",IF(INDEX(tsk_BaseWork,(ROW()-ROW(MSPTasks[[#Headers],[ID]])))="","",N(INDEX(tsk_BaseWork,(ROW()-ROW(MSPTasks[[#Headers],[ID]]))))&amp;"h"))</f>
        <v/>
      </c>
      <c r="S118" s="24" t="str">
        <f aca="false">IF(IFERROR(INDEX(tsk_Name,(ROW()-ROW(MSPTasks[[#Headers],[ID]])))="",TRUE()),"",IF(INDEX(tsk_BaseCost,(ROW()-ROW(MSPTasks[[#Headers],[ID]])))="","",N(INDEX(tsk_BaseCost,(ROW()-ROW(MSPTasks[[#Headers],[ID]]))))))</f>
        <v/>
      </c>
      <c r="T118" s="24" t="str">
        <f aca="false">IF(IFERROR(INDEX(tsk_Name,(ROW()-ROW(MSPTasks[[#Headers],[ID]])))="",TRUE()),"",IF(INDEX(tsk_IsSummary,(ROW()-ROW(MSPTasks[[#Headers],[ID]]))),"",IF(N(INDEX(tsk_ActCostInput,(ROW()-ROW(MSPTasks[[#Headers],[ID]]))))=0,"",INDEX(tsk_ActCostInput,(ROW()-ROW(MSPTasks[[#Headers],[ID]]))))))</f>
        <v/>
      </c>
      <c r="U11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8" s="137" t="str">
        <f aca="false">IF(IFERROR(INDEX(tsk_Name,(ROW()-ROW(MSPTasks[[#Headers],[ID]])))="",TRUE()),"",IF(OR(INDEX(tsk_IsSummary,(ROW()-ROW(MSPTasks[[#Headers],[ID]]))),INDEX(tsk_Mode,(ROW()-ROW(MSPTasks[[#Headers],[ID]])))="Manual"),"",IF(N(INDEX(tsk_ConstraintCode,(ROW()-ROW(MSPTasks[[#Headers],[ID]]))))&lt;2,"",INDEX(tsk_Constraint,(ROW()-ROW(MSPTasks[[#Headers],[ID]]))))))</f>
        <v/>
      </c>
      <c r="W118" s="137" t="str">
        <f aca="false">IF(IFERROR(INDEX(tsk_Name,(ROW()-ROW(MSPTasks[[#Headers],[ID]])))="",TRUE()),"",IF(N(INDEX(tsk_Deadline,(ROW()-ROW(MSPTasks[[#Headers],[ID]]))))=0,"",INDEX(tsk_Deadline,(ROW()-ROW(MSPTasks[[#Headers],[ID]])))))</f>
        <v/>
      </c>
      <c r="X118" s="24" t="str">
        <f aca="false">IF(IFERROR(INDEX(tsk_Name,(ROW()-ROW(MSPTasks[[#Headers],[ID]])))="",TRUE()),"",IF(INDEX(tsk_IsSummary,(ROW()-ROW(MSPTasks[[#Headers],[ID]]))),"",INDEX(tsk_Sprint,(ROW()-ROW(MSPTasks[[#Headers],[ID]])))&amp;""))</f>
        <v/>
      </c>
      <c r="Y118" s="24" t="str">
        <f aca="false">IF(IFERROR(INDEX(tsk_Name,(ROW()-ROW(MSPTasks[[#Headers],[ID]])))="",TRUE()),"",IF(INDEX(tsk_IsSummary,(ROW()-ROW(MSPTasks[[#Headers],[ID]]))),"",IF(N(INDEX(tsk_StoryPoints,(ROW()-ROW(MSPTasks[[#Headers],[ID]]))))=0,"",INDEX(tsk_StoryPoints,(ROW()-ROW(MSPTasks[[#Headers],[ID]]))))))</f>
        <v/>
      </c>
      <c r="Z118" s="24" t="str">
        <f aca="false">IF(IFERROR(INDEX(tsk_Name,(ROW()-ROW(MSPTasks[[#Headers],[ID]])))="",TRUE()),"",INDEX(tsk_Notes,(ROW()-ROW(MSPTasks[[#Headers],[ID]])))&amp;"")</f>
        <v/>
      </c>
    </row>
    <row r="119" customFormat="false" ht="15" hidden="false" customHeight="false" outlineLevel="0" collapsed="false">
      <c r="A119" s="24" t="str">
        <f aca="false">IF(IFERROR(INDEX(tsk_Name,(ROW()-ROW(MSPTasks[[#Headers],[ID]])))="",TRUE()),"",INDEX(tsk_ID,(ROW()-ROW(MSPTasks[[#Headers],[ID]]))))</f>
        <v/>
      </c>
      <c r="B119" s="24" t="str">
        <f aca="false">IF(IFERROR(INDEX(tsk_Name,(ROW()-ROW(MSPTasks[[#Headers],[ID]])))="",TRUE()),"",INDEX(tsk_UID,(ROW()-ROW(MSPTasks[[#Headers],[ID]]))))</f>
        <v/>
      </c>
      <c r="C119" s="24" t="str">
        <f aca="false">IF(IFERROR(INDEX(tsk_Name,(ROW()-ROW(MSPTasks[[#Headers],[ID]])))="",TRUE()),"",INDEX(tsk_Name,(ROW()-ROW(MSPTasks[[#Headers],[ID]]))))</f>
        <v/>
      </c>
      <c r="D119" s="24" t="str">
        <f aca="false">IF(IFERROR(INDEX(tsk_Name,(ROW()-ROW(MSPTasks[[#Headers],[ID]])))="",TRUE()),"",INDEX(tsk_Level,(ROW()-ROW(MSPTasks[[#Headers],[ID]]))))</f>
        <v/>
      </c>
      <c r="E119" s="24" t="str">
        <f aca="false">IF(IFERROR(INDEX(tsk_Name,(ROW()-ROW(MSPTasks[[#Headers],[ID]])))="",TRUE()),"",IF(INDEX(tsk_Mode,(ROW()-ROW(MSPTasks[[#Headers],[ID]])))="Manual","Manually Scheduled","Auto Scheduled"))</f>
        <v/>
      </c>
      <c r="F119" s="24" t="str">
        <f aca="false">IF(IFERROR(INDEX(tsk_Name,(ROW()-ROW(MSPTasks[[#Headers],[ID]])))="",TRUE()),"",IF(INDEX(tsk_IsSummary,(ROW()-ROW(MSPTasks[[#Headers],[ID]]))),"",N(INDEX(tsk_Duration,(ROW()-ROW(MSPTasks[[#Headers],[ID]]))))&amp;"d"))</f>
        <v/>
      </c>
      <c r="G119" s="137" t="str">
        <f aca="false">IF(IFERROR(INDEX(tsk_Name,(ROW()-ROW(MSPTasks[[#Headers],[ID]])))="",TRUE()),"",INDEX(tsk_FcStart,(ROW()-ROW(MSPTasks[[#Headers],[ID]]))))</f>
        <v/>
      </c>
      <c r="H119" s="137" t="str">
        <f aca="false">IF(IFERROR(INDEX(tsk_Name,(ROW()-ROW(MSPTasks[[#Headers],[ID]])))="",TRUE()),"",INDEX(tsk_FcFinish,(ROW()-ROW(MSPTasks[[#Headers],[ID]]))))</f>
        <v/>
      </c>
      <c r="I119" s="24" t="str">
        <f aca="false">IF(IFERROR(INDEX(tsk_Name,(ROW()-ROW(MSPTasks[[#Headers],[ID]])))="",TRUE()),"",IF(INDEX(tsk_IsSummary,(ROW()-ROW(MSPTasks[[#Headers],[ID]]))),"",INDEX(tsk_Predecessors,(ROW()-ROW(MSPTasks[[#Headers],[ID]])))))</f>
        <v/>
      </c>
      <c r="J119" s="24" t="str">
        <f aca="false">IF(IFERROR(INDEX(tsk_Name,(ROW()-ROW(MSPTasks[[#Headers],[ID]])))="",TRUE()),"",IF(INDEX(tsk_IsSummary,(ROW()-ROW(MSPTasks[[#Headers],[ID]]))),"",INDEX(tsk_UIDPredecessors,(ROW()-ROW(MSPTasks[[#Headers],[ID]])))))</f>
        <v/>
      </c>
      <c r="K119" s="24" t="str">
        <f aca="false">IF(IFERROR(INDEX(tsk_Name,(ROW()-ROW(MSPTasks[[#Headers],[ID]])))="",TRUE()),"",INDEX(tsk_ResourceNames,(ROW()-ROW(MSPTasks[[#Headers],[ID]])))&amp;"")</f>
        <v/>
      </c>
      <c r="L119" s="24" t="str">
        <f aca="false">IF(IFERROR(INDEX(tsk_Name,(ROW()-ROW(MSPTasks[[#Headers],[ID]])))="",TRUE()),"",IF(INDEX(tsk_IsSummary,(ROW()-ROW(MSPTasks[[#Headers],[ID]]))),"",ROUND(INDEX(tsk_Progress,(ROW()-ROW(MSPTasks[[#Headers],[ID]])))*100,0)))</f>
        <v/>
      </c>
      <c r="M119" s="137" t="str">
        <f aca="false">IF(IFERROR(INDEX(tsk_Name,(ROW()-ROW(MSPTasks[[#Headers],[ID]])))="",TRUE()),"",IF(N(INDEX(tsk_ActStart,(ROW()-ROW(MSPTasks[[#Headers],[ID]]))))=0,"",INDEX(tsk_ActStart,(ROW()-ROW(MSPTasks[[#Headers],[ID]])))))</f>
        <v/>
      </c>
      <c r="N119" s="137" t="str">
        <f aca="false">IF(IFERROR(INDEX(tsk_Name,(ROW()-ROW(MSPTasks[[#Headers],[ID]])))="",TRUE()),"",IF(N(INDEX(tsk_ActFinish,(ROW()-ROW(MSPTasks[[#Headers],[ID]]))))=0,"",INDEX(tsk_ActFinish,(ROW()-ROW(MSPTasks[[#Headers],[ID]])))))</f>
        <v/>
      </c>
      <c r="O119" s="137" t="str">
        <f aca="false">IF(IFERROR(INDEX(tsk_Name,(ROW()-ROW(MSPTasks[[#Headers],[ID]])))="",TRUE()),"",INDEX(tsk_PlanStart,(ROW()-ROW(MSPTasks[[#Headers],[ID]]))))</f>
        <v/>
      </c>
      <c r="P119" s="137" t="str">
        <f aca="false">IF(IFERROR(INDEX(tsk_Name,(ROW()-ROW(MSPTasks[[#Headers],[ID]])))="",TRUE()),"",INDEX(tsk_PlanFinish,(ROW()-ROW(MSPTasks[[#Headers],[ID]]))))</f>
        <v/>
      </c>
      <c r="Q119" s="24" t="str">
        <f aca="false">IF(IFERROR(INDEX(tsk_Name,(ROW()-ROW(MSPTasks[[#Headers],[ID]])))="",TRUE()),"",IF(INDEX(tsk_BaseDuration,(ROW()-ROW(MSPTasks[[#Headers],[ID]])))="","",N(INDEX(tsk_BaseDuration,(ROW()-ROW(MSPTasks[[#Headers],[ID]]))))&amp;"d"))</f>
        <v/>
      </c>
      <c r="R119" s="24" t="str">
        <f aca="false">IF(IFERROR(INDEX(tsk_Name,(ROW()-ROW(MSPTasks[[#Headers],[ID]])))="",TRUE()),"",IF(INDEX(tsk_BaseWork,(ROW()-ROW(MSPTasks[[#Headers],[ID]])))="","",N(INDEX(tsk_BaseWork,(ROW()-ROW(MSPTasks[[#Headers],[ID]]))))&amp;"h"))</f>
        <v/>
      </c>
      <c r="S119" s="24" t="str">
        <f aca="false">IF(IFERROR(INDEX(tsk_Name,(ROW()-ROW(MSPTasks[[#Headers],[ID]])))="",TRUE()),"",IF(INDEX(tsk_BaseCost,(ROW()-ROW(MSPTasks[[#Headers],[ID]])))="","",N(INDEX(tsk_BaseCost,(ROW()-ROW(MSPTasks[[#Headers],[ID]]))))))</f>
        <v/>
      </c>
      <c r="T119" s="24" t="str">
        <f aca="false">IF(IFERROR(INDEX(tsk_Name,(ROW()-ROW(MSPTasks[[#Headers],[ID]])))="",TRUE()),"",IF(INDEX(tsk_IsSummary,(ROW()-ROW(MSPTasks[[#Headers],[ID]]))),"",IF(N(INDEX(tsk_ActCostInput,(ROW()-ROW(MSPTasks[[#Headers],[ID]]))))=0,"",INDEX(tsk_ActCostInput,(ROW()-ROW(MSPTasks[[#Headers],[ID]]))))))</f>
        <v/>
      </c>
      <c r="U11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19" s="137" t="str">
        <f aca="false">IF(IFERROR(INDEX(tsk_Name,(ROW()-ROW(MSPTasks[[#Headers],[ID]])))="",TRUE()),"",IF(OR(INDEX(tsk_IsSummary,(ROW()-ROW(MSPTasks[[#Headers],[ID]]))),INDEX(tsk_Mode,(ROW()-ROW(MSPTasks[[#Headers],[ID]])))="Manual"),"",IF(N(INDEX(tsk_ConstraintCode,(ROW()-ROW(MSPTasks[[#Headers],[ID]]))))&lt;2,"",INDEX(tsk_Constraint,(ROW()-ROW(MSPTasks[[#Headers],[ID]]))))))</f>
        <v/>
      </c>
      <c r="W119" s="137" t="str">
        <f aca="false">IF(IFERROR(INDEX(tsk_Name,(ROW()-ROW(MSPTasks[[#Headers],[ID]])))="",TRUE()),"",IF(N(INDEX(tsk_Deadline,(ROW()-ROW(MSPTasks[[#Headers],[ID]]))))=0,"",INDEX(tsk_Deadline,(ROW()-ROW(MSPTasks[[#Headers],[ID]])))))</f>
        <v/>
      </c>
      <c r="X119" s="24" t="str">
        <f aca="false">IF(IFERROR(INDEX(tsk_Name,(ROW()-ROW(MSPTasks[[#Headers],[ID]])))="",TRUE()),"",IF(INDEX(tsk_IsSummary,(ROW()-ROW(MSPTasks[[#Headers],[ID]]))),"",INDEX(tsk_Sprint,(ROW()-ROW(MSPTasks[[#Headers],[ID]])))&amp;""))</f>
        <v/>
      </c>
      <c r="Y119" s="24" t="str">
        <f aca="false">IF(IFERROR(INDEX(tsk_Name,(ROW()-ROW(MSPTasks[[#Headers],[ID]])))="",TRUE()),"",IF(INDEX(tsk_IsSummary,(ROW()-ROW(MSPTasks[[#Headers],[ID]]))),"",IF(N(INDEX(tsk_StoryPoints,(ROW()-ROW(MSPTasks[[#Headers],[ID]]))))=0,"",INDEX(tsk_StoryPoints,(ROW()-ROW(MSPTasks[[#Headers],[ID]]))))))</f>
        <v/>
      </c>
      <c r="Z119" s="24" t="str">
        <f aca="false">IF(IFERROR(INDEX(tsk_Name,(ROW()-ROW(MSPTasks[[#Headers],[ID]])))="",TRUE()),"",INDEX(tsk_Notes,(ROW()-ROW(MSPTasks[[#Headers],[ID]])))&amp;"")</f>
        <v/>
      </c>
    </row>
    <row r="120" customFormat="false" ht="15" hidden="false" customHeight="false" outlineLevel="0" collapsed="false">
      <c r="A120" s="24" t="str">
        <f aca="false">IF(IFERROR(INDEX(tsk_Name,(ROW()-ROW(MSPTasks[[#Headers],[ID]])))="",TRUE()),"",INDEX(tsk_ID,(ROW()-ROW(MSPTasks[[#Headers],[ID]]))))</f>
        <v/>
      </c>
      <c r="B120" s="24" t="str">
        <f aca="false">IF(IFERROR(INDEX(tsk_Name,(ROW()-ROW(MSPTasks[[#Headers],[ID]])))="",TRUE()),"",INDEX(tsk_UID,(ROW()-ROW(MSPTasks[[#Headers],[ID]]))))</f>
        <v/>
      </c>
      <c r="C120" s="24" t="str">
        <f aca="false">IF(IFERROR(INDEX(tsk_Name,(ROW()-ROW(MSPTasks[[#Headers],[ID]])))="",TRUE()),"",INDEX(tsk_Name,(ROW()-ROW(MSPTasks[[#Headers],[ID]]))))</f>
        <v/>
      </c>
      <c r="D120" s="24" t="str">
        <f aca="false">IF(IFERROR(INDEX(tsk_Name,(ROW()-ROW(MSPTasks[[#Headers],[ID]])))="",TRUE()),"",INDEX(tsk_Level,(ROW()-ROW(MSPTasks[[#Headers],[ID]]))))</f>
        <v/>
      </c>
      <c r="E120" s="24" t="str">
        <f aca="false">IF(IFERROR(INDEX(tsk_Name,(ROW()-ROW(MSPTasks[[#Headers],[ID]])))="",TRUE()),"",IF(INDEX(tsk_Mode,(ROW()-ROW(MSPTasks[[#Headers],[ID]])))="Manual","Manually Scheduled","Auto Scheduled"))</f>
        <v/>
      </c>
      <c r="F120" s="24" t="str">
        <f aca="false">IF(IFERROR(INDEX(tsk_Name,(ROW()-ROW(MSPTasks[[#Headers],[ID]])))="",TRUE()),"",IF(INDEX(tsk_IsSummary,(ROW()-ROW(MSPTasks[[#Headers],[ID]]))),"",N(INDEX(tsk_Duration,(ROW()-ROW(MSPTasks[[#Headers],[ID]]))))&amp;"d"))</f>
        <v/>
      </c>
      <c r="G120" s="137" t="str">
        <f aca="false">IF(IFERROR(INDEX(tsk_Name,(ROW()-ROW(MSPTasks[[#Headers],[ID]])))="",TRUE()),"",INDEX(tsk_FcStart,(ROW()-ROW(MSPTasks[[#Headers],[ID]]))))</f>
        <v/>
      </c>
      <c r="H120" s="137" t="str">
        <f aca="false">IF(IFERROR(INDEX(tsk_Name,(ROW()-ROW(MSPTasks[[#Headers],[ID]])))="",TRUE()),"",INDEX(tsk_FcFinish,(ROW()-ROW(MSPTasks[[#Headers],[ID]]))))</f>
        <v/>
      </c>
      <c r="I120" s="24" t="str">
        <f aca="false">IF(IFERROR(INDEX(tsk_Name,(ROW()-ROW(MSPTasks[[#Headers],[ID]])))="",TRUE()),"",IF(INDEX(tsk_IsSummary,(ROW()-ROW(MSPTasks[[#Headers],[ID]]))),"",INDEX(tsk_Predecessors,(ROW()-ROW(MSPTasks[[#Headers],[ID]])))))</f>
        <v/>
      </c>
      <c r="J120" s="24" t="str">
        <f aca="false">IF(IFERROR(INDEX(tsk_Name,(ROW()-ROW(MSPTasks[[#Headers],[ID]])))="",TRUE()),"",IF(INDEX(tsk_IsSummary,(ROW()-ROW(MSPTasks[[#Headers],[ID]]))),"",INDEX(tsk_UIDPredecessors,(ROW()-ROW(MSPTasks[[#Headers],[ID]])))))</f>
        <v/>
      </c>
      <c r="K120" s="24" t="str">
        <f aca="false">IF(IFERROR(INDEX(tsk_Name,(ROW()-ROW(MSPTasks[[#Headers],[ID]])))="",TRUE()),"",INDEX(tsk_ResourceNames,(ROW()-ROW(MSPTasks[[#Headers],[ID]])))&amp;"")</f>
        <v/>
      </c>
      <c r="L120" s="24" t="str">
        <f aca="false">IF(IFERROR(INDEX(tsk_Name,(ROW()-ROW(MSPTasks[[#Headers],[ID]])))="",TRUE()),"",IF(INDEX(tsk_IsSummary,(ROW()-ROW(MSPTasks[[#Headers],[ID]]))),"",ROUND(INDEX(tsk_Progress,(ROW()-ROW(MSPTasks[[#Headers],[ID]])))*100,0)))</f>
        <v/>
      </c>
      <c r="M120" s="137" t="str">
        <f aca="false">IF(IFERROR(INDEX(tsk_Name,(ROW()-ROW(MSPTasks[[#Headers],[ID]])))="",TRUE()),"",IF(N(INDEX(tsk_ActStart,(ROW()-ROW(MSPTasks[[#Headers],[ID]]))))=0,"",INDEX(tsk_ActStart,(ROW()-ROW(MSPTasks[[#Headers],[ID]])))))</f>
        <v/>
      </c>
      <c r="N120" s="137" t="str">
        <f aca="false">IF(IFERROR(INDEX(tsk_Name,(ROW()-ROW(MSPTasks[[#Headers],[ID]])))="",TRUE()),"",IF(N(INDEX(tsk_ActFinish,(ROW()-ROW(MSPTasks[[#Headers],[ID]]))))=0,"",INDEX(tsk_ActFinish,(ROW()-ROW(MSPTasks[[#Headers],[ID]])))))</f>
        <v/>
      </c>
      <c r="O120" s="137" t="str">
        <f aca="false">IF(IFERROR(INDEX(tsk_Name,(ROW()-ROW(MSPTasks[[#Headers],[ID]])))="",TRUE()),"",INDEX(tsk_PlanStart,(ROW()-ROW(MSPTasks[[#Headers],[ID]]))))</f>
        <v/>
      </c>
      <c r="P120" s="137" t="str">
        <f aca="false">IF(IFERROR(INDEX(tsk_Name,(ROW()-ROW(MSPTasks[[#Headers],[ID]])))="",TRUE()),"",INDEX(tsk_PlanFinish,(ROW()-ROW(MSPTasks[[#Headers],[ID]]))))</f>
        <v/>
      </c>
      <c r="Q120" s="24" t="str">
        <f aca="false">IF(IFERROR(INDEX(tsk_Name,(ROW()-ROW(MSPTasks[[#Headers],[ID]])))="",TRUE()),"",IF(INDEX(tsk_BaseDuration,(ROW()-ROW(MSPTasks[[#Headers],[ID]])))="","",N(INDEX(tsk_BaseDuration,(ROW()-ROW(MSPTasks[[#Headers],[ID]]))))&amp;"d"))</f>
        <v/>
      </c>
      <c r="R120" s="24" t="str">
        <f aca="false">IF(IFERROR(INDEX(tsk_Name,(ROW()-ROW(MSPTasks[[#Headers],[ID]])))="",TRUE()),"",IF(INDEX(tsk_BaseWork,(ROW()-ROW(MSPTasks[[#Headers],[ID]])))="","",N(INDEX(tsk_BaseWork,(ROW()-ROW(MSPTasks[[#Headers],[ID]]))))&amp;"h"))</f>
        <v/>
      </c>
      <c r="S120" s="24" t="str">
        <f aca="false">IF(IFERROR(INDEX(tsk_Name,(ROW()-ROW(MSPTasks[[#Headers],[ID]])))="",TRUE()),"",IF(INDEX(tsk_BaseCost,(ROW()-ROW(MSPTasks[[#Headers],[ID]])))="","",N(INDEX(tsk_BaseCost,(ROW()-ROW(MSPTasks[[#Headers],[ID]]))))))</f>
        <v/>
      </c>
      <c r="T120" s="24" t="str">
        <f aca="false">IF(IFERROR(INDEX(tsk_Name,(ROW()-ROW(MSPTasks[[#Headers],[ID]])))="",TRUE()),"",IF(INDEX(tsk_IsSummary,(ROW()-ROW(MSPTasks[[#Headers],[ID]]))),"",IF(N(INDEX(tsk_ActCostInput,(ROW()-ROW(MSPTasks[[#Headers],[ID]]))))=0,"",INDEX(tsk_ActCostInput,(ROW()-ROW(MSPTasks[[#Headers],[ID]]))))))</f>
        <v/>
      </c>
      <c r="U12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0" s="137" t="str">
        <f aca="false">IF(IFERROR(INDEX(tsk_Name,(ROW()-ROW(MSPTasks[[#Headers],[ID]])))="",TRUE()),"",IF(OR(INDEX(tsk_IsSummary,(ROW()-ROW(MSPTasks[[#Headers],[ID]]))),INDEX(tsk_Mode,(ROW()-ROW(MSPTasks[[#Headers],[ID]])))="Manual"),"",IF(N(INDEX(tsk_ConstraintCode,(ROW()-ROW(MSPTasks[[#Headers],[ID]]))))&lt;2,"",INDEX(tsk_Constraint,(ROW()-ROW(MSPTasks[[#Headers],[ID]]))))))</f>
        <v/>
      </c>
      <c r="W120" s="137" t="str">
        <f aca="false">IF(IFERROR(INDEX(tsk_Name,(ROW()-ROW(MSPTasks[[#Headers],[ID]])))="",TRUE()),"",IF(N(INDEX(tsk_Deadline,(ROW()-ROW(MSPTasks[[#Headers],[ID]]))))=0,"",INDEX(tsk_Deadline,(ROW()-ROW(MSPTasks[[#Headers],[ID]])))))</f>
        <v/>
      </c>
      <c r="X120" s="24" t="str">
        <f aca="false">IF(IFERROR(INDEX(tsk_Name,(ROW()-ROW(MSPTasks[[#Headers],[ID]])))="",TRUE()),"",IF(INDEX(tsk_IsSummary,(ROW()-ROW(MSPTasks[[#Headers],[ID]]))),"",INDEX(tsk_Sprint,(ROW()-ROW(MSPTasks[[#Headers],[ID]])))&amp;""))</f>
        <v/>
      </c>
      <c r="Y120" s="24" t="str">
        <f aca="false">IF(IFERROR(INDEX(tsk_Name,(ROW()-ROW(MSPTasks[[#Headers],[ID]])))="",TRUE()),"",IF(INDEX(tsk_IsSummary,(ROW()-ROW(MSPTasks[[#Headers],[ID]]))),"",IF(N(INDEX(tsk_StoryPoints,(ROW()-ROW(MSPTasks[[#Headers],[ID]]))))=0,"",INDEX(tsk_StoryPoints,(ROW()-ROW(MSPTasks[[#Headers],[ID]]))))))</f>
        <v/>
      </c>
      <c r="Z120" s="24" t="str">
        <f aca="false">IF(IFERROR(INDEX(tsk_Name,(ROW()-ROW(MSPTasks[[#Headers],[ID]])))="",TRUE()),"",INDEX(tsk_Notes,(ROW()-ROW(MSPTasks[[#Headers],[ID]])))&amp;"")</f>
        <v/>
      </c>
    </row>
    <row r="121" customFormat="false" ht="15" hidden="false" customHeight="false" outlineLevel="0" collapsed="false">
      <c r="A121" s="24" t="str">
        <f aca="false">IF(IFERROR(INDEX(tsk_Name,(ROW()-ROW(MSPTasks[[#Headers],[ID]])))="",TRUE()),"",INDEX(tsk_ID,(ROW()-ROW(MSPTasks[[#Headers],[ID]]))))</f>
        <v/>
      </c>
      <c r="B121" s="24" t="str">
        <f aca="false">IF(IFERROR(INDEX(tsk_Name,(ROW()-ROW(MSPTasks[[#Headers],[ID]])))="",TRUE()),"",INDEX(tsk_UID,(ROW()-ROW(MSPTasks[[#Headers],[ID]]))))</f>
        <v/>
      </c>
      <c r="C121" s="24" t="str">
        <f aca="false">IF(IFERROR(INDEX(tsk_Name,(ROW()-ROW(MSPTasks[[#Headers],[ID]])))="",TRUE()),"",INDEX(tsk_Name,(ROW()-ROW(MSPTasks[[#Headers],[ID]]))))</f>
        <v/>
      </c>
      <c r="D121" s="24" t="str">
        <f aca="false">IF(IFERROR(INDEX(tsk_Name,(ROW()-ROW(MSPTasks[[#Headers],[ID]])))="",TRUE()),"",INDEX(tsk_Level,(ROW()-ROW(MSPTasks[[#Headers],[ID]]))))</f>
        <v/>
      </c>
      <c r="E121" s="24" t="str">
        <f aca="false">IF(IFERROR(INDEX(tsk_Name,(ROW()-ROW(MSPTasks[[#Headers],[ID]])))="",TRUE()),"",IF(INDEX(tsk_Mode,(ROW()-ROW(MSPTasks[[#Headers],[ID]])))="Manual","Manually Scheduled","Auto Scheduled"))</f>
        <v/>
      </c>
      <c r="F121" s="24" t="str">
        <f aca="false">IF(IFERROR(INDEX(tsk_Name,(ROW()-ROW(MSPTasks[[#Headers],[ID]])))="",TRUE()),"",IF(INDEX(tsk_IsSummary,(ROW()-ROW(MSPTasks[[#Headers],[ID]]))),"",N(INDEX(tsk_Duration,(ROW()-ROW(MSPTasks[[#Headers],[ID]]))))&amp;"d"))</f>
        <v/>
      </c>
      <c r="G121" s="137" t="str">
        <f aca="false">IF(IFERROR(INDEX(tsk_Name,(ROW()-ROW(MSPTasks[[#Headers],[ID]])))="",TRUE()),"",INDEX(tsk_FcStart,(ROW()-ROW(MSPTasks[[#Headers],[ID]]))))</f>
        <v/>
      </c>
      <c r="H121" s="137" t="str">
        <f aca="false">IF(IFERROR(INDEX(tsk_Name,(ROW()-ROW(MSPTasks[[#Headers],[ID]])))="",TRUE()),"",INDEX(tsk_FcFinish,(ROW()-ROW(MSPTasks[[#Headers],[ID]]))))</f>
        <v/>
      </c>
      <c r="I121" s="24" t="str">
        <f aca="false">IF(IFERROR(INDEX(tsk_Name,(ROW()-ROW(MSPTasks[[#Headers],[ID]])))="",TRUE()),"",IF(INDEX(tsk_IsSummary,(ROW()-ROW(MSPTasks[[#Headers],[ID]]))),"",INDEX(tsk_Predecessors,(ROW()-ROW(MSPTasks[[#Headers],[ID]])))))</f>
        <v/>
      </c>
      <c r="J121" s="24" t="str">
        <f aca="false">IF(IFERROR(INDEX(tsk_Name,(ROW()-ROW(MSPTasks[[#Headers],[ID]])))="",TRUE()),"",IF(INDEX(tsk_IsSummary,(ROW()-ROW(MSPTasks[[#Headers],[ID]]))),"",INDEX(tsk_UIDPredecessors,(ROW()-ROW(MSPTasks[[#Headers],[ID]])))))</f>
        <v/>
      </c>
      <c r="K121" s="24" t="str">
        <f aca="false">IF(IFERROR(INDEX(tsk_Name,(ROW()-ROW(MSPTasks[[#Headers],[ID]])))="",TRUE()),"",INDEX(tsk_ResourceNames,(ROW()-ROW(MSPTasks[[#Headers],[ID]])))&amp;"")</f>
        <v/>
      </c>
      <c r="L121" s="24" t="str">
        <f aca="false">IF(IFERROR(INDEX(tsk_Name,(ROW()-ROW(MSPTasks[[#Headers],[ID]])))="",TRUE()),"",IF(INDEX(tsk_IsSummary,(ROW()-ROW(MSPTasks[[#Headers],[ID]]))),"",ROUND(INDEX(tsk_Progress,(ROW()-ROW(MSPTasks[[#Headers],[ID]])))*100,0)))</f>
        <v/>
      </c>
      <c r="M121" s="137" t="str">
        <f aca="false">IF(IFERROR(INDEX(tsk_Name,(ROW()-ROW(MSPTasks[[#Headers],[ID]])))="",TRUE()),"",IF(N(INDEX(tsk_ActStart,(ROW()-ROW(MSPTasks[[#Headers],[ID]]))))=0,"",INDEX(tsk_ActStart,(ROW()-ROW(MSPTasks[[#Headers],[ID]])))))</f>
        <v/>
      </c>
      <c r="N121" s="137" t="str">
        <f aca="false">IF(IFERROR(INDEX(tsk_Name,(ROW()-ROW(MSPTasks[[#Headers],[ID]])))="",TRUE()),"",IF(N(INDEX(tsk_ActFinish,(ROW()-ROW(MSPTasks[[#Headers],[ID]]))))=0,"",INDEX(tsk_ActFinish,(ROW()-ROW(MSPTasks[[#Headers],[ID]])))))</f>
        <v/>
      </c>
      <c r="O121" s="137" t="str">
        <f aca="false">IF(IFERROR(INDEX(tsk_Name,(ROW()-ROW(MSPTasks[[#Headers],[ID]])))="",TRUE()),"",INDEX(tsk_PlanStart,(ROW()-ROW(MSPTasks[[#Headers],[ID]]))))</f>
        <v/>
      </c>
      <c r="P121" s="137" t="str">
        <f aca="false">IF(IFERROR(INDEX(tsk_Name,(ROW()-ROW(MSPTasks[[#Headers],[ID]])))="",TRUE()),"",INDEX(tsk_PlanFinish,(ROW()-ROW(MSPTasks[[#Headers],[ID]]))))</f>
        <v/>
      </c>
      <c r="Q121" s="24" t="str">
        <f aca="false">IF(IFERROR(INDEX(tsk_Name,(ROW()-ROW(MSPTasks[[#Headers],[ID]])))="",TRUE()),"",IF(INDEX(tsk_BaseDuration,(ROW()-ROW(MSPTasks[[#Headers],[ID]])))="","",N(INDEX(tsk_BaseDuration,(ROW()-ROW(MSPTasks[[#Headers],[ID]]))))&amp;"d"))</f>
        <v/>
      </c>
      <c r="R121" s="24" t="str">
        <f aca="false">IF(IFERROR(INDEX(tsk_Name,(ROW()-ROW(MSPTasks[[#Headers],[ID]])))="",TRUE()),"",IF(INDEX(tsk_BaseWork,(ROW()-ROW(MSPTasks[[#Headers],[ID]])))="","",N(INDEX(tsk_BaseWork,(ROW()-ROW(MSPTasks[[#Headers],[ID]]))))&amp;"h"))</f>
        <v/>
      </c>
      <c r="S121" s="24" t="str">
        <f aca="false">IF(IFERROR(INDEX(tsk_Name,(ROW()-ROW(MSPTasks[[#Headers],[ID]])))="",TRUE()),"",IF(INDEX(tsk_BaseCost,(ROW()-ROW(MSPTasks[[#Headers],[ID]])))="","",N(INDEX(tsk_BaseCost,(ROW()-ROW(MSPTasks[[#Headers],[ID]]))))))</f>
        <v/>
      </c>
      <c r="T121" s="24" t="str">
        <f aca="false">IF(IFERROR(INDEX(tsk_Name,(ROW()-ROW(MSPTasks[[#Headers],[ID]])))="",TRUE()),"",IF(INDEX(tsk_IsSummary,(ROW()-ROW(MSPTasks[[#Headers],[ID]]))),"",IF(N(INDEX(tsk_ActCostInput,(ROW()-ROW(MSPTasks[[#Headers],[ID]]))))=0,"",INDEX(tsk_ActCostInput,(ROW()-ROW(MSPTasks[[#Headers],[ID]]))))))</f>
        <v/>
      </c>
      <c r="U12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1" s="137" t="str">
        <f aca="false">IF(IFERROR(INDEX(tsk_Name,(ROW()-ROW(MSPTasks[[#Headers],[ID]])))="",TRUE()),"",IF(OR(INDEX(tsk_IsSummary,(ROW()-ROW(MSPTasks[[#Headers],[ID]]))),INDEX(tsk_Mode,(ROW()-ROW(MSPTasks[[#Headers],[ID]])))="Manual"),"",IF(N(INDEX(tsk_ConstraintCode,(ROW()-ROW(MSPTasks[[#Headers],[ID]]))))&lt;2,"",INDEX(tsk_Constraint,(ROW()-ROW(MSPTasks[[#Headers],[ID]]))))))</f>
        <v/>
      </c>
      <c r="W121" s="137" t="str">
        <f aca="false">IF(IFERROR(INDEX(tsk_Name,(ROW()-ROW(MSPTasks[[#Headers],[ID]])))="",TRUE()),"",IF(N(INDEX(tsk_Deadline,(ROW()-ROW(MSPTasks[[#Headers],[ID]]))))=0,"",INDEX(tsk_Deadline,(ROW()-ROW(MSPTasks[[#Headers],[ID]])))))</f>
        <v/>
      </c>
      <c r="X121" s="24" t="str">
        <f aca="false">IF(IFERROR(INDEX(tsk_Name,(ROW()-ROW(MSPTasks[[#Headers],[ID]])))="",TRUE()),"",IF(INDEX(tsk_IsSummary,(ROW()-ROW(MSPTasks[[#Headers],[ID]]))),"",INDEX(tsk_Sprint,(ROW()-ROW(MSPTasks[[#Headers],[ID]])))&amp;""))</f>
        <v/>
      </c>
      <c r="Y121" s="24" t="str">
        <f aca="false">IF(IFERROR(INDEX(tsk_Name,(ROW()-ROW(MSPTasks[[#Headers],[ID]])))="",TRUE()),"",IF(INDEX(tsk_IsSummary,(ROW()-ROW(MSPTasks[[#Headers],[ID]]))),"",IF(N(INDEX(tsk_StoryPoints,(ROW()-ROW(MSPTasks[[#Headers],[ID]]))))=0,"",INDEX(tsk_StoryPoints,(ROW()-ROW(MSPTasks[[#Headers],[ID]]))))))</f>
        <v/>
      </c>
      <c r="Z121" s="24" t="str">
        <f aca="false">IF(IFERROR(INDEX(tsk_Name,(ROW()-ROW(MSPTasks[[#Headers],[ID]])))="",TRUE()),"",INDEX(tsk_Notes,(ROW()-ROW(MSPTasks[[#Headers],[ID]])))&amp;"")</f>
        <v/>
      </c>
    </row>
    <row r="122" customFormat="false" ht="15" hidden="false" customHeight="false" outlineLevel="0" collapsed="false">
      <c r="A122" s="24" t="str">
        <f aca="false">IF(IFERROR(INDEX(tsk_Name,(ROW()-ROW(MSPTasks[[#Headers],[ID]])))="",TRUE()),"",INDEX(tsk_ID,(ROW()-ROW(MSPTasks[[#Headers],[ID]]))))</f>
        <v/>
      </c>
      <c r="B122" s="24" t="str">
        <f aca="false">IF(IFERROR(INDEX(tsk_Name,(ROW()-ROW(MSPTasks[[#Headers],[ID]])))="",TRUE()),"",INDEX(tsk_UID,(ROW()-ROW(MSPTasks[[#Headers],[ID]]))))</f>
        <v/>
      </c>
      <c r="C122" s="24" t="str">
        <f aca="false">IF(IFERROR(INDEX(tsk_Name,(ROW()-ROW(MSPTasks[[#Headers],[ID]])))="",TRUE()),"",INDEX(tsk_Name,(ROW()-ROW(MSPTasks[[#Headers],[ID]]))))</f>
        <v/>
      </c>
      <c r="D122" s="24" t="str">
        <f aca="false">IF(IFERROR(INDEX(tsk_Name,(ROW()-ROW(MSPTasks[[#Headers],[ID]])))="",TRUE()),"",INDEX(tsk_Level,(ROW()-ROW(MSPTasks[[#Headers],[ID]]))))</f>
        <v/>
      </c>
      <c r="E122" s="24" t="str">
        <f aca="false">IF(IFERROR(INDEX(tsk_Name,(ROW()-ROW(MSPTasks[[#Headers],[ID]])))="",TRUE()),"",IF(INDEX(tsk_Mode,(ROW()-ROW(MSPTasks[[#Headers],[ID]])))="Manual","Manually Scheduled","Auto Scheduled"))</f>
        <v/>
      </c>
      <c r="F122" s="24" t="str">
        <f aca="false">IF(IFERROR(INDEX(tsk_Name,(ROW()-ROW(MSPTasks[[#Headers],[ID]])))="",TRUE()),"",IF(INDEX(tsk_IsSummary,(ROW()-ROW(MSPTasks[[#Headers],[ID]]))),"",N(INDEX(tsk_Duration,(ROW()-ROW(MSPTasks[[#Headers],[ID]]))))&amp;"d"))</f>
        <v/>
      </c>
      <c r="G122" s="137" t="str">
        <f aca="false">IF(IFERROR(INDEX(tsk_Name,(ROW()-ROW(MSPTasks[[#Headers],[ID]])))="",TRUE()),"",INDEX(tsk_FcStart,(ROW()-ROW(MSPTasks[[#Headers],[ID]]))))</f>
        <v/>
      </c>
      <c r="H122" s="137" t="str">
        <f aca="false">IF(IFERROR(INDEX(tsk_Name,(ROW()-ROW(MSPTasks[[#Headers],[ID]])))="",TRUE()),"",INDEX(tsk_FcFinish,(ROW()-ROW(MSPTasks[[#Headers],[ID]]))))</f>
        <v/>
      </c>
      <c r="I122" s="24" t="str">
        <f aca="false">IF(IFERROR(INDEX(tsk_Name,(ROW()-ROW(MSPTasks[[#Headers],[ID]])))="",TRUE()),"",IF(INDEX(tsk_IsSummary,(ROW()-ROW(MSPTasks[[#Headers],[ID]]))),"",INDEX(tsk_Predecessors,(ROW()-ROW(MSPTasks[[#Headers],[ID]])))))</f>
        <v/>
      </c>
      <c r="J122" s="24" t="str">
        <f aca="false">IF(IFERROR(INDEX(tsk_Name,(ROW()-ROW(MSPTasks[[#Headers],[ID]])))="",TRUE()),"",IF(INDEX(tsk_IsSummary,(ROW()-ROW(MSPTasks[[#Headers],[ID]]))),"",INDEX(tsk_UIDPredecessors,(ROW()-ROW(MSPTasks[[#Headers],[ID]])))))</f>
        <v/>
      </c>
      <c r="K122" s="24" t="str">
        <f aca="false">IF(IFERROR(INDEX(tsk_Name,(ROW()-ROW(MSPTasks[[#Headers],[ID]])))="",TRUE()),"",INDEX(tsk_ResourceNames,(ROW()-ROW(MSPTasks[[#Headers],[ID]])))&amp;"")</f>
        <v/>
      </c>
      <c r="L122" s="24" t="str">
        <f aca="false">IF(IFERROR(INDEX(tsk_Name,(ROW()-ROW(MSPTasks[[#Headers],[ID]])))="",TRUE()),"",IF(INDEX(tsk_IsSummary,(ROW()-ROW(MSPTasks[[#Headers],[ID]]))),"",ROUND(INDEX(tsk_Progress,(ROW()-ROW(MSPTasks[[#Headers],[ID]])))*100,0)))</f>
        <v/>
      </c>
      <c r="M122" s="137" t="str">
        <f aca="false">IF(IFERROR(INDEX(tsk_Name,(ROW()-ROW(MSPTasks[[#Headers],[ID]])))="",TRUE()),"",IF(N(INDEX(tsk_ActStart,(ROW()-ROW(MSPTasks[[#Headers],[ID]]))))=0,"",INDEX(tsk_ActStart,(ROW()-ROW(MSPTasks[[#Headers],[ID]])))))</f>
        <v/>
      </c>
      <c r="N122" s="137" t="str">
        <f aca="false">IF(IFERROR(INDEX(tsk_Name,(ROW()-ROW(MSPTasks[[#Headers],[ID]])))="",TRUE()),"",IF(N(INDEX(tsk_ActFinish,(ROW()-ROW(MSPTasks[[#Headers],[ID]]))))=0,"",INDEX(tsk_ActFinish,(ROW()-ROW(MSPTasks[[#Headers],[ID]])))))</f>
        <v/>
      </c>
      <c r="O122" s="137" t="str">
        <f aca="false">IF(IFERROR(INDEX(tsk_Name,(ROW()-ROW(MSPTasks[[#Headers],[ID]])))="",TRUE()),"",INDEX(tsk_PlanStart,(ROW()-ROW(MSPTasks[[#Headers],[ID]]))))</f>
        <v/>
      </c>
      <c r="P122" s="137" t="str">
        <f aca="false">IF(IFERROR(INDEX(tsk_Name,(ROW()-ROW(MSPTasks[[#Headers],[ID]])))="",TRUE()),"",INDEX(tsk_PlanFinish,(ROW()-ROW(MSPTasks[[#Headers],[ID]]))))</f>
        <v/>
      </c>
      <c r="Q122" s="24" t="str">
        <f aca="false">IF(IFERROR(INDEX(tsk_Name,(ROW()-ROW(MSPTasks[[#Headers],[ID]])))="",TRUE()),"",IF(INDEX(tsk_BaseDuration,(ROW()-ROW(MSPTasks[[#Headers],[ID]])))="","",N(INDEX(tsk_BaseDuration,(ROW()-ROW(MSPTasks[[#Headers],[ID]]))))&amp;"d"))</f>
        <v/>
      </c>
      <c r="R122" s="24" t="str">
        <f aca="false">IF(IFERROR(INDEX(tsk_Name,(ROW()-ROW(MSPTasks[[#Headers],[ID]])))="",TRUE()),"",IF(INDEX(tsk_BaseWork,(ROW()-ROW(MSPTasks[[#Headers],[ID]])))="","",N(INDEX(tsk_BaseWork,(ROW()-ROW(MSPTasks[[#Headers],[ID]]))))&amp;"h"))</f>
        <v/>
      </c>
      <c r="S122" s="24" t="str">
        <f aca="false">IF(IFERROR(INDEX(tsk_Name,(ROW()-ROW(MSPTasks[[#Headers],[ID]])))="",TRUE()),"",IF(INDEX(tsk_BaseCost,(ROW()-ROW(MSPTasks[[#Headers],[ID]])))="","",N(INDEX(tsk_BaseCost,(ROW()-ROW(MSPTasks[[#Headers],[ID]]))))))</f>
        <v/>
      </c>
      <c r="T122" s="24" t="str">
        <f aca="false">IF(IFERROR(INDEX(tsk_Name,(ROW()-ROW(MSPTasks[[#Headers],[ID]])))="",TRUE()),"",IF(INDEX(tsk_IsSummary,(ROW()-ROW(MSPTasks[[#Headers],[ID]]))),"",IF(N(INDEX(tsk_ActCostInput,(ROW()-ROW(MSPTasks[[#Headers],[ID]]))))=0,"",INDEX(tsk_ActCostInput,(ROW()-ROW(MSPTasks[[#Headers],[ID]]))))))</f>
        <v/>
      </c>
      <c r="U12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2" s="137" t="str">
        <f aca="false">IF(IFERROR(INDEX(tsk_Name,(ROW()-ROW(MSPTasks[[#Headers],[ID]])))="",TRUE()),"",IF(OR(INDEX(tsk_IsSummary,(ROW()-ROW(MSPTasks[[#Headers],[ID]]))),INDEX(tsk_Mode,(ROW()-ROW(MSPTasks[[#Headers],[ID]])))="Manual"),"",IF(N(INDEX(tsk_ConstraintCode,(ROW()-ROW(MSPTasks[[#Headers],[ID]]))))&lt;2,"",INDEX(tsk_Constraint,(ROW()-ROW(MSPTasks[[#Headers],[ID]]))))))</f>
        <v/>
      </c>
      <c r="W122" s="137" t="str">
        <f aca="false">IF(IFERROR(INDEX(tsk_Name,(ROW()-ROW(MSPTasks[[#Headers],[ID]])))="",TRUE()),"",IF(N(INDEX(tsk_Deadline,(ROW()-ROW(MSPTasks[[#Headers],[ID]]))))=0,"",INDEX(tsk_Deadline,(ROW()-ROW(MSPTasks[[#Headers],[ID]])))))</f>
        <v/>
      </c>
      <c r="X122" s="24" t="str">
        <f aca="false">IF(IFERROR(INDEX(tsk_Name,(ROW()-ROW(MSPTasks[[#Headers],[ID]])))="",TRUE()),"",IF(INDEX(tsk_IsSummary,(ROW()-ROW(MSPTasks[[#Headers],[ID]]))),"",INDEX(tsk_Sprint,(ROW()-ROW(MSPTasks[[#Headers],[ID]])))&amp;""))</f>
        <v/>
      </c>
      <c r="Y122" s="24" t="str">
        <f aca="false">IF(IFERROR(INDEX(tsk_Name,(ROW()-ROW(MSPTasks[[#Headers],[ID]])))="",TRUE()),"",IF(INDEX(tsk_IsSummary,(ROW()-ROW(MSPTasks[[#Headers],[ID]]))),"",IF(N(INDEX(tsk_StoryPoints,(ROW()-ROW(MSPTasks[[#Headers],[ID]]))))=0,"",INDEX(tsk_StoryPoints,(ROW()-ROW(MSPTasks[[#Headers],[ID]]))))))</f>
        <v/>
      </c>
      <c r="Z122" s="24" t="str">
        <f aca="false">IF(IFERROR(INDEX(tsk_Name,(ROW()-ROW(MSPTasks[[#Headers],[ID]])))="",TRUE()),"",INDEX(tsk_Notes,(ROW()-ROW(MSPTasks[[#Headers],[ID]])))&amp;"")</f>
        <v/>
      </c>
    </row>
    <row r="123" customFormat="false" ht="15" hidden="false" customHeight="false" outlineLevel="0" collapsed="false">
      <c r="A123" s="24" t="str">
        <f aca="false">IF(IFERROR(INDEX(tsk_Name,(ROW()-ROW(MSPTasks[[#Headers],[ID]])))="",TRUE()),"",INDEX(tsk_ID,(ROW()-ROW(MSPTasks[[#Headers],[ID]]))))</f>
        <v/>
      </c>
      <c r="B123" s="24" t="str">
        <f aca="false">IF(IFERROR(INDEX(tsk_Name,(ROW()-ROW(MSPTasks[[#Headers],[ID]])))="",TRUE()),"",INDEX(tsk_UID,(ROW()-ROW(MSPTasks[[#Headers],[ID]]))))</f>
        <v/>
      </c>
      <c r="C123" s="24" t="str">
        <f aca="false">IF(IFERROR(INDEX(tsk_Name,(ROW()-ROW(MSPTasks[[#Headers],[ID]])))="",TRUE()),"",INDEX(tsk_Name,(ROW()-ROW(MSPTasks[[#Headers],[ID]]))))</f>
        <v/>
      </c>
      <c r="D123" s="24" t="str">
        <f aca="false">IF(IFERROR(INDEX(tsk_Name,(ROW()-ROW(MSPTasks[[#Headers],[ID]])))="",TRUE()),"",INDEX(tsk_Level,(ROW()-ROW(MSPTasks[[#Headers],[ID]]))))</f>
        <v/>
      </c>
      <c r="E123" s="24" t="str">
        <f aca="false">IF(IFERROR(INDEX(tsk_Name,(ROW()-ROW(MSPTasks[[#Headers],[ID]])))="",TRUE()),"",IF(INDEX(tsk_Mode,(ROW()-ROW(MSPTasks[[#Headers],[ID]])))="Manual","Manually Scheduled","Auto Scheduled"))</f>
        <v/>
      </c>
      <c r="F123" s="24" t="str">
        <f aca="false">IF(IFERROR(INDEX(tsk_Name,(ROW()-ROW(MSPTasks[[#Headers],[ID]])))="",TRUE()),"",IF(INDEX(tsk_IsSummary,(ROW()-ROW(MSPTasks[[#Headers],[ID]]))),"",N(INDEX(tsk_Duration,(ROW()-ROW(MSPTasks[[#Headers],[ID]]))))&amp;"d"))</f>
        <v/>
      </c>
      <c r="G123" s="137" t="str">
        <f aca="false">IF(IFERROR(INDEX(tsk_Name,(ROW()-ROW(MSPTasks[[#Headers],[ID]])))="",TRUE()),"",INDEX(tsk_FcStart,(ROW()-ROW(MSPTasks[[#Headers],[ID]]))))</f>
        <v/>
      </c>
      <c r="H123" s="137" t="str">
        <f aca="false">IF(IFERROR(INDEX(tsk_Name,(ROW()-ROW(MSPTasks[[#Headers],[ID]])))="",TRUE()),"",INDEX(tsk_FcFinish,(ROW()-ROW(MSPTasks[[#Headers],[ID]]))))</f>
        <v/>
      </c>
      <c r="I123" s="24" t="str">
        <f aca="false">IF(IFERROR(INDEX(tsk_Name,(ROW()-ROW(MSPTasks[[#Headers],[ID]])))="",TRUE()),"",IF(INDEX(tsk_IsSummary,(ROW()-ROW(MSPTasks[[#Headers],[ID]]))),"",INDEX(tsk_Predecessors,(ROW()-ROW(MSPTasks[[#Headers],[ID]])))))</f>
        <v/>
      </c>
      <c r="J123" s="24" t="str">
        <f aca="false">IF(IFERROR(INDEX(tsk_Name,(ROW()-ROW(MSPTasks[[#Headers],[ID]])))="",TRUE()),"",IF(INDEX(tsk_IsSummary,(ROW()-ROW(MSPTasks[[#Headers],[ID]]))),"",INDEX(tsk_UIDPredecessors,(ROW()-ROW(MSPTasks[[#Headers],[ID]])))))</f>
        <v/>
      </c>
      <c r="K123" s="24" t="str">
        <f aca="false">IF(IFERROR(INDEX(tsk_Name,(ROW()-ROW(MSPTasks[[#Headers],[ID]])))="",TRUE()),"",INDEX(tsk_ResourceNames,(ROW()-ROW(MSPTasks[[#Headers],[ID]])))&amp;"")</f>
        <v/>
      </c>
      <c r="L123" s="24" t="str">
        <f aca="false">IF(IFERROR(INDEX(tsk_Name,(ROW()-ROW(MSPTasks[[#Headers],[ID]])))="",TRUE()),"",IF(INDEX(tsk_IsSummary,(ROW()-ROW(MSPTasks[[#Headers],[ID]]))),"",ROUND(INDEX(tsk_Progress,(ROW()-ROW(MSPTasks[[#Headers],[ID]])))*100,0)))</f>
        <v/>
      </c>
      <c r="M123" s="137" t="str">
        <f aca="false">IF(IFERROR(INDEX(tsk_Name,(ROW()-ROW(MSPTasks[[#Headers],[ID]])))="",TRUE()),"",IF(N(INDEX(tsk_ActStart,(ROW()-ROW(MSPTasks[[#Headers],[ID]]))))=0,"",INDEX(tsk_ActStart,(ROW()-ROW(MSPTasks[[#Headers],[ID]])))))</f>
        <v/>
      </c>
      <c r="N123" s="137" t="str">
        <f aca="false">IF(IFERROR(INDEX(tsk_Name,(ROW()-ROW(MSPTasks[[#Headers],[ID]])))="",TRUE()),"",IF(N(INDEX(tsk_ActFinish,(ROW()-ROW(MSPTasks[[#Headers],[ID]]))))=0,"",INDEX(tsk_ActFinish,(ROW()-ROW(MSPTasks[[#Headers],[ID]])))))</f>
        <v/>
      </c>
      <c r="O123" s="137" t="str">
        <f aca="false">IF(IFERROR(INDEX(tsk_Name,(ROW()-ROW(MSPTasks[[#Headers],[ID]])))="",TRUE()),"",INDEX(tsk_PlanStart,(ROW()-ROW(MSPTasks[[#Headers],[ID]]))))</f>
        <v/>
      </c>
      <c r="P123" s="137" t="str">
        <f aca="false">IF(IFERROR(INDEX(tsk_Name,(ROW()-ROW(MSPTasks[[#Headers],[ID]])))="",TRUE()),"",INDEX(tsk_PlanFinish,(ROW()-ROW(MSPTasks[[#Headers],[ID]]))))</f>
        <v/>
      </c>
      <c r="Q123" s="24" t="str">
        <f aca="false">IF(IFERROR(INDEX(tsk_Name,(ROW()-ROW(MSPTasks[[#Headers],[ID]])))="",TRUE()),"",IF(INDEX(tsk_BaseDuration,(ROW()-ROW(MSPTasks[[#Headers],[ID]])))="","",N(INDEX(tsk_BaseDuration,(ROW()-ROW(MSPTasks[[#Headers],[ID]]))))&amp;"d"))</f>
        <v/>
      </c>
      <c r="R123" s="24" t="str">
        <f aca="false">IF(IFERROR(INDEX(tsk_Name,(ROW()-ROW(MSPTasks[[#Headers],[ID]])))="",TRUE()),"",IF(INDEX(tsk_BaseWork,(ROW()-ROW(MSPTasks[[#Headers],[ID]])))="","",N(INDEX(tsk_BaseWork,(ROW()-ROW(MSPTasks[[#Headers],[ID]]))))&amp;"h"))</f>
        <v/>
      </c>
      <c r="S123" s="24" t="str">
        <f aca="false">IF(IFERROR(INDEX(tsk_Name,(ROW()-ROW(MSPTasks[[#Headers],[ID]])))="",TRUE()),"",IF(INDEX(tsk_BaseCost,(ROW()-ROW(MSPTasks[[#Headers],[ID]])))="","",N(INDEX(tsk_BaseCost,(ROW()-ROW(MSPTasks[[#Headers],[ID]]))))))</f>
        <v/>
      </c>
      <c r="T123" s="24" t="str">
        <f aca="false">IF(IFERROR(INDEX(tsk_Name,(ROW()-ROW(MSPTasks[[#Headers],[ID]])))="",TRUE()),"",IF(INDEX(tsk_IsSummary,(ROW()-ROW(MSPTasks[[#Headers],[ID]]))),"",IF(N(INDEX(tsk_ActCostInput,(ROW()-ROW(MSPTasks[[#Headers],[ID]]))))=0,"",INDEX(tsk_ActCostInput,(ROW()-ROW(MSPTasks[[#Headers],[ID]]))))))</f>
        <v/>
      </c>
      <c r="U12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3" s="137" t="str">
        <f aca="false">IF(IFERROR(INDEX(tsk_Name,(ROW()-ROW(MSPTasks[[#Headers],[ID]])))="",TRUE()),"",IF(OR(INDEX(tsk_IsSummary,(ROW()-ROW(MSPTasks[[#Headers],[ID]]))),INDEX(tsk_Mode,(ROW()-ROW(MSPTasks[[#Headers],[ID]])))="Manual"),"",IF(N(INDEX(tsk_ConstraintCode,(ROW()-ROW(MSPTasks[[#Headers],[ID]]))))&lt;2,"",INDEX(tsk_Constraint,(ROW()-ROW(MSPTasks[[#Headers],[ID]]))))))</f>
        <v/>
      </c>
      <c r="W123" s="137" t="str">
        <f aca="false">IF(IFERROR(INDEX(tsk_Name,(ROW()-ROW(MSPTasks[[#Headers],[ID]])))="",TRUE()),"",IF(N(INDEX(tsk_Deadline,(ROW()-ROW(MSPTasks[[#Headers],[ID]]))))=0,"",INDEX(tsk_Deadline,(ROW()-ROW(MSPTasks[[#Headers],[ID]])))))</f>
        <v/>
      </c>
      <c r="X123" s="24" t="str">
        <f aca="false">IF(IFERROR(INDEX(tsk_Name,(ROW()-ROW(MSPTasks[[#Headers],[ID]])))="",TRUE()),"",IF(INDEX(tsk_IsSummary,(ROW()-ROW(MSPTasks[[#Headers],[ID]]))),"",INDEX(tsk_Sprint,(ROW()-ROW(MSPTasks[[#Headers],[ID]])))&amp;""))</f>
        <v/>
      </c>
      <c r="Y123" s="24" t="str">
        <f aca="false">IF(IFERROR(INDEX(tsk_Name,(ROW()-ROW(MSPTasks[[#Headers],[ID]])))="",TRUE()),"",IF(INDEX(tsk_IsSummary,(ROW()-ROW(MSPTasks[[#Headers],[ID]]))),"",IF(N(INDEX(tsk_StoryPoints,(ROW()-ROW(MSPTasks[[#Headers],[ID]]))))=0,"",INDEX(tsk_StoryPoints,(ROW()-ROW(MSPTasks[[#Headers],[ID]]))))))</f>
        <v/>
      </c>
      <c r="Z123" s="24" t="str">
        <f aca="false">IF(IFERROR(INDEX(tsk_Name,(ROW()-ROW(MSPTasks[[#Headers],[ID]])))="",TRUE()),"",INDEX(tsk_Notes,(ROW()-ROW(MSPTasks[[#Headers],[ID]])))&amp;"")</f>
        <v/>
      </c>
    </row>
    <row r="124" customFormat="false" ht="15" hidden="false" customHeight="false" outlineLevel="0" collapsed="false">
      <c r="A124" s="24" t="str">
        <f aca="false">IF(IFERROR(INDEX(tsk_Name,(ROW()-ROW(MSPTasks[[#Headers],[ID]])))="",TRUE()),"",INDEX(tsk_ID,(ROW()-ROW(MSPTasks[[#Headers],[ID]]))))</f>
        <v/>
      </c>
      <c r="B124" s="24" t="str">
        <f aca="false">IF(IFERROR(INDEX(tsk_Name,(ROW()-ROW(MSPTasks[[#Headers],[ID]])))="",TRUE()),"",INDEX(tsk_UID,(ROW()-ROW(MSPTasks[[#Headers],[ID]]))))</f>
        <v/>
      </c>
      <c r="C124" s="24" t="str">
        <f aca="false">IF(IFERROR(INDEX(tsk_Name,(ROW()-ROW(MSPTasks[[#Headers],[ID]])))="",TRUE()),"",INDEX(tsk_Name,(ROW()-ROW(MSPTasks[[#Headers],[ID]]))))</f>
        <v/>
      </c>
      <c r="D124" s="24" t="str">
        <f aca="false">IF(IFERROR(INDEX(tsk_Name,(ROW()-ROW(MSPTasks[[#Headers],[ID]])))="",TRUE()),"",INDEX(tsk_Level,(ROW()-ROW(MSPTasks[[#Headers],[ID]]))))</f>
        <v/>
      </c>
      <c r="E124" s="24" t="str">
        <f aca="false">IF(IFERROR(INDEX(tsk_Name,(ROW()-ROW(MSPTasks[[#Headers],[ID]])))="",TRUE()),"",IF(INDEX(tsk_Mode,(ROW()-ROW(MSPTasks[[#Headers],[ID]])))="Manual","Manually Scheduled","Auto Scheduled"))</f>
        <v/>
      </c>
      <c r="F124" s="24" t="str">
        <f aca="false">IF(IFERROR(INDEX(tsk_Name,(ROW()-ROW(MSPTasks[[#Headers],[ID]])))="",TRUE()),"",IF(INDEX(tsk_IsSummary,(ROW()-ROW(MSPTasks[[#Headers],[ID]]))),"",N(INDEX(tsk_Duration,(ROW()-ROW(MSPTasks[[#Headers],[ID]]))))&amp;"d"))</f>
        <v/>
      </c>
      <c r="G124" s="137" t="str">
        <f aca="false">IF(IFERROR(INDEX(tsk_Name,(ROW()-ROW(MSPTasks[[#Headers],[ID]])))="",TRUE()),"",INDEX(tsk_FcStart,(ROW()-ROW(MSPTasks[[#Headers],[ID]]))))</f>
        <v/>
      </c>
      <c r="H124" s="137" t="str">
        <f aca="false">IF(IFERROR(INDEX(tsk_Name,(ROW()-ROW(MSPTasks[[#Headers],[ID]])))="",TRUE()),"",INDEX(tsk_FcFinish,(ROW()-ROW(MSPTasks[[#Headers],[ID]]))))</f>
        <v/>
      </c>
      <c r="I124" s="24" t="str">
        <f aca="false">IF(IFERROR(INDEX(tsk_Name,(ROW()-ROW(MSPTasks[[#Headers],[ID]])))="",TRUE()),"",IF(INDEX(tsk_IsSummary,(ROW()-ROW(MSPTasks[[#Headers],[ID]]))),"",INDEX(tsk_Predecessors,(ROW()-ROW(MSPTasks[[#Headers],[ID]])))))</f>
        <v/>
      </c>
      <c r="J124" s="24" t="str">
        <f aca="false">IF(IFERROR(INDEX(tsk_Name,(ROW()-ROW(MSPTasks[[#Headers],[ID]])))="",TRUE()),"",IF(INDEX(tsk_IsSummary,(ROW()-ROW(MSPTasks[[#Headers],[ID]]))),"",INDEX(tsk_UIDPredecessors,(ROW()-ROW(MSPTasks[[#Headers],[ID]])))))</f>
        <v/>
      </c>
      <c r="K124" s="24" t="str">
        <f aca="false">IF(IFERROR(INDEX(tsk_Name,(ROW()-ROW(MSPTasks[[#Headers],[ID]])))="",TRUE()),"",INDEX(tsk_ResourceNames,(ROW()-ROW(MSPTasks[[#Headers],[ID]])))&amp;"")</f>
        <v/>
      </c>
      <c r="L124" s="24" t="str">
        <f aca="false">IF(IFERROR(INDEX(tsk_Name,(ROW()-ROW(MSPTasks[[#Headers],[ID]])))="",TRUE()),"",IF(INDEX(tsk_IsSummary,(ROW()-ROW(MSPTasks[[#Headers],[ID]]))),"",ROUND(INDEX(tsk_Progress,(ROW()-ROW(MSPTasks[[#Headers],[ID]])))*100,0)))</f>
        <v/>
      </c>
      <c r="M124" s="137" t="str">
        <f aca="false">IF(IFERROR(INDEX(tsk_Name,(ROW()-ROW(MSPTasks[[#Headers],[ID]])))="",TRUE()),"",IF(N(INDEX(tsk_ActStart,(ROW()-ROW(MSPTasks[[#Headers],[ID]]))))=0,"",INDEX(tsk_ActStart,(ROW()-ROW(MSPTasks[[#Headers],[ID]])))))</f>
        <v/>
      </c>
      <c r="N124" s="137" t="str">
        <f aca="false">IF(IFERROR(INDEX(tsk_Name,(ROW()-ROW(MSPTasks[[#Headers],[ID]])))="",TRUE()),"",IF(N(INDEX(tsk_ActFinish,(ROW()-ROW(MSPTasks[[#Headers],[ID]]))))=0,"",INDEX(tsk_ActFinish,(ROW()-ROW(MSPTasks[[#Headers],[ID]])))))</f>
        <v/>
      </c>
      <c r="O124" s="137" t="str">
        <f aca="false">IF(IFERROR(INDEX(tsk_Name,(ROW()-ROW(MSPTasks[[#Headers],[ID]])))="",TRUE()),"",INDEX(tsk_PlanStart,(ROW()-ROW(MSPTasks[[#Headers],[ID]]))))</f>
        <v/>
      </c>
      <c r="P124" s="137" t="str">
        <f aca="false">IF(IFERROR(INDEX(tsk_Name,(ROW()-ROW(MSPTasks[[#Headers],[ID]])))="",TRUE()),"",INDEX(tsk_PlanFinish,(ROW()-ROW(MSPTasks[[#Headers],[ID]]))))</f>
        <v/>
      </c>
      <c r="Q124" s="24" t="str">
        <f aca="false">IF(IFERROR(INDEX(tsk_Name,(ROW()-ROW(MSPTasks[[#Headers],[ID]])))="",TRUE()),"",IF(INDEX(tsk_BaseDuration,(ROW()-ROW(MSPTasks[[#Headers],[ID]])))="","",N(INDEX(tsk_BaseDuration,(ROW()-ROW(MSPTasks[[#Headers],[ID]]))))&amp;"d"))</f>
        <v/>
      </c>
      <c r="R124" s="24" t="str">
        <f aca="false">IF(IFERROR(INDEX(tsk_Name,(ROW()-ROW(MSPTasks[[#Headers],[ID]])))="",TRUE()),"",IF(INDEX(tsk_BaseWork,(ROW()-ROW(MSPTasks[[#Headers],[ID]])))="","",N(INDEX(tsk_BaseWork,(ROW()-ROW(MSPTasks[[#Headers],[ID]]))))&amp;"h"))</f>
        <v/>
      </c>
      <c r="S124" s="24" t="str">
        <f aca="false">IF(IFERROR(INDEX(tsk_Name,(ROW()-ROW(MSPTasks[[#Headers],[ID]])))="",TRUE()),"",IF(INDEX(tsk_BaseCost,(ROW()-ROW(MSPTasks[[#Headers],[ID]])))="","",N(INDEX(tsk_BaseCost,(ROW()-ROW(MSPTasks[[#Headers],[ID]]))))))</f>
        <v/>
      </c>
      <c r="T124" s="24" t="str">
        <f aca="false">IF(IFERROR(INDEX(tsk_Name,(ROW()-ROW(MSPTasks[[#Headers],[ID]])))="",TRUE()),"",IF(INDEX(tsk_IsSummary,(ROW()-ROW(MSPTasks[[#Headers],[ID]]))),"",IF(N(INDEX(tsk_ActCostInput,(ROW()-ROW(MSPTasks[[#Headers],[ID]]))))=0,"",INDEX(tsk_ActCostInput,(ROW()-ROW(MSPTasks[[#Headers],[ID]]))))))</f>
        <v/>
      </c>
      <c r="U12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4" s="137" t="str">
        <f aca="false">IF(IFERROR(INDEX(tsk_Name,(ROW()-ROW(MSPTasks[[#Headers],[ID]])))="",TRUE()),"",IF(OR(INDEX(tsk_IsSummary,(ROW()-ROW(MSPTasks[[#Headers],[ID]]))),INDEX(tsk_Mode,(ROW()-ROW(MSPTasks[[#Headers],[ID]])))="Manual"),"",IF(N(INDEX(tsk_ConstraintCode,(ROW()-ROW(MSPTasks[[#Headers],[ID]]))))&lt;2,"",INDEX(tsk_Constraint,(ROW()-ROW(MSPTasks[[#Headers],[ID]]))))))</f>
        <v/>
      </c>
      <c r="W124" s="137" t="str">
        <f aca="false">IF(IFERROR(INDEX(tsk_Name,(ROW()-ROW(MSPTasks[[#Headers],[ID]])))="",TRUE()),"",IF(N(INDEX(tsk_Deadline,(ROW()-ROW(MSPTasks[[#Headers],[ID]]))))=0,"",INDEX(tsk_Deadline,(ROW()-ROW(MSPTasks[[#Headers],[ID]])))))</f>
        <v/>
      </c>
      <c r="X124" s="24" t="str">
        <f aca="false">IF(IFERROR(INDEX(tsk_Name,(ROW()-ROW(MSPTasks[[#Headers],[ID]])))="",TRUE()),"",IF(INDEX(tsk_IsSummary,(ROW()-ROW(MSPTasks[[#Headers],[ID]]))),"",INDEX(tsk_Sprint,(ROW()-ROW(MSPTasks[[#Headers],[ID]])))&amp;""))</f>
        <v/>
      </c>
      <c r="Y124" s="24" t="str">
        <f aca="false">IF(IFERROR(INDEX(tsk_Name,(ROW()-ROW(MSPTasks[[#Headers],[ID]])))="",TRUE()),"",IF(INDEX(tsk_IsSummary,(ROW()-ROW(MSPTasks[[#Headers],[ID]]))),"",IF(N(INDEX(tsk_StoryPoints,(ROW()-ROW(MSPTasks[[#Headers],[ID]]))))=0,"",INDEX(tsk_StoryPoints,(ROW()-ROW(MSPTasks[[#Headers],[ID]]))))))</f>
        <v/>
      </c>
      <c r="Z124" s="24" t="str">
        <f aca="false">IF(IFERROR(INDEX(tsk_Name,(ROW()-ROW(MSPTasks[[#Headers],[ID]])))="",TRUE()),"",INDEX(tsk_Notes,(ROW()-ROW(MSPTasks[[#Headers],[ID]])))&amp;"")</f>
        <v/>
      </c>
    </row>
    <row r="125" customFormat="false" ht="15" hidden="false" customHeight="false" outlineLevel="0" collapsed="false">
      <c r="A125" s="24" t="str">
        <f aca="false">IF(IFERROR(INDEX(tsk_Name,(ROW()-ROW(MSPTasks[[#Headers],[ID]])))="",TRUE()),"",INDEX(tsk_ID,(ROW()-ROW(MSPTasks[[#Headers],[ID]]))))</f>
        <v/>
      </c>
      <c r="B125" s="24" t="str">
        <f aca="false">IF(IFERROR(INDEX(tsk_Name,(ROW()-ROW(MSPTasks[[#Headers],[ID]])))="",TRUE()),"",INDEX(tsk_UID,(ROW()-ROW(MSPTasks[[#Headers],[ID]]))))</f>
        <v/>
      </c>
      <c r="C125" s="24" t="str">
        <f aca="false">IF(IFERROR(INDEX(tsk_Name,(ROW()-ROW(MSPTasks[[#Headers],[ID]])))="",TRUE()),"",INDEX(tsk_Name,(ROW()-ROW(MSPTasks[[#Headers],[ID]]))))</f>
        <v/>
      </c>
      <c r="D125" s="24" t="str">
        <f aca="false">IF(IFERROR(INDEX(tsk_Name,(ROW()-ROW(MSPTasks[[#Headers],[ID]])))="",TRUE()),"",INDEX(tsk_Level,(ROW()-ROW(MSPTasks[[#Headers],[ID]]))))</f>
        <v/>
      </c>
      <c r="E125" s="24" t="str">
        <f aca="false">IF(IFERROR(INDEX(tsk_Name,(ROW()-ROW(MSPTasks[[#Headers],[ID]])))="",TRUE()),"",IF(INDEX(tsk_Mode,(ROW()-ROW(MSPTasks[[#Headers],[ID]])))="Manual","Manually Scheduled","Auto Scheduled"))</f>
        <v/>
      </c>
      <c r="F125" s="24" t="str">
        <f aca="false">IF(IFERROR(INDEX(tsk_Name,(ROW()-ROW(MSPTasks[[#Headers],[ID]])))="",TRUE()),"",IF(INDEX(tsk_IsSummary,(ROW()-ROW(MSPTasks[[#Headers],[ID]]))),"",N(INDEX(tsk_Duration,(ROW()-ROW(MSPTasks[[#Headers],[ID]]))))&amp;"d"))</f>
        <v/>
      </c>
      <c r="G125" s="137" t="str">
        <f aca="false">IF(IFERROR(INDEX(tsk_Name,(ROW()-ROW(MSPTasks[[#Headers],[ID]])))="",TRUE()),"",INDEX(tsk_FcStart,(ROW()-ROW(MSPTasks[[#Headers],[ID]]))))</f>
        <v/>
      </c>
      <c r="H125" s="137" t="str">
        <f aca="false">IF(IFERROR(INDEX(tsk_Name,(ROW()-ROW(MSPTasks[[#Headers],[ID]])))="",TRUE()),"",INDEX(tsk_FcFinish,(ROW()-ROW(MSPTasks[[#Headers],[ID]]))))</f>
        <v/>
      </c>
      <c r="I125" s="24" t="str">
        <f aca="false">IF(IFERROR(INDEX(tsk_Name,(ROW()-ROW(MSPTasks[[#Headers],[ID]])))="",TRUE()),"",IF(INDEX(tsk_IsSummary,(ROW()-ROW(MSPTasks[[#Headers],[ID]]))),"",INDEX(tsk_Predecessors,(ROW()-ROW(MSPTasks[[#Headers],[ID]])))))</f>
        <v/>
      </c>
      <c r="J125" s="24" t="str">
        <f aca="false">IF(IFERROR(INDEX(tsk_Name,(ROW()-ROW(MSPTasks[[#Headers],[ID]])))="",TRUE()),"",IF(INDEX(tsk_IsSummary,(ROW()-ROW(MSPTasks[[#Headers],[ID]]))),"",INDEX(tsk_UIDPredecessors,(ROW()-ROW(MSPTasks[[#Headers],[ID]])))))</f>
        <v/>
      </c>
      <c r="K125" s="24" t="str">
        <f aca="false">IF(IFERROR(INDEX(tsk_Name,(ROW()-ROW(MSPTasks[[#Headers],[ID]])))="",TRUE()),"",INDEX(tsk_ResourceNames,(ROW()-ROW(MSPTasks[[#Headers],[ID]])))&amp;"")</f>
        <v/>
      </c>
      <c r="L125" s="24" t="str">
        <f aca="false">IF(IFERROR(INDEX(tsk_Name,(ROW()-ROW(MSPTasks[[#Headers],[ID]])))="",TRUE()),"",IF(INDEX(tsk_IsSummary,(ROW()-ROW(MSPTasks[[#Headers],[ID]]))),"",ROUND(INDEX(tsk_Progress,(ROW()-ROW(MSPTasks[[#Headers],[ID]])))*100,0)))</f>
        <v/>
      </c>
      <c r="M125" s="137" t="str">
        <f aca="false">IF(IFERROR(INDEX(tsk_Name,(ROW()-ROW(MSPTasks[[#Headers],[ID]])))="",TRUE()),"",IF(N(INDEX(tsk_ActStart,(ROW()-ROW(MSPTasks[[#Headers],[ID]]))))=0,"",INDEX(tsk_ActStart,(ROW()-ROW(MSPTasks[[#Headers],[ID]])))))</f>
        <v/>
      </c>
      <c r="N125" s="137" t="str">
        <f aca="false">IF(IFERROR(INDEX(tsk_Name,(ROW()-ROW(MSPTasks[[#Headers],[ID]])))="",TRUE()),"",IF(N(INDEX(tsk_ActFinish,(ROW()-ROW(MSPTasks[[#Headers],[ID]]))))=0,"",INDEX(tsk_ActFinish,(ROW()-ROW(MSPTasks[[#Headers],[ID]])))))</f>
        <v/>
      </c>
      <c r="O125" s="137" t="str">
        <f aca="false">IF(IFERROR(INDEX(tsk_Name,(ROW()-ROW(MSPTasks[[#Headers],[ID]])))="",TRUE()),"",INDEX(tsk_PlanStart,(ROW()-ROW(MSPTasks[[#Headers],[ID]]))))</f>
        <v/>
      </c>
      <c r="P125" s="137" t="str">
        <f aca="false">IF(IFERROR(INDEX(tsk_Name,(ROW()-ROW(MSPTasks[[#Headers],[ID]])))="",TRUE()),"",INDEX(tsk_PlanFinish,(ROW()-ROW(MSPTasks[[#Headers],[ID]]))))</f>
        <v/>
      </c>
      <c r="Q125" s="24" t="str">
        <f aca="false">IF(IFERROR(INDEX(tsk_Name,(ROW()-ROW(MSPTasks[[#Headers],[ID]])))="",TRUE()),"",IF(INDEX(tsk_BaseDuration,(ROW()-ROW(MSPTasks[[#Headers],[ID]])))="","",N(INDEX(tsk_BaseDuration,(ROW()-ROW(MSPTasks[[#Headers],[ID]]))))&amp;"d"))</f>
        <v/>
      </c>
      <c r="R125" s="24" t="str">
        <f aca="false">IF(IFERROR(INDEX(tsk_Name,(ROW()-ROW(MSPTasks[[#Headers],[ID]])))="",TRUE()),"",IF(INDEX(tsk_BaseWork,(ROW()-ROW(MSPTasks[[#Headers],[ID]])))="","",N(INDEX(tsk_BaseWork,(ROW()-ROW(MSPTasks[[#Headers],[ID]]))))&amp;"h"))</f>
        <v/>
      </c>
      <c r="S125" s="24" t="str">
        <f aca="false">IF(IFERROR(INDEX(tsk_Name,(ROW()-ROW(MSPTasks[[#Headers],[ID]])))="",TRUE()),"",IF(INDEX(tsk_BaseCost,(ROW()-ROW(MSPTasks[[#Headers],[ID]])))="","",N(INDEX(tsk_BaseCost,(ROW()-ROW(MSPTasks[[#Headers],[ID]]))))))</f>
        <v/>
      </c>
      <c r="T125" s="24" t="str">
        <f aca="false">IF(IFERROR(INDEX(tsk_Name,(ROW()-ROW(MSPTasks[[#Headers],[ID]])))="",TRUE()),"",IF(INDEX(tsk_IsSummary,(ROW()-ROW(MSPTasks[[#Headers],[ID]]))),"",IF(N(INDEX(tsk_ActCostInput,(ROW()-ROW(MSPTasks[[#Headers],[ID]]))))=0,"",INDEX(tsk_ActCostInput,(ROW()-ROW(MSPTasks[[#Headers],[ID]]))))))</f>
        <v/>
      </c>
      <c r="U12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5" s="137" t="str">
        <f aca="false">IF(IFERROR(INDEX(tsk_Name,(ROW()-ROW(MSPTasks[[#Headers],[ID]])))="",TRUE()),"",IF(OR(INDEX(tsk_IsSummary,(ROW()-ROW(MSPTasks[[#Headers],[ID]]))),INDEX(tsk_Mode,(ROW()-ROW(MSPTasks[[#Headers],[ID]])))="Manual"),"",IF(N(INDEX(tsk_ConstraintCode,(ROW()-ROW(MSPTasks[[#Headers],[ID]]))))&lt;2,"",INDEX(tsk_Constraint,(ROW()-ROW(MSPTasks[[#Headers],[ID]]))))))</f>
        <v/>
      </c>
      <c r="W125" s="137" t="str">
        <f aca="false">IF(IFERROR(INDEX(tsk_Name,(ROW()-ROW(MSPTasks[[#Headers],[ID]])))="",TRUE()),"",IF(N(INDEX(tsk_Deadline,(ROW()-ROW(MSPTasks[[#Headers],[ID]]))))=0,"",INDEX(tsk_Deadline,(ROW()-ROW(MSPTasks[[#Headers],[ID]])))))</f>
        <v/>
      </c>
      <c r="X125" s="24" t="str">
        <f aca="false">IF(IFERROR(INDEX(tsk_Name,(ROW()-ROW(MSPTasks[[#Headers],[ID]])))="",TRUE()),"",IF(INDEX(tsk_IsSummary,(ROW()-ROW(MSPTasks[[#Headers],[ID]]))),"",INDEX(tsk_Sprint,(ROW()-ROW(MSPTasks[[#Headers],[ID]])))&amp;""))</f>
        <v/>
      </c>
      <c r="Y125" s="24" t="str">
        <f aca="false">IF(IFERROR(INDEX(tsk_Name,(ROW()-ROW(MSPTasks[[#Headers],[ID]])))="",TRUE()),"",IF(INDEX(tsk_IsSummary,(ROW()-ROW(MSPTasks[[#Headers],[ID]]))),"",IF(N(INDEX(tsk_StoryPoints,(ROW()-ROW(MSPTasks[[#Headers],[ID]]))))=0,"",INDEX(tsk_StoryPoints,(ROW()-ROW(MSPTasks[[#Headers],[ID]]))))))</f>
        <v/>
      </c>
      <c r="Z125" s="24" t="str">
        <f aca="false">IF(IFERROR(INDEX(tsk_Name,(ROW()-ROW(MSPTasks[[#Headers],[ID]])))="",TRUE()),"",INDEX(tsk_Notes,(ROW()-ROW(MSPTasks[[#Headers],[ID]])))&amp;"")</f>
        <v/>
      </c>
    </row>
    <row r="126" customFormat="false" ht="15" hidden="false" customHeight="false" outlineLevel="0" collapsed="false">
      <c r="A126" s="24" t="str">
        <f aca="false">IF(IFERROR(INDEX(tsk_Name,(ROW()-ROW(MSPTasks[[#Headers],[ID]])))="",TRUE()),"",INDEX(tsk_ID,(ROW()-ROW(MSPTasks[[#Headers],[ID]]))))</f>
        <v/>
      </c>
      <c r="B126" s="24" t="str">
        <f aca="false">IF(IFERROR(INDEX(tsk_Name,(ROW()-ROW(MSPTasks[[#Headers],[ID]])))="",TRUE()),"",INDEX(tsk_UID,(ROW()-ROW(MSPTasks[[#Headers],[ID]]))))</f>
        <v/>
      </c>
      <c r="C126" s="24" t="str">
        <f aca="false">IF(IFERROR(INDEX(tsk_Name,(ROW()-ROW(MSPTasks[[#Headers],[ID]])))="",TRUE()),"",INDEX(tsk_Name,(ROW()-ROW(MSPTasks[[#Headers],[ID]]))))</f>
        <v/>
      </c>
      <c r="D126" s="24" t="str">
        <f aca="false">IF(IFERROR(INDEX(tsk_Name,(ROW()-ROW(MSPTasks[[#Headers],[ID]])))="",TRUE()),"",INDEX(tsk_Level,(ROW()-ROW(MSPTasks[[#Headers],[ID]]))))</f>
        <v/>
      </c>
      <c r="E126" s="24" t="str">
        <f aca="false">IF(IFERROR(INDEX(tsk_Name,(ROW()-ROW(MSPTasks[[#Headers],[ID]])))="",TRUE()),"",IF(INDEX(tsk_Mode,(ROW()-ROW(MSPTasks[[#Headers],[ID]])))="Manual","Manually Scheduled","Auto Scheduled"))</f>
        <v/>
      </c>
      <c r="F126" s="24" t="str">
        <f aca="false">IF(IFERROR(INDEX(tsk_Name,(ROW()-ROW(MSPTasks[[#Headers],[ID]])))="",TRUE()),"",IF(INDEX(tsk_IsSummary,(ROW()-ROW(MSPTasks[[#Headers],[ID]]))),"",N(INDEX(tsk_Duration,(ROW()-ROW(MSPTasks[[#Headers],[ID]]))))&amp;"d"))</f>
        <v/>
      </c>
      <c r="G126" s="137" t="str">
        <f aca="false">IF(IFERROR(INDEX(tsk_Name,(ROW()-ROW(MSPTasks[[#Headers],[ID]])))="",TRUE()),"",INDEX(tsk_FcStart,(ROW()-ROW(MSPTasks[[#Headers],[ID]]))))</f>
        <v/>
      </c>
      <c r="H126" s="137" t="str">
        <f aca="false">IF(IFERROR(INDEX(tsk_Name,(ROW()-ROW(MSPTasks[[#Headers],[ID]])))="",TRUE()),"",INDEX(tsk_FcFinish,(ROW()-ROW(MSPTasks[[#Headers],[ID]]))))</f>
        <v/>
      </c>
      <c r="I126" s="24" t="str">
        <f aca="false">IF(IFERROR(INDEX(tsk_Name,(ROW()-ROW(MSPTasks[[#Headers],[ID]])))="",TRUE()),"",IF(INDEX(tsk_IsSummary,(ROW()-ROW(MSPTasks[[#Headers],[ID]]))),"",INDEX(tsk_Predecessors,(ROW()-ROW(MSPTasks[[#Headers],[ID]])))))</f>
        <v/>
      </c>
      <c r="J126" s="24" t="str">
        <f aca="false">IF(IFERROR(INDEX(tsk_Name,(ROW()-ROW(MSPTasks[[#Headers],[ID]])))="",TRUE()),"",IF(INDEX(tsk_IsSummary,(ROW()-ROW(MSPTasks[[#Headers],[ID]]))),"",INDEX(tsk_UIDPredecessors,(ROW()-ROW(MSPTasks[[#Headers],[ID]])))))</f>
        <v/>
      </c>
      <c r="K126" s="24" t="str">
        <f aca="false">IF(IFERROR(INDEX(tsk_Name,(ROW()-ROW(MSPTasks[[#Headers],[ID]])))="",TRUE()),"",INDEX(tsk_ResourceNames,(ROW()-ROW(MSPTasks[[#Headers],[ID]])))&amp;"")</f>
        <v/>
      </c>
      <c r="L126" s="24" t="str">
        <f aca="false">IF(IFERROR(INDEX(tsk_Name,(ROW()-ROW(MSPTasks[[#Headers],[ID]])))="",TRUE()),"",IF(INDEX(tsk_IsSummary,(ROW()-ROW(MSPTasks[[#Headers],[ID]]))),"",ROUND(INDEX(tsk_Progress,(ROW()-ROW(MSPTasks[[#Headers],[ID]])))*100,0)))</f>
        <v/>
      </c>
      <c r="M126" s="137" t="str">
        <f aca="false">IF(IFERROR(INDEX(tsk_Name,(ROW()-ROW(MSPTasks[[#Headers],[ID]])))="",TRUE()),"",IF(N(INDEX(tsk_ActStart,(ROW()-ROW(MSPTasks[[#Headers],[ID]]))))=0,"",INDEX(tsk_ActStart,(ROW()-ROW(MSPTasks[[#Headers],[ID]])))))</f>
        <v/>
      </c>
      <c r="N126" s="137" t="str">
        <f aca="false">IF(IFERROR(INDEX(tsk_Name,(ROW()-ROW(MSPTasks[[#Headers],[ID]])))="",TRUE()),"",IF(N(INDEX(tsk_ActFinish,(ROW()-ROW(MSPTasks[[#Headers],[ID]]))))=0,"",INDEX(tsk_ActFinish,(ROW()-ROW(MSPTasks[[#Headers],[ID]])))))</f>
        <v/>
      </c>
      <c r="O126" s="137" t="str">
        <f aca="false">IF(IFERROR(INDEX(tsk_Name,(ROW()-ROW(MSPTasks[[#Headers],[ID]])))="",TRUE()),"",INDEX(tsk_PlanStart,(ROW()-ROW(MSPTasks[[#Headers],[ID]]))))</f>
        <v/>
      </c>
      <c r="P126" s="137" t="str">
        <f aca="false">IF(IFERROR(INDEX(tsk_Name,(ROW()-ROW(MSPTasks[[#Headers],[ID]])))="",TRUE()),"",INDEX(tsk_PlanFinish,(ROW()-ROW(MSPTasks[[#Headers],[ID]]))))</f>
        <v/>
      </c>
      <c r="Q126" s="24" t="str">
        <f aca="false">IF(IFERROR(INDEX(tsk_Name,(ROW()-ROW(MSPTasks[[#Headers],[ID]])))="",TRUE()),"",IF(INDEX(tsk_BaseDuration,(ROW()-ROW(MSPTasks[[#Headers],[ID]])))="","",N(INDEX(tsk_BaseDuration,(ROW()-ROW(MSPTasks[[#Headers],[ID]]))))&amp;"d"))</f>
        <v/>
      </c>
      <c r="R126" s="24" t="str">
        <f aca="false">IF(IFERROR(INDEX(tsk_Name,(ROW()-ROW(MSPTasks[[#Headers],[ID]])))="",TRUE()),"",IF(INDEX(tsk_BaseWork,(ROW()-ROW(MSPTasks[[#Headers],[ID]])))="","",N(INDEX(tsk_BaseWork,(ROW()-ROW(MSPTasks[[#Headers],[ID]]))))&amp;"h"))</f>
        <v/>
      </c>
      <c r="S126" s="24" t="str">
        <f aca="false">IF(IFERROR(INDEX(tsk_Name,(ROW()-ROW(MSPTasks[[#Headers],[ID]])))="",TRUE()),"",IF(INDEX(tsk_BaseCost,(ROW()-ROW(MSPTasks[[#Headers],[ID]])))="","",N(INDEX(tsk_BaseCost,(ROW()-ROW(MSPTasks[[#Headers],[ID]]))))))</f>
        <v/>
      </c>
      <c r="T126" s="24" t="str">
        <f aca="false">IF(IFERROR(INDEX(tsk_Name,(ROW()-ROW(MSPTasks[[#Headers],[ID]])))="",TRUE()),"",IF(INDEX(tsk_IsSummary,(ROW()-ROW(MSPTasks[[#Headers],[ID]]))),"",IF(N(INDEX(tsk_ActCostInput,(ROW()-ROW(MSPTasks[[#Headers],[ID]]))))=0,"",INDEX(tsk_ActCostInput,(ROW()-ROW(MSPTasks[[#Headers],[ID]]))))))</f>
        <v/>
      </c>
      <c r="U12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6" s="137" t="str">
        <f aca="false">IF(IFERROR(INDEX(tsk_Name,(ROW()-ROW(MSPTasks[[#Headers],[ID]])))="",TRUE()),"",IF(OR(INDEX(tsk_IsSummary,(ROW()-ROW(MSPTasks[[#Headers],[ID]]))),INDEX(tsk_Mode,(ROW()-ROW(MSPTasks[[#Headers],[ID]])))="Manual"),"",IF(N(INDEX(tsk_ConstraintCode,(ROW()-ROW(MSPTasks[[#Headers],[ID]]))))&lt;2,"",INDEX(tsk_Constraint,(ROW()-ROW(MSPTasks[[#Headers],[ID]]))))))</f>
        <v/>
      </c>
      <c r="W126" s="137" t="str">
        <f aca="false">IF(IFERROR(INDEX(tsk_Name,(ROW()-ROW(MSPTasks[[#Headers],[ID]])))="",TRUE()),"",IF(N(INDEX(tsk_Deadline,(ROW()-ROW(MSPTasks[[#Headers],[ID]]))))=0,"",INDEX(tsk_Deadline,(ROW()-ROW(MSPTasks[[#Headers],[ID]])))))</f>
        <v/>
      </c>
      <c r="X126" s="24" t="str">
        <f aca="false">IF(IFERROR(INDEX(tsk_Name,(ROW()-ROW(MSPTasks[[#Headers],[ID]])))="",TRUE()),"",IF(INDEX(tsk_IsSummary,(ROW()-ROW(MSPTasks[[#Headers],[ID]]))),"",INDEX(tsk_Sprint,(ROW()-ROW(MSPTasks[[#Headers],[ID]])))&amp;""))</f>
        <v/>
      </c>
      <c r="Y126" s="24" t="str">
        <f aca="false">IF(IFERROR(INDEX(tsk_Name,(ROW()-ROW(MSPTasks[[#Headers],[ID]])))="",TRUE()),"",IF(INDEX(tsk_IsSummary,(ROW()-ROW(MSPTasks[[#Headers],[ID]]))),"",IF(N(INDEX(tsk_StoryPoints,(ROW()-ROW(MSPTasks[[#Headers],[ID]]))))=0,"",INDEX(tsk_StoryPoints,(ROW()-ROW(MSPTasks[[#Headers],[ID]]))))))</f>
        <v/>
      </c>
      <c r="Z126" s="24" t="str">
        <f aca="false">IF(IFERROR(INDEX(tsk_Name,(ROW()-ROW(MSPTasks[[#Headers],[ID]])))="",TRUE()),"",INDEX(tsk_Notes,(ROW()-ROW(MSPTasks[[#Headers],[ID]])))&amp;"")</f>
        <v/>
      </c>
    </row>
    <row r="127" customFormat="false" ht="15" hidden="false" customHeight="false" outlineLevel="0" collapsed="false">
      <c r="A127" s="24" t="str">
        <f aca="false">IF(IFERROR(INDEX(tsk_Name,(ROW()-ROW(MSPTasks[[#Headers],[ID]])))="",TRUE()),"",INDEX(tsk_ID,(ROW()-ROW(MSPTasks[[#Headers],[ID]]))))</f>
        <v/>
      </c>
      <c r="B127" s="24" t="str">
        <f aca="false">IF(IFERROR(INDEX(tsk_Name,(ROW()-ROW(MSPTasks[[#Headers],[ID]])))="",TRUE()),"",INDEX(tsk_UID,(ROW()-ROW(MSPTasks[[#Headers],[ID]]))))</f>
        <v/>
      </c>
      <c r="C127" s="24" t="str">
        <f aca="false">IF(IFERROR(INDEX(tsk_Name,(ROW()-ROW(MSPTasks[[#Headers],[ID]])))="",TRUE()),"",INDEX(tsk_Name,(ROW()-ROW(MSPTasks[[#Headers],[ID]]))))</f>
        <v/>
      </c>
      <c r="D127" s="24" t="str">
        <f aca="false">IF(IFERROR(INDEX(tsk_Name,(ROW()-ROW(MSPTasks[[#Headers],[ID]])))="",TRUE()),"",INDEX(tsk_Level,(ROW()-ROW(MSPTasks[[#Headers],[ID]]))))</f>
        <v/>
      </c>
      <c r="E127" s="24" t="str">
        <f aca="false">IF(IFERROR(INDEX(tsk_Name,(ROW()-ROW(MSPTasks[[#Headers],[ID]])))="",TRUE()),"",IF(INDEX(tsk_Mode,(ROW()-ROW(MSPTasks[[#Headers],[ID]])))="Manual","Manually Scheduled","Auto Scheduled"))</f>
        <v/>
      </c>
      <c r="F127" s="24" t="str">
        <f aca="false">IF(IFERROR(INDEX(tsk_Name,(ROW()-ROW(MSPTasks[[#Headers],[ID]])))="",TRUE()),"",IF(INDEX(tsk_IsSummary,(ROW()-ROW(MSPTasks[[#Headers],[ID]]))),"",N(INDEX(tsk_Duration,(ROW()-ROW(MSPTasks[[#Headers],[ID]]))))&amp;"d"))</f>
        <v/>
      </c>
      <c r="G127" s="137" t="str">
        <f aca="false">IF(IFERROR(INDEX(tsk_Name,(ROW()-ROW(MSPTasks[[#Headers],[ID]])))="",TRUE()),"",INDEX(tsk_FcStart,(ROW()-ROW(MSPTasks[[#Headers],[ID]]))))</f>
        <v/>
      </c>
      <c r="H127" s="137" t="str">
        <f aca="false">IF(IFERROR(INDEX(tsk_Name,(ROW()-ROW(MSPTasks[[#Headers],[ID]])))="",TRUE()),"",INDEX(tsk_FcFinish,(ROW()-ROW(MSPTasks[[#Headers],[ID]]))))</f>
        <v/>
      </c>
      <c r="I127" s="24" t="str">
        <f aca="false">IF(IFERROR(INDEX(tsk_Name,(ROW()-ROW(MSPTasks[[#Headers],[ID]])))="",TRUE()),"",IF(INDEX(tsk_IsSummary,(ROW()-ROW(MSPTasks[[#Headers],[ID]]))),"",INDEX(tsk_Predecessors,(ROW()-ROW(MSPTasks[[#Headers],[ID]])))))</f>
        <v/>
      </c>
      <c r="J127" s="24" t="str">
        <f aca="false">IF(IFERROR(INDEX(tsk_Name,(ROW()-ROW(MSPTasks[[#Headers],[ID]])))="",TRUE()),"",IF(INDEX(tsk_IsSummary,(ROW()-ROW(MSPTasks[[#Headers],[ID]]))),"",INDEX(tsk_UIDPredecessors,(ROW()-ROW(MSPTasks[[#Headers],[ID]])))))</f>
        <v/>
      </c>
      <c r="K127" s="24" t="str">
        <f aca="false">IF(IFERROR(INDEX(tsk_Name,(ROW()-ROW(MSPTasks[[#Headers],[ID]])))="",TRUE()),"",INDEX(tsk_ResourceNames,(ROW()-ROW(MSPTasks[[#Headers],[ID]])))&amp;"")</f>
        <v/>
      </c>
      <c r="L127" s="24" t="str">
        <f aca="false">IF(IFERROR(INDEX(tsk_Name,(ROW()-ROW(MSPTasks[[#Headers],[ID]])))="",TRUE()),"",IF(INDEX(tsk_IsSummary,(ROW()-ROW(MSPTasks[[#Headers],[ID]]))),"",ROUND(INDEX(tsk_Progress,(ROW()-ROW(MSPTasks[[#Headers],[ID]])))*100,0)))</f>
        <v/>
      </c>
      <c r="M127" s="137" t="str">
        <f aca="false">IF(IFERROR(INDEX(tsk_Name,(ROW()-ROW(MSPTasks[[#Headers],[ID]])))="",TRUE()),"",IF(N(INDEX(tsk_ActStart,(ROW()-ROW(MSPTasks[[#Headers],[ID]]))))=0,"",INDEX(tsk_ActStart,(ROW()-ROW(MSPTasks[[#Headers],[ID]])))))</f>
        <v/>
      </c>
      <c r="N127" s="137" t="str">
        <f aca="false">IF(IFERROR(INDEX(tsk_Name,(ROW()-ROW(MSPTasks[[#Headers],[ID]])))="",TRUE()),"",IF(N(INDEX(tsk_ActFinish,(ROW()-ROW(MSPTasks[[#Headers],[ID]]))))=0,"",INDEX(tsk_ActFinish,(ROW()-ROW(MSPTasks[[#Headers],[ID]])))))</f>
        <v/>
      </c>
      <c r="O127" s="137" t="str">
        <f aca="false">IF(IFERROR(INDEX(tsk_Name,(ROW()-ROW(MSPTasks[[#Headers],[ID]])))="",TRUE()),"",INDEX(tsk_PlanStart,(ROW()-ROW(MSPTasks[[#Headers],[ID]]))))</f>
        <v/>
      </c>
      <c r="P127" s="137" t="str">
        <f aca="false">IF(IFERROR(INDEX(tsk_Name,(ROW()-ROW(MSPTasks[[#Headers],[ID]])))="",TRUE()),"",INDEX(tsk_PlanFinish,(ROW()-ROW(MSPTasks[[#Headers],[ID]]))))</f>
        <v/>
      </c>
      <c r="Q127" s="24" t="str">
        <f aca="false">IF(IFERROR(INDEX(tsk_Name,(ROW()-ROW(MSPTasks[[#Headers],[ID]])))="",TRUE()),"",IF(INDEX(tsk_BaseDuration,(ROW()-ROW(MSPTasks[[#Headers],[ID]])))="","",N(INDEX(tsk_BaseDuration,(ROW()-ROW(MSPTasks[[#Headers],[ID]]))))&amp;"d"))</f>
        <v/>
      </c>
      <c r="R127" s="24" t="str">
        <f aca="false">IF(IFERROR(INDEX(tsk_Name,(ROW()-ROW(MSPTasks[[#Headers],[ID]])))="",TRUE()),"",IF(INDEX(tsk_BaseWork,(ROW()-ROW(MSPTasks[[#Headers],[ID]])))="","",N(INDEX(tsk_BaseWork,(ROW()-ROW(MSPTasks[[#Headers],[ID]]))))&amp;"h"))</f>
        <v/>
      </c>
      <c r="S127" s="24" t="str">
        <f aca="false">IF(IFERROR(INDEX(tsk_Name,(ROW()-ROW(MSPTasks[[#Headers],[ID]])))="",TRUE()),"",IF(INDEX(tsk_BaseCost,(ROW()-ROW(MSPTasks[[#Headers],[ID]])))="","",N(INDEX(tsk_BaseCost,(ROW()-ROW(MSPTasks[[#Headers],[ID]]))))))</f>
        <v/>
      </c>
      <c r="T127" s="24" t="str">
        <f aca="false">IF(IFERROR(INDEX(tsk_Name,(ROW()-ROW(MSPTasks[[#Headers],[ID]])))="",TRUE()),"",IF(INDEX(tsk_IsSummary,(ROW()-ROW(MSPTasks[[#Headers],[ID]]))),"",IF(N(INDEX(tsk_ActCostInput,(ROW()-ROW(MSPTasks[[#Headers],[ID]]))))=0,"",INDEX(tsk_ActCostInput,(ROW()-ROW(MSPTasks[[#Headers],[ID]]))))))</f>
        <v/>
      </c>
      <c r="U12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7" s="137" t="str">
        <f aca="false">IF(IFERROR(INDEX(tsk_Name,(ROW()-ROW(MSPTasks[[#Headers],[ID]])))="",TRUE()),"",IF(OR(INDEX(tsk_IsSummary,(ROW()-ROW(MSPTasks[[#Headers],[ID]]))),INDEX(tsk_Mode,(ROW()-ROW(MSPTasks[[#Headers],[ID]])))="Manual"),"",IF(N(INDEX(tsk_ConstraintCode,(ROW()-ROW(MSPTasks[[#Headers],[ID]]))))&lt;2,"",INDEX(tsk_Constraint,(ROW()-ROW(MSPTasks[[#Headers],[ID]]))))))</f>
        <v/>
      </c>
      <c r="W127" s="137" t="str">
        <f aca="false">IF(IFERROR(INDEX(tsk_Name,(ROW()-ROW(MSPTasks[[#Headers],[ID]])))="",TRUE()),"",IF(N(INDEX(tsk_Deadline,(ROW()-ROW(MSPTasks[[#Headers],[ID]]))))=0,"",INDEX(tsk_Deadline,(ROW()-ROW(MSPTasks[[#Headers],[ID]])))))</f>
        <v/>
      </c>
      <c r="X127" s="24" t="str">
        <f aca="false">IF(IFERROR(INDEX(tsk_Name,(ROW()-ROW(MSPTasks[[#Headers],[ID]])))="",TRUE()),"",IF(INDEX(tsk_IsSummary,(ROW()-ROW(MSPTasks[[#Headers],[ID]]))),"",INDEX(tsk_Sprint,(ROW()-ROW(MSPTasks[[#Headers],[ID]])))&amp;""))</f>
        <v/>
      </c>
      <c r="Y127" s="24" t="str">
        <f aca="false">IF(IFERROR(INDEX(tsk_Name,(ROW()-ROW(MSPTasks[[#Headers],[ID]])))="",TRUE()),"",IF(INDEX(tsk_IsSummary,(ROW()-ROW(MSPTasks[[#Headers],[ID]]))),"",IF(N(INDEX(tsk_StoryPoints,(ROW()-ROW(MSPTasks[[#Headers],[ID]]))))=0,"",INDEX(tsk_StoryPoints,(ROW()-ROW(MSPTasks[[#Headers],[ID]]))))))</f>
        <v/>
      </c>
      <c r="Z127" s="24" t="str">
        <f aca="false">IF(IFERROR(INDEX(tsk_Name,(ROW()-ROW(MSPTasks[[#Headers],[ID]])))="",TRUE()),"",INDEX(tsk_Notes,(ROW()-ROW(MSPTasks[[#Headers],[ID]])))&amp;"")</f>
        <v/>
      </c>
    </row>
    <row r="128" customFormat="false" ht="15" hidden="false" customHeight="false" outlineLevel="0" collapsed="false">
      <c r="A128" s="24" t="str">
        <f aca="false">IF(IFERROR(INDEX(tsk_Name,(ROW()-ROW(MSPTasks[[#Headers],[ID]])))="",TRUE()),"",INDEX(tsk_ID,(ROW()-ROW(MSPTasks[[#Headers],[ID]]))))</f>
        <v/>
      </c>
      <c r="B128" s="24" t="str">
        <f aca="false">IF(IFERROR(INDEX(tsk_Name,(ROW()-ROW(MSPTasks[[#Headers],[ID]])))="",TRUE()),"",INDEX(tsk_UID,(ROW()-ROW(MSPTasks[[#Headers],[ID]]))))</f>
        <v/>
      </c>
      <c r="C128" s="24" t="str">
        <f aca="false">IF(IFERROR(INDEX(tsk_Name,(ROW()-ROW(MSPTasks[[#Headers],[ID]])))="",TRUE()),"",INDEX(tsk_Name,(ROW()-ROW(MSPTasks[[#Headers],[ID]]))))</f>
        <v/>
      </c>
      <c r="D128" s="24" t="str">
        <f aca="false">IF(IFERROR(INDEX(tsk_Name,(ROW()-ROW(MSPTasks[[#Headers],[ID]])))="",TRUE()),"",INDEX(tsk_Level,(ROW()-ROW(MSPTasks[[#Headers],[ID]]))))</f>
        <v/>
      </c>
      <c r="E128" s="24" t="str">
        <f aca="false">IF(IFERROR(INDEX(tsk_Name,(ROW()-ROW(MSPTasks[[#Headers],[ID]])))="",TRUE()),"",IF(INDEX(tsk_Mode,(ROW()-ROW(MSPTasks[[#Headers],[ID]])))="Manual","Manually Scheduled","Auto Scheduled"))</f>
        <v/>
      </c>
      <c r="F128" s="24" t="str">
        <f aca="false">IF(IFERROR(INDEX(tsk_Name,(ROW()-ROW(MSPTasks[[#Headers],[ID]])))="",TRUE()),"",IF(INDEX(tsk_IsSummary,(ROW()-ROW(MSPTasks[[#Headers],[ID]]))),"",N(INDEX(tsk_Duration,(ROW()-ROW(MSPTasks[[#Headers],[ID]]))))&amp;"d"))</f>
        <v/>
      </c>
      <c r="G128" s="137" t="str">
        <f aca="false">IF(IFERROR(INDEX(tsk_Name,(ROW()-ROW(MSPTasks[[#Headers],[ID]])))="",TRUE()),"",INDEX(tsk_FcStart,(ROW()-ROW(MSPTasks[[#Headers],[ID]]))))</f>
        <v/>
      </c>
      <c r="H128" s="137" t="str">
        <f aca="false">IF(IFERROR(INDEX(tsk_Name,(ROW()-ROW(MSPTasks[[#Headers],[ID]])))="",TRUE()),"",INDEX(tsk_FcFinish,(ROW()-ROW(MSPTasks[[#Headers],[ID]]))))</f>
        <v/>
      </c>
      <c r="I128" s="24" t="str">
        <f aca="false">IF(IFERROR(INDEX(tsk_Name,(ROW()-ROW(MSPTasks[[#Headers],[ID]])))="",TRUE()),"",IF(INDEX(tsk_IsSummary,(ROW()-ROW(MSPTasks[[#Headers],[ID]]))),"",INDEX(tsk_Predecessors,(ROW()-ROW(MSPTasks[[#Headers],[ID]])))))</f>
        <v/>
      </c>
      <c r="J128" s="24" t="str">
        <f aca="false">IF(IFERROR(INDEX(tsk_Name,(ROW()-ROW(MSPTasks[[#Headers],[ID]])))="",TRUE()),"",IF(INDEX(tsk_IsSummary,(ROW()-ROW(MSPTasks[[#Headers],[ID]]))),"",INDEX(tsk_UIDPredecessors,(ROW()-ROW(MSPTasks[[#Headers],[ID]])))))</f>
        <v/>
      </c>
      <c r="K128" s="24" t="str">
        <f aca="false">IF(IFERROR(INDEX(tsk_Name,(ROW()-ROW(MSPTasks[[#Headers],[ID]])))="",TRUE()),"",INDEX(tsk_ResourceNames,(ROW()-ROW(MSPTasks[[#Headers],[ID]])))&amp;"")</f>
        <v/>
      </c>
      <c r="L128" s="24" t="str">
        <f aca="false">IF(IFERROR(INDEX(tsk_Name,(ROW()-ROW(MSPTasks[[#Headers],[ID]])))="",TRUE()),"",IF(INDEX(tsk_IsSummary,(ROW()-ROW(MSPTasks[[#Headers],[ID]]))),"",ROUND(INDEX(tsk_Progress,(ROW()-ROW(MSPTasks[[#Headers],[ID]])))*100,0)))</f>
        <v/>
      </c>
      <c r="M128" s="137" t="str">
        <f aca="false">IF(IFERROR(INDEX(tsk_Name,(ROW()-ROW(MSPTasks[[#Headers],[ID]])))="",TRUE()),"",IF(N(INDEX(tsk_ActStart,(ROW()-ROW(MSPTasks[[#Headers],[ID]]))))=0,"",INDEX(tsk_ActStart,(ROW()-ROW(MSPTasks[[#Headers],[ID]])))))</f>
        <v/>
      </c>
      <c r="N128" s="137" t="str">
        <f aca="false">IF(IFERROR(INDEX(tsk_Name,(ROW()-ROW(MSPTasks[[#Headers],[ID]])))="",TRUE()),"",IF(N(INDEX(tsk_ActFinish,(ROW()-ROW(MSPTasks[[#Headers],[ID]]))))=0,"",INDEX(tsk_ActFinish,(ROW()-ROW(MSPTasks[[#Headers],[ID]])))))</f>
        <v/>
      </c>
      <c r="O128" s="137" t="str">
        <f aca="false">IF(IFERROR(INDEX(tsk_Name,(ROW()-ROW(MSPTasks[[#Headers],[ID]])))="",TRUE()),"",INDEX(tsk_PlanStart,(ROW()-ROW(MSPTasks[[#Headers],[ID]]))))</f>
        <v/>
      </c>
      <c r="P128" s="137" t="str">
        <f aca="false">IF(IFERROR(INDEX(tsk_Name,(ROW()-ROW(MSPTasks[[#Headers],[ID]])))="",TRUE()),"",INDEX(tsk_PlanFinish,(ROW()-ROW(MSPTasks[[#Headers],[ID]]))))</f>
        <v/>
      </c>
      <c r="Q128" s="24" t="str">
        <f aca="false">IF(IFERROR(INDEX(tsk_Name,(ROW()-ROW(MSPTasks[[#Headers],[ID]])))="",TRUE()),"",IF(INDEX(tsk_BaseDuration,(ROW()-ROW(MSPTasks[[#Headers],[ID]])))="","",N(INDEX(tsk_BaseDuration,(ROW()-ROW(MSPTasks[[#Headers],[ID]]))))&amp;"d"))</f>
        <v/>
      </c>
      <c r="R128" s="24" t="str">
        <f aca="false">IF(IFERROR(INDEX(tsk_Name,(ROW()-ROW(MSPTasks[[#Headers],[ID]])))="",TRUE()),"",IF(INDEX(tsk_BaseWork,(ROW()-ROW(MSPTasks[[#Headers],[ID]])))="","",N(INDEX(tsk_BaseWork,(ROW()-ROW(MSPTasks[[#Headers],[ID]]))))&amp;"h"))</f>
        <v/>
      </c>
      <c r="S128" s="24" t="str">
        <f aca="false">IF(IFERROR(INDEX(tsk_Name,(ROW()-ROW(MSPTasks[[#Headers],[ID]])))="",TRUE()),"",IF(INDEX(tsk_BaseCost,(ROW()-ROW(MSPTasks[[#Headers],[ID]])))="","",N(INDEX(tsk_BaseCost,(ROW()-ROW(MSPTasks[[#Headers],[ID]]))))))</f>
        <v/>
      </c>
      <c r="T128" s="24" t="str">
        <f aca="false">IF(IFERROR(INDEX(tsk_Name,(ROW()-ROW(MSPTasks[[#Headers],[ID]])))="",TRUE()),"",IF(INDEX(tsk_IsSummary,(ROW()-ROW(MSPTasks[[#Headers],[ID]]))),"",IF(N(INDEX(tsk_ActCostInput,(ROW()-ROW(MSPTasks[[#Headers],[ID]]))))=0,"",INDEX(tsk_ActCostInput,(ROW()-ROW(MSPTasks[[#Headers],[ID]]))))))</f>
        <v/>
      </c>
      <c r="U12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8" s="137" t="str">
        <f aca="false">IF(IFERROR(INDEX(tsk_Name,(ROW()-ROW(MSPTasks[[#Headers],[ID]])))="",TRUE()),"",IF(OR(INDEX(tsk_IsSummary,(ROW()-ROW(MSPTasks[[#Headers],[ID]]))),INDEX(tsk_Mode,(ROW()-ROW(MSPTasks[[#Headers],[ID]])))="Manual"),"",IF(N(INDEX(tsk_ConstraintCode,(ROW()-ROW(MSPTasks[[#Headers],[ID]]))))&lt;2,"",INDEX(tsk_Constraint,(ROW()-ROW(MSPTasks[[#Headers],[ID]]))))))</f>
        <v/>
      </c>
      <c r="W128" s="137" t="str">
        <f aca="false">IF(IFERROR(INDEX(tsk_Name,(ROW()-ROW(MSPTasks[[#Headers],[ID]])))="",TRUE()),"",IF(N(INDEX(tsk_Deadline,(ROW()-ROW(MSPTasks[[#Headers],[ID]]))))=0,"",INDEX(tsk_Deadline,(ROW()-ROW(MSPTasks[[#Headers],[ID]])))))</f>
        <v/>
      </c>
      <c r="X128" s="24" t="str">
        <f aca="false">IF(IFERROR(INDEX(tsk_Name,(ROW()-ROW(MSPTasks[[#Headers],[ID]])))="",TRUE()),"",IF(INDEX(tsk_IsSummary,(ROW()-ROW(MSPTasks[[#Headers],[ID]]))),"",INDEX(tsk_Sprint,(ROW()-ROW(MSPTasks[[#Headers],[ID]])))&amp;""))</f>
        <v/>
      </c>
      <c r="Y128" s="24" t="str">
        <f aca="false">IF(IFERROR(INDEX(tsk_Name,(ROW()-ROW(MSPTasks[[#Headers],[ID]])))="",TRUE()),"",IF(INDEX(tsk_IsSummary,(ROW()-ROW(MSPTasks[[#Headers],[ID]]))),"",IF(N(INDEX(tsk_StoryPoints,(ROW()-ROW(MSPTasks[[#Headers],[ID]]))))=0,"",INDEX(tsk_StoryPoints,(ROW()-ROW(MSPTasks[[#Headers],[ID]]))))))</f>
        <v/>
      </c>
      <c r="Z128" s="24" t="str">
        <f aca="false">IF(IFERROR(INDEX(tsk_Name,(ROW()-ROW(MSPTasks[[#Headers],[ID]])))="",TRUE()),"",INDEX(tsk_Notes,(ROW()-ROW(MSPTasks[[#Headers],[ID]])))&amp;"")</f>
        <v/>
      </c>
    </row>
    <row r="129" customFormat="false" ht="15" hidden="false" customHeight="false" outlineLevel="0" collapsed="false">
      <c r="A129" s="24" t="str">
        <f aca="false">IF(IFERROR(INDEX(tsk_Name,(ROW()-ROW(MSPTasks[[#Headers],[ID]])))="",TRUE()),"",INDEX(tsk_ID,(ROW()-ROW(MSPTasks[[#Headers],[ID]]))))</f>
        <v/>
      </c>
      <c r="B129" s="24" t="str">
        <f aca="false">IF(IFERROR(INDEX(tsk_Name,(ROW()-ROW(MSPTasks[[#Headers],[ID]])))="",TRUE()),"",INDEX(tsk_UID,(ROW()-ROW(MSPTasks[[#Headers],[ID]]))))</f>
        <v/>
      </c>
      <c r="C129" s="24" t="str">
        <f aca="false">IF(IFERROR(INDEX(tsk_Name,(ROW()-ROW(MSPTasks[[#Headers],[ID]])))="",TRUE()),"",INDEX(tsk_Name,(ROW()-ROW(MSPTasks[[#Headers],[ID]]))))</f>
        <v/>
      </c>
      <c r="D129" s="24" t="str">
        <f aca="false">IF(IFERROR(INDEX(tsk_Name,(ROW()-ROW(MSPTasks[[#Headers],[ID]])))="",TRUE()),"",INDEX(tsk_Level,(ROW()-ROW(MSPTasks[[#Headers],[ID]]))))</f>
        <v/>
      </c>
      <c r="E129" s="24" t="str">
        <f aca="false">IF(IFERROR(INDEX(tsk_Name,(ROW()-ROW(MSPTasks[[#Headers],[ID]])))="",TRUE()),"",IF(INDEX(tsk_Mode,(ROW()-ROW(MSPTasks[[#Headers],[ID]])))="Manual","Manually Scheduled","Auto Scheduled"))</f>
        <v/>
      </c>
      <c r="F129" s="24" t="str">
        <f aca="false">IF(IFERROR(INDEX(tsk_Name,(ROW()-ROW(MSPTasks[[#Headers],[ID]])))="",TRUE()),"",IF(INDEX(tsk_IsSummary,(ROW()-ROW(MSPTasks[[#Headers],[ID]]))),"",N(INDEX(tsk_Duration,(ROW()-ROW(MSPTasks[[#Headers],[ID]]))))&amp;"d"))</f>
        <v/>
      </c>
      <c r="G129" s="137" t="str">
        <f aca="false">IF(IFERROR(INDEX(tsk_Name,(ROW()-ROW(MSPTasks[[#Headers],[ID]])))="",TRUE()),"",INDEX(tsk_FcStart,(ROW()-ROW(MSPTasks[[#Headers],[ID]]))))</f>
        <v/>
      </c>
      <c r="H129" s="137" t="str">
        <f aca="false">IF(IFERROR(INDEX(tsk_Name,(ROW()-ROW(MSPTasks[[#Headers],[ID]])))="",TRUE()),"",INDEX(tsk_FcFinish,(ROW()-ROW(MSPTasks[[#Headers],[ID]]))))</f>
        <v/>
      </c>
      <c r="I129" s="24" t="str">
        <f aca="false">IF(IFERROR(INDEX(tsk_Name,(ROW()-ROW(MSPTasks[[#Headers],[ID]])))="",TRUE()),"",IF(INDEX(tsk_IsSummary,(ROW()-ROW(MSPTasks[[#Headers],[ID]]))),"",INDEX(tsk_Predecessors,(ROW()-ROW(MSPTasks[[#Headers],[ID]])))))</f>
        <v/>
      </c>
      <c r="J129" s="24" t="str">
        <f aca="false">IF(IFERROR(INDEX(tsk_Name,(ROW()-ROW(MSPTasks[[#Headers],[ID]])))="",TRUE()),"",IF(INDEX(tsk_IsSummary,(ROW()-ROW(MSPTasks[[#Headers],[ID]]))),"",INDEX(tsk_UIDPredecessors,(ROW()-ROW(MSPTasks[[#Headers],[ID]])))))</f>
        <v/>
      </c>
      <c r="K129" s="24" t="str">
        <f aca="false">IF(IFERROR(INDEX(tsk_Name,(ROW()-ROW(MSPTasks[[#Headers],[ID]])))="",TRUE()),"",INDEX(tsk_ResourceNames,(ROW()-ROW(MSPTasks[[#Headers],[ID]])))&amp;"")</f>
        <v/>
      </c>
      <c r="L129" s="24" t="str">
        <f aca="false">IF(IFERROR(INDEX(tsk_Name,(ROW()-ROW(MSPTasks[[#Headers],[ID]])))="",TRUE()),"",IF(INDEX(tsk_IsSummary,(ROW()-ROW(MSPTasks[[#Headers],[ID]]))),"",ROUND(INDEX(tsk_Progress,(ROW()-ROW(MSPTasks[[#Headers],[ID]])))*100,0)))</f>
        <v/>
      </c>
      <c r="M129" s="137" t="str">
        <f aca="false">IF(IFERROR(INDEX(tsk_Name,(ROW()-ROW(MSPTasks[[#Headers],[ID]])))="",TRUE()),"",IF(N(INDEX(tsk_ActStart,(ROW()-ROW(MSPTasks[[#Headers],[ID]]))))=0,"",INDEX(tsk_ActStart,(ROW()-ROW(MSPTasks[[#Headers],[ID]])))))</f>
        <v/>
      </c>
      <c r="N129" s="137" t="str">
        <f aca="false">IF(IFERROR(INDEX(tsk_Name,(ROW()-ROW(MSPTasks[[#Headers],[ID]])))="",TRUE()),"",IF(N(INDEX(tsk_ActFinish,(ROW()-ROW(MSPTasks[[#Headers],[ID]]))))=0,"",INDEX(tsk_ActFinish,(ROW()-ROW(MSPTasks[[#Headers],[ID]])))))</f>
        <v/>
      </c>
      <c r="O129" s="137" t="str">
        <f aca="false">IF(IFERROR(INDEX(tsk_Name,(ROW()-ROW(MSPTasks[[#Headers],[ID]])))="",TRUE()),"",INDEX(tsk_PlanStart,(ROW()-ROW(MSPTasks[[#Headers],[ID]]))))</f>
        <v/>
      </c>
      <c r="P129" s="137" t="str">
        <f aca="false">IF(IFERROR(INDEX(tsk_Name,(ROW()-ROW(MSPTasks[[#Headers],[ID]])))="",TRUE()),"",INDEX(tsk_PlanFinish,(ROW()-ROW(MSPTasks[[#Headers],[ID]]))))</f>
        <v/>
      </c>
      <c r="Q129" s="24" t="str">
        <f aca="false">IF(IFERROR(INDEX(tsk_Name,(ROW()-ROW(MSPTasks[[#Headers],[ID]])))="",TRUE()),"",IF(INDEX(tsk_BaseDuration,(ROW()-ROW(MSPTasks[[#Headers],[ID]])))="","",N(INDEX(tsk_BaseDuration,(ROW()-ROW(MSPTasks[[#Headers],[ID]]))))&amp;"d"))</f>
        <v/>
      </c>
      <c r="R129" s="24" t="str">
        <f aca="false">IF(IFERROR(INDEX(tsk_Name,(ROW()-ROW(MSPTasks[[#Headers],[ID]])))="",TRUE()),"",IF(INDEX(tsk_BaseWork,(ROW()-ROW(MSPTasks[[#Headers],[ID]])))="","",N(INDEX(tsk_BaseWork,(ROW()-ROW(MSPTasks[[#Headers],[ID]]))))&amp;"h"))</f>
        <v/>
      </c>
      <c r="S129" s="24" t="str">
        <f aca="false">IF(IFERROR(INDEX(tsk_Name,(ROW()-ROW(MSPTasks[[#Headers],[ID]])))="",TRUE()),"",IF(INDEX(tsk_BaseCost,(ROW()-ROW(MSPTasks[[#Headers],[ID]])))="","",N(INDEX(tsk_BaseCost,(ROW()-ROW(MSPTasks[[#Headers],[ID]]))))))</f>
        <v/>
      </c>
      <c r="T129" s="24" t="str">
        <f aca="false">IF(IFERROR(INDEX(tsk_Name,(ROW()-ROW(MSPTasks[[#Headers],[ID]])))="",TRUE()),"",IF(INDEX(tsk_IsSummary,(ROW()-ROW(MSPTasks[[#Headers],[ID]]))),"",IF(N(INDEX(tsk_ActCostInput,(ROW()-ROW(MSPTasks[[#Headers],[ID]]))))=0,"",INDEX(tsk_ActCostInput,(ROW()-ROW(MSPTasks[[#Headers],[ID]]))))))</f>
        <v/>
      </c>
      <c r="U12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29" s="137" t="str">
        <f aca="false">IF(IFERROR(INDEX(tsk_Name,(ROW()-ROW(MSPTasks[[#Headers],[ID]])))="",TRUE()),"",IF(OR(INDEX(tsk_IsSummary,(ROW()-ROW(MSPTasks[[#Headers],[ID]]))),INDEX(tsk_Mode,(ROW()-ROW(MSPTasks[[#Headers],[ID]])))="Manual"),"",IF(N(INDEX(tsk_ConstraintCode,(ROW()-ROW(MSPTasks[[#Headers],[ID]]))))&lt;2,"",INDEX(tsk_Constraint,(ROW()-ROW(MSPTasks[[#Headers],[ID]]))))))</f>
        <v/>
      </c>
      <c r="W129" s="137" t="str">
        <f aca="false">IF(IFERROR(INDEX(tsk_Name,(ROW()-ROW(MSPTasks[[#Headers],[ID]])))="",TRUE()),"",IF(N(INDEX(tsk_Deadline,(ROW()-ROW(MSPTasks[[#Headers],[ID]]))))=0,"",INDEX(tsk_Deadline,(ROW()-ROW(MSPTasks[[#Headers],[ID]])))))</f>
        <v/>
      </c>
      <c r="X129" s="24" t="str">
        <f aca="false">IF(IFERROR(INDEX(tsk_Name,(ROW()-ROW(MSPTasks[[#Headers],[ID]])))="",TRUE()),"",IF(INDEX(tsk_IsSummary,(ROW()-ROW(MSPTasks[[#Headers],[ID]]))),"",INDEX(tsk_Sprint,(ROW()-ROW(MSPTasks[[#Headers],[ID]])))&amp;""))</f>
        <v/>
      </c>
      <c r="Y129" s="24" t="str">
        <f aca="false">IF(IFERROR(INDEX(tsk_Name,(ROW()-ROW(MSPTasks[[#Headers],[ID]])))="",TRUE()),"",IF(INDEX(tsk_IsSummary,(ROW()-ROW(MSPTasks[[#Headers],[ID]]))),"",IF(N(INDEX(tsk_StoryPoints,(ROW()-ROW(MSPTasks[[#Headers],[ID]]))))=0,"",INDEX(tsk_StoryPoints,(ROW()-ROW(MSPTasks[[#Headers],[ID]]))))))</f>
        <v/>
      </c>
      <c r="Z129" s="24" t="str">
        <f aca="false">IF(IFERROR(INDEX(tsk_Name,(ROW()-ROW(MSPTasks[[#Headers],[ID]])))="",TRUE()),"",INDEX(tsk_Notes,(ROW()-ROW(MSPTasks[[#Headers],[ID]])))&amp;"")</f>
        <v/>
      </c>
    </row>
    <row r="130" customFormat="false" ht="15" hidden="false" customHeight="false" outlineLevel="0" collapsed="false">
      <c r="A130" s="24" t="str">
        <f aca="false">IF(IFERROR(INDEX(tsk_Name,(ROW()-ROW(MSPTasks[[#Headers],[ID]])))="",TRUE()),"",INDEX(tsk_ID,(ROW()-ROW(MSPTasks[[#Headers],[ID]]))))</f>
        <v/>
      </c>
      <c r="B130" s="24" t="str">
        <f aca="false">IF(IFERROR(INDEX(tsk_Name,(ROW()-ROW(MSPTasks[[#Headers],[ID]])))="",TRUE()),"",INDEX(tsk_UID,(ROW()-ROW(MSPTasks[[#Headers],[ID]]))))</f>
        <v/>
      </c>
      <c r="C130" s="24" t="str">
        <f aca="false">IF(IFERROR(INDEX(tsk_Name,(ROW()-ROW(MSPTasks[[#Headers],[ID]])))="",TRUE()),"",INDEX(tsk_Name,(ROW()-ROW(MSPTasks[[#Headers],[ID]]))))</f>
        <v/>
      </c>
      <c r="D130" s="24" t="str">
        <f aca="false">IF(IFERROR(INDEX(tsk_Name,(ROW()-ROW(MSPTasks[[#Headers],[ID]])))="",TRUE()),"",INDEX(tsk_Level,(ROW()-ROW(MSPTasks[[#Headers],[ID]]))))</f>
        <v/>
      </c>
      <c r="E130" s="24" t="str">
        <f aca="false">IF(IFERROR(INDEX(tsk_Name,(ROW()-ROW(MSPTasks[[#Headers],[ID]])))="",TRUE()),"",IF(INDEX(tsk_Mode,(ROW()-ROW(MSPTasks[[#Headers],[ID]])))="Manual","Manually Scheduled","Auto Scheduled"))</f>
        <v/>
      </c>
      <c r="F130" s="24" t="str">
        <f aca="false">IF(IFERROR(INDEX(tsk_Name,(ROW()-ROW(MSPTasks[[#Headers],[ID]])))="",TRUE()),"",IF(INDEX(tsk_IsSummary,(ROW()-ROW(MSPTasks[[#Headers],[ID]]))),"",N(INDEX(tsk_Duration,(ROW()-ROW(MSPTasks[[#Headers],[ID]]))))&amp;"d"))</f>
        <v/>
      </c>
      <c r="G130" s="137" t="str">
        <f aca="false">IF(IFERROR(INDEX(tsk_Name,(ROW()-ROW(MSPTasks[[#Headers],[ID]])))="",TRUE()),"",INDEX(tsk_FcStart,(ROW()-ROW(MSPTasks[[#Headers],[ID]]))))</f>
        <v/>
      </c>
      <c r="H130" s="137" t="str">
        <f aca="false">IF(IFERROR(INDEX(tsk_Name,(ROW()-ROW(MSPTasks[[#Headers],[ID]])))="",TRUE()),"",INDEX(tsk_FcFinish,(ROW()-ROW(MSPTasks[[#Headers],[ID]]))))</f>
        <v/>
      </c>
      <c r="I130" s="24" t="str">
        <f aca="false">IF(IFERROR(INDEX(tsk_Name,(ROW()-ROW(MSPTasks[[#Headers],[ID]])))="",TRUE()),"",IF(INDEX(tsk_IsSummary,(ROW()-ROW(MSPTasks[[#Headers],[ID]]))),"",INDEX(tsk_Predecessors,(ROW()-ROW(MSPTasks[[#Headers],[ID]])))))</f>
        <v/>
      </c>
      <c r="J130" s="24" t="str">
        <f aca="false">IF(IFERROR(INDEX(tsk_Name,(ROW()-ROW(MSPTasks[[#Headers],[ID]])))="",TRUE()),"",IF(INDEX(tsk_IsSummary,(ROW()-ROW(MSPTasks[[#Headers],[ID]]))),"",INDEX(tsk_UIDPredecessors,(ROW()-ROW(MSPTasks[[#Headers],[ID]])))))</f>
        <v/>
      </c>
      <c r="K130" s="24" t="str">
        <f aca="false">IF(IFERROR(INDEX(tsk_Name,(ROW()-ROW(MSPTasks[[#Headers],[ID]])))="",TRUE()),"",INDEX(tsk_ResourceNames,(ROW()-ROW(MSPTasks[[#Headers],[ID]])))&amp;"")</f>
        <v/>
      </c>
      <c r="L130" s="24" t="str">
        <f aca="false">IF(IFERROR(INDEX(tsk_Name,(ROW()-ROW(MSPTasks[[#Headers],[ID]])))="",TRUE()),"",IF(INDEX(tsk_IsSummary,(ROW()-ROW(MSPTasks[[#Headers],[ID]]))),"",ROUND(INDEX(tsk_Progress,(ROW()-ROW(MSPTasks[[#Headers],[ID]])))*100,0)))</f>
        <v/>
      </c>
      <c r="M130" s="137" t="str">
        <f aca="false">IF(IFERROR(INDEX(tsk_Name,(ROW()-ROW(MSPTasks[[#Headers],[ID]])))="",TRUE()),"",IF(N(INDEX(tsk_ActStart,(ROW()-ROW(MSPTasks[[#Headers],[ID]]))))=0,"",INDEX(tsk_ActStart,(ROW()-ROW(MSPTasks[[#Headers],[ID]])))))</f>
        <v/>
      </c>
      <c r="N130" s="137" t="str">
        <f aca="false">IF(IFERROR(INDEX(tsk_Name,(ROW()-ROW(MSPTasks[[#Headers],[ID]])))="",TRUE()),"",IF(N(INDEX(tsk_ActFinish,(ROW()-ROW(MSPTasks[[#Headers],[ID]]))))=0,"",INDEX(tsk_ActFinish,(ROW()-ROW(MSPTasks[[#Headers],[ID]])))))</f>
        <v/>
      </c>
      <c r="O130" s="137" t="str">
        <f aca="false">IF(IFERROR(INDEX(tsk_Name,(ROW()-ROW(MSPTasks[[#Headers],[ID]])))="",TRUE()),"",INDEX(tsk_PlanStart,(ROW()-ROW(MSPTasks[[#Headers],[ID]]))))</f>
        <v/>
      </c>
      <c r="P130" s="137" t="str">
        <f aca="false">IF(IFERROR(INDEX(tsk_Name,(ROW()-ROW(MSPTasks[[#Headers],[ID]])))="",TRUE()),"",INDEX(tsk_PlanFinish,(ROW()-ROW(MSPTasks[[#Headers],[ID]]))))</f>
        <v/>
      </c>
      <c r="Q130" s="24" t="str">
        <f aca="false">IF(IFERROR(INDEX(tsk_Name,(ROW()-ROW(MSPTasks[[#Headers],[ID]])))="",TRUE()),"",IF(INDEX(tsk_BaseDuration,(ROW()-ROW(MSPTasks[[#Headers],[ID]])))="","",N(INDEX(tsk_BaseDuration,(ROW()-ROW(MSPTasks[[#Headers],[ID]]))))&amp;"d"))</f>
        <v/>
      </c>
      <c r="R130" s="24" t="str">
        <f aca="false">IF(IFERROR(INDEX(tsk_Name,(ROW()-ROW(MSPTasks[[#Headers],[ID]])))="",TRUE()),"",IF(INDEX(tsk_BaseWork,(ROW()-ROW(MSPTasks[[#Headers],[ID]])))="","",N(INDEX(tsk_BaseWork,(ROW()-ROW(MSPTasks[[#Headers],[ID]]))))&amp;"h"))</f>
        <v/>
      </c>
      <c r="S130" s="24" t="str">
        <f aca="false">IF(IFERROR(INDEX(tsk_Name,(ROW()-ROW(MSPTasks[[#Headers],[ID]])))="",TRUE()),"",IF(INDEX(tsk_BaseCost,(ROW()-ROW(MSPTasks[[#Headers],[ID]])))="","",N(INDEX(tsk_BaseCost,(ROW()-ROW(MSPTasks[[#Headers],[ID]]))))))</f>
        <v/>
      </c>
      <c r="T130" s="24" t="str">
        <f aca="false">IF(IFERROR(INDEX(tsk_Name,(ROW()-ROW(MSPTasks[[#Headers],[ID]])))="",TRUE()),"",IF(INDEX(tsk_IsSummary,(ROW()-ROW(MSPTasks[[#Headers],[ID]]))),"",IF(N(INDEX(tsk_ActCostInput,(ROW()-ROW(MSPTasks[[#Headers],[ID]]))))=0,"",INDEX(tsk_ActCostInput,(ROW()-ROW(MSPTasks[[#Headers],[ID]]))))))</f>
        <v/>
      </c>
      <c r="U13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0" s="137" t="str">
        <f aca="false">IF(IFERROR(INDEX(tsk_Name,(ROW()-ROW(MSPTasks[[#Headers],[ID]])))="",TRUE()),"",IF(OR(INDEX(tsk_IsSummary,(ROW()-ROW(MSPTasks[[#Headers],[ID]]))),INDEX(tsk_Mode,(ROW()-ROW(MSPTasks[[#Headers],[ID]])))="Manual"),"",IF(N(INDEX(tsk_ConstraintCode,(ROW()-ROW(MSPTasks[[#Headers],[ID]]))))&lt;2,"",INDEX(tsk_Constraint,(ROW()-ROW(MSPTasks[[#Headers],[ID]]))))))</f>
        <v/>
      </c>
      <c r="W130" s="137" t="str">
        <f aca="false">IF(IFERROR(INDEX(tsk_Name,(ROW()-ROW(MSPTasks[[#Headers],[ID]])))="",TRUE()),"",IF(N(INDEX(tsk_Deadline,(ROW()-ROW(MSPTasks[[#Headers],[ID]]))))=0,"",INDEX(tsk_Deadline,(ROW()-ROW(MSPTasks[[#Headers],[ID]])))))</f>
        <v/>
      </c>
      <c r="X130" s="24" t="str">
        <f aca="false">IF(IFERROR(INDEX(tsk_Name,(ROW()-ROW(MSPTasks[[#Headers],[ID]])))="",TRUE()),"",IF(INDEX(tsk_IsSummary,(ROW()-ROW(MSPTasks[[#Headers],[ID]]))),"",INDEX(tsk_Sprint,(ROW()-ROW(MSPTasks[[#Headers],[ID]])))&amp;""))</f>
        <v/>
      </c>
      <c r="Y130" s="24" t="str">
        <f aca="false">IF(IFERROR(INDEX(tsk_Name,(ROW()-ROW(MSPTasks[[#Headers],[ID]])))="",TRUE()),"",IF(INDEX(tsk_IsSummary,(ROW()-ROW(MSPTasks[[#Headers],[ID]]))),"",IF(N(INDEX(tsk_StoryPoints,(ROW()-ROW(MSPTasks[[#Headers],[ID]]))))=0,"",INDEX(tsk_StoryPoints,(ROW()-ROW(MSPTasks[[#Headers],[ID]]))))))</f>
        <v/>
      </c>
      <c r="Z130" s="24" t="str">
        <f aca="false">IF(IFERROR(INDEX(tsk_Name,(ROW()-ROW(MSPTasks[[#Headers],[ID]])))="",TRUE()),"",INDEX(tsk_Notes,(ROW()-ROW(MSPTasks[[#Headers],[ID]])))&amp;"")</f>
        <v/>
      </c>
    </row>
    <row r="131" customFormat="false" ht="15" hidden="false" customHeight="false" outlineLevel="0" collapsed="false">
      <c r="A131" s="24" t="str">
        <f aca="false">IF(IFERROR(INDEX(tsk_Name,(ROW()-ROW(MSPTasks[[#Headers],[ID]])))="",TRUE()),"",INDEX(tsk_ID,(ROW()-ROW(MSPTasks[[#Headers],[ID]]))))</f>
        <v/>
      </c>
      <c r="B131" s="24" t="str">
        <f aca="false">IF(IFERROR(INDEX(tsk_Name,(ROW()-ROW(MSPTasks[[#Headers],[ID]])))="",TRUE()),"",INDEX(tsk_UID,(ROW()-ROW(MSPTasks[[#Headers],[ID]]))))</f>
        <v/>
      </c>
      <c r="C131" s="24" t="str">
        <f aca="false">IF(IFERROR(INDEX(tsk_Name,(ROW()-ROW(MSPTasks[[#Headers],[ID]])))="",TRUE()),"",INDEX(tsk_Name,(ROW()-ROW(MSPTasks[[#Headers],[ID]]))))</f>
        <v/>
      </c>
      <c r="D131" s="24" t="str">
        <f aca="false">IF(IFERROR(INDEX(tsk_Name,(ROW()-ROW(MSPTasks[[#Headers],[ID]])))="",TRUE()),"",INDEX(tsk_Level,(ROW()-ROW(MSPTasks[[#Headers],[ID]]))))</f>
        <v/>
      </c>
      <c r="E131" s="24" t="str">
        <f aca="false">IF(IFERROR(INDEX(tsk_Name,(ROW()-ROW(MSPTasks[[#Headers],[ID]])))="",TRUE()),"",IF(INDEX(tsk_Mode,(ROW()-ROW(MSPTasks[[#Headers],[ID]])))="Manual","Manually Scheduled","Auto Scheduled"))</f>
        <v/>
      </c>
      <c r="F131" s="24" t="str">
        <f aca="false">IF(IFERROR(INDEX(tsk_Name,(ROW()-ROW(MSPTasks[[#Headers],[ID]])))="",TRUE()),"",IF(INDEX(tsk_IsSummary,(ROW()-ROW(MSPTasks[[#Headers],[ID]]))),"",N(INDEX(tsk_Duration,(ROW()-ROW(MSPTasks[[#Headers],[ID]]))))&amp;"d"))</f>
        <v/>
      </c>
      <c r="G131" s="137" t="str">
        <f aca="false">IF(IFERROR(INDEX(tsk_Name,(ROW()-ROW(MSPTasks[[#Headers],[ID]])))="",TRUE()),"",INDEX(tsk_FcStart,(ROW()-ROW(MSPTasks[[#Headers],[ID]]))))</f>
        <v/>
      </c>
      <c r="H131" s="137" t="str">
        <f aca="false">IF(IFERROR(INDEX(tsk_Name,(ROW()-ROW(MSPTasks[[#Headers],[ID]])))="",TRUE()),"",INDEX(tsk_FcFinish,(ROW()-ROW(MSPTasks[[#Headers],[ID]]))))</f>
        <v/>
      </c>
      <c r="I131" s="24" t="str">
        <f aca="false">IF(IFERROR(INDEX(tsk_Name,(ROW()-ROW(MSPTasks[[#Headers],[ID]])))="",TRUE()),"",IF(INDEX(tsk_IsSummary,(ROW()-ROW(MSPTasks[[#Headers],[ID]]))),"",INDEX(tsk_Predecessors,(ROW()-ROW(MSPTasks[[#Headers],[ID]])))))</f>
        <v/>
      </c>
      <c r="J131" s="24" t="str">
        <f aca="false">IF(IFERROR(INDEX(tsk_Name,(ROW()-ROW(MSPTasks[[#Headers],[ID]])))="",TRUE()),"",IF(INDEX(tsk_IsSummary,(ROW()-ROW(MSPTasks[[#Headers],[ID]]))),"",INDEX(tsk_UIDPredecessors,(ROW()-ROW(MSPTasks[[#Headers],[ID]])))))</f>
        <v/>
      </c>
      <c r="K131" s="24" t="str">
        <f aca="false">IF(IFERROR(INDEX(tsk_Name,(ROW()-ROW(MSPTasks[[#Headers],[ID]])))="",TRUE()),"",INDEX(tsk_ResourceNames,(ROW()-ROW(MSPTasks[[#Headers],[ID]])))&amp;"")</f>
        <v/>
      </c>
      <c r="L131" s="24" t="str">
        <f aca="false">IF(IFERROR(INDEX(tsk_Name,(ROW()-ROW(MSPTasks[[#Headers],[ID]])))="",TRUE()),"",IF(INDEX(tsk_IsSummary,(ROW()-ROW(MSPTasks[[#Headers],[ID]]))),"",ROUND(INDEX(tsk_Progress,(ROW()-ROW(MSPTasks[[#Headers],[ID]])))*100,0)))</f>
        <v/>
      </c>
      <c r="M131" s="137" t="str">
        <f aca="false">IF(IFERROR(INDEX(tsk_Name,(ROW()-ROW(MSPTasks[[#Headers],[ID]])))="",TRUE()),"",IF(N(INDEX(tsk_ActStart,(ROW()-ROW(MSPTasks[[#Headers],[ID]]))))=0,"",INDEX(tsk_ActStart,(ROW()-ROW(MSPTasks[[#Headers],[ID]])))))</f>
        <v/>
      </c>
      <c r="N131" s="137" t="str">
        <f aca="false">IF(IFERROR(INDEX(tsk_Name,(ROW()-ROW(MSPTasks[[#Headers],[ID]])))="",TRUE()),"",IF(N(INDEX(tsk_ActFinish,(ROW()-ROW(MSPTasks[[#Headers],[ID]]))))=0,"",INDEX(tsk_ActFinish,(ROW()-ROW(MSPTasks[[#Headers],[ID]])))))</f>
        <v/>
      </c>
      <c r="O131" s="137" t="str">
        <f aca="false">IF(IFERROR(INDEX(tsk_Name,(ROW()-ROW(MSPTasks[[#Headers],[ID]])))="",TRUE()),"",INDEX(tsk_PlanStart,(ROW()-ROW(MSPTasks[[#Headers],[ID]]))))</f>
        <v/>
      </c>
      <c r="P131" s="137" t="str">
        <f aca="false">IF(IFERROR(INDEX(tsk_Name,(ROW()-ROW(MSPTasks[[#Headers],[ID]])))="",TRUE()),"",INDEX(tsk_PlanFinish,(ROW()-ROW(MSPTasks[[#Headers],[ID]]))))</f>
        <v/>
      </c>
      <c r="Q131" s="24" t="str">
        <f aca="false">IF(IFERROR(INDEX(tsk_Name,(ROW()-ROW(MSPTasks[[#Headers],[ID]])))="",TRUE()),"",IF(INDEX(tsk_BaseDuration,(ROW()-ROW(MSPTasks[[#Headers],[ID]])))="","",N(INDEX(tsk_BaseDuration,(ROW()-ROW(MSPTasks[[#Headers],[ID]]))))&amp;"d"))</f>
        <v/>
      </c>
      <c r="R131" s="24" t="str">
        <f aca="false">IF(IFERROR(INDEX(tsk_Name,(ROW()-ROW(MSPTasks[[#Headers],[ID]])))="",TRUE()),"",IF(INDEX(tsk_BaseWork,(ROW()-ROW(MSPTasks[[#Headers],[ID]])))="","",N(INDEX(tsk_BaseWork,(ROW()-ROW(MSPTasks[[#Headers],[ID]]))))&amp;"h"))</f>
        <v/>
      </c>
      <c r="S131" s="24" t="str">
        <f aca="false">IF(IFERROR(INDEX(tsk_Name,(ROW()-ROW(MSPTasks[[#Headers],[ID]])))="",TRUE()),"",IF(INDEX(tsk_BaseCost,(ROW()-ROW(MSPTasks[[#Headers],[ID]])))="","",N(INDEX(tsk_BaseCost,(ROW()-ROW(MSPTasks[[#Headers],[ID]]))))))</f>
        <v/>
      </c>
      <c r="T131" s="24" t="str">
        <f aca="false">IF(IFERROR(INDEX(tsk_Name,(ROW()-ROW(MSPTasks[[#Headers],[ID]])))="",TRUE()),"",IF(INDEX(tsk_IsSummary,(ROW()-ROW(MSPTasks[[#Headers],[ID]]))),"",IF(N(INDEX(tsk_ActCostInput,(ROW()-ROW(MSPTasks[[#Headers],[ID]]))))=0,"",INDEX(tsk_ActCostInput,(ROW()-ROW(MSPTasks[[#Headers],[ID]]))))))</f>
        <v/>
      </c>
      <c r="U13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1" s="137" t="str">
        <f aca="false">IF(IFERROR(INDEX(tsk_Name,(ROW()-ROW(MSPTasks[[#Headers],[ID]])))="",TRUE()),"",IF(OR(INDEX(tsk_IsSummary,(ROW()-ROW(MSPTasks[[#Headers],[ID]]))),INDEX(tsk_Mode,(ROW()-ROW(MSPTasks[[#Headers],[ID]])))="Manual"),"",IF(N(INDEX(tsk_ConstraintCode,(ROW()-ROW(MSPTasks[[#Headers],[ID]]))))&lt;2,"",INDEX(tsk_Constraint,(ROW()-ROW(MSPTasks[[#Headers],[ID]]))))))</f>
        <v/>
      </c>
      <c r="W131" s="137" t="str">
        <f aca="false">IF(IFERROR(INDEX(tsk_Name,(ROW()-ROW(MSPTasks[[#Headers],[ID]])))="",TRUE()),"",IF(N(INDEX(tsk_Deadline,(ROW()-ROW(MSPTasks[[#Headers],[ID]]))))=0,"",INDEX(tsk_Deadline,(ROW()-ROW(MSPTasks[[#Headers],[ID]])))))</f>
        <v/>
      </c>
      <c r="X131" s="24" t="str">
        <f aca="false">IF(IFERROR(INDEX(tsk_Name,(ROW()-ROW(MSPTasks[[#Headers],[ID]])))="",TRUE()),"",IF(INDEX(tsk_IsSummary,(ROW()-ROW(MSPTasks[[#Headers],[ID]]))),"",INDEX(tsk_Sprint,(ROW()-ROW(MSPTasks[[#Headers],[ID]])))&amp;""))</f>
        <v/>
      </c>
      <c r="Y131" s="24" t="str">
        <f aca="false">IF(IFERROR(INDEX(tsk_Name,(ROW()-ROW(MSPTasks[[#Headers],[ID]])))="",TRUE()),"",IF(INDEX(tsk_IsSummary,(ROW()-ROW(MSPTasks[[#Headers],[ID]]))),"",IF(N(INDEX(tsk_StoryPoints,(ROW()-ROW(MSPTasks[[#Headers],[ID]]))))=0,"",INDEX(tsk_StoryPoints,(ROW()-ROW(MSPTasks[[#Headers],[ID]]))))))</f>
        <v/>
      </c>
      <c r="Z131" s="24" t="str">
        <f aca="false">IF(IFERROR(INDEX(tsk_Name,(ROW()-ROW(MSPTasks[[#Headers],[ID]])))="",TRUE()),"",INDEX(tsk_Notes,(ROW()-ROW(MSPTasks[[#Headers],[ID]])))&amp;"")</f>
        <v/>
      </c>
    </row>
    <row r="132" customFormat="false" ht="15" hidden="false" customHeight="false" outlineLevel="0" collapsed="false">
      <c r="A132" s="24" t="str">
        <f aca="false">IF(IFERROR(INDEX(tsk_Name,(ROW()-ROW(MSPTasks[[#Headers],[ID]])))="",TRUE()),"",INDEX(tsk_ID,(ROW()-ROW(MSPTasks[[#Headers],[ID]]))))</f>
        <v/>
      </c>
      <c r="B132" s="24" t="str">
        <f aca="false">IF(IFERROR(INDEX(tsk_Name,(ROW()-ROW(MSPTasks[[#Headers],[ID]])))="",TRUE()),"",INDEX(tsk_UID,(ROW()-ROW(MSPTasks[[#Headers],[ID]]))))</f>
        <v/>
      </c>
      <c r="C132" s="24" t="str">
        <f aca="false">IF(IFERROR(INDEX(tsk_Name,(ROW()-ROW(MSPTasks[[#Headers],[ID]])))="",TRUE()),"",INDEX(tsk_Name,(ROW()-ROW(MSPTasks[[#Headers],[ID]]))))</f>
        <v/>
      </c>
      <c r="D132" s="24" t="str">
        <f aca="false">IF(IFERROR(INDEX(tsk_Name,(ROW()-ROW(MSPTasks[[#Headers],[ID]])))="",TRUE()),"",INDEX(tsk_Level,(ROW()-ROW(MSPTasks[[#Headers],[ID]]))))</f>
        <v/>
      </c>
      <c r="E132" s="24" t="str">
        <f aca="false">IF(IFERROR(INDEX(tsk_Name,(ROW()-ROW(MSPTasks[[#Headers],[ID]])))="",TRUE()),"",IF(INDEX(tsk_Mode,(ROW()-ROW(MSPTasks[[#Headers],[ID]])))="Manual","Manually Scheduled","Auto Scheduled"))</f>
        <v/>
      </c>
      <c r="F132" s="24" t="str">
        <f aca="false">IF(IFERROR(INDEX(tsk_Name,(ROW()-ROW(MSPTasks[[#Headers],[ID]])))="",TRUE()),"",IF(INDEX(tsk_IsSummary,(ROW()-ROW(MSPTasks[[#Headers],[ID]]))),"",N(INDEX(tsk_Duration,(ROW()-ROW(MSPTasks[[#Headers],[ID]]))))&amp;"d"))</f>
        <v/>
      </c>
      <c r="G132" s="137" t="str">
        <f aca="false">IF(IFERROR(INDEX(tsk_Name,(ROW()-ROW(MSPTasks[[#Headers],[ID]])))="",TRUE()),"",INDEX(tsk_FcStart,(ROW()-ROW(MSPTasks[[#Headers],[ID]]))))</f>
        <v/>
      </c>
      <c r="H132" s="137" t="str">
        <f aca="false">IF(IFERROR(INDEX(tsk_Name,(ROW()-ROW(MSPTasks[[#Headers],[ID]])))="",TRUE()),"",INDEX(tsk_FcFinish,(ROW()-ROW(MSPTasks[[#Headers],[ID]]))))</f>
        <v/>
      </c>
      <c r="I132" s="24" t="str">
        <f aca="false">IF(IFERROR(INDEX(tsk_Name,(ROW()-ROW(MSPTasks[[#Headers],[ID]])))="",TRUE()),"",IF(INDEX(tsk_IsSummary,(ROW()-ROW(MSPTasks[[#Headers],[ID]]))),"",INDEX(tsk_Predecessors,(ROW()-ROW(MSPTasks[[#Headers],[ID]])))))</f>
        <v/>
      </c>
      <c r="J132" s="24" t="str">
        <f aca="false">IF(IFERROR(INDEX(tsk_Name,(ROW()-ROW(MSPTasks[[#Headers],[ID]])))="",TRUE()),"",IF(INDEX(tsk_IsSummary,(ROW()-ROW(MSPTasks[[#Headers],[ID]]))),"",INDEX(tsk_UIDPredecessors,(ROW()-ROW(MSPTasks[[#Headers],[ID]])))))</f>
        <v/>
      </c>
      <c r="K132" s="24" t="str">
        <f aca="false">IF(IFERROR(INDEX(tsk_Name,(ROW()-ROW(MSPTasks[[#Headers],[ID]])))="",TRUE()),"",INDEX(tsk_ResourceNames,(ROW()-ROW(MSPTasks[[#Headers],[ID]])))&amp;"")</f>
        <v/>
      </c>
      <c r="L132" s="24" t="str">
        <f aca="false">IF(IFERROR(INDEX(tsk_Name,(ROW()-ROW(MSPTasks[[#Headers],[ID]])))="",TRUE()),"",IF(INDEX(tsk_IsSummary,(ROW()-ROW(MSPTasks[[#Headers],[ID]]))),"",ROUND(INDEX(tsk_Progress,(ROW()-ROW(MSPTasks[[#Headers],[ID]])))*100,0)))</f>
        <v/>
      </c>
      <c r="M132" s="137" t="str">
        <f aca="false">IF(IFERROR(INDEX(tsk_Name,(ROW()-ROW(MSPTasks[[#Headers],[ID]])))="",TRUE()),"",IF(N(INDEX(tsk_ActStart,(ROW()-ROW(MSPTasks[[#Headers],[ID]]))))=0,"",INDEX(tsk_ActStart,(ROW()-ROW(MSPTasks[[#Headers],[ID]])))))</f>
        <v/>
      </c>
      <c r="N132" s="137" t="str">
        <f aca="false">IF(IFERROR(INDEX(tsk_Name,(ROW()-ROW(MSPTasks[[#Headers],[ID]])))="",TRUE()),"",IF(N(INDEX(tsk_ActFinish,(ROW()-ROW(MSPTasks[[#Headers],[ID]]))))=0,"",INDEX(tsk_ActFinish,(ROW()-ROW(MSPTasks[[#Headers],[ID]])))))</f>
        <v/>
      </c>
      <c r="O132" s="137" t="str">
        <f aca="false">IF(IFERROR(INDEX(tsk_Name,(ROW()-ROW(MSPTasks[[#Headers],[ID]])))="",TRUE()),"",INDEX(tsk_PlanStart,(ROW()-ROW(MSPTasks[[#Headers],[ID]]))))</f>
        <v/>
      </c>
      <c r="P132" s="137" t="str">
        <f aca="false">IF(IFERROR(INDEX(tsk_Name,(ROW()-ROW(MSPTasks[[#Headers],[ID]])))="",TRUE()),"",INDEX(tsk_PlanFinish,(ROW()-ROW(MSPTasks[[#Headers],[ID]]))))</f>
        <v/>
      </c>
      <c r="Q132" s="24" t="str">
        <f aca="false">IF(IFERROR(INDEX(tsk_Name,(ROW()-ROW(MSPTasks[[#Headers],[ID]])))="",TRUE()),"",IF(INDEX(tsk_BaseDuration,(ROW()-ROW(MSPTasks[[#Headers],[ID]])))="","",N(INDEX(tsk_BaseDuration,(ROW()-ROW(MSPTasks[[#Headers],[ID]]))))&amp;"d"))</f>
        <v/>
      </c>
      <c r="R132" s="24" t="str">
        <f aca="false">IF(IFERROR(INDEX(tsk_Name,(ROW()-ROW(MSPTasks[[#Headers],[ID]])))="",TRUE()),"",IF(INDEX(tsk_BaseWork,(ROW()-ROW(MSPTasks[[#Headers],[ID]])))="","",N(INDEX(tsk_BaseWork,(ROW()-ROW(MSPTasks[[#Headers],[ID]]))))&amp;"h"))</f>
        <v/>
      </c>
      <c r="S132" s="24" t="str">
        <f aca="false">IF(IFERROR(INDEX(tsk_Name,(ROW()-ROW(MSPTasks[[#Headers],[ID]])))="",TRUE()),"",IF(INDEX(tsk_BaseCost,(ROW()-ROW(MSPTasks[[#Headers],[ID]])))="","",N(INDEX(tsk_BaseCost,(ROW()-ROW(MSPTasks[[#Headers],[ID]]))))))</f>
        <v/>
      </c>
      <c r="T132" s="24" t="str">
        <f aca="false">IF(IFERROR(INDEX(tsk_Name,(ROW()-ROW(MSPTasks[[#Headers],[ID]])))="",TRUE()),"",IF(INDEX(tsk_IsSummary,(ROW()-ROW(MSPTasks[[#Headers],[ID]]))),"",IF(N(INDEX(tsk_ActCostInput,(ROW()-ROW(MSPTasks[[#Headers],[ID]]))))=0,"",INDEX(tsk_ActCostInput,(ROW()-ROW(MSPTasks[[#Headers],[ID]]))))))</f>
        <v/>
      </c>
      <c r="U13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2" s="137" t="str">
        <f aca="false">IF(IFERROR(INDEX(tsk_Name,(ROW()-ROW(MSPTasks[[#Headers],[ID]])))="",TRUE()),"",IF(OR(INDEX(tsk_IsSummary,(ROW()-ROW(MSPTasks[[#Headers],[ID]]))),INDEX(tsk_Mode,(ROW()-ROW(MSPTasks[[#Headers],[ID]])))="Manual"),"",IF(N(INDEX(tsk_ConstraintCode,(ROW()-ROW(MSPTasks[[#Headers],[ID]]))))&lt;2,"",INDEX(tsk_Constraint,(ROW()-ROW(MSPTasks[[#Headers],[ID]]))))))</f>
        <v/>
      </c>
      <c r="W132" s="137" t="str">
        <f aca="false">IF(IFERROR(INDEX(tsk_Name,(ROW()-ROW(MSPTasks[[#Headers],[ID]])))="",TRUE()),"",IF(N(INDEX(tsk_Deadline,(ROW()-ROW(MSPTasks[[#Headers],[ID]]))))=0,"",INDEX(tsk_Deadline,(ROW()-ROW(MSPTasks[[#Headers],[ID]])))))</f>
        <v/>
      </c>
      <c r="X132" s="24" t="str">
        <f aca="false">IF(IFERROR(INDEX(tsk_Name,(ROW()-ROW(MSPTasks[[#Headers],[ID]])))="",TRUE()),"",IF(INDEX(tsk_IsSummary,(ROW()-ROW(MSPTasks[[#Headers],[ID]]))),"",INDEX(tsk_Sprint,(ROW()-ROW(MSPTasks[[#Headers],[ID]])))&amp;""))</f>
        <v/>
      </c>
      <c r="Y132" s="24" t="str">
        <f aca="false">IF(IFERROR(INDEX(tsk_Name,(ROW()-ROW(MSPTasks[[#Headers],[ID]])))="",TRUE()),"",IF(INDEX(tsk_IsSummary,(ROW()-ROW(MSPTasks[[#Headers],[ID]]))),"",IF(N(INDEX(tsk_StoryPoints,(ROW()-ROW(MSPTasks[[#Headers],[ID]]))))=0,"",INDEX(tsk_StoryPoints,(ROW()-ROW(MSPTasks[[#Headers],[ID]]))))))</f>
        <v/>
      </c>
      <c r="Z132" s="24" t="str">
        <f aca="false">IF(IFERROR(INDEX(tsk_Name,(ROW()-ROW(MSPTasks[[#Headers],[ID]])))="",TRUE()),"",INDEX(tsk_Notes,(ROW()-ROW(MSPTasks[[#Headers],[ID]])))&amp;"")</f>
        <v/>
      </c>
    </row>
    <row r="133" customFormat="false" ht="15" hidden="false" customHeight="false" outlineLevel="0" collapsed="false">
      <c r="A133" s="24" t="str">
        <f aca="false">IF(IFERROR(INDEX(tsk_Name,(ROW()-ROW(MSPTasks[[#Headers],[ID]])))="",TRUE()),"",INDEX(tsk_ID,(ROW()-ROW(MSPTasks[[#Headers],[ID]]))))</f>
        <v/>
      </c>
      <c r="B133" s="24" t="str">
        <f aca="false">IF(IFERROR(INDEX(tsk_Name,(ROW()-ROW(MSPTasks[[#Headers],[ID]])))="",TRUE()),"",INDEX(tsk_UID,(ROW()-ROW(MSPTasks[[#Headers],[ID]]))))</f>
        <v/>
      </c>
      <c r="C133" s="24" t="str">
        <f aca="false">IF(IFERROR(INDEX(tsk_Name,(ROW()-ROW(MSPTasks[[#Headers],[ID]])))="",TRUE()),"",INDEX(tsk_Name,(ROW()-ROW(MSPTasks[[#Headers],[ID]]))))</f>
        <v/>
      </c>
      <c r="D133" s="24" t="str">
        <f aca="false">IF(IFERROR(INDEX(tsk_Name,(ROW()-ROW(MSPTasks[[#Headers],[ID]])))="",TRUE()),"",INDEX(tsk_Level,(ROW()-ROW(MSPTasks[[#Headers],[ID]]))))</f>
        <v/>
      </c>
      <c r="E133" s="24" t="str">
        <f aca="false">IF(IFERROR(INDEX(tsk_Name,(ROW()-ROW(MSPTasks[[#Headers],[ID]])))="",TRUE()),"",IF(INDEX(tsk_Mode,(ROW()-ROW(MSPTasks[[#Headers],[ID]])))="Manual","Manually Scheduled","Auto Scheduled"))</f>
        <v/>
      </c>
      <c r="F133" s="24" t="str">
        <f aca="false">IF(IFERROR(INDEX(tsk_Name,(ROW()-ROW(MSPTasks[[#Headers],[ID]])))="",TRUE()),"",IF(INDEX(tsk_IsSummary,(ROW()-ROW(MSPTasks[[#Headers],[ID]]))),"",N(INDEX(tsk_Duration,(ROW()-ROW(MSPTasks[[#Headers],[ID]]))))&amp;"d"))</f>
        <v/>
      </c>
      <c r="G133" s="137" t="str">
        <f aca="false">IF(IFERROR(INDEX(tsk_Name,(ROW()-ROW(MSPTasks[[#Headers],[ID]])))="",TRUE()),"",INDEX(tsk_FcStart,(ROW()-ROW(MSPTasks[[#Headers],[ID]]))))</f>
        <v/>
      </c>
      <c r="H133" s="137" t="str">
        <f aca="false">IF(IFERROR(INDEX(tsk_Name,(ROW()-ROW(MSPTasks[[#Headers],[ID]])))="",TRUE()),"",INDEX(tsk_FcFinish,(ROW()-ROW(MSPTasks[[#Headers],[ID]]))))</f>
        <v/>
      </c>
      <c r="I133" s="24" t="str">
        <f aca="false">IF(IFERROR(INDEX(tsk_Name,(ROW()-ROW(MSPTasks[[#Headers],[ID]])))="",TRUE()),"",IF(INDEX(tsk_IsSummary,(ROW()-ROW(MSPTasks[[#Headers],[ID]]))),"",INDEX(tsk_Predecessors,(ROW()-ROW(MSPTasks[[#Headers],[ID]])))))</f>
        <v/>
      </c>
      <c r="J133" s="24" t="str">
        <f aca="false">IF(IFERROR(INDEX(tsk_Name,(ROW()-ROW(MSPTasks[[#Headers],[ID]])))="",TRUE()),"",IF(INDEX(tsk_IsSummary,(ROW()-ROW(MSPTasks[[#Headers],[ID]]))),"",INDEX(tsk_UIDPredecessors,(ROW()-ROW(MSPTasks[[#Headers],[ID]])))))</f>
        <v/>
      </c>
      <c r="K133" s="24" t="str">
        <f aca="false">IF(IFERROR(INDEX(tsk_Name,(ROW()-ROW(MSPTasks[[#Headers],[ID]])))="",TRUE()),"",INDEX(tsk_ResourceNames,(ROW()-ROW(MSPTasks[[#Headers],[ID]])))&amp;"")</f>
        <v/>
      </c>
      <c r="L133" s="24" t="str">
        <f aca="false">IF(IFERROR(INDEX(tsk_Name,(ROW()-ROW(MSPTasks[[#Headers],[ID]])))="",TRUE()),"",IF(INDEX(tsk_IsSummary,(ROW()-ROW(MSPTasks[[#Headers],[ID]]))),"",ROUND(INDEX(tsk_Progress,(ROW()-ROW(MSPTasks[[#Headers],[ID]])))*100,0)))</f>
        <v/>
      </c>
      <c r="M133" s="137" t="str">
        <f aca="false">IF(IFERROR(INDEX(tsk_Name,(ROW()-ROW(MSPTasks[[#Headers],[ID]])))="",TRUE()),"",IF(N(INDEX(tsk_ActStart,(ROW()-ROW(MSPTasks[[#Headers],[ID]]))))=0,"",INDEX(tsk_ActStart,(ROW()-ROW(MSPTasks[[#Headers],[ID]])))))</f>
        <v/>
      </c>
      <c r="N133" s="137" t="str">
        <f aca="false">IF(IFERROR(INDEX(tsk_Name,(ROW()-ROW(MSPTasks[[#Headers],[ID]])))="",TRUE()),"",IF(N(INDEX(tsk_ActFinish,(ROW()-ROW(MSPTasks[[#Headers],[ID]]))))=0,"",INDEX(tsk_ActFinish,(ROW()-ROW(MSPTasks[[#Headers],[ID]])))))</f>
        <v/>
      </c>
      <c r="O133" s="137" t="str">
        <f aca="false">IF(IFERROR(INDEX(tsk_Name,(ROW()-ROW(MSPTasks[[#Headers],[ID]])))="",TRUE()),"",INDEX(tsk_PlanStart,(ROW()-ROW(MSPTasks[[#Headers],[ID]]))))</f>
        <v/>
      </c>
      <c r="P133" s="137" t="str">
        <f aca="false">IF(IFERROR(INDEX(tsk_Name,(ROW()-ROW(MSPTasks[[#Headers],[ID]])))="",TRUE()),"",INDEX(tsk_PlanFinish,(ROW()-ROW(MSPTasks[[#Headers],[ID]]))))</f>
        <v/>
      </c>
      <c r="Q133" s="24" t="str">
        <f aca="false">IF(IFERROR(INDEX(tsk_Name,(ROW()-ROW(MSPTasks[[#Headers],[ID]])))="",TRUE()),"",IF(INDEX(tsk_BaseDuration,(ROW()-ROW(MSPTasks[[#Headers],[ID]])))="","",N(INDEX(tsk_BaseDuration,(ROW()-ROW(MSPTasks[[#Headers],[ID]]))))&amp;"d"))</f>
        <v/>
      </c>
      <c r="R133" s="24" t="str">
        <f aca="false">IF(IFERROR(INDEX(tsk_Name,(ROW()-ROW(MSPTasks[[#Headers],[ID]])))="",TRUE()),"",IF(INDEX(tsk_BaseWork,(ROW()-ROW(MSPTasks[[#Headers],[ID]])))="","",N(INDEX(tsk_BaseWork,(ROW()-ROW(MSPTasks[[#Headers],[ID]]))))&amp;"h"))</f>
        <v/>
      </c>
      <c r="S133" s="24" t="str">
        <f aca="false">IF(IFERROR(INDEX(tsk_Name,(ROW()-ROW(MSPTasks[[#Headers],[ID]])))="",TRUE()),"",IF(INDEX(tsk_BaseCost,(ROW()-ROW(MSPTasks[[#Headers],[ID]])))="","",N(INDEX(tsk_BaseCost,(ROW()-ROW(MSPTasks[[#Headers],[ID]]))))))</f>
        <v/>
      </c>
      <c r="T133" s="24" t="str">
        <f aca="false">IF(IFERROR(INDEX(tsk_Name,(ROW()-ROW(MSPTasks[[#Headers],[ID]])))="",TRUE()),"",IF(INDEX(tsk_IsSummary,(ROW()-ROW(MSPTasks[[#Headers],[ID]]))),"",IF(N(INDEX(tsk_ActCostInput,(ROW()-ROW(MSPTasks[[#Headers],[ID]]))))=0,"",INDEX(tsk_ActCostInput,(ROW()-ROW(MSPTasks[[#Headers],[ID]]))))))</f>
        <v/>
      </c>
      <c r="U13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3" s="137" t="str">
        <f aca="false">IF(IFERROR(INDEX(tsk_Name,(ROW()-ROW(MSPTasks[[#Headers],[ID]])))="",TRUE()),"",IF(OR(INDEX(tsk_IsSummary,(ROW()-ROW(MSPTasks[[#Headers],[ID]]))),INDEX(tsk_Mode,(ROW()-ROW(MSPTasks[[#Headers],[ID]])))="Manual"),"",IF(N(INDEX(tsk_ConstraintCode,(ROW()-ROW(MSPTasks[[#Headers],[ID]]))))&lt;2,"",INDEX(tsk_Constraint,(ROW()-ROW(MSPTasks[[#Headers],[ID]]))))))</f>
        <v/>
      </c>
      <c r="W133" s="137" t="str">
        <f aca="false">IF(IFERROR(INDEX(tsk_Name,(ROW()-ROW(MSPTasks[[#Headers],[ID]])))="",TRUE()),"",IF(N(INDEX(tsk_Deadline,(ROW()-ROW(MSPTasks[[#Headers],[ID]]))))=0,"",INDEX(tsk_Deadline,(ROW()-ROW(MSPTasks[[#Headers],[ID]])))))</f>
        <v/>
      </c>
      <c r="X133" s="24" t="str">
        <f aca="false">IF(IFERROR(INDEX(tsk_Name,(ROW()-ROW(MSPTasks[[#Headers],[ID]])))="",TRUE()),"",IF(INDEX(tsk_IsSummary,(ROW()-ROW(MSPTasks[[#Headers],[ID]]))),"",INDEX(tsk_Sprint,(ROW()-ROW(MSPTasks[[#Headers],[ID]])))&amp;""))</f>
        <v/>
      </c>
      <c r="Y133" s="24" t="str">
        <f aca="false">IF(IFERROR(INDEX(tsk_Name,(ROW()-ROW(MSPTasks[[#Headers],[ID]])))="",TRUE()),"",IF(INDEX(tsk_IsSummary,(ROW()-ROW(MSPTasks[[#Headers],[ID]]))),"",IF(N(INDEX(tsk_StoryPoints,(ROW()-ROW(MSPTasks[[#Headers],[ID]]))))=0,"",INDEX(tsk_StoryPoints,(ROW()-ROW(MSPTasks[[#Headers],[ID]]))))))</f>
        <v/>
      </c>
      <c r="Z133" s="24" t="str">
        <f aca="false">IF(IFERROR(INDEX(tsk_Name,(ROW()-ROW(MSPTasks[[#Headers],[ID]])))="",TRUE()),"",INDEX(tsk_Notes,(ROW()-ROW(MSPTasks[[#Headers],[ID]])))&amp;"")</f>
        <v/>
      </c>
    </row>
    <row r="134" customFormat="false" ht="15" hidden="false" customHeight="false" outlineLevel="0" collapsed="false">
      <c r="A134" s="24" t="str">
        <f aca="false">IF(IFERROR(INDEX(tsk_Name,(ROW()-ROW(MSPTasks[[#Headers],[ID]])))="",TRUE()),"",INDEX(tsk_ID,(ROW()-ROW(MSPTasks[[#Headers],[ID]]))))</f>
        <v/>
      </c>
      <c r="B134" s="24" t="str">
        <f aca="false">IF(IFERROR(INDEX(tsk_Name,(ROW()-ROW(MSPTasks[[#Headers],[ID]])))="",TRUE()),"",INDEX(tsk_UID,(ROW()-ROW(MSPTasks[[#Headers],[ID]]))))</f>
        <v/>
      </c>
      <c r="C134" s="24" t="str">
        <f aca="false">IF(IFERROR(INDEX(tsk_Name,(ROW()-ROW(MSPTasks[[#Headers],[ID]])))="",TRUE()),"",INDEX(tsk_Name,(ROW()-ROW(MSPTasks[[#Headers],[ID]]))))</f>
        <v/>
      </c>
      <c r="D134" s="24" t="str">
        <f aca="false">IF(IFERROR(INDEX(tsk_Name,(ROW()-ROW(MSPTasks[[#Headers],[ID]])))="",TRUE()),"",INDEX(tsk_Level,(ROW()-ROW(MSPTasks[[#Headers],[ID]]))))</f>
        <v/>
      </c>
      <c r="E134" s="24" t="str">
        <f aca="false">IF(IFERROR(INDEX(tsk_Name,(ROW()-ROW(MSPTasks[[#Headers],[ID]])))="",TRUE()),"",IF(INDEX(tsk_Mode,(ROW()-ROW(MSPTasks[[#Headers],[ID]])))="Manual","Manually Scheduled","Auto Scheduled"))</f>
        <v/>
      </c>
      <c r="F134" s="24" t="str">
        <f aca="false">IF(IFERROR(INDEX(tsk_Name,(ROW()-ROW(MSPTasks[[#Headers],[ID]])))="",TRUE()),"",IF(INDEX(tsk_IsSummary,(ROW()-ROW(MSPTasks[[#Headers],[ID]]))),"",N(INDEX(tsk_Duration,(ROW()-ROW(MSPTasks[[#Headers],[ID]]))))&amp;"d"))</f>
        <v/>
      </c>
      <c r="G134" s="137" t="str">
        <f aca="false">IF(IFERROR(INDEX(tsk_Name,(ROW()-ROW(MSPTasks[[#Headers],[ID]])))="",TRUE()),"",INDEX(tsk_FcStart,(ROW()-ROW(MSPTasks[[#Headers],[ID]]))))</f>
        <v/>
      </c>
      <c r="H134" s="137" t="str">
        <f aca="false">IF(IFERROR(INDEX(tsk_Name,(ROW()-ROW(MSPTasks[[#Headers],[ID]])))="",TRUE()),"",INDEX(tsk_FcFinish,(ROW()-ROW(MSPTasks[[#Headers],[ID]]))))</f>
        <v/>
      </c>
      <c r="I134" s="24" t="str">
        <f aca="false">IF(IFERROR(INDEX(tsk_Name,(ROW()-ROW(MSPTasks[[#Headers],[ID]])))="",TRUE()),"",IF(INDEX(tsk_IsSummary,(ROW()-ROW(MSPTasks[[#Headers],[ID]]))),"",INDEX(tsk_Predecessors,(ROW()-ROW(MSPTasks[[#Headers],[ID]])))))</f>
        <v/>
      </c>
      <c r="J134" s="24" t="str">
        <f aca="false">IF(IFERROR(INDEX(tsk_Name,(ROW()-ROW(MSPTasks[[#Headers],[ID]])))="",TRUE()),"",IF(INDEX(tsk_IsSummary,(ROW()-ROW(MSPTasks[[#Headers],[ID]]))),"",INDEX(tsk_UIDPredecessors,(ROW()-ROW(MSPTasks[[#Headers],[ID]])))))</f>
        <v/>
      </c>
      <c r="K134" s="24" t="str">
        <f aca="false">IF(IFERROR(INDEX(tsk_Name,(ROW()-ROW(MSPTasks[[#Headers],[ID]])))="",TRUE()),"",INDEX(tsk_ResourceNames,(ROW()-ROW(MSPTasks[[#Headers],[ID]])))&amp;"")</f>
        <v/>
      </c>
      <c r="L134" s="24" t="str">
        <f aca="false">IF(IFERROR(INDEX(tsk_Name,(ROW()-ROW(MSPTasks[[#Headers],[ID]])))="",TRUE()),"",IF(INDEX(tsk_IsSummary,(ROW()-ROW(MSPTasks[[#Headers],[ID]]))),"",ROUND(INDEX(tsk_Progress,(ROW()-ROW(MSPTasks[[#Headers],[ID]])))*100,0)))</f>
        <v/>
      </c>
      <c r="M134" s="137" t="str">
        <f aca="false">IF(IFERROR(INDEX(tsk_Name,(ROW()-ROW(MSPTasks[[#Headers],[ID]])))="",TRUE()),"",IF(N(INDEX(tsk_ActStart,(ROW()-ROW(MSPTasks[[#Headers],[ID]]))))=0,"",INDEX(tsk_ActStart,(ROW()-ROW(MSPTasks[[#Headers],[ID]])))))</f>
        <v/>
      </c>
      <c r="N134" s="137" t="str">
        <f aca="false">IF(IFERROR(INDEX(tsk_Name,(ROW()-ROW(MSPTasks[[#Headers],[ID]])))="",TRUE()),"",IF(N(INDEX(tsk_ActFinish,(ROW()-ROW(MSPTasks[[#Headers],[ID]]))))=0,"",INDEX(tsk_ActFinish,(ROW()-ROW(MSPTasks[[#Headers],[ID]])))))</f>
        <v/>
      </c>
      <c r="O134" s="137" t="str">
        <f aca="false">IF(IFERROR(INDEX(tsk_Name,(ROW()-ROW(MSPTasks[[#Headers],[ID]])))="",TRUE()),"",INDEX(tsk_PlanStart,(ROW()-ROW(MSPTasks[[#Headers],[ID]]))))</f>
        <v/>
      </c>
      <c r="P134" s="137" t="str">
        <f aca="false">IF(IFERROR(INDEX(tsk_Name,(ROW()-ROW(MSPTasks[[#Headers],[ID]])))="",TRUE()),"",INDEX(tsk_PlanFinish,(ROW()-ROW(MSPTasks[[#Headers],[ID]]))))</f>
        <v/>
      </c>
      <c r="Q134" s="24" t="str">
        <f aca="false">IF(IFERROR(INDEX(tsk_Name,(ROW()-ROW(MSPTasks[[#Headers],[ID]])))="",TRUE()),"",IF(INDEX(tsk_BaseDuration,(ROW()-ROW(MSPTasks[[#Headers],[ID]])))="","",N(INDEX(tsk_BaseDuration,(ROW()-ROW(MSPTasks[[#Headers],[ID]]))))&amp;"d"))</f>
        <v/>
      </c>
      <c r="R134" s="24" t="str">
        <f aca="false">IF(IFERROR(INDEX(tsk_Name,(ROW()-ROW(MSPTasks[[#Headers],[ID]])))="",TRUE()),"",IF(INDEX(tsk_BaseWork,(ROW()-ROW(MSPTasks[[#Headers],[ID]])))="","",N(INDEX(tsk_BaseWork,(ROW()-ROW(MSPTasks[[#Headers],[ID]]))))&amp;"h"))</f>
        <v/>
      </c>
      <c r="S134" s="24" t="str">
        <f aca="false">IF(IFERROR(INDEX(tsk_Name,(ROW()-ROW(MSPTasks[[#Headers],[ID]])))="",TRUE()),"",IF(INDEX(tsk_BaseCost,(ROW()-ROW(MSPTasks[[#Headers],[ID]])))="","",N(INDEX(tsk_BaseCost,(ROW()-ROW(MSPTasks[[#Headers],[ID]]))))))</f>
        <v/>
      </c>
      <c r="T134" s="24" t="str">
        <f aca="false">IF(IFERROR(INDEX(tsk_Name,(ROW()-ROW(MSPTasks[[#Headers],[ID]])))="",TRUE()),"",IF(INDEX(tsk_IsSummary,(ROW()-ROW(MSPTasks[[#Headers],[ID]]))),"",IF(N(INDEX(tsk_ActCostInput,(ROW()-ROW(MSPTasks[[#Headers],[ID]]))))=0,"",INDEX(tsk_ActCostInput,(ROW()-ROW(MSPTasks[[#Headers],[ID]]))))))</f>
        <v/>
      </c>
      <c r="U13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4" s="137" t="str">
        <f aca="false">IF(IFERROR(INDEX(tsk_Name,(ROW()-ROW(MSPTasks[[#Headers],[ID]])))="",TRUE()),"",IF(OR(INDEX(tsk_IsSummary,(ROW()-ROW(MSPTasks[[#Headers],[ID]]))),INDEX(tsk_Mode,(ROW()-ROW(MSPTasks[[#Headers],[ID]])))="Manual"),"",IF(N(INDEX(tsk_ConstraintCode,(ROW()-ROW(MSPTasks[[#Headers],[ID]]))))&lt;2,"",INDEX(tsk_Constraint,(ROW()-ROW(MSPTasks[[#Headers],[ID]]))))))</f>
        <v/>
      </c>
      <c r="W134" s="137" t="str">
        <f aca="false">IF(IFERROR(INDEX(tsk_Name,(ROW()-ROW(MSPTasks[[#Headers],[ID]])))="",TRUE()),"",IF(N(INDEX(tsk_Deadline,(ROW()-ROW(MSPTasks[[#Headers],[ID]]))))=0,"",INDEX(tsk_Deadline,(ROW()-ROW(MSPTasks[[#Headers],[ID]])))))</f>
        <v/>
      </c>
      <c r="X134" s="24" t="str">
        <f aca="false">IF(IFERROR(INDEX(tsk_Name,(ROW()-ROW(MSPTasks[[#Headers],[ID]])))="",TRUE()),"",IF(INDEX(tsk_IsSummary,(ROW()-ROW(MSPTasks[[#Headers],[ID]]))),"",INDEX(tsk_Sprint,(ROW()-ROW(MSPTasks[[#Headers],[ID]])))&amp;""))</f>
        <v/>
      </c>
      <c r="Y134" s="24" t="str">
        <f aca="false">IF(IFERROR(INDEX(tsk_Name,(ROW()-ROW(MSPTasks[[#Headers],[ID]])))="",TRUE()),"",IF(INDEX(tsk_IsSummary,(ROW()-ROW(MSPTasks[[#Headers],[ID]]))),"",IF(N(INDEX(tsk_StoryPoints,(ROW()-ROW(MSPTasks[[#Headers],[ID]]))))=0,"",INDEX(tsk_StoryPoints,(ROW()-ROW(MSPTasks[[#Headers],[ID]]))))))</f>
        <v/>
      </c>
      <c r="Z134" s="24" t="str">
        <f aca="false">IF(IFERROR(INDEX(tsk_Name,(ROW()-ROW(MSPTasks[[#Headers],[ID]])))="",TRUE()),"",INDEX(tsk_Notes,(ROW()-ROW(MSPTasks[[#Headers],[ID]])))&amp;"")</f>
        <v/>
      </c>
    </row>
    <row r="135" customFormat="false" ht="15" hidden="false" customHeight="false" outlineLevel="0" collapsed="false">
      <c r="A135" s="24" t="str">
        <f aca="false">IF(IFERROR(INDEX(tsk_Name,(ROW()-ROW(MSPTasks[[#Headers],[ID]])))="",TRUE()),"",INDEX(tsk_ID,(ROW()-ROW(MSPTasks[[#Headers],[ID]]))))</f>
        <v/>
      </c>
      <c r="B135" s="24" t="str">
        <f aca="false">IF(IFERROR(INDEX(tsk_Name,(ROW()-ROW(MSPTasks[[#Headers],[ID]])))="",TRUE()),"",INDEX(tsk_UID,(ROW()-ROW(MSPTasks[[#Headers],[ID]]))))</f>
        <v/>
      </c>
      <c r="C135" s="24" t="str">
        <f aca="false">IF(IFERROR(INDEX(tsk_Name,(ROW()-ROW(MSPTasks[[#Headers],[ID]])))="",TRUE()),"",INDEX(tsk_Name,(ROW()-ROW(MSPTasks[[#Headers],[ID]]))))</f>
        <v/>
      </c>
      <c r="D135" s="24" t="str">
        <f aca="false">IF(IFERROR(INDEX(tsk_Name,(ROW()-ROW(MSPTasks[[#Headers],[ID]])))="",TRUE()),"",INDEX(tsk_Level,(ROW()-ROW(MSPTasks[[#Headers],[ID]]))))</f>
        <v/>
      </c>
      <c r="E135" s="24" t="str">
        <f aca="false">IF(IFERROR(INDEX(tsk_Name,(ROW()-ROW(MSPTasks[[#Headers],[ID]])))="",TRUE()),"",IF(INDEX(tsk_Mode,(ROW()-ROW(MSPTasks[[#Headers],[ID]])))="Manual","Manually Scheduled","Auto Scheduled"))</f>
        <v/>
      </c>
      <c r="F135" s="24" t="str">
        <f aca="false">IF(IFERROR(INDEX(tsk_Name,(ROW()-ROW(MSPTasks[[#Headers],[ID]])))="",TRUE()),"",IF(INDEX(tsk_IsSummary,(ROW()-ROW(MSPTasks[[#Headers],[ID]]))),"",N(INDEX(tsk_Duration,(ROW()-ROW(MSPTasks[[#Headers],[ID]]))))&amp;"d"))</f>
        <v/>
      </c>
      <c r="G135" s="137" t="str">
        <f aca="false">IF(IFERROR(INDEX(tsk_Name,(ROW()-ROW(MSPTasks[[#Headers],[ID]])))="",TRUE()),"",INDEX(tsk_FcStart,(ROW()-ROW(MSPTasks[[#Headers],[ID]]))))</f>
        <v/>
      </c>
      <c r="H135" s="137" t="str">
        <f aca="false">IF(IFERROR(INDEX(tsk_Name,(ROW()-ROW(MSPTasks[[#Headers],[ID]])))="",TRUE()),"",INDEX(tsk_FcFinish,(ROW()-ROW(MSPTasks[[#Headers],[ID]]))))</f>
        <v/>
      </c>
      <c r="I135" s="24" t="str">
        <f aca="false">IF(IFERROR(INDEX(tsk_Name,(ROW()-ROW(MSPTasks[[#Headers],[ID]])))="",TRUE()),"",IF(INDEX(tsk_IsSummary,(ROW()-ROW(MSPTasks[[#Headers],[ID]]))),"",INDEX(tsk_Predecessors,(ROW()-ROW(MSPTasks[[#Headers],[ID]])))))</f>
        <v/>
      </c>
      <c r="J135" s="24" t="str">
        <f aca="false">IF(IFERROR(INDEX(tsk_Name,(ROW()-ROW(MSPTasks[[#Headers],[ID]])))="",TRUE()),"",IF(INDEX(tsk_IsSummary,(ROW()-ROW(MSPTasks[[#Headers],[ID]]))),"",INDEX(tsk_UIDPredecessors,(ROW()-ROW(MSPTasks[[#Headers],[ID]])))))</f>
        <v/>
      </c>
      <c r="K135" s="24" t="str">
        <f aca="false">IF(IFERROR(INDEX(tsk_Name,(ROW()-ROW(MSPTasks[[#Headers],[ID]])))="",TRUE()),"",INDEX(tsk_ResourceNames,(ROW()-ROW(MSPTasks[[#Headers],[ID]])))&amp;"")</f>
        <v/>
      </c>
      <c r="L135" s="24" t="str">
        <f aca="false">IF(IFERROR(INDEX(tsk_Name,(ROW()-ROW(MSPTasks[[#Headers],[ID]])))="",TRUE()),"",IF(INDEX(tsk_IsSummary,(ROW()-ROW(MSPTasks[[#Headers],[ID]]))),"",ROUND(INDEX(tsk_Progress,(ROW()-ROW(MSPTasks[[#Headers],[ID]])))*100,0)))</f>
        <v/>
      </c>
      <c r="M135" s="137" t="str">
        <f aca="false">IF(IFERROR(INDEX(tsk_Name,(ROW()-ROW(MSPTasks[[#Headers],[ID]])))="",TRUE()),"",IF(N(INDEX(tsk_ActStart,(ROW()-ROW(MSPTasks[[#Headers],[ID]]))))=0,"",INDEX(tsk_ActStart,(ROW()-ROW(MSPTasks[[#Headers],[ID]])))))</f>
        <v/>
      </c>
      <c r="N135" s="137" t="str">
        <f aca="false">IF(IFERROR(INDEX(tsk_Name,(ROW()-ROW(MSPTasks[[#Headers],[ID]])))="",TRUE()),"",IF(N(INDEX(tsk_ActFinish,(ROW()-ROW(MSPTasks[[#Headers],[ID]]))))=0,"",INDEX(tsk_ActFinish,(ROW()-ROW(MSPTasks[[#Headers],[ID]])))))</f>
        <v/>
      </c>
      <c r="O135" s="137" t="str">
        <f aca="false">IF(IFERROR(INDEX(tsk_Name,(ROW()-ROW(MSPTasks[[#Headers],[ID]])))="",TRUE()),"",INDEX(tsk_PlanStart,(ROW()-ROW(MSPTasks[[#Headers],[ID]]))))</f>
        <v/>
      </c>
      <c r="P135" s="137" t="str">
        <f aca="false">IF(IFERROR(INDEX(tsk_Name,(ROW()-ROW(MSPTasks[[#Headers],[ID]])))="",TRUE()),"",INDEX(tsk_PlanFinish,(ROW()-ROW(MSPTasks[[#Headers],[ID]]))))</f>
        <v/>
      </c>
      <c r="Q135" s="24" t="str">
        <f aca="false">IF(IFERROR(INDEX(tsk_Name,(ROW()-ROW(MSPTasks[[#Headers],[ID]])))="",TRUE()),"",IF(INDEX(tsk_BaseDuration,(ROW()-ROW(MSPTasks[[#Headers],[ID]])))="","",N(INDEX(tsk_BaseDuration,(ROW()-ROW(MSPTasks[[#Headers],[ID]]))))&amp;"d"))</f>
        <v/>
      </c>
      <c r="R135" s="24" t="str">
        <f aca="false">IF(IFERROR(INDEX(tsk_Name,(ROW()-ROW(MSPTasks[[#Headers],[ID]])))="",TRUE()),"",IF(INDEX(tsk_BaseWork,(ROW()-ROW(MSPTasks[[#Headers],[ID]])))="","",N(INDEX(tsk_BaseWork,(ROW()-ROW(MSPTasks[[#Headers],[ID]]))))&amp;"h"))</f>
        <v/>
      </c>
      <c r="S135" s="24" t="str">
        <f aca="false">IF(IFERROR(INDEX(tsk_Name,(ROW()-ROW(MSPTasks[[#Headers],[ID]])))="",TRUE()),"",IF(INDEX(tsk_BaseCost,(ROW()-ROW(MSPTasks[[#Headers],[ID]])))="","",N(INDEX(tsk_BaseCost,(ROW()-ROW(MSPTasks[[#Headers],[ID]]))))))</f>
        <v/>
      </c>
      <c r="T135" s="24" t="str">
        <f aca="false">IF(IFERROR(INDEX(tsk_Name,(ROW()-ROW(MSPTasks[[#Headers],[ID]])))="",TRUE()),"",IF(INDEX(tsk_IsSummary,(ROW()-ROW(MSPTasks[[#Headers],[ID]]))),"",IF(N(INDEX(tsk_ActCostInput,(ROW()-ROW(MSPTasks[[#Headers],[ID]]))))=0,"",INDEX(tsk_ActCostInput,(ROW()-ROW(MSPTasks[[#Headers],[ID]]))))))</f>
        <v/>
      </c>
      <c r="U13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5" s="137" t="str">
        <f aca="false">IF(IFERROR(INDEX(tsk_Name,(ROW()-ROW(MSPTasks[[#Headers],[ID]])))="",TRUE()),"",IF(OR(INDEX(tsk_IsSummary,(ROW()-ROW(MSPTasks[[#Headers],[ID]]))),INDEX(tsk_Mode,(ROW()-ROW(MSPTasks[[#Headers],[ID]])))="Manual"),"",IF(N(INDEX(tsk_ConstraintCode,(ROW()-ROW(MSPTasks[[#Headers],[ID]]))))&lt;2,"",INDEX(tsk_Constraint,(ROW()-ROW(MSPTasks[[#Headers],[ID]]))))))</f>
        <v/>
      </c>
      <c r="W135" s="137" t="str">
        <f aca="false">IF(IFERROR(INDEX(tsk_Name,(ROW()-ROW(MSPTasks[[#Headers],[ID]])))="",TRUE()),"",IF(N(INDEX(tsk_Deadline,(ROW()-ROW(MSPTasks[[#Headers],[ID]]))))=0,"",INDEX(tsk_Deadline,(ROW()-ROW(MSPTasks[[#Headers],[ID]])))))</f>
        <v/>
      </c>
      <c r="X135" s="24" t="str">
        <f aca="false">IF(IFERROR(INDEX(tsk_Name,(ROW()-ROW(MSPTasks[[#Headers],[ID]])))="",TRUE()),"",IF(INDEX(tsk_IsSummary,(ROW()-ROW(MSPTasks[[#Headers],[ID]]))),"",INDEX(tsk_Sprint,(ROW()-ROW(MSPTasks[[#Headers],[ID]])))&amp;""))</f>
        <v/>
      </c>
      <c r="Y135" s="24" t="str">
        <f aca="false">IF(IFERROR(INDEX(tsk_Name,(ROW()-ROW(MSPTasks[[#Headers],[ID]])))="",TRUE()),"",IF(INDEX(tsk_IsSummary,(ROW()-ROW(MSPTasks[[#Headers],[ID]]))),"",IF(N(INDEX(tsk_StoryPoints,(ROW()-ROW(MSPTasks[[#Headers],[ID]]))))=0,"",INDEX(tsk_StoryPoints,(ROW()-ROW(MSPTasks[[#Headers],[ID]]))))))</f>
        <v/>
      </c>
      <c r="Z135" s="24" t="str">
        <f aca="false">IF(IFERROR(INDEX(tsk_Name,(ROW()-ROW(MSPTasks[[#Headers],[ID]])))="",TRUE()),"",INDEX(tsk_Notes,(ROW()-ROW(MSPTasks[[#Headers],[ID]])))&amp;"")</f>
        <v/>
      </c>
    </row>
    <row r="136" customFormat="false" ht="15" hidden="false" customHeight="false" outlineLevel="0" collapsed="false">
      <c r="A136" s="24" t="str">
        <f aca="false">IF(IFERROR(INDEX(tsk_Name,(ROW()-ROW(MSPTasks[[#Headers],[ID]])))="",TRUE()),"",INDEX(tsk_ID,(ROW()-ROW(MSPTasks[[#Headers],[ID]]))))</f>
        <v/>
      </c>
      <c r="B136" s="24" t="str">
        <f aca="false">IF(IFERROR(INDEX(tsk_Name,(ROW()-ROW(MSPTasks[[#Headers],[ID]])))="",TRUE()),"",INDEX(tsk_UID,(ROW()-ROW(MSPTasks[[#Headers],[ID]]))))</f>
        <v/>
      </c>
      <c r="C136" s="24" t="str">
        <f aca="false">IF(IFERROR(INDEX(tsk_Name,(ROW()-ROW(MSPTasks[[#Headers],[ID]])))="",TRUE()),"",INDEX(tsk_Name,(ROW()-ROW(MSPTasks[[#Headers],[ID]]))))</f>
        <v/>
      </c>
      <c r="D136" s="24" t="str">
        <f aca="false">IF(IFERROR(INDEX(tsk_Name,(ROW()-ROW(MSPTasks[[#Headers],[ID]])))="",TRUE()),"",INDEX(tsk_Level,(ROW()-ROW(MSPTasks[[#Headers],[ID]]))))</f>
        <v/>
      </c>
      <c r="E136" s="24" t="str">
        <f aca="false">IF(IFERROR(INDEX(tsk_Name,(ROW()-ROW(MSPTasks[[#Headers],[ID]])))="",TRUE()),"",IF(INDEX(tsk_Mode,(ROW()-ROW(MSPTasks[[#Headers],[ID]])))="Manual","Manually Scheduled","Auto Scheduled"))</f>
        <v/>
      </c>
      <c r="F136" s="24" t="str">
        <f aca="false">IF(IFERROR(INDEX(tsk_Name,(ROW()-ROW(MSPTasks[[#Headers],[ID]])))="",TRUE()),"",IF(INDEX(tsk_IsSummary,(ROW()-ROW(MSPTasks[[#Headers],[ID]]))),"",N(INDEX(tsk_Duration,(ROW()-ROW(MSPTasks[[#Headers],[ID]]))))&amp;"d"))</f>
        <v/>
      </c>
      <c r="G136" s="137" t="str">
        <f aca="false">IF(IFERROR(INDEX(tsk_Name,(ROW()-ROW(MSPTasks[[#Headers],[ID]])))="",TRUE()),"",INDEX(tsk_FcStart,(ROW()-ROW(MSPTasks[[#Headers],[ID]]))))</f>
        <v/>
      </c>
      <c r="H136" s="137" t="str">
        <f aca="false">IF(IFERROR(INDEX(tsk_Name,(ROW()-ROW(MSPTasks[[#Headers],[ID]])))="",TRUE()),"",INDEX(tsk_FcFinish,(ROW()-ROW(MSPTasks[[#Headers],[ID]]))))</f>
        <v/>
      </c>
      <c r="I136" s="24" t="str">
        <f aca="false">IF(IFERROR(INDEX(tsk_Name,(ROW()-ROW(MSPTasks[[#Headers],[ID]])))="",TRUE()),"",IF(INDEX(tsk_IsSummary,(ROW()-ROW(MSPTasks[[#Headers],[ID]]))),"",INDEX(tsk_Predecessors,(ROW()-ROW(MSPTasks[[#Headers],[ID]])))))</f>
        <v/>
      </c>
      <c r="J136" s="24" t="str">
        <f aca="false">IF(IFERROR(INDEX(tsk_Name,(ROW()-ROW(MSPTasks[[#Headers],[ID]])))="",TRUE()),"",IF(INDEX(tsk_IsSummary,(ROW()-ROW(MSPTasks[[#Headers],[ID]]))),"",INDEX(tsk_UIDPredecessors,(ROW()-ROW(MSPTasks[[#Headers],[ID]])))))</f>
        <v/>
      </c>
      <c r="K136" s="24" t="str">
        <f aca="false">IF(IFERROR(INDEX(tsk_Name,(ROW()-ROW(MSPTasks[[#Headers],[ID]])))="",TRUE()),"",INDEX(tsk_ResourceNames,(ROW()-ROW(MSPTasks[[#Headers],[ID]])))&amp;"")</f>
        <v/>
      </c>
      <c r="L136" s="24" t="str">
        <f aca="false">IF(IFERROR(INDEX(tsk_Name,(ROW()-ROW(MSPTasks[[#Headers],[ID]])))="",TRUE()),"",IF(INDEX(tsk_IsSummary,(ROW()-ROW(MSPTasks[[#Headers],[ID]]))),"",ROUND(INDEX(tsk_Progress,(ROW()-ROW(MSPTasks[[#Headers],[ID]])))*100,0)))</f>
        <v/>
      </c>
      <c r="M136" s="137" t="str">
        <f aca="false">IF(IFERROR(INDEX(tsk_Name,(ROW()-ROW(MSPTasks[[#Headers],[ID]])))="",TRUE()),"",IF(N(INDEX(tsk_ActStart,(ROW()-ROW(MSPTasks[[#Headers],[ID]]))))=0,"",INDEX(tsk_ActStart,(ROW()-ROW(MSPTasks[[#Headers],[ID]])))))</f>
        <v/>
      </c>
      <c r="N136" s="137" t="str">
        <f aca="false">IF(IFERROR(INDEX(tsk_Name,(ROW()-ROW(MSPTasks[[#Headers],[ID]])))="",TRUE()),"",IF(N(INDEX(tsk_ActFinish,(ROW()-ROW(MSPTasks[[#Headers],[ID]]))))=0,"",INDEX(tsk_ActFinish,(ROW()-ROW(MSPTasks[[#Headers],[ID]])))))</f>
        <v/>
      </c>
      <c r="O136" s="137" t="str">
        <f aca="false">IF(IFERROR(INDEX(tsk_Name,(ROW()-ROW(MSPTasks[[#Headers],[ID]])))="",TRUE()),"",INDEX(tsk_PlanStart,(ROW()-ROW(MSPTasks[[#Headers],[ID]]))))</f>
        <v/>
      </c>
      <c r="P136" s="137" t="str">
        <f aca="false">IF(IFERROR(INDEX(tsk_Name,(ROW()-ROW(MSPTasks[[#Headers],[ID]])))="",TRUE()),"",INDEX(tsk_PlanFinish,(ROW()-ROW(MSPTasks[[#Headers],[ID]]))))</f>
        <v/>
      </c>
      <c r="Q136" s="24" t="str">
        <f aca="false">IF(IFERROR(INDEX(tsk_Name,(ROW()-ROW(MSPTasks[[#Headers],[ID]])))="",TRUE()),"",IF(INDEX(tsk_BaseDuration,(ROW()-ROW(MSPTasks[[#Headers],[ID]])))="","",N(INDEX(tsk_BaseDuration,(ROW()-ROW(MSPTasks[[#Headers],[ID]]))))&amp;"d"))</f>
        <v/>
      </c>
      <c r="R136" s="24" t="str">
        <f aca="false">IF(IFERROR(INDEX(tsk_Name,(ROW()-ROW(MSPTasks[[#Headers],[ID]])))="",TRUE()),"",IF(INDEX(tsk_BaseWork,(ROW()-ROW(MSPTasks[[#Headers],[ID]])))="","",N(INDEX(tsk_BaseWork,(ROW()-ROW(MSPTasks[[#Headers],[ID]]))))&amp;"h"))</f>
        <v/>
      </c>
      <c r="S136" s="24" t="str">
        <f aca="false">IF(IFERROR(INDEX(tsk_Name,(ROW()-ROW(MSPTasks[[#Headers],[ID]])))="",TRUE()),"",IF(INDEX(tsk_BaseCost,(ROW()-ROW(MSPTasks[[#Headers],[ID]])))="","",N(INDEX(tsk_BaseCost,(ROW()-ROW(MSPTasks[[#Headers],[ID]]))))))</f>
        <v/>
      </c>
      <c r="T136" s="24" t="str">
        <f aca="false">IF(IFERROR(INDEX(tsk_Name,(ROW()-ROW(MSPTasks[[#Headers],[ID]])))="",TRUE()),"",IF(INDEX(tsk_IsSummary,(ROW()-ROW(MSPTasks[[#Headers],[ID]]))),"",IF(N(INDEX(tsk_ActCostInput,(ROW()-ROW(MSPTasks[[#Headers],[ID]]))))=0,"",INDEX(tsk_ActCostInput,(ROW()-ROW(MSPTasks[[#Headers],[ID]]))))))</f>
        <v/>
      </c>
      <c r="U13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6" s="137" t="str">
        <f aca="false">IF(IFERROR(INDEX(tsk_Name,(ROW()-ROW(MSPTasks[[#Headers],[ID]])))="",TRUE()),"",IF(OR(INDEX(tsk_IsSummary,(ROW()-ROW(MSPTasks[[#Headers],[ID]]))),INDEX(tsk_Mode,(ROW()-ROW(MSPTasks[[#Headers],[ID]])))="Manual"),"",IF(N(INDEX(tsk_ConstraintCode,(ROW()-ROW(MSPTasks[[#Headers],[ID]]))))&lt;2,"",INDEX(tsk_Constraint,(ROW()-ROW(MSPTasks[[#Headers],[ID]]))))))</f>
        <v/>
      </c>
      <c r="W136" s="137" t="str">
        <f aca="false">IF(IFERROR(INDEX(tsk_Name,(ROW()-ROW(MSPTasks[[#Headers],[ID]])))="",TRUE()),"",IF(N(INDEX(tsk_Deadline,(ROW()-ROW(MSPTasks[[#Headers],[ID]]))))=0,"",INDEX(tsk_Deadline,(ROW()-ROW(MSPTasks[[#Headers],[ID]])))))</f>
        <v/>
      </c>
      <c r="X136" s="24" t="str">
        <f aca="false">IF(IFERROR(INDEX(tsk_Name,(ROW()-ROW(MSPTasks[[#Headers],[ID]])))="",TRUE()),"",IF(INDEX(tsk_IsSummary,(ROW()-ROW(MSPTasks[[#Headers],[ID]]))),"",INDEX(tsk_Sprint,(ROW()-ROW(MSPTasks[[#Headers],[ID]])))&amp;""))</f>
        <v/>
      </c>
      <c r="Y136" s="24" t="str">
        <f aca="false">IF(IFERROR(INDEX(tsk_Name,(ROW()-ROW(MSPTasks[[#Headers],[ID]])))="",TRUE()),"",IF(INDEX(tsk_IsSummary,(ROW()-ROW(MSPTasks[[#Headers],[ID]]))),"",IF(N(INDEX(tsk_StoryPoints,(ROW()-ROW(MSPTasks[[#Headers],[ID]]))))=0,"",INDEX(tsk_StoryPoints,(ROW()-ROW(MSPTasks[[#Headers],[ID]]))))))</f>
        <v/>
      </c>
      <c r="Z136" s="24" t="str">
        <f aca="false">IF(IFERROR(INDEX(tsk_Name,(ROW()-ROW(MSPTasks[[#Headers],[ID]])))="",TRUE()),"",INDEX(tsk_Notes,(ROW()-ROW(MSPTasks[[#Headers],[ID]])))&amp;"")</f>
        <v/>
      </c>
    </row>
    <row r="137" customFormat="false" ht="15" hidden="false" customHeight="false" outlineLevel="0" collapsed="false">
      <c r="A137" s="24" t="str">
        <f aca="false">IF(IFERROR(INDEX(tsk_Name,(ROW()-ROW(MSPTasks[[#Headers],[ID]])))="",TRUE()),"",INDEX(tsk_ID,(ROW()-ROW(MSPTasks[[#Headers],[ID]]))))</f>
        <v/>
      </c>
      <c r="B137" s="24" t="str">
        <f aca="false">IF(IFERROR(INDEX(tsk_Name,(ROW()-ROW(MSPTasks[[#Headers],[ID]])))="",TRUE()),"",INDEX(tsk_UID,(ROW()-ROW(MSPTasks[[#Headers],[ID]]))))</f>
        <v/>
      </c>
      <c r="C137" s="24" t="str">
        <f aca="false">IF(IFERROR(INDEX(tsk_Name,(ROW()-ROW(MSPTasks[[#Headers],[ID]])))="",TRUE()),"",INDEX(tsk_Name,(ROW()-ROW(MSPTasks[[#Headers],[ID]]))))</f>
        <v/>
      </c>
      <c r="D137" s="24" t="str">
        <f aca="false">IF(IFERROR(INDEX(tsk_Name,(ROW()-ROW(MSPTasks[[#Headers],[ID]])))="",TRUE()),"",INDEX(tsk_Level,(ROW()-ROW(MSPTasks[[#Headers],[ID]]))))</f>
        <v/>
      </c>
      <c r="E137" s="24" t="str">
        <f aca="false">IF(IFERROR(INDEX(tsk_Name,(ROW()-ROW(MSPTasks[[#Headers],[ID]])))="",TRUE()),"",IF(INDEX(tsk_Mode,(ROW()-ROW(MSPTasks[[#Headers],[ID]])))="Manual","Manually Scheduled","Auto Scheduled"))</f>
        <v/>
      </c>
      <c r="F137" s="24" t="str">
        <f aca="false">IF(IFERROR(INDEX(tsk_Name,(ROW()-ROW(MSPTasks[[#Headers],[ID]])))="",TRUE()),"",IF(INDEX(tsk_IsSummary,(ROW()-ROW(MSPTasks[[#Headers],[ID]]))),"",N(INDEX(tsk_Duration,(ROW()-ROW(MSPTasks[[#Headers],[ID]]))))&amp;"d"))</f>
        <v/>
      </c>
      <c r="G137" s="137" t="str">
        <f aca="false">IF(IFERROR(INDEX(tsk_Name,(ROW()-ROW(MSPTasks[[#Headers],[ID]])))="",TRUE()),"",INDEX(tsk_FcStart,(ROW()-ROW(MSPTasks[[#Headers],[ID]]))))</f>
        <v/>
      </c>
      <c r="H137" s="137" t="str">
        <f aca="false">IF(IFERROR(INDEX(tsk_Name,(ROW()-ROW(MSPTasks[[#Headers],[ID]])))="",TRUE()),"",INDEX(tsk_FcFinish,(ROW()-ROW(MSPTasks[[#Headers],[ID]]))))</f>
        <v/>
      </c>
      <c r="I137" s="24" t="str">
        <f aca="false">IF(IFERROR(INDEX(tsk_Name,(ROW()-ROW(MSPTasks[[#Headers],[ID]])))="",TRUE()),"",IF(INDEX(tsk_IsSummary,(ROW()-ROW(MSPTasks[[#Headers],[ID]]))),"",INDEX(tsk_Predecessors,(ROW()-ROW(MSPTasks[[#Headers],[ID]])))))</f>
        <v/>
      </c>
      <c r="J137" s="24" t="str">
        <f aca="false">IF(IFERROR(INDEX(tsk_Name,(ROW()-ROW(MSPTasks[[#Headers],[ID]])))="",TRUE()),"",IF(INDEX(tsk_IsSummary,(ROW()-ROW(MSPTasks[[#Headers],[ID]]))),"",INDEX(tsk_UIDPredecessors,(ROW()-ROW(MSPTasks[[#Headers],[ID]])))))</f>
        <v/>
      </c>
      <c r="K137" s="24" t="str">
        <f aca="false">IF(IFERROR(INDEX(tsk_Name,(ROW()-ROW(MSPTasks[[#Headers],[ID]])))="",TRUE()),"",INDEX(tsk_ResourceNames,(ROW()-ROW(MSPTasks[[#Headers],[ID]])))&amp;"")</f>
        <v/>
      </c>
      <c r="L137" s="24" t="str">
        <f aca="false">IF(IFERROR(INDEX(tsk_Name,(ROW()-ROW(MSPTasks[[#Headers],[ID]])))="",TRUE()),"",IF(INDEX(tsk_IsSummary,(ROW()-ROW(MSPTasks[[#Headers],[ID]]))),"",ROUND(INDEX(tsk_Progress,(ROW()-ROW(MSPTasks[[#Headers],[ID]])))*100,0)))</f>
        <v/>
      </c>
      <c r="M137" s="137" t="str">
        <f aca="false">IF(IFERROR(INDEX(tsk_Name,(ROW()-ROW(MSPTasks[[#Headers],[ID]])))="",TRUE()),"",IF(N(INDEX(tsk_ActStart,(ROW()-ROW(MSPTasks[[#Headers],[ID]]))))=0,"",INDEX(tsk_ActStart,(ROW()-ROW(MSPTasks[[#Headers],[ID]])))))</f>
        <v/>
      </c>
      <c r="N137" s="137" t="str">
        <f aca="false">IF(IFERROR(INDEX(tsk_Name,(ROW()-ROW(MSPTasks[[#Headers],[ID]])))="",TRUE()),"",IF(N(INDEX(tsk_ActFinish,(ROW()-ROW(MSPTasks[[#Headers],[ID]]))))=0,"",INDEX(tsk_ActFinish,(ROW()-ROW(MSPTasks[[#Headers],[ID]])))))</f>
        <v/>
      </c>
      <c r="O137" s="137" t="str">
        <f aca="false">IF(IFERROR(INDEX(tsk_Name,(ROW()-ROW(MSPTasks[[#Headers],[ID]])))="",TRUE()),"",INDEX(tsk_PlanStart,(ROW()-ROW(MSPTasks[[#Headers],[ID]]))))</f>
        <v/>
      </c>
      <c r="P137" s="137" t="str">
        <f aca="false">IF(IFERROR(INDEX(tsk_Name,(ROW()-ROW(MSPTasks[[#Headers],[ID]])))="",TRUE()),"",INDEX(tsk_PlanFinish,(ROW()-ROW(MSPTasks[[#Headers],[ID]]))))</f>
        <v/>
      </c>
      <c r="Q137" s="24" t="str">
        <f aca="false">IF(IFERROR(INDEX(tsk_Name,(ROW()-ROW(MSPTasks[[#Headers],[ID]])))="",TRUE()),"",IF(INDEX(tsk_BaseDuration,(ROW()-ROW(MSPTasks[[#Headers],[ID]])))="","",N(INDEX(tsk_BaseDuration,(ROW()-ROW(MSPTasks[[#Headers],[ID]]))))&amp;"d"))</f>
        <v/>
      </c>
      <c r="R137" s="24" t="str">
        <f aca="false">IF(IFERROR(INDEX(tsk_Name,(ROW()-ROW(MSPTasks[[#Headers],[ID]])))="",TRUE()),"",IF(INDEX(tsk_BaseWork,(ROW()-ROW(MSPTasks[[#Headers],[ID]])))="","",N(INDEX(tsk_BaseWork,(ROW()-ROW(MSPTasks[[#Headers],[ID]]))))&amp;"h"))</f>
        <v/>
      </c>
      <c r="S137" s="24" t="str">
        <f aca="false">IF(IFERROR(INDEX(tsk_Name,(ROW()-ROW(MSPTasks[[#Headers],[ID]])))="",TRUE()),"",IF(INDEX(tsk_BaseCost,(ROW()-ROW(MSPTasks[[#Headers],[ID]])))="","",N(INDEX(tsk_BaseCost,(ROW()-ROW(MSPTasks[[#Headers],[ID]]))))))</f>
        <v/>
      </c>
      <c r="T137" s="24" t="str">
        <f aca="false">IF(IFERROR(INDEX(tsk_Name,(ROW()-ROW(MSPTasks[[#Headers],[ID]])))="",TRUE()),"",IF(INDEX(tsk_IsSummary,(ROW()-ROW(MSPTasks[[#Headers],[ID]]))),"",IF(N(INDEX(tsk_ActCostInput,(ROW()-ROW(MSPTasks[[#Headers],[ID]]))))=0,"",INDEX(tsk_ActCostInput,(ROW()-ROW(MSPTasks[[#Headers],[ID]]))))))</f>
        <v/>
      </c>
      <c r="U13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7" s="137" t="str">
        <f aca="false">IF(IFERROR(INDEX(tsk_Name,(ROW()-ROW(MSPTasks[[#Headers],[ID]])))="",TRUE()),"",IF(OR(INDEX(tsk_IsSummary,(ROW()-ROW(MSPTasks[[#Headers],[ID]]))),INDEX(tsk_Mode,(ROW()-ROW(MSPTasks[[#Headers],[ID]])))="Manual"),"",IF(N(INDEX(tsk_ConstraintCode,(ROW()-ROW(MSPTasks[[#Headers],[ID]]))))&lt;2,"",INDEX(tsk_Constraint,(ROW()-ROW(MSPTasks[[#Headers],[ID]]))))))</f>
        <v/>
      </c>
      <c r="W137" s="137" t="str">
        <f aca="false">IF(IFERROR(INDEX(tsk_Name,(ROW()-ROW(MSPTasks[[#Headers],[ID]])))="",TRUE()),"",IF(N(INDEX(tsk_Deadline,(ROW()-ROW(MSPTasks[[#Headers],[ID]]))))=0,"",INDEX(tsk_Deadline,(ROW()-ROW(MSPTasks[[#Headers],[ID]])))))</f>
        <v/>
      </c>
      <c r="X137" s="24" t="str">
        <f aca="false">IF(IFERROR(INDEX(tsk_Name,(ROW()-ROW(MSPTasks[[#Headers],[ID]])))="",TRUE()),"",IF(INDEX(tsk_IsSummary,(ROW()-ROW(MSPTasks[[#Headers],[ID]]))),"",INDEX(tsk_Sprint,(ROW()-ROW(MSPTasks[[#Headers],[ID]])))&amp;""))</f>
        <v/>
      </c>
      <c r="Y137" s="24" t="str">
        <f aca="false">IF(IFERROR(INDEX(tsk_Name,(ROW()-ROW(MSPTasks[[#Headers],[ID]])))="",TRUE()),"",IF(INDEX(tsk_IsSummary,(ROW()-ROW(MSPTasks[[#Headers],[ID]]))),"",IF(N(INDEX(tsk_StoryPoints,(ROW()-ROW(MSPTasks[[#Headers],[ID]]))))=0,"",INDEX(tsk_StoryPoints,(ROW()-ROW(MSPTasks[[#Headers],[ID]]))))))</f>
        <v/>
      </c>
      <c r="Z137" s="24" t="str">
        <f aca="false">IF(IFERROR(INDEX(tsk_Name,(ROW()-ROW(MSPTasks[[#Headers],[ID]])))="",TRUE()),"",INDEX(tsk_Notes,(ROW()-ROW(MSPTasks[[#Headers],[ID]])))&amp;"")</f>
        <v/>
      </c>
    </row>
    <row r="138" customFormat="false" ht="15" hidden="false" customHeight="false" outlineLevel="0" collapsed="false">
      <c r="A138" s="24" t="str">
        <f aca="false">IF(IFERROR(INDEX(tsk_Name,(ROW()-ROW(MSPTasks[[#Headers],[ID]])))="",TRUE()),"",INDEX(tsk_ID,(ROW()-ROW(MSPTasks[[#Headers],[ID]]))))</f>
        <v/>
      </c>
      <c r="B138" s="24" t="str">
        <f aca="false">IF(IFERROR(INDEX(tsk_Name,(ROW()-ROW(MSPTasks[[#Headers],[ID]])))="",TRUE()),"",INDEX(tsk_UID,(ROW()-ROW(MSPTasks[[#Headers],[ID]]))))</f>
        <v/>
      </c>
      <c r="C138" s="24" t="str">
        <f aca="false">IF(IFERROR(INDEX(tsk_Name,(ROW()-ROW(MSPTasks[[#Headers],[ID]])))="",TRUE()),"",INDEX(tsk_Name,(ROW()-ROW(MSPTasks[[#Headers],[ID]]))))</f>
        <v/>
      </c>
      <c r="D138" s="24" t="str">
        <f aca="false">IF(IFERROR(INDEX(tsk_Name,(ROW()-ROW(MSPTasks[[#Headers],[ID]])))="",TRUE()),"",INDEX(tsk_Level,(ROW()-ROW(MSPTasks[[#Headers],[ID]]))))</f>
        <v/>
      </c>
      <c r="E138" s="24" t="str">
        <f aca="false">IF(IFERROR(INDEX(tsk_Name,(ROW()-ROW(MSPTasks[[#Headers],[ID]])))="",TRUE()),"",IF(INDEX(tsk_Mode,(ROW()-ROW(MSPTasks[[#Headers],[ID]])))="Manual","Manually Scheduled","Auto Scheduled"))</f>
        <v/>
      </c>
      <c r="F138" s="24" t="str">
        <f aca="false">IF(IFERROR(INDEX(tsk_Name,(ROW()-ROW(MSPTasks[[#Headers],[ID]])))="",TRUE()),"",IF(INDEX(tsk_IsSummary,(ROW()-ROW(MSPTasks[[#Headers],[ID]]))),"",N(INDEX(tsk_Duration,(ROW()-ROW(MSPTasks[[#Headers],[ID]]))))&amp;"d"))</f>
        <v/>
      </c>
      <c r="G138" s="137" t="str">
        <f aca="false">IF(IFERROR(INDEX(tsk_Name,(ROW()-ROW(MSPTasks[[#Headers],[ID]])))="",TRUE()),"",INDEX(tsk_FcStart,(ROW()-ROW(MSPTasks[[#Headers],[ID]]))))</f>
        <v/>
      </c>
      <c r="H138" s="137" t="str">
        <f aca="false">IF(IFERROR(INDEX(tsk_Name,(ROW()-ROW(MSPTasks[[#Headers],[ID]])))="",TRUE()),"",INDEX(tsk_FcFinish,(ROW()-ROW(MSPTasks[[#Headers],[ID]]))))</f>
        <v/>
      </c>
      <c r="I138" s="24" t="str">
        <f aca="false">IF(IFERROR(INDEX(tsk_Name,(ROW()-ROW(MSPTasks[[#Headers],[ID]])))="",TRUE()),"",IF(INDEX(tsk_IsSummary,(ROW()-ROW(MSPTasks[[#Headers],[ID]]))),"",INDEX(tsk_Predecessors,(ROW()-ROW(MSPTasks[[#Headers],[ID]])))))</f>
        <v/>
      </c>
      <c r="J138" s="24" t="str">
        <f aca="false">IF(IFERROR(INDEX(tsk_Name,(ROW()-ROW(MSPTasks[[#Headers],[ID]])))="",TRUE()),"",IF(INDEX(tsk_IsSummary,(ROW()-ROW(MSPTasks[[#Headers],[ID]]))),"",INDEX(tsk_UIDPredecessors,(ROW()-ROW(MSPTasks[[#Headers],[ID]])))))</f>
        <v/>
      </c>
      <c r="K138" s="24" t="str">
        <f aca="false">IF(IFERROR(INDEX(tsk_Name,(ROW()-ROW(MSPTasks[[#Headers],[ID]])))="",TRUE()),"",INDEX(tsk_ResourceNames,(ROW()-ROW(MSPTasks[[#Headers],[ID]])))&amp;"")</f>
        <v/>
      </c>
      <c r="L138" s="24" t="str">
        <f aca="false">IF(IFERROR(INDEX(tsk_Name,(ROW()-ROW(MSPTasks[[#Headers],[ID]])))="",TRUE()),"",IF(INDEX(tsk_IsSummary,(ROW()-ROW(MSPTasks[[#Headers],[ID]]))),"",ROUND(INDEX(tsk_Progress,(ROW()-ROW(MSPTasks[[#Headers],[ID]])))*100,0)))</f>
        <v/>
      </c>
      <c r="M138" s="137" t="str">
        <f aca="false">IF(IFERROR(INDEX(tsk_Name,(ROW()-ROW(MSPTasks[[#Headers],[ID]])))="",TRUE()),"",IF(N(INDEX(tsk_ActStart,(ROW()-ROW(MSPTasks[[#Headers],[ID]]))))=0,"",INDEX(tsk_ActStart,(ROW()-ROW(MSPTasks[[#Headers],[ID]])))))</f>
        <v/>
      </c>
      <c r="N138" s="137" t="str">
        <f aca="false">IF(IFERROR(INDEX(tsk_Name,(ROW()-ROW(MSPTasks[[#Headers],[ID]])))="",TRUE()),"",IF(N(INDEX(tsk_ActFinish,(ROW()-ROW(MSPTasks[[#Headers],[ID]]))))=0,"",INDEX(tsk_ActFinish,(ROW()-ROW(MSPTasks[[#Headers],[ID]])))))</f>
        <v/>
      </c>
      <c r="O138" s="137" t="str">
        <f aca="false">IF(IFERROR(INDEX(tsk_Name,(ROW()-ROW(MSPTasks[[#Headers],[ID]])))="",TRUE()),"",INDEX(tsk_PlanStart,(ROW()-ROW(MSPTasks[[#Headers],[ID]]))))</f>
        <v/>
      </c>
      <c r="P138" s="137" t="str">
        <f aca="false">IF(IFERROR(INDEX(tsk_Name,(ROW()-ROW(MSPTasks[[#Headers],[ID]])))="",TRUE()),"",INDEX(tsk_PlanFinish,(ROW()-ROW(MSPTasks[[#Headers],[ID]]))))</f>
        <v/>
      </c>
      <c r="Q138" s="24" t="str">
        <f aca="false">IF(IFERROR(INDEX(tsk_Name,(ROW()-ROW(MSPTasks[[#Headers],[ID]])))="",TRUE()),"",IF(INDEX(tsk_BaseDuration,(ROW()-ROW(MSPTasks[[#Headers],[ID]])))="","",N(INDEX(tsk_BaseDuration,(ROW()-ROW(MSPTasks[[#Headers],[ID]]))))&amp;"d"))</f>
        <v/>
      </c>
      <c r="R138" s="24" t="str">
        <f aca="false">IF(IFERROR(INDEX(tsk_Name,(ROW()-ROW(MSPTasks[[#Headers],[ID]])))="",TRUE()),"",IF(INDEX(tsk_BaseWork,(ROW()-ROW(MSPTasks[[#Headers],[ID]])))="","",N(INDEX(tsk_BaseWork,(ROW()-ROW(MSPTasks[[#Headers],[ID]]))))&amp;"h"))</f>
        <v/>
      </c>
      <c r="S138" s="24" t="str">
        <f aca="false">IF(IFERROR(INDEX(tsk_Name,(ROW()-ROW(MSPTasks[[#Headers],[ID]])))="",TRUE()),"",IF(INDEX(tsk_BaseCost,(ROW()-ROW(MSPTasks[[#Headers],[ID]])))="","",N(INDEX(tsk_BaseCost,(ROW()-ROW(MSPTasks[[#Headers],[ID]]))))))</f>
        <v/>
      </c>
      <c r="T138" s="24" t="str">
        <f aca="false">IF(IFERROR(INDEX(tsk_Name,(ROW()-ROW(MSPTasks[[#Headers],[ID]])))="",TRUE()),"",IF(INDEX(tsk_IsSummary,(ROW()-ROW(MSPTasks[[#Headers],[ID]]))),"",IF(N(INDEX(tsk_ActCostInput,(ROW()-ROW(MSPTasks[[#Headers],[ID]]))))=0,"",INDEX(tsk_ActCostInput,(ROW()-ROW(MSPTasks[[#Headers],[ID]]))))))</f>
        <v/>
      </c>
      <c r="U13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8" s="137" t="str">
        <f aca="false">IF(IFERROR(INDEX(tsk_Name,(ROW()-ROW(MSPTasks[[#Headers],[ID]])))="",TRUE()),"",IF(OR(INDEX(tsk_IsSummary,(ROW()-ROW(MSPTasks[[#Headers],[ID]]))),INDEX(tsk_Mode,(ROW()-ROW(MSPTasks[[#Headers],[ID]])))="Manual"),"",IF(N(INDEX(tsk_ConstraintCode,(ROW()-ROW(MSPTasks[[#Headers],[ID]]))))&lt;2,"",INDEX(tsk_Constraint,(ROW()-ROW(MSPTasks[[#Headers],[ID]]))))))</f>
        <v/>
      </c>
      <c r="W138" s="137" t="str">
        <f aca="false">IF(IFERROR(INDEX(tsk_Name,(ROW()-ROW(MSPTasks[[#Headers],[ID]])))="",TRUE()),"",IF(N(INDEX(tsk_Deadline,(ROW()-ROW(MSPTasks[[#Headers],[ID]]))))=0,"",INDEX(tsk_Deadline,(ROW()-ROW(MSPTasks[[#Headers],[ID]])))))</f>
        <v/>
      </c>
      <c r="X138" s="24" t="str">
        <f aca="false">IF(IFERROR(INDEX(tsk_Name,(ROW()-ROW(MSPTasks[[#Headers],[ID]])))="",TRUE()),"",IF(INDEX(tsk_IsSummary,(ROW()-ROW(MSPTasks[[#Headers],[ID]]))),"",INDEX(tsk_Sprint,(ROW()-ROW(MSPTasks[[#Headers],[ID]])))&amp;""))</f>
        <v/>
      </c>
      <c r="Y138" s="24" t="str">
        <f aca="false">IF(IFERROR(INDEX(tsk_Name,(ROW()-ROW(MSPTasks[[#Headers],[ID]])))="",TRUE()),"",IF(INDEX(tsk_IsSummary,(ROW()-ROW(MSPTasks[[#Headers],[ID]]))),"",IF(N(INDEX(tsk_StoryPoints,(ROW()-ROW(MSPTasks[[#Headers],[ID]]))))=0,"",INDEX(tsk_StoryPoints,(ROW()-ROW(MSPTasks[[#Headers],[ID]]))))))</f>
        <v/>
      </c>
      <c r="Z138" s="24" t="str">
        <f aca="false">IF(IFERROR(INDEX(tsk_Name,(ROW()-ROW(MSPTasks[[#Headers],[ID]])))="",TRUE()),"",INDEX(tsk_Notes,(ROW()-ROW(MSPTasks[[#Headers],[ID]])))&amp;"")</f>
        <v/>
      </c>
    </row>
    <row r="139" customFormat="false" ht="15" hidden="false" customHeight="false" outlineLevel="0" collapsed="false">
      <c r="A139" s="24" t="str">
        <f aca="false">IF(IFERROR(INDEX(tsk_Name,(ROW()-ROW(MSPTasks[[#Headers],[ID]])))="",TRUE()),"",INDEX(tsk_ID,(ROW()-ROW(MSPTasks[[#Headers],[ID]]))))</f>
        <v/>
      </c>
      <c r="B139" s="24" t="str">
        <f aca="false">IF(IFERROR(INDEX(tsk_Name,(ROW()-ROW(MSPTasks[[#Headers],[ID]])))="",TRUE()),"",INDEX(tsk_UID,(ROW()-ROW(MSPTasks[[#Headers],[ID]]))))</f>
        <v/>
      </c>
      <c r="C139" s="24" t="str">
        <f aca="false">IF(IFERROR(INDEX(tsk_Name,(ROW()-ROW(MSPTasks[[#Headers],[ID]])))="",TRUE()),"",INDEX(tsk_Name,(ROW()-ROW(MSPTasks[[#Headers],[ID]]))))</f>
        <v/>
      </c>
      <c r="D139" s="24" t="str">
        <f aca="false">IF(IFERROR(INDEX(tsk_Name,(ROW()-ROW(MSPTasks[[#Headers],[ID]])))="",TRUE()),"",INDEX(tsk_Level,(ROW()-ROW(MSPTasks[[#Headers],[ID]]))))</f>
        <v/>
      </c>
      <c r="E139" s="24" t="str">
        <f aca="false">IF(IFERROR(INDEX(tsk_Name,(ROW()-ROW(MSPTasks[[#Headers],[ID]])))="",TRUE()),"",IF(INDEX(tsk_Mode,(ROW()-ROW(MSPTasks[[#Headers],[ID]])))="Manual","Manually Scheduled","Auto Scheduled"))</f>
        <v/>
      </c>
      <c r="F139" s="24" t="str">
        <f aca="false">IF(IFERROR(INDEX(tsk_Name,(ROW()-ROW(MSPTasks[[#Headers],[ID]])))="",TRUE()),"",IF(INDEX(tsk_IsSummary,(ROW()-ROW(MSPTasks[[#Headers],[ID]]))),"",N(INDEX(tsk_Duration,(ROW()-ROW(MSPTasks[[#Headers],[ID]]))))&amp;"d"))</f>
        <v/>
      </c>
      <c r="G139" s="137" t="str">
        <f aca="false">IF(IFERROR(INDEX(tsk_Name,(ROW()-ROW(MSPTasks[[#Headers],[ID]])))="",TRUE()),"",INDEX(tsk_FcStart,(ROW()-ROW(MSPTasks[[#Headers],[ID]]))))</f>
        <v/>
      </c>
      <c r="H139" s="137" t="str">
        <f aca="false">IF(IFERROR(INDEX(tsk_Name,(ROW()-ROW(MSPTasks[[#Headers],[ID]])))="",TRUE()),"",INDEX(tsk_FcFinish,(ROW()-ROW(MSPTasks[[#Headers],[ID]]))))</f>
        <v/>
      </c>
      <c r="I139" s="24" t="str">
        <f aca="false">IF(IFERROR(INDEX(tsk_Name,(ROW()-ROW(MSPTasks[[#Headers],[ID]])))="",TRUE()),"",IF(INDEX(tsk_IsSummary,(ROW()-ROW(MSPTasks[[#Headers],[ID]]))),"",INDEX(tsk_Predecessors,(ROW()-ROW(MSPTasks[[#Headers],[ID]])))))</f>
        <v/>
      </c>
      <c r="J139" s="24" t="str">
        <f aca="false">IF(IFERROR(INDEX(tsk_Name,(ROW()-ROW(MSPTasks[[#Headers],[ID]])))="",TRUE()),"",IF(INDEX(tsk_IsSummary,(ROW()-ROW(MSPTasks[[#Headers],[ID]]))),"",INDEX(tsk_UIDPredecessors,(ROW()-ROW(MSPTasks[[#Headers],[ID]])))))</f>
        <v/>
      </c>
      <c r="K139" s="24" t="str">
        <f aca="false">IF(IFERROR(INDEX(tsk_Name,(ROW()-ROW(MSPTasks[[#Headers],[ID]])))="",TRUE()),"",INDEX(tsk_ResourceNames,(ROW()-ROW(MSPTasks[[#Headers],[ID]])))&amp;"")</f>
        <v/>
      </c>
      <c r="L139" s="24" t="str">
        <f aca="false">IF(IFERROR(INDEX(tsk_Name,(ROW()-ROW(MSPTasks[[#Headers],[ID]])))="",TRUE()),"",IF(INDEX(tsk_IsSummary,(ROW()-ROW(MSPTasks[[#Headers],[ID]]))),"",ROUND(INDEX(tsk_Progress,(ROW()-ROW(MSPTasks[[#Headers],[ID]])))*100,0)))</f>
        <v/>
      </c>
      <c r="M139" s="137" t="str">
        <f aca="false">IF(IFERROR(INDEX(tsk_Name,(ROW()-ROW(MSPTasks[[#Headers],[ID]])))="",TRUE()),"",IF(N(INDEX(tsk_ActStart,(ROW()-ROW(MSPTasks[[#Headers],[ID]]))))=0,"",INDEX(tsk_ActStart,(ROW()-ROW(MSPTasks[[#Headers],[ID]])))))</f>
        <v/>
      </c>
      <c r="N139" s="137" t="str">
        <f aca="false">IF(IFERROR(INDEX(tsk_Name,(ROW()-ROW(MSPTasks[[#Headers],[ID]])))="",TRUE()),"",IF(N(INDEX(tsk_ActFinish,(ROW()-ROW(MSPTasks[[#Headers],[ID]]))))=0,"",INDEX(tsk_ActFinish,(ROW()-ROW(MSPTasks[[#Headers],[ID]])))))</f>
        <v/>
      </c>
      <c r="O139" s="137" t="str">
        <f aca="false">IF(IFERROR(INDEX(tsk_Name,(ROW()-ROW(MSPTasks[[#Headers],[ID]])))="",TRUE()),"",INDEX(tsk_PlanStart,(ROW()-ROW(MSPTasks[[#Headers],[ID]]))))</f>
        <v/>
      </c>
      <c r="P139" s="137" t="str">
        <f aca="false">IF(IFERROR(INDEX(tsk_Name,(ROW()-ROW(MSPTasks[[#Headers],[ID]])))="",TRUE()),"",INDEX(tsk_PlanFinish,(ROW()-ROW(MSPTasks[[#Headers],[ID]]))))</f>
        <v/>
      </c>
      <c r="Q139" s="24" t="str">
        <f aca="false">IF(IFERROR(INDEX(tsk_Name,(ROW()-ROW(MSPTasks[[#Headers],[ID]])))="",TRUE()),"",IF(INDEX(tsk_BaseDuration,(ROW()-ROW(MSPTasks[[#Headers],[ID]])))="","",N(INDEX(tsk_BaseDuration,(ROW()-ROW(MSPTasks[[#Headers],[ID]]))))&amp;"d"))</f>
        <v/>
      </c>
      <c r="R139" s="24" t="str">
        <f aca="false">IF(IFERROR(INDEX(tsk_Name,(ROW()-ROW(MSPTasks[[#Headers],[ID]])))="",TRUE()),"",IF(INDEX(tsk_BaseWork,(ROW()-ROW(MSPTasks[[#Headers],[ID]])))="","",N(INDEX(tsk_BaseWork,(ROW()-ROW(MSPTasks[[#Headers],[ID]]))))&amp;"h"))</f>
        <v/>
      </c>
      <c r="S139" s="24" t="str">
        <f aca="false">IF(IFERROR(INDEX(tsk_Name,(ROW()-ROW(MSPTasks[[#Headers],[ID]])))="",TRUE()),"",IF(INDEX(tsk_BaseCost,(ROW()-ROW(MSPTasks[[#Headers],[ID]])))="","",N(INDEX(tsk_BaseCost,(ROW()-ROW(MSPTasks[[#Headers],[ID]]))))))</f>
        <v/>
      </c>
      <c r="T139" s="24" t="str">
        <f aca="false">IF(IFERROR(INDEX(tsk_Name,(ROW()-ROW(MSPTasks[[#Headers],[ID]])))="",TRUE()),"",IF(INDEX(tsk_IsSummary,(ROW()-ROW(MSPTasks[[#Headers],[ID]]))),"",IF(N(INDEX(tsk_ActCostInput,(ROW()-ROW(MSPTasks[[#Headers],[ID]]))))=0,"",INDEX(tsk_ActCostInput,(ROW()-ROW(MSPTasks[[#Headers],[ID]]))))))</f>
        <v/>
      </c>
      <c r="U13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39" s="137" t="str">
        <f aca="false">IF(IFERROR(INDEX(tsk_Name,(ROW()-ROW(MSPTasks[[#Headers],[ID]])))="",TRUE()),"",IF(OR(INDEX(tsk_IsSummary,(ROW()-ROW(MSPTasks[[#Headers],[ID]]))),INDEX(tsk_Mode,(ROW()-ROW(MSPTasks[[#Headers],[ID]])))="Manual"),"",IF(N(INDEX(tsk_ConstraintCode,(ROW()-ROW(MSPTasks[[#Headers],[ID]]))))&lt;2,"",INDEX(tsk_Constraint,(ROW()-ROW(MSPTasks[[#Headers],[ID]]))))))</f>
        <v/>
      </c>
      <c r="W139" s="137" t="str">
        <f aca="false">IF(IFERROR(INDEX(tsk_Name,(ROW()-ROW(MSPTasks[[#Headers],[ID]])))="",TRUE()),"",IF(N(INDEX(tsk_Deadline,(ROW()-ROW(MSPTasks[[#Headers],[ID]]))))=0,"",INDEX(tsk_Deadline,(ROW()-ROW(MSPTasks[[#Headers],[ID]])))))</f>
        <v/>
      </c>
      <c r="X139" s="24" t="str">
        <f aca="false">IF(IFERROR(INDEX(tsk_Name,(ROW()-ROW(MSPTasks[[#Headers],[ID]])))="",TRUE()),"",IF(INDEX(tsk_IsSummary,(ROW()-ROW(MSPTasks[[#Headers],[ID]]))),"",INDEX(tsk_Sprint,(ROW()-ROW(MSPTasks[[#Headers],[ID]])))&amp;""))</f>
        <v/>
      </c>
      <c r="Y139" s="24" t="str">
        <f aca="false">IF(IFERROR(INDEX(tsk_Name,(ROW()-ROW(MSPTasks[[#Headers],[ID]])))="",TRUE()),"",IF(INDEX(tsk_IsSummary,(ROW()-ROW(MSPTasks[[#Headers],[ID]]))),"",IF(N(INDEX(tsk_StoryPoints,(ROW()-ROW(MSPTasks[[#Headers],[ID]]))))=0,"",INDEX(tsk_StoryPoints,(ROW()-ROW(MSPTasks[[#Headers],[ID]]))))))</f>
        <v/>
      </c>
      <c r="Z139" s="24" t="str">
        <f aca="false">IF(IFERROR(INDEX(tsk_Name,(ROW()-ROW(MSPTasks[[#Headers],[ID]])))="",TRUE()),"",INDEX(tsk_Notes,(ROW()-ROW(MSPTasks[[#Headers],[ID]])))&amp;"")</f>
        <v/>
      </c>
    </row>
    <row r="140" customFormat="false" ht="15" hidden="false" customHeight="false" outlineLevel="0" collapsed="false">
      <c r="A140" s="24" t="str">
        <f aca="false">IF(IFERROR(INDEX(tsk_Name,(ROW()-ROW(MSPTasks[[#Headers],[ID]])))="",TRUE()),"",INDEX(tsk_ID,(ROW()-ROW(MSPTasks[[#Headers],[ID]]))))</f>
        <v/>
      </c>
      <c r="B140" s="24" t="str">
        <f aca="false">IF(IFERROR(INDEX(tsk_Name,(ROW()-ROW(MSPTasks[[#Headers],[ID]])))="",TRUE()),"",INDEX(tsk_UID,(ROW()-ROW(MSPTasks[[#Headers],[ID]]))))</f>
        <v/>
      </c>
      <c r="C140" s="24" t="str">
        <f aca="false">IF(IFERROR(INDEX(tsk_Name,(ROW()-ROW(MSPTasks[[#Headers],[ID]])))="",TRUE()),"",INDEX(tsk_Name,(ROW()-ROW(MSPTasks[[#Headers],[ID]]))))</f>
        <v/>
      </c>
      <c r="D140" s="24" t="str">
        <f aca="false">IF(IFERROR(INDEX(tsk_Name,(ROW()-ROW(MSPTasks[[#Headers],[ID]])))="",TRUE()),"",INDEX(tsk_Level,(ROW()-ROW(MSPTasks[[#Headers],[ID]]))))</f>
        <v/>
      </c>
      <c r="E140" s="24" t="str">
        <f aca="false">IF(IFERROR(INDEX(tsk_Name,(ROW()-ROW(MSPTasks[[#Headers],[ID]])))="",TRUE()),"",IF(INDEX(tsk_Mode,(ROW()-ROW(MSPTasks[[#Headers],[ID]])))="Manual","Manually Scheduled","Auto Scheduled"))</f>
        <v/>
      </c>
      <c r="F140" s="24" t="str">
        <f aca="false">IF(IFERROR(INDEX(tsk_Name,(ROW()-ROW(MSPTasks[[#Headers],[ID]])))="",TRUE()),"",IF(INDEX(tsk_IsSummary,(ROW()-ROW(MSPTasks[[#Headers],[ID]]))),"",N(INDEX(tsk_Duration,(ROW()-ROW(MSPTasks[[#Headers],[ID]]))))&amp;"d"))</f>
        <v/>
      </c>
      <c r="G140" s="137" t="str">
        <f aca="false">IF(IFERROR(INDEX(tsk_Name,(ROW()-ROW(MSPTasks[[#Headers],[ID]])))="",TRUE()),"",INDEX(tsk_FcStart,(ROW()-ROW(MSPTasks[[#Headers],[ID]]))))</f>
        <v/>
      </c>
      <c r="H140" s="137" t="str">
        <f aca="false">IF(IFERROR(INDEX(tsk_Name,(ROW()-ROW(MSPTasks[[#Headers],[ID]])))="",TRUE()),"",INDEX(tsk_FcFinish,(ROW()-ROW(MSPTasks[[#Headers],[ID]]))))</f>
        <v/>
      </c>
      <c r="I140" s="24" t="str">
        <f aca="false">IF(IFERROR(INDEX(tsk_Name,(ROW()-ROW(MSPTasks[[#Headers],[ID]])))="",TRUE()),"",IF(INDEX(tsk_IsSummary,(ROW()-ROW(MSPTasks[[#Headers],[ID]]))),"",INDEX(tsk_Predecessors,(ROW()-ROW(MSPTasks[[#Headers],[ID]])))))</f>
        <v/>
      </c>
      <c r="J140" s="24" t="str">
        <f aca="false">IF(IFERROR(INDEX(tsk_Name,(ROW()-ROW(MSPTasks[[#Headers],[ID]])))="",TRUE()),"",IF(INDEX(tsk_IsSummary,(ROW()-ROW(MSPTasks[[#Headers],[ID]]))),"",INDEX(tsk_UIDPredecessors,(ROW()-ROW(MSPTasks[[#Headers],[ID]])))))</f>
        <v/>
      </c>
      <c r="K140" s="24" t="str">
        <f aca="false">IF(IFERROR(INDEX(tsk_Name,(ROW()-ROW(MSPTasks[[#Headers],[ID]])))="",TRUE()),"",INDEX(tsk_ResourceNames,(ROW()-ROW(MSPTasks[[#Headers],[ID]])))&amp;"")</f>
        <v/>
      </c>
      <c r="L140" s="24" t="str">
        <f aca="false">IF(IFERROR(INDEX(tsk_Name,(ROW()-ROW(MSPTasks[[#Headers],[ID]])))="",TRUE()),"",IF(INDEX(tsk_IsSummary,(ROW()-ROW(MSPTasks[[#Headers],[ID]]))),"",ROUND(INDEX(tsk_Progress,(ROW()-ROW(MSPTasks[[#Headers],[ID]])))*100,0)))</f>
        <v/>
      </c>
      <c r="M140" s="137" t="str">
        <f aca="false">IF(IFERROR(INDEX(tsk_Name,(ROW()-ROW(MSPTasks[[#Headers],[ID]])))="",TRUE()),"",IF(N(INDEX(tsk_ActStart,(ROW()-ROW(MSPTasks[[#Headers],[ID]]))))=0,"",INDEX(tsk_ActStart,(ROW()-ROW(MSPTasks[[#Headers],[ID]])))))</f>
        <v/>
      </c>
      <c r="N140" s="137" t="str">
        <f aca="false">IF(IFERROR(INDEX(tsk_Name,(ROW()-ROW(MSPTasks[[#Headers],[ID]])))="",TRUE()),"",IF(N(INDEX(tsk_ActFinish,(ROW()-ROW(MSPTasks[[#Headers],[ID]]))))=0,"",INDEX(tsk_ActFinish,(ROW()-ROW(MSPTasks[[#Headers],[ID]])))))</f>
        <v/>
      </c>
      <c r="O140" s="137" t="str">
        <f aca="false">IF(IFERROR(INDEX(tsk_Name,(ROW()-ROW(MSPTasks[[#Headers],[ID]])))="",TRUE()),"",INDEX(tsk_PlanStart,(ROW()-ROW(MSPTasks[[#Headers],[ID]]))))</f>
        <v/>
      </c>
      <c r="P140" s="137" t="str">
        <f aca="false">IF(IFERROR(INDEX(tsk_Name,(ROW()-ROW(MSPTasks[[#Headers],[ID]])))="",TRUE()),"",INDEX(tsk_PlanFinish,(ROW()-ROW(MSPTasks[[#Headers],[ID]]))))</f>
        <v/>
      </c>
      <c r="Q140" s="24" t="str">
        <f aca="false">IF(IFERROR(INDEX(tsk_Name,(ROW()-ROW(MSPTasks[[#Headers],[ID]])))="",TRUE()),"",IF(INDEX(tsk_BaseDuration,(ROW()-ROW(MSPTasks[[#Headers],[ID]])))="","",N(INDEX(tsk_BaseDuration,(ROW()-ROW(MSPTasks[[#Headers],[ID]]))))&amp;"d"))</f>
        <v/>
      </c>
      <c r="R140" s="24" t="str">
        <f aca="false">IF(IFERROR(INDEX(tsk_Name,(ROW()-ROW(MSPTasks[[#Headers],[ID]])))="",TRUE()),"",IF(INDEX(tsk_BaseWork,(ROW()-ROW(MSPTasks[[#Headers],[ID]])))="","",N(INDEX(tsk_BaseWork,(ROW()-ROW(MSPTasks[[#Headers],[ID]]))))&amp;"h"))</f>
        <v/>
      </c>
      <c r="S140" s="24" t="str">
        <f aca="false">IF(IFERROR(INDEX(tsk_Name,(ROW()-ROW(MSPTasks[[#Headers],[ID]])))="",TRUE()),"",IF(INDEX(tsk_BaseCost,(ROW()-ROW(MSPTasks[[#Headers],[ID]])))="","",N(INDEX(tsk_BaseCost,(ROW()-ROW(MSPTasks[[#Headers],[ID]]))))))</f>
        <v/>
      </c>
      <c r="T140" s="24" t="str">
        <f aca="false">IF(IFERROR(INDEX(tsk_Name,(ROW()-ROW(MSPTasks[[#Headers],[ID]])))="",TRUE()),"",IF(INDEX(tsk_IsSummary,(ROW()-ROW(MSPTasks[[#Headers],[ID]]))),"",IF(N(INDEX(tsk_ActCostInput,(ROW()-ROW(MSPTasks[[#Headers],[ID]]))))=0,"",INDEX(tsk_ActCostInput,(ROW()-ROW(MSPTasks[[#Headers],[ID]]))))))</f>
        <v/>
      </c>
      <c r="U14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0" s="137" t="str">
        <f aca="false">IF(IFERROR(INDEX(tsk_Name,(ROW()-ROW(MSPTasks[[#Headers],[ID]])))="",TRUE()),"",IF(OR(INDEX(tsk_IsSummary,(ROW()-ROW(MSPTasks[[#Headers],[ID]]))),INDEX(tsk_Mode,(ROW()-ROW(MSPTasks[[#Headers],[ID]])))="Manual"),"",IF(N(INDEX(tsk_ConstraintCode,(ROW()-ROW(MSPTasks[[#Headers],[ID]]))))&lt;2,"",INDEX(tsk_Constraint,(ROW()-ROW(MSPTasks[[#Headers],[ID]]))))))</f>
        <v/>
      </c>
      <c r="W140" s="137" t="str">
        <f aca="false">IF(IFERROR(INDEX(tsk_Name,(ROW()-ROW(MSPTasks[[#Headers],[ID]])))="",TRUE()),"",IF(N(INDEX(tsk_Deadline,(ROW()-ROW(MSPTasks[[#Headers],[ID]]))))=0,"",INDEX(tsk_Deadline,(ROW()-ROW(MSPTasks[[#Headers],[ID]])))))</f>
        <v/>
      </c>
      <c r="X140" s="24" t="str">
        <f aca="false">IF(IFERROR(INDEX(tsk_Name,(ROW()-ROW(MSPTasks[[#Headers],[ID]])))="",TRUE()),"",IF(INDEX(tsk_IsSummary,(ROW()-ROW(MSPTasks[[#Headers],[ID]]))),"",INDEX(tsk_Sprint,(ROW()-ROW(MSPTasks[[#Headers],[ID]])))&amp;""))</f>
        <v/>
      </c>
      <c r="Y140" s="24" t="str">
        <f aca="false">IF(IFERROR(INDEX(tsk_Name,(ROW()-ROW(MSPTasks[[#Headers],[ID]])))="",TRUE()),"",IF(INDEX(tsk_IsSummary,(ROW()-ROW(MSPTasks[[#Headers],[ID]]))),"",IF(N(INDEX(tsk_StoryPoints,(ROW()-ROW(MSPTasks[[#Headers],[ID]]))))=0,"",INDEX(tsk_StoryPoints,(ROW()-ROW(MSPTasks[[#Headers],[ID]]))))))</f>
        <v/>
      </c>
      <c r="Z140" s="24" t="str">
        <f aca="false">IF(IFERROR(INDEX(tsk_Name,(ROW()-ROW(MSPTasks[[#Headers],[ID]])))="",TRUE()),"",INDEX(tsk_Notes,(ROW()-ROW(MSPTasks[[#Headers],[ID]])))&amp;"")</f>
        <v/>
      </c>
    </row>
    <row r="141" customFormat="false" ht="15" hidden="false" customHeight="false" outlineLevel="0" collapsed="false">
      <c r="A141" s="24" t="str">
        <f aca="false">IF(IFERROR(INDEX(tsk_Name,(ROW()-ROW(MSPTasks[[#Headers],[ID]])))="",TRUE()),"",INDEX(tsk_ID,(ROW()-ROW(MSPTasks[[#Headers],[ID]]))))</f>
        <v/>
      </c>
      <c r="B141" s="24" t="str">
        <f aca="false">IF(IFERROR(INDEX(tsk_Name,(ROW()-ROW(MSPTasks[[#Headers],[ID]])))="",TRUE()),"",INDEX(tsk_UID,(ROW()-ROW(MSPTasks[[#Headers],[ID]]))))</f>
        <v/>
      </c>
      <c r="C141" s="24" t="str">
        <f aca="false">IF(IFERROR(INDEX(tsk_Name,(ROW()-ROW(MSPTasks[[#Headers],[ID]])))="",TRUE()),"",INDEX(tsk_Name,(ROW()-ROW(MSPTasks[[#Headers],[ID]]))))</f>
        <v/>
      </c>
      <c r="D141" s="24" t="str">
        <f aca="false">IF(IFERROR(INDEX(tsk_Name,(ROW()-ROW(MSPTasks[[#Headers],[ID]])))="",TRUE()),"",INDEX(tsk_Level,(ROW()-ROW(MSPTasks[[#Headers],[ID]]))))</f>
        <v/>
      </c>
      <c r="E141" s="24" t="str">
        <f aca="false">IF(IFERROR(INDEX(tsk_Name,(ROW()-ROW(MSPTasks[[#Headers],[ID]])))="",TRUE()),"",IF(INDEX(tsk_Mode,(ROW()-ROW(MSPTasks[[#Headers],[ID]])))="Manual","Manually Scheduled","Auto Scheduled"))</f>
        <v/>
      </c>
      <c r="F141" s="24" t="str">
        <f aca="false">IF(IFERROR(INDEX(tsk_Name,(ROW()-ROW(MSPTasks[[#Headers],[ID]])))="",TRUE()),"",IF(INDEX(tsk_IsSummary,(ROW()-ROW(MSPTasks[[#Headers],[ID]]))),"",N(INDEX(tsk_Duration,(ROW()-ROW(MSPTasks[[#Headers],[ID]]))))&amp;"d"))</f>
        <v/>
      </c>
      <c r="G141" s="137" t="str">
        <f aca="false">IF(IFERROR(INDEX(tsk_Name,(ROW()-ROW(MSPTasks[[#Headers],[ID]])))="",TRUE()),"",INDEX(tsk_FcStart,(ROW()-ROW(MSPTasks[[#Headers],[ID]]))))</f>
        <v/>
      </c>
      <c r="H141" s="137" t="str">
        <f aca="false">IF(IFERROR(INDEX(tsk_Name,(ROW()-ROW(MSPTasks[[#Headers],[ID]])))="",TRUE()),"",INDEX(tsk_FcFinish,(ROW()-ROW(MSPTasks[[#Headers],[ID]]))))</f>
        <v/>
      </c>
      <c r="I141" s="24" t="str">
        <f aca="false">IF(IFERROR(INDEX(tsk_Name,(ROW()-ROW(MSPTasks[[#Headers],[ID]])))="",TRUE()),"",IF(INDEX(tsk_IsSummary,(ROW()-ROW(MSPTasks[[#Headers],[ID]]))),"",INDEX(tsk_Predecessors,(ROW()-ROW(MSPTasks[[#Headers],[ID]])))))</f>
        <v/>
      </c>
      <c r="J141" s="24" t="str">
        <f aca="false">IF(IFERROR(INDEX(tsk_Name,(ROW()-ROW(MSPTasks[[#Headers],[ID]])))="",TRUE()),"",IF(INDEX(tsk_IsSummary,(ROW()-ROW(MSPTasks[[#Headers],[ID]]))),"",INDEX(tsk_UIDPredecessors,(ROW()-ROW(MSPTasks[[#Headers],[ID]])))))</f>
        <v/>
      </c>
      <c r="K141" s="24" t="str">
        <f aca="false">IF(IFERROR(INDEX(tsk_Name,(ROW()-ROW(MSPTasks[[#Headers],[ID]])))="",TRUE()),"",INDEX(tsk_ResourceNames,(ROW()-ROW(MSPTasks[[#Headers],[ID]])))&amp;"")</f>
        <v/>
      </c>
      <c r="L141" s="24" t="str">
        <f aca="false">IF(IFERROR(INDEX(tsk_Name,(ROW()-ROW(MSPTasks[[#Headers],[ID]])))="",TRUE()),"",IF(INDEX(tsk_IsSummary,(ROW()-ROW(MSPTasks[[#Headers],[ID]]))),"",ROUND(INDEX(tsk_Progress,(ROW()-ROW(MSPTasks[[#Headers],[ID]])))*100,0)))</f>
        <v/>
      </c>
      <c r="M141" s="137" t="str">
        <f aca="false">IF(IFERROR(INDEX(tsk_Name,(ROW()-ROW(MSPTasks[[#Headers],[ID]])))="",TRUE()),"",IF(N(INDEX(tsk_ActStart,(ROW()-ROW(MSPTasks[[#Headers],[ID]]))))=0,"",INDEX(tsk_ActStart,(ROW()-ROW(MSPTasks[[#Headers],[ID]])))))</f>
        <v/>
      </c>
      <c r="N141" s="137" t="str">
        <f aca="false">IF(IFERROR(INDEX(tsk_Name,(ROW()-ROW(MSPTasks[[#Headers],[ID]])))="",TRUE()),"",IF(N(INDEX(tsk_ActFinish,(ROW()-ROW(MSPTasks[[#Headers],[ID]]))))=0,"",INDEX(tsk_ActFinish,(ROW()-ROW(MSPTasks[[#Headers],[ID]])))))</f>
        <v/>
      </c>
      <c r="O141" s="137" t="str">
        <f aca="false">IF(IFERROR(INDEX(tsk_Name,(ROW()-ROW(MSPTasks[[#Headers],[ID]])))="",TRUE()),"",INDEX(tsk_PlanStart,(ROW()-ROW(MSPTasks[[#Headers],[ID]]))))</f>
        <v/>
      </c>
      <c r="P141" s="137" t="str">
        <f aca="false">IF(IFERROR(INDEX(tsk_Name,(ROW()-ROW(MSPTasks[[#Headers],[ID]])))="",TRUE()),"",INDEX(tsk_PlanFinish,(ROW()-ROW(MSPTasks[[#Headers],[ID]]))))</f>
        <v/>
      </c>
      <c r="Q141" s="24" t="str">
        <f aca="false">IF(IFERROR(INDEX(tsk_Name,(ROW()-ROW(MSPTasks[[#Headers],[ID]])))="",TRUE()),"",IF(INDEX(tsk_BaseDuration,(ROW()-ROW(MSPTasks[[#Headers],[ID]])))="","",N(INDEX(tsk_BaseDuration,(ROW()-ROW(MSPTasks[[#Headers],[ID]]))))&amp;"d"))</f>
        <v/>
      </c>
      <c r="R141" s="24" t="str">
        <f aca="false">IF(IFERROR(INDEX(tsk_Name,(ROW()-ROW(MSPTasks[[#Headers],[ID]])))="",TRUE()),"",IF(INDEX(tsk_BaseWork,(ROW()-ROW(MSPTasks[[#Headers],[ID]])))="","",N(INDEX(tsk_BaseWork,(ROW()-ROW(MSPTasks[[#Headers],[ID]]))))&amp;"h"))</f>
        <v/>
      </c>
      <c r="S141" s="24" t="str">
        <f aca="false">IF(IFERROR(INDEX(tsk_Name,(ROW()-ROW(MSPTasks[[#Headers],[ID]])))="",TRUE()),"",IF(INDEX(tsk_BaseCost,(ROW()-ROW(MSPTasks[[#Headers],[ID]])))="","",N(INDEX(tsk_BaseCost,(ROW()-ROW(MSPTasks[[#Headers],[ID]]))))))</f>
        <v/>
      </c>
      <c r="T141" s="24" t="str">
        <f aca="false">IF(IFERROR(INDEX(tsk_Name,(ROW()-ROW(MSPTasks[[#Headers],[ID]])))="",TRUE()),"",IF(INDEX(tsk_IsSummary,(ROW()-ROW(MSPTasks[[#Headers],[ID]]))),"",IF(N(INDEX(tsk_ActCostInput,(ROW()-ROW(MSPTasks[[#Headers],[ID]]))))=0,"",INDEX(tsk_ActCostInput,(ROW()-ROW(MSPTasks[[#Headers],[ID]]))))))</f>
        <v/>
      </c>
      <c r="U14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1" s="137" t="str">
        <f aca="false">IF(IFERROR(INDEX(tsk_Name,(ROW()-ROW(MSPTasks[[#Headers],[ID]])))="",TRUE()),"",IF(OR(INDEX(tsk_IsSummary,(ROW()-ROW(MSPTasks[[#Headers],[ID]]))),INDEX(tsk_Mode,(ROW()-ROW(MSPTasks[[#Headers],[ID]])))="Manual"),"",IF(N(INDEX(tsk_ConstraintCode,(ROW()-ROW(MSPTasks[[#Headers],[ID]]))))&lt;2,"",INDEX(tsk_Constraint,(ROW()-ROW(MSPTasks[[#Headers],[ID]]))))))</f>
        <v/>
      </c>
      <c r="W141" s="137" t="str">
        <f aca="false">IF(IFERROR(INDEX(tsk_Name,(ROW()-ROW(MSPTasks[[#Headers],[ID]])))="",TRUE()),"",IF(N(INDEX(tsk_Deadline,(ROW()-ROW(MSPTasks[[#Headers],[ID]]))))=0,"",INDEX(tsk_Deadline,(ROW()-ROW(MSPTasks[[#Headers],[ID]])))))</f>
        <v/>
      </c>
      <c r="X141" s="24" t="str">
        <f aca="false">IF(IFERROR(INDEX(tsk_Name,(ROW()-ROW(MSPTasks[[#Headers],[ID]])))="",TRUE()),"",IF(INDEX(tsk_IsSummary,(ROW()-ROW(MSPTasks[[#Headers],[ID]]))),"",INDEX(tsk_Sprint,(ROW()-ROW(MSPTasks[[#Headers],[ID]])))&amp;""))</f>
        <v/>
      </c>
      <c r="Y141" s="24" t="str">
        <f aca="false">IF(IFERROR(INDEX(tsk_Name,(ROW()-ROW(MSPTasks[[#Headers],[ID]])))="",TRUE()),"",IF(INDEX(tsk_IsSummary,(ROW()-ROW(MSPTasks[[#Headers],[ID]]))),"",IF(N(INDEX(tsk_StoryPoints,(ROW()-ROW(MSPTasks[[#Headers],[ID]]))))=0,"",INDEX(tsk_StoryPoints,(ROW()-ROW(MSPTasks[[#Headers],[ID]]))))))</f>
        <v/>
      </c>
      <c r="Z141" s="24" t="str">
        <f aca="false">IF(IFERROR(INDEX(tsk_Name,(ROW()-ROW(MSPTasks[[#Headers],[ID]])))="",TRUE()),"",INDEX(tsk_Notes,(ROW()-ROW(MSPTasks[[#Headers],[ID]])))&amp;"")</f>
        <v/>
      </c>
    </row>
    <row r="142" customFormat="false" ht="15" hidden="false" customHeight="false" outlineLevel="0" collapsed="false">
      <c r="A142" s="24" t="str">
        <f aca="false">IF(IFERROR(INDEX(tsk_Name,(ROW()-ROW(MSPTasks[[#Headers],[ID]])))="",TRUE()),"",INDEX(tsk_ID,(ROW()-ROW(MSPTasks[[#Headers],[ID]]))))</f>
        <v/>
      </c>
      <c r="B142" s="24" t="str">
        <f aca="false">IF(IFERROR(INDEX(tsk_Name,(ROW()-ROW(MSPTasks[[#Headers],[ID]])))="",TRUE()),"",INDEX(tsk_UID,(ROW()-ROW(MSPTasks[[#Headers],[ID]]))))</f>
        <v/>
      </c>
      <c r="C142" s="24" t="str">
        <f aca="false">IF(IFERROR(INDEX(tsk_Name,(ROW()-ROW(MSPTasks[[#Headers],[ID]])))="",TRUE()),"",INDEX(tsk_Name,(ROW()-ROW(MSPTasks[[#Headers],[ID]]))))</f>
        <v/>
      </c>
      <c r="D142" s="24" t="str">
        <f aca="false">IF(IFERROR(INDEX(tsk_Name,(ROW()-ROW(MSPTasks[[#Headers],[ID]])))="",TRUE()),"",INDEX(tsk_Level,(ROW()-ROW(MSPTasks[[#Headers],[ID]]))))</f>
        <v/>
      </c>
      <c r="E142" s="24" t="str">
        <f aca="false">IF(IFERROR(INDEX(tsk_Name,(ROW()-ROW(MSPTasks[[#Headers],[ID]])))="",TRUE()),"",IF(INDEX(tsk_Mode,(ROW()-ROW(MSPTasks[[#Headers],[ID]])))="Manual","Manually Scheduled","Auto Scheduled"))</f>
        <v/>
      </c>
      <c r="F142" s="24" t="str">
        <f aca="false">IF(IFERROR(INDEX(tsk_Name,(ROW()-ROW(MSPTasks[[#Headers],[ID]])))="",TRUE()),"",IF(INDEX(tsk_IsSummary,(ROW()-ROW(MSPTasks[[#Headers],[ID]]))),"",N(INDEX(tsk_Duration,(ROW()-ROW(MSPTasks[[#Headers],[ID]]))))&amp;"d"))</f>
        <v/>
      </c>
      <c r="G142" s="137" t="str">
        <f aca="false">IF(IFERROR(INDEX(tsk_Name,(ROW()-ROW(MSPTasks[[#Headers],[ID]])))="",TRUE()),"",INDEX(tsk_FcStart,(ROW()-ROW(MSPTasks[[#Headers],[ID]]))))</f>
        <v/>
      </c>
      <c r="H142" s="137" t="str">
        <f aca="false">IF(IFERROR(INDEX(tsk_Name,(ROW()-ROW(MSPTasks[[#Headers],[ID]])))="",TRUE()),"",INDEX(tsk_FcFinish,(ROW()-ROW(MSPTasks[[#Headers],[ID]]))))</f>
        <v/>
      </c>
      <c r="I142" s="24" t="str">
        <f aca="false">IF(IFERROR(INDEX(tsk_Name,(ROW()-ROW(MSPTasks[[#Headers],[ID]])))="",TRUE()),"",IF(INDEX(tsk_IsSummary,(ROW()-ROW(MSPTasks[[#Headers],[ID]]))),"",INDEX(tsk_Predecessors,(ROW()-ROW(MSPTasks[[#Headers],[ID]])))))</f>
        <v/>
      </c>
      <c r="J142" s="24" t="str">
        <f aca="false">IF(IFERROR(INDEX(tsk_Name,(ROW()-ROW(MSPTasks[[#Headers],[ID]])))="",TRUE()),"",IF(INDEX(tsk_IsSummary,(ROW()-ROW(MSPTasks[[#Headers],[ID]]))),"",INDEX(tsk_UIDPredecessors,(ROW()-ROW(MSPTasks[[#Headers],[ID]])))))</f>
        <v/>
      </c>
      <c r="K142" s="24" t="str">
        <f aca="false">IF(IFERROR(INDEX(tsk_Name,(ROW()-ROW(MSPTasks[[#Headers],[ID]])))="",TRUE()),"",INDEX(tsk_ResourceNames,(ROW()-ROW(MSPTasks[[#Headers],[ID]])))&amp;"")</f>
        <v/>
      </c>
      <c r="L142" s="24" t="str">
        <f aca="false">IF(IFERROR(INDEX(tsk_Name,(ROW()-ROW(MSPTasks[[#Headers],[ID]])))="",TRUE()),"",IF(INDEX(tsk_IsSummary,(ROW()-ROW(MSPTasks[[#Headers],[ID]]))),"",ROUND(INDEX(tsk_Progress,(ROW()-ROW(MSPTasks[[#Headers],[ID]])))*100,0)))</f>
        <v/>
      </c>
      <c r="M142" s="137" t="str">
        <f aca="false">IF(IFERROR(INDEX(tsk_Name,(ROW()-ROW(MSPTasks[[#Headers],[ID]])))="",TRUE()),"",IF(N(INDEX(tsk_ActStart,(ROW()-ROW(MSPTasks[[#Headers],[ID]]))))=0,"",INDEX(tsk_ActStart,(ROW()-ROW(MSPTasks[[#Headers],[ID]])))))</f>
        <v/>
      </c>
      <c r="N142" s="137" t="str">
        <f aca="false">IF(IFERROR(INDEX(tsk_Name,(ROW()-ROW(MSPTasks[[#Headers],[ID]])))="",TRUE()),"",IF(N(INDEX(tsk_ActFinish,(ROW()-ROW(MSPTasks[[#Headers],[ID]]))))=0,"",INDEX(tsk_ActFinish,(ROW()-ROW(MSPTasks[[#Headers],[ID]])))))</f>
        <v/>
      </c>
      <c r="O142" s="137" t="str">
        <f aca="false">IF(IFERROR(INDEX(tsk_Name,(ROW()-ROW(MSPTasks[[#Headers],[ID]])))="",TRUE()),"",INDEX(tsk_PlanStart,(ROW()-ROW(MSPTasks[[#Headers],[ID]]))))</f>
        <v/>
      </c>
      <c r="P142" s="137" t="str">
        <f aca="false">IF(IFERROR(INDEX(tsk_Name,(ROW()-ROW(MSPTasks[[#Headers],[ID]])))="",TRUE()),"",INDEX(tsk_PlanFinish,(ROW()-ROW(MSPTasks[[#Headers],[ID]]))))</f>
        <v/>
      </c>
      <c r="Q142" s="24" t="str">
        <f aca="false">IF(IFERROR(INDEX(tsk_Name,(ROW()-ROW(MSPTasks[[#Headers],[ID]])))="",TRUE()),"",IF(INDEX(tsk_BaseDuration,(ROW()-ROW(MSPTasks[[#Headers],[ID]])))="","",N(INDEX(tsk_BaseDuration,(ROW()-ROW(MSPTasks[[#Headers],[ID]]))))&amp;"d"))</f>
        <v/>
      </c>
      <c r="R142" s="24" t="str">
        <f aca="false">IF(IFERROR(INDEX(tsk_Name,(ROW()-ROW(MSPTasks[[#Headers],[ID]])))="",TRUE()),"",IF(INDEX(tsk_BaseWork,(ROW()-ROW(MSPTasks[[#Headers],[ID]])))="","",N(INDEX(tsk_BaseWork,(ROW()-ROW(MSPTasks[[#Headers],[ID]]))))&amp;"h"))</f>
        <v/>
      </c>
      <c r="S142" s="24" t="str">
        <f aca="false">IF(IFERROR(INDEX(tsk_Name,(ROW()-ROW(MSPTasks[[#Headers],[ID]])))="",TRUE()),"",IF(INDEX(tsk_BaseCost,(ROW()-ROW(MSPTasks[[#Headers],[ID]])))="","",N(INDEX(tsk_BaseCost,(ROW()-ROW(MSPTasks[[#Headers],[ID]]))))))</f>
        <v/>
      </c>
      <c r="T142" s="24" t="str">
        <f aca="false">IF(IFERROR(INDEX(tsk_Name,(ROW()-ROW(MSPTasks[[#Headers],[ID]])))="",TRUE()),"",IF(INDEX(tsk_IsSummary,(ROW()-ROW(MSPTasks[[#Headers],[ID]]))),"",IF(N(INDEX(tsk_ActCostInput,(ROW()-ROW(MSPTasks[[#Headers],[ID]]))))=0,"",INDEX(tsk_ActCostInput,(ROW()-ROW(MSPTasks[[#Headers],[ID]]))))))</f>
        <v/>
      </c>
      <c r="U14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2" s="137" t="str">
        <f aca="false">IF(IFERROR(INDEX(tsk_Name,(ROW()-ROW(MSPTasks[[#Headers],[ID]])))="",TRUE()),"",IF(OR(INDEX(tsk_IsSummary,(ROW()-ROW(MSPTasks[[#Headers],[ID]]))),INDEX(tsk_Mode,(ROW()-ROW(MSPTasks[[#Headers],[ID]])))="Manual"),"",IF(N(INDEX(tsk_ConstraintCode,(ROW()-ROW(MSPTasks[[#Headers],[ID]]))))&lt;2,"",INDEX(tsk_Constraint,(ROW()-ROW(MSPTasks[[#Headers],[ID]]))))))</f>
        <v/>
      </c>
      <c r="W142" s="137" t="str">
        <f aca="false">IF(IFERROR(INDEX(tsk_Name,(ROW()-ROW(MSPTasks[[#Headers],[ID]])))="",TRUE()),"",IF(N(INDEX(tsk_Deadline,(ROW()-ROW(MSPTasks[[#Headers],[ID]]))))=0,"",INDEX(tsk_Deadline,(ROW()-ROW(MSPTasks[[#Headers],[ID]])))))</f>
        <v/>
      </c>
      <c r="X142" s="24" t="str">
        <f aca="false">IF(IFERROR(INDEX(tsk_Name,(ROW()-ROW(MSPTasks[[#Headers],[ID]])))="",TRUE()),"",IF(INDEX(tsk_IsSummary,(ROW()-ROW(MSPTasks[[#Headers],[ID]]))),"",INDEX(tsk_Sprint,(ROW()-ROW(MSPTasks[[#Headers],[ID]])))&amp;""))</f>
        <v/>
      </c>
      <c r="Y142" s="24" t="str">
        <f aca="false">IF(IFERROR(INDEX(tsk_Name,(ROW()-ROW(MSPTasks[[#Headers],[ID]])))="",TRUE()),"",IF(INDEX(tsk_IsSummary,(ROW()-ROW(MSPTasks[[#Headers],[ID]]))),"",IF(N(INDEX(tsk_StoryPoints,(ROW()-ROW(MSPTasks[[#Headers],[ID]]))))=0,"",INDEX(tsk_StoryPoints,(ROW()-ROW(MSPTasks[[#Headers],[ID]]))))))</f>
        <v/>
      </c>
      <c r="Z142" s="24" t="str">
        <f aca="false">IF(IFERROR(INDEX(tsk_Name,(ROW()-ROW(MSPTasks[[#Headers],[ID]])))="",TRUE()),"",INDEX(tsk_Notes,(ROW()-ROW(MSPTasks[[#Headers],[ID]])))&amp;"")</f>
        <v/>
      </c>
    </row>
    <row r="143" customFormat="false" ht="15" hidden="false" customHeight="false" outlineLevel="0" collapsed="false">
      <c r="A143" s="24" t="str">
        <f aca="false">IF(IFERROR(INDEX(tsk_Name,(ROW()-ROW(MSPTasks[[#Headers],[ID]])))="",TRUE()),"",INDEX(tsk_ID,(ROW()-ROW(MSPTasks[[#Headers],[ID]]))))</f>
        <v/>
      </c>
      <c r="B143" s="24" t="str">
        <f aca="false">IF(IFERROR(INDEX(tsk_Name,(ROW()-ROW(MSPTasks[[#Headers],[ID]])))="",TRUE()),"",INDEX(tsk_UID,(ROW()-ROW(MSPTasks[[#Headers],[ID]]))))</f>
        <v/>
      </c>
      <c r="C143" s="24" t="str">
        <f aca="false">IF(IFERROR(INDEX(tsk_Name,(ROW()-ROW(MSPTasks[[#Headers],[ID]])))="",TRUE()),"",INDEX(tsk_Name,(ROW()-ROW(MSPTasks[[#Headers],[ID]]))))</f>
        <v/>
      </c>
      <c r="D143" s="24" t="str">
        <f aca="false">IF(IFERROR(INDEX(tsk_Name,(ROW()-ROW(MSPTasks[[#Headers],[ID]])))="",TRUE()),"",INDEX(tsk_Level,(ROW()-ROW(MSPTasks[[#Headers],[ID]]))))</f>
        <v/>
      </c>
      <c r="E143" s="24" t="str">
        <f aca="false">IF(IFERROR(INDEX(tsk_Name,(ROW()-ROW(MSPTasks[[#Headers],[ID]])))="",TRUE()),"",IF(INDEX(tsk_Mode,(ROW()-ROW(MSPTasks[[#Headers],[ID]])))="Manual","Manually Scheduled","Auto Scheduled"))</f>
        <v/>
      </c>
      <c r="F143" s="24" t="str">
        <f aca="false">IF(IFERROR(INDEX(tsk_Name,(ROW()-ROW(MSPTasks[[#Headers],[ID]])))="",TRUE()),"",IF(INDEX(tsk_IsSummary,(ROW()-ROW(MSPTasks[[#Headers],[ID]]))),"",N(INDEX(tsk_Duration,(ROW()-ROW(MSPTasks[[#Headers],[ID]]))))&amp;"d"))</f>
        <v/>
      </c>
      <c r="G143" s="137" t="str">
        <f aca="false">IF(IFERROR(INDEX(tsk_Name,(ROW()-ROW(MSPTasks[[#Headers],[ID]])))="",TRUE()),"",INDEX(tsk_FcStart,(ROW()-ROW(MSPTasks[[#Headers],[ID]]))))</f>
        <v/>
      </c>
      <c r="H143" s="137" t="str">
        <f aca="false">IF(IFERROR(INDEX(tsk_Name,(ROW()-ROW(MSPTasks[[#Headers],[ID]])))="",TRUE()),"",INDEX(tsk_FcFinish,(ROW()-ROW(MSPTasks[[#Headers],[ID]]))))</f>
        <v/>
      </c>
      <c r="I143" s="24" t="str">
        <f aca="false">IF(IFERROR(INDEX(tsk_Name,(ROW()-ROW(MSPTasks[[#Headers],[ID]])))="",TRUE()),"",IF(INDEX(tsk_IsSummary,(ROW()-ROW(MSPTasks[[#Headers],[ID]]))),"",INDEX(tsk_Predecessors,(ROW()-ROW(MSPTasks[[#Headers],[ID]])))))</f>
        <v/>
      </c>
      <c r="J143" s="24" t="str">
        <f aca="false">IF(IFERROR(INDEX(tsk_Name,(ROW()-ROW(MSPTasks[[#Headers],[ID]])))="",TRUE()),"",IF(INDEX(tsk_IsSummary,(ROW()-ROW(MSPTasks[[#Headers],[ID]]))),"",INDEX(tsk_UIDPredecessors,(ROW()-ROW(MSPTasks[[#Headers],[ID]])))))</f>
        <v/>
      </c>
      <c r="K143" s="24" t="str">
        <f aca="false">IF(IFERROR(INDEX(tsk_Name,(ROW()-ROW(MSPTasks[[#Headers],[ID]])))="",TRUE()),"",INDEX(tsk_ResourceNames,(ROW()-ROW(MSPTasks[[#Headers],[ID]])))&amp;"")</f>
        <v/>
      </c>
      <c r="L143" s="24" t="str">
        <f aca="false">IF(IFERROR(INDEX(tsk_Name,(ROW()-ROW(MSPTasks[[#Headers],[ID]])))="",TRUE()),"",IF(INDEX(tsk_IsSummary,(ROW()-ROW(MSPTasks[[#Headers],[ID]]))),"",ROUND(INDEX(tsk_Progress,(ROW()-ROW(MSPTasks[[#Headers],[ID]])))*100,0)))</f>
        <v/>
      </c>
      <c r="M143" s="137" t="str">
        <f aca="false">IF(IFERROR(INDEX(tsk_Name,(ROW()-ROW(MSPTasks[[#Headers],[ID]])))="",TRUE()),"",IF(N(INDEX(tsk_ActStart,(ROW()-ROW(MSPTasks[[#Headers],[ID]]))))=0,"",INDEX(tsk_ActStart,(ROW()-ROW(MSPTasks[[#Headers],[ID]])))))</f>
        <v/>
      </c>
      <c r="N143" s="137" t="str">
        <f aca="false">IF(IFERROR(INDEX(tsk_Name,(ROW()-ROW(MSPTasks[[#Headers],[ID]])))="",TRUE()),"",IF(N(INDEX(tsk_ActFinish,(ROW()-ROW(MSPTasks[[#Headers],[ID]]))))=0,"",INDEX(tsk_ActFinish,(ROW()-ROW(MSPTasks[[#Headers],[ID]])))))</f>
        <v/>
      </c>
      <c r="O143" s="137" t="str">
        <f aca="false">IF(IFERROR(INDEX(tsk_Name,(ROW()-ROW(MSPTasks[[#Headers],[ID]])))="",TRUE()),"",INDEX(tsk_PlanStart,(ROW()-ROW(MSPTasks[[#Headers],[ID]]))))</f>
        <v/>
      </c>
      <c r="P143" s="137" t="str">
        <f aca="false">IF(IFERROR(INDEX(tsk_Name,(ROW()-ROW(MSPTasks[[#Headers],[ID]])))="",TRUE()),"",INDEX(tsk_PlanFinish,(ROW()-ROW(MSPTasks[[#Headers],[ID]]))))</f>
        <v/>
      </c>
      <c r="Q143" s="24" t="str">
        <f aca="false">IF(IFERROR(INDEX(tsk_Name,(ROW()-ROW(MSPTasks[[#Headers],[ID]])))="",TRUE()),"",IF(INDEX(tsk_BaseDuration,(ROW()-ROW(MSPTasks[[#Headers],[ID]])))="","",N(INDEX(tsk_BaseDuration,(ROW()-ROW(MSPTasks[[#Headers],[ID]]))))&amp;"d"))</f>
        <v/>
      </c>
      <c r="R143" s="24" t="str">
        <f aca="false">IF(IFERROR(INDEX(tsk_Name,(ROW()-ROW(MSPTasks[[#Headers],[ID]])))="",TRUE()),"",IF(INDEX(tsk_BaseWork,(ROW()-ROW(MSPTasks[[#Headers],[ID]])))="","",N(INDEX(tsk_BaseWork,(ROW()-ROW(MSPTasks[[#Headers],[ID]]))))&amp;"h"))</f>
        <v/>
      </c>
      <c r="S143" s="24" t="str">
        <f aca="false">IF(IFERROR(INDEX(tsk_Name,(ROW()-ROW(MSPTasks[[#Headers],[ID]])))="",TRUE()),"",IF(INDEX(tsk_BaseCost,(ROW()-ROW(MSPTasks[[#Headers],[ID]])))="","",N(INDEX(tsk_BaseCost,(ROW()-ROW(MSPTasks[[#Headers],[ID]]))))))</f>
        <v/>
      </c>
      <c r="T143" s="24" t="str">
        <f aca="false">IF(IFERROR(INDEX(tsk_Name,(ROW()-ROW(MSPTasks[[#Headers],[ID]])))="",TRUE()),"",IF(INDEX(tsk_IsSummary,(ROW()-ROW(MSPTasks[[#Headers],[ID]]))),"",IF(N(INDEX(tsk_ActCostInput,(ROW()-ROW(MSPTasks[[#Headers],[ID]]))))=0,"",INDEX(tsk_ActCostInput,(ROW()-ROW(MSPTasks[[#Headers],[ID]]))))))</f>
        <v/>
      </c>
      <c r="U14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3" s="137" t="str">
        <f aca="false">IF(IFERROR(INDEX(tsk_Name,(ROW()-ROW(MSPTasks[[#Headers],[ID]])))="",TRUE()),"",IF(OR(INDEX(tsk_IsSummary,(ROW()-ROW(MSPTasks[[#Headers],[ID]]))),INDEX(tsk_Mode,(ROW()-ROW(MSPTasks[[#Headers],[ID]])))="Manual"),"",IF(N(INDEX(tsk_ConstraintCode,(ROW()-ROW(MSPTasks[[#Headers],[ID]]))))&lt;2,"",INDEX(tsk_Constraint,(ROW()-ROW(MSPTasks[[#Headers],[ID]]))))))</f>
        <v/>
      </c>
      <c r="W143" s="137" t="str">
        <f aca="false">IF(IFERROR(INDEX(tsk_Name,(ROW()-ROW(MSPTasks[[#Headers],[ID]])))="",TRUE()),"",IF(N(INDEX(tsk_Deadline,(ROW()-ROW(MSPTasks[[#Headers],[ID]]))))=0,"",INDEX(tsk_Deadline,(ROW()-ROW(MSPTasks[[#Headers],[ID]])))))</f>
        <v/>
      </c>
      <c r="X143" s="24" t="str">
        <f aca="false">IF(IFERROR(INDEX(tsk_Name,(ROW()-ROW(MSPTasks[[#Headers],[ID]])))="",TRUE()),"",IF(INDEX(tsk_IsSummary,(ROW()-ROW(MSPTasks[[#Headers],[ID]]))),"",INDEX(tsk_Sprint,(ROW()-ROW(MSPTasks[[#Headers],[ID]])))&amp;""))</f>
        <v/>
      </c>
      <c r="Y143" s="24" t="str">
        <f aca="false">IF(IFERROR(INDEX(tsk_Name,(ROW()-ROW(MSPTasks[[#Headers],[ID]])))="",TRUE()),"",IF(INDEX(tsk_IsSummary,(ROW()-ROW(MSPTasks[[#Headers],[ID]]))),"",IF(N(INDEX(tsk_StoryPoints,(ROW()-ROW(MSPTasks[[#Headers],[ID]]))))=0,"",INDEX(tsk_StoryPoints,(ROW()-ROW(MSPTasks[[#Headers],[ID]]))))))</f>
        <v/>
      </c>
      <c r="Z143" s="24" t="str">
        <f aca="false">IF(IFERROR(INDEX(tsk_Name,(ROW()-ROW(MSPTasks[[#Headers],[ID]])))="",TRUE()),"",INDEX(tsk_Notes,(ROW()-ROW(MSPTasks[[#Headers],[ID]])))&amp;"")</f>
        <v/>
      </c>
    </row>
    <row r="144" customFormat="false" ht="15" hidden="false" customHeight="false" outlineLevel="0" collapsed="false">
      <c r="A144" s="24" t="str">
        <f aca="false">IF(IFERROR(INDEX(tsk_Name,(ROW()-ROW(MSPTasks[[#Headers],[ID]])))="",TRUE()),"",INDEX(tsk_ID,(ROW()-ROW(MSPTasks[[#Headers],[ID]]))))</f>
        <v/>
      </c>
      <c r="B144" s="24" t="str">
        <f aca="false">IF(IFERROR(INDEX(tsk_Name,(ROW()-ROW(MSPTasks[[#Headers],[ID]])))="",TRUE()),"",INDEX(tsk_UID,(ROW()-ROW(MSPTasks[[#Headers],[ID]]))))</f>
        <v/>
      </c>
      <c r="C144" s="24" t="str">
        <f aca="false">IF(IFERROR(INDEX(tsk_Name,(ROW()-ROW(MSPTasks[[#Headers],[ID]])))="",TRUE()),"",INDEX(tsk_Name,(ROW()-ROW(MSPTasks[[#Headers],[ID]]))))</f>
        <v/>
      </c>
      <c r="D144" s="24" t="str">
        <f aca="false">IF(IFERROR(INDEX(tsk_Name,(ROW()-ROW(MSPTasks[[#Headers],[ID]])))="",TRUE()),"",INDEX(tsk_Level,(ROW()-ROW(MSPTasks[[#Headers],[ID]]))))</f>
        <v/>
      </c>
      <c r="E144" s="24" t="str">
        <f aca="false">IF(IFERROR(INDEX(tsk_Name,(ROW()-ROW(MSPTasks[[#Headers],[ID]])))="",TRUE()),"",IF(INDEX(tsk_Mode,(ROW()-ROW(MSPTasks[[#Headers],[ID]])))="Manual","Manually Scheduled","Auto Scheduled"))</f>
        <v/>
      </c>
      <c r="F144" s="24" t="str">
        <f aca="false">IF(IFERROR(INDEX(tsk_Name,(ROW()-ROW(MSPTasks[[#Headers],[ID]])))="",TRUE()),"",IF(INDEX(tsk_IsSummary,(ROW()-ROW(MSPTasks[[#Headers],[ID]]))),"",N(INDEX(tsk_Duration,(ROW()-ROW(MSPTasks[[#Headers],[ID]]))))&amp;"d"))</f>
        <v/>
      </c>
      <c r="G144" s="137" t="str">
        <f aca="false">IF(IFERROR(INDEX(tsk_Name,(ROW()-ROW(MSPTasks[[#Headers],[ID]])))="",TRUE()),"",INDEX(tsk_FcStart,(ROW()-ROW(MSPTasks[[#Headers],[ID]]))))</f>
        <v/>
      </c>
      <c r="H144" s="137" t="str">
        <f aca="false">IF(IFERROR(INDEX(tsk_Name,(ROW()-ROW(MSPTasks[[#Headers],[ID]])))="",TRUE()),"",INDEX(tsk_FcFinish,(ROW()-ROW(MSPTasks[[#Headers],[ID]]))))</f>
        <v/>
      </c>
      <c r="I144" s="24" t="str">
        <f aca="false">IF(IFERROR(INDEX(tsk_Name,(ROW()-ROW(MSPTasks[[#Headers],[ID]])))="",TRUE()),"",IF(INDEX(tsk_IsSummary,(ROW()-ROW(MSPTasks[[#Headers],[ID]]))),"",INDEX(tsk_Predecessors,(ROW()-ROW(MSPTasks[[#Headers],[ID]])))))</f>
        <v/>
      </c>
      <c r="J144" s="24" t="str">
        <f aca="false">IF(IFERROR(INDEX(tsk_Name,(ROW()-ROW(MSPTasks[[#Headers],[ID]])))="",TRUE()),"",IF(INDEX(tsk_IsSummary,(ROW()-ROW(MSPTasks[[#Headers],[ID]]))),"",INDEX(tsk_UIDPredecessors,(ROW()-ROW(MSPTasks[[#Headers],[ID]])))))</f>
        <v/>
      </c>
      <c r="K144" s="24" t="str">
        <f aca="false">IF(IFERROR(INDEX(tsk_Name,(ROW()-ROW(MSPTasks[[#Headers],[ID]])))="",TRUE()),"",INDEX(tsk_ResourceNames,(ROW()-ROW(MSPTasks[[#Headers],[ID]])))&amp;"")</f>
        <v/>
      </c>
      <c r="L144" s="24" t="str">
        <f aca="false">IF(IFERROR(INDEX(tsk_Name,(ROW()-ROW(MSPTasks[[#Headers],[ID]])))="",TRUE()),"",IF(INDEX(tsk_IsSummary,(ROW()-ROW(MSPTasks[[#Headers],[ID]]))),"",ROUND(INDEX(tsk_Progress,(ROW()-ROW(MSPTasks[[#Headers],[ID]])))*100,0)))</f>
        <v/>
      </c>
      <c r="M144" s="137" t="str">
        <f aca="false">IF(IFERROR(INDEX(tsk_Name,(ROW()-ROW(MSPTasks[[#Headers],[ID]])))="",TRUE()),"",IF(N(INDEX(tsk_ActStart,(ROW()-ROW(MSPTasks[[#Headers],[ID]]))))=0,"",INDEX(tsk_ActStart,(ROW()-ROW(MSPTasks[[#Headers],[ID]])))))</f>
        <v/>
      </c>
      <c r="N144" s="137" t="str">
        <f aca="false">IF(IFERROR(INDEX(tsk_Name,(ROW()-ROW(MSPTasks[[#Headers],[ID]])))="",TRUE()),"",IF(N(INDEX(tsk_ActFinish,(ROW()-ROW(MSPTasks[[#Headers],[ID]]))))=0,"",INDEX(tsk_ActFinish,(ROW()-ROW(MSPTasks[[#Headers],[ID]])))))</f>
        <v/>
      </c>
      <c r="O144" s="137" t="str">
        <f aca="false">IF(IFERROR(INDEX(tsk_Name,(ROW()-ROW(MSPTasks[[#Headers],[ID]])))="",TRUE()),"",INDEX(tsk_PlanStart,(ROW()-ROW(MSPTasks[[#Headers],[ID]]))))</f>
        <v/>
      </c>
      <c r="P144" s="137" t="str">
        <f aca="false">IF(IFERROR(INDEX(tsk_Name,(ROW()-ROW(MSPTasks[[#Headers],[ID]])))="",TRUE()),"",INDEX(tsk_PlanFinish,(ROW()-ROW(MSPTasks[[#Headers],[ID]]))))</f>
        <v/>
      </c>
      <c r="Q144" s="24" t="str">
        <f aca="false">IF(IFERROR(INDEX(tsk_Name,(ROW()-ROW(MSPTasks[[#Headers],[ID]])))="",TRUE()),"",IF(INDEX(tsk_BaseDuration,(ROW()-ROW(MSPTasks[[#Headers],[ID]])))="","",N(INDEX(tsk_BaseDuration,(ROW()-ROW(MSPTasks[[#Headers],[ID]]))))&amp;"d"))</f>
        <v/>
      </c>
      <c r="R144" s="24" t="str">
        <f aca="false">IF(IFERROR(INDEX(tsk_Name,(ROW()-ROW(MSPTasks[[#Headers],[ID]])))="",TRUE()),"",IF(INDEX(tsk_BaseWork,(ROW()-ROW(MSPTasks[[#Headers],[ID]])))="","",N(INDEX(tsk_BaseWork,(ROW()-ROW(MSPTasks[[#Headers],[ID]]))))&amp;"h"))</f>
        <v/>
      </c>
      <c r="S144" s="24" t="str">
        <f aca="false">IF(IFERROR(INDEX(tsk_Name,(ROW()-ROW(MSPTasks[[#Headers],[ID]])))="",TRUE()),"",IF(INDEX(tsk_BaseCost,(ROW()-ROW(MSPTasks[[#Headers],[ID]])))="","",N(INDEX(tsk_BaseCost,(ROW()-ROW(MSPTasks[[#Headers],[ID]]))))))</f>
        <v/>
      </c>
      <c r="T144" s="24" t="str">
        <f aca="false">IF(IFERROR(INDEX(tsk_Name,(ROW()-ROW(MSPTasks[[#Headers],[ID]])))="",TRUE()),"",IF(INDEX(tsk_IsSummary,(ROW()-ROW(MSPTasks[[#Headers],[ID]]))),"",IF(N(INDEX(tsk_ActCostInput,(ROW()-ROW(MSPTasks[[#Headers],[ID]]))))=0,"",INDEX(tsk_ActCostInput,(ROW()-ROW(MSPTasks[[#Headers],[ID]]))))))</f>
        <v/>
      </c>
      <c r="U14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4" s="137" t="str">
        <f aca="false">IF(IFERROR(INDEX(tsk_Name,(ROW()-ROW(MSPTasks[[#Headers],[ID]])))="",TRUE()),"",IF(OR(INDEX(tsk_IsSummary,(ROW()-ROW(MSPTasks[[#Headers],[ID]]))),INDEX(tsk_Mode,(ROW()-ROW(MSPTasks[[#Headers],[ID]])))="Manual"),"",IF(N(INDEX(tsk_ConstraintCode,(ROW()-ROW(MSPTasks[[#Headers],[ID]]))))&lt;2,"",INDEX(tsk_Constraint,(ROW()-ROW(MSPTasks[[#Headers],[ID]]))))))</f>
        <v/>
      </c>
      <c r="W144" s="137" t="str">
        <f aca="false">IF(IFERROR(INDEX(tsk_Name,(ROW()-ROW(MSPTasks[[#Headers],[ID]])))="",TRUE()),"",IF(N(INDEX(tsk_Deadline,(ROW()-ROW(MSPTasks[[#Headers],[ID]]))))=0,"",INDEX(tsk_Deadline,(ROW()-ROW(MSPTasks[[#Headers],[ID]])))))</f>
        <v/>
      </c>
      <c r="X144" s="24" t="str">
        <f aca="false">IF(IFERROR(INDEX(tsk_Name,(ROW()-ROW(MSPTasks[[#Headers],[ID]])))="",TRUE()),"",IF(INDEX(tsk_IsSummary,(ROW()-ROW(MSPTasks[[#Headers],[ID]]))),"",INDEX(tsk_Sprint,(ROW()-ROW(MSPTasks[[#Headers],[ID]])))&amp;""))</f>
        <v/>
      </c>
      <c r="Y144" s="24" t="str">
        <f aca="false">IF(IFERROR(INDEX(tsk_Name,(ROW()-ROW(MSPTasks[[#Headers],[ID]])))="",TRUE()),"",IF(INDEX(tsk_IsSummary,(ROW()-ROW(MSPTasks[[#Headers],[ID]]))),"",IF(N(INDEX(tsk_StoryPoints,(ROW()-ROW(MSPTasks[[#Headers],[ID]]))))=0,"",INDEX(tsk_StoryPoints,(ROW()-ROW(MSPTasks[[#Headers],[ID]]))))))</f>
        <v/>
      </c>
      <c r="Z144" s="24" t="str">
        <f aca="false">IF(IFERROR(INDEX(tsk_Name,(ROW()-ROW(MSPTasks[[#Headers],[ID]])))="",TRUE()),"",INDEX(tsk_Notes,(ROW()-ROW(MSPTasks[[#Headers],[ID]])))&amp;"")</f>
        <v/>
      </c>
    </row>
    <row r="145" customFormat="false" ht="15" hidden="false" customHeight="false" outlineLevel="0" collapsed="false">
      <c r="A145" s="24" t="str">
        <f aca="false">IF(IFERROR(INDEX(tsk_Name,(ROW()-ROW(MSPTasks[[#Headers],[ID]])))="",TRUE()),"",INDEX(tsk_ID,(ROW()-ROW(MSPTasks[[#Headers],[ID]]))))</f>
        <v/>
      </c>
      <c r="B145" s="24" t="str">
        <f aca="false">IF(IFERROR(INDEX(tsk_Name,(ROW()-ROW(MSPTasks[[#Headers],[ID]])))="",TRUE()),"",INDEX(tsk_UID,(ROW()-ROW(MSPTasks[[#Headers],[ID]]))))</f>
        <v/>
      </c>
      <c r="C145" s="24" t="str">
        <f aca="false">IF(IFERROR(INDEX(tsk_Name,(ROW()-ROW(MSPTasks[[#Headers],[ID]])))="",TRUE()),"",INDEX(tsk_Name,(ROW()-ROW(MSPTasks[[#Headers],[ID]]))))</f>
        <v/>
      </c>
      <c r="D145" s="24" t="str">
        <f aca="false">IF(IFERROR(INDEX(tsk_Name,(ROW()-ROW(MSPTasks[[#Headers],[ID]])))="",TRUE()),"",INDEX(tsk_Level,(ROW()-ROW(MSPTasks[[#Headers],[ID]]))))</f>
        <v/>
      </c>
      <c r="E145" s="24" t="str">
        <f aca="false">IF(IFERROR(INDEX(tsk_Name,(ROW()-ROW(MSPTasks[[#Headers],[ID]])))="",TRUE()),"",IF(INDEX(tsk_Mode,(ROW()-ROW(MSPTasks[[#Headers],[ID]])))="Manual","Manually Scheduled","Auto Scheduled"))</f>
        <v/>
      </c>
      <c r="F145" s="24" t="str">
        <f aca="false">IF(IFERROR(INDEX(tsk_Name,(ROW()-ROW(MSPTasks[[#Headers],[ID]])))="",TRUE()),"",IF(INDEX(tsk_IsSummary,(ROW()-ROW(MSPTasks[[#Headers],[ID]]))),"",N(INDEX(tsk_Duration,(ROW()-ROW(MSPTasks[[#Headers],[ID]]))))&amp;"d"))</f>
        <v/>
      </c>
      <c r="G145" s="137" t="str">
        <f aca="false">IF(IFERROR(INDEX(tsk_Name,(ROW()-ROW(MSPTasks[[#Headers],[ID]])))="",TRUE()),"",INDEX(tsk_FcStart,(ROW()-ROW(MSPTasks[[#Headers],[ID]]))))</f>
        <v/>
      </c>
      <c r="H145" s="137" t="str">
        <f aca="false">IF(IFERROR(INDEX(tsk_Name,(ROW()-ROW(MSPTasks[[#Headers],[ID]])))="",TRUE()),"",INDEX(tsk_FcFinish,(ROW()-ROW(MSPTasks[[#Headers],[ID]]))))</f>
        <v/>
      </c>
      <c r="I145" s="24" t="str">
        <f aca="false">IF(IFERROR(INDEX(tsk_Name,(ROW()-ROW(MSPTasks[[#Headers],[ID]])))="",TRUE()),"",IF(INDEX(tsk_IsSummary,(ROW()-ROW(MSPTasks[[#Headers],[ID]]))),"",INDEX(tsk_Predecessors,(ROW()-ROW(MSPTasks[[#Headers],[ID]])))))</f>
        <v/>
      </c>
      <c r="J145" s="24" t="str">
        <f aca="false">IF(IFERROR(INDEX(tsk_Name,(ROW()-ROW(MSPTasks[[#Headers],[ID]])))="",TRUE()),"",IF(INDEX(tsk_IsSummary,(ROW()-ROW(MSPTasks[[#Headers],[ID]]))),"",INDEX(tsk_UIDPredecessors,(ROW()-ROW(MSPTasks[[#Headers],[ID]])))))</f>
        <v/>
      </c>
      <c r="K145" s="24" t="str">
        <f aca="false">IF(IFERROR(INDEX(tsk_Name,(ROW()-ROW(MSPTasks[[#Headers],[ID]])))="",TRUE()),"",INDEX(tsk_ResourceNames,(ROW()-ROW(MSPTasks[[#Headers],[ID]])))&amp;"")</f>
        <v/>
      </c>
      <c r="L145" s="24" t="str">
        <f aca="false">IF(IFERROR(INDEX(tsk_Name,(ROW()-ROW(MSPTasks[[#Headers],[ID]])))="",TRUE()),"",IF(INDEX(tsk_IsSummary,(ROW()-ROW(MSPTasks[[#Headers],[ID]]))),"",ROUND(INDEX(tsk_Progress,(ROW()-ROW(MSPTasks[[#Headers],[ID]])))*100,0)))</f>
        <v/>
      </c>
      <c r="M145" s="137" t="str">
        <f aca="false">IF(IFERROR(INDEX(tsk_Name,(ROW()-ROW(MSPTasks[[#Headers],[ID]])))="",TRUE()),"",IF(N(INDEX(tsk_ActStart,(ROW()-ROW(MSPTasks[[#Headers],[ID]]))))=0,"",INDEX(tsk_ActStart,(ROW()-ROW(MSPTasks[[#Headers],[ID]])))))</f>
        <v/>
      </c>
      <c r="N145" s="137" t="str">
        <f aca="false">IF(IFERROR(INDEX(tsk_Name,(ROW()-ROW(MSPTasks[[#Headers],[ID]])))="",TRUE()),"",IF(N(INDEX(tsk_ActFinish,(ROW()-ROW(MSPTasks[[#Headers],[ID]]))))=0,"",INDEX(tsk_ActFinish,(ROW()-ROW(MSPTasks[[#Headers],[ID]])))))</f>
        <v/>
      </c>
      <c r="O145" s="137" t="str">
        <f aca="false">IF(IFERROR(INDEX(tsk_Name,(ROW()-ROW(MSPTasks[[#Headers],[ID]])))="",TRUE()),"",INDEX(tsk_PlanStart,(ROW()-ROW(MSPTasks[[#Headers],[ID]]))))</f>
        <v/>
      </c>
      <c r="P145" s="137" t="str">
        <f aca="false">IF(IFERROR(INDEX(tsk_Name,(ROW()-ROW(MSPTasks[[#Headers],[ID]])))="",TRUE()),"",INDEX(tsk_PlanFinish,(ROW()-ROW(MSPTasks[[#Headers],[ID]]))))</f>
        <v/>
      </c>
      <c r="Q145" s="24" t="str">
        <f aca="false">IF(IFERROR(INDEX(tsk_Name,(ROW()-ROW(MSPTasks[[#Headers],[ID]])))="",TRUE()),"",IF(INDEX(tsk_BaseDuration,(ROW()-ROW(MSPTasks[[#Headers],[ID]])))="","",N(INDEX(tsk_BaseDuration,(ROW()-ROW(MSPTasks[[#Headers],[ID]]))))&amp;"d"))</f>
        <v/>
      </c>
      <c r="R145" s="24" t="str">
        <f aca="false">IF(IFERROR(INDEX(tsk_Name,(ROW()-ROW(MSPTasks[[#Headers],[ID]])))="",TRUE()),"",IF(INDEX(tsk_BaseWork,(ROW()-ROW(MSPTasks[[#Headers],[ID]])))="","",N(INDEX(tsk_BaseWork,(ROW()-ROW(MSPTasks[[#Headers],[ID]]))))&amp;"h"))</f>
        <v/>
      </c>
      <c r="S145" s="24" t="str">
        <f aca="false">IF(IFERROR(INDEX(tsk_Name,(ROW()-ROW(MSPTasks[[#Headers],[ID]])))="",TRUE()),"",IF(INDEX(tsk_BaseCost,(ROW()-ROW(MSPTasks[[#Headers],[ID]])))="","",N(INDEX(tsk_BaseCost,(ROW()-ROW(MSPTasks[[#Headers],[ID]]))))))</f>
        <v/>
      </c>
      <c r="T145" s="24" t="str">
        <f aca="false">IF(IFERROR(INDEX(tsk_Name,(ROW()-ROW(MSPTasks[[#Headers],[ID]])))="",TRUE()),"",IF(INDEX(tsk_IsSummary,(ROW()-ROW(MSPTasks[[#Headers],[ID]]))),"",IF(N(INDEX(tsk_ActCostInput,(ROW()-ROW(MSPTasks[[#Headers],[ID]]))))=0,"",INDEX(tsk_ActCostInput,(ROW()-ROW(MSPTasks[[#Headers],[ID]]))))))</f>
        <v/>
      </c>
      <c r="U14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5" s="137" t="str">
        <f aca="false">IF(IFERROR(INDEX(tsk_Name,(ROW()-ROW(MSPTasks[[#Headers],[ID]])))="",TRUE()),"",IF(OR(INDEX(tsk_IsSummary,(ROW()-ROW(MSPTasks[[#Headers],[ID]]))),INDEX(tsk_Mode,(ROW()-ROW(MSPTasks[[#Headers],[ID]])))="Manual"),"",IF(N(INDEX(tsk_ConstraintCode,(ROW()-ROW(MSPTasks[[#Headers],[ID]]))))&lt;2,"",INDEX(tsk_Constraint,(ROW()-ROW(MSPTasks[[#Headers],[ID]]))))))</f>
        <v/>
      </c>
      <c r="W145" s="137" t="str">
        <f aca="false">IF(IFERROR(INDEX(tsk_Name,(ROW()-ROW(MSPTasks[[#Headers],[ID]])))="",TRUE()),"",IF(N(INDEX(tsk_Deadline,(ROW()-ROW(MSPTasks[[#Headers],[ID]]))))=0,"",INDEX(tsk_Deadline,(ROW()-ROW(MSPTasks[[#Headers],[ID]])))))</f>
        <v/>
      </c>
      <c r="X145" s="24" t="str">
        <f aca="false">IF(IFERROR(INDEX(tsk_Name,(ROW()-ROW(MSPTasks[[#Headers],[ID]])))="",TRUE()),"",IF(INDEX(tsk_IsSummary,(ROW()-ROW(MSPTasks[[#Headers],[ID]]))),"",INDEX(tsk_Sprint,(ROW()-ROW(MSPTasks[[#Headers],[ID]])))&amp;""))</f>
        <v/>
      </c>
      <c r="Y145" s="24" t="str">
        <f aca="false">IF(IFERROR(INDEX(tsk_Name,(ROW()-ROW(MSPTasks[[#Headers],[ID]])))="",TRUE()),"",IF(INDEX(tsk_IsSummary,(ROW()-ROW(MSPTasks[[#Headers],[ID]]))),"",IF(N(INDEX(tsk_StoryPoints,(ROW()-ROW(MSPTasks[[#Headers],[ID]]))))=0,"",INDEX(tsk_StoryPoints,(ROW()-ROW(MSPTasks[[#Headers],[ID]]))))))</f>
        <v/>
      </c>
      <c r="Z145" s="24" t="str">
        <f aca="false">IF(IFERROR(INDEX(tsk_Name,(ROW()-ROW(MSPTasks[[#Headers],[ID]])))="",TRUE()),"",INDEX(tsk_Notes,(ROW()-ROW(MSPTasks[[#Headers],[ID]])))&amp;"")</f>
        <v/>
      </c>
    </row>
    <row r="146" customFormat="false" ht="15" hidden="false" customHeight="false" outlineLevel="0" collapsed="false">
      <c r="A146" s="24" t="str">
        <f aca="false">IF(IFERROR(INDEX(tsk_Name,(ROW()-ROW(MSPTasks[[#Headers],[ID]])))="",TRUE()),"",INDEX(tsk_ID,(ROW()-ROW(MSPTasks[[#Headers],[ID]]))))</f>
        <v/>
      </c>
      <c r="B146" s="24" t="str">
        <f aca="false">IF(IFERROR(INDEX(tsk_Name,(ROW()-ROW(MSPTasks[[#Headers],[ID]])))="",TRUE()),"",INDEX(tsk_UID,(ROW()-ROW(MSPTasks[[#Headers],[ID]]))))</f>
        <v/>
      </c>
      <c r="C146" s="24" t="str">
        <f aca="false">IF(IFERROR(INDEX(tsk_Name,(ROW()-ROW(MSPTasks[[#Headers],[ID]])))="",TRUE()),"",INDEX(tsk_Name,(ROW()-ROW(MSPTasks[[#Headers],[ID]]))))</f>
        <v/>
      </c>
      <c r="D146" s="24" t="str">
        <f aca="false">IF(IFERROR(INDEX(tsk_Name,(ROW()-ROW(MSPTasks[[#Headers],[ID]])))="",TRUE()),"",INDEX(tsk_Level,(ROW()-ROW(MSPTasks[[#Headers],[ID]]))))</f>
        <v/>
      </c>
      <c r="E146" s="24" t="str">
        <f aca="false">IF(IFERROR(INDEX(tsk_Name,(ROW()-ROW(MSPTasks[[#Headers],[ID]])))="",TRUE()),"",IF(INDEX(tsk_Mode,(ROW()-ROW(MSPTasks[[#Headers],[ID]])))="Manual","Manually Scheduled","Auto Scheduled"))</f>
        <v/>
      </c>
      <c r="F146" s="24" t="str">
        <f aca="false">IF(IFERROR(INDEX(tsk_Name,(ROW()-ROW(MSPTasks[[#Headers],[ID]])))="",TRUE()),"",IF(INDEX(tsk_IsSummary,(ROW()-ROW(MSPTasks[[#Headers],[ID]]))),"",N(INDEX(tsk_Duration,(ROW()-ROW(MSPTasks[[#Headers],[ID]]))))&amp;"d"))</f>
        <v/>
      </c>
      <c r="G146" s="137" t="str">
        <f aca="false">IF(IFERROR(INDEX(tsk_Name,(ROW()-ROW(MSPTasks[[#Headers],[ID]])))="",TRUE()),"",INDEX(tsk_FcStart,(ROW()-ROW(MSPTasks[[#Headers],[ID]]))))</f>
        <v/>
      </c>
      <c r="H146" s="137" t="str">
        <f aca="false">IF(IFERROR(INDEX(tsk_Name,(ROW()-ROW(MSPTasks[[#Headers],[ID]])))="",TRUE()),"",INDEX(tsk_FcFinish,(ROW()-ROW(MSPTasks[[#Headers],[ID]]))))</f>
        <v/>
      </c>
      <c r="I146" s="24" t="str">
        <f aca="false">IF(IFERROR(INDEX(tsk_Name,(ROW()-ROW(MSPTasks[[#Headers],[ID]])))="",TRUE()),"",IF(INDEX(tsk_IsSummary,(ROW()-ROW(MSPTasks[[#Headers],[ID]]))),"",INDEX(tsk_Predecessors,(ROW()-ROW(MSPTasks[[#Headers],[ID]])))))</f>
        <v/>
      </c>
      <c r="J146" s="24" t="str">
        <f aca="false">IF(IFERROR(INDEX(tsk_Name,(ROW()-ROW(MSPTasks[[#Headers],[ID]])))="",TRUE()),"",IF(INDEX(tsk_IsSummary,(ROW()-ROW(MSPTasks[[#Headers],[ID]]))),"",INDEX(tsk_UIDPredecessors,(ROW()-ROW(MSPTasks[[#Headers],[ID]])))))</f>
        <v/>
      </c>
      <c r="K146" s="24" t="str">
        <f aca="false">IF(IFERROR(INDEX(tsk_Name,(ROW()-ROW(MSPTasks[[#Headers],[ID]])))="",TRUE()),"",INDEX(tsk_ResourceNames,(ROW()-ROW(MSPTasks[[#Headers],[ID]])))&amp;"")</f>
        <v/>
      </c>
      <c r="L146" s="24" t="str">
        <f aca="false">IF(IFERROR(INDEX(tsk_Name,(ROW()-ROW(MSPTasks[[#Headers],[ID]])))="",TRUE()),"",IF(INDEX(tsk_IsSummary,(ROW()-ROW(MSPTasks[[#Headers],[ID]]))),"",ROUND(INDEX(tsk_Progress,(ROW()-ROW(MSPTasks[[#Headers],[ID]])))*100,0)))</f>
        <v/>
      </c>
      <c r="M146" s="137" t="str">
        <f aca="false">IF(IFERROR(INDEX(tsk_Name,(ROW()-ROW(MSPTasks[[#Headers],[ID]])))="",TRUE()),"",IF(N(INDEX(tsk_ActStart,(ROW()-ROW(MSPTasks[[#Headers],[ID]]))))=0,"",INDEX(tsk_ActStart,(ROW()-ROW(MSPTasks[[#Headers],[ID]])))))</f>
        <v/>
      </c>
      <c r="N146" s="137" t="str">
        <f aca="false">IF(IFERROR(INDEX(tsk_Name,(ROW()-ROW(MSPTasks[[#Headers],[ID]])))="",TRUE()),"",IF(N(INDEX(tsk_ActFinish,(ROW()-ROW(MSPTasks[[#Headers],[ID]]))))=0,"",INDEX(tsk_ActFinish,(ROW()-ROW(MSPTasks[[#Headers],[ID]])))))</f>
        <v/>
      </c>
      <c r="O146" s="137" t="str">
        <f aca="false">IF(IFERROR(INDEX(tsk_Name,(ROW()-ROW(MSPTasks[[#Headers],[ID]])))="",TRUE()),"",INDEX(tsk_PlanStart,(ROW()-ROW(MSPTasks[[#Headers],[ID]]))))</f>
        <v/>
      </c>
      <c r="P146" s="137" t="str">
        <f aca="false">IF(IFERROR(INDEX(tsk_Name,(ROW()-ROW(MSPTasks[[#Headers],[ID]])))="",TRUE()),"",INDEX(tsk_PlanFinish,(ROW()-ROW(MSPTasks[[#Headers],[ID]]))))</f>
        <v/>
      </c>
      <c r="Q146" s="24" t="str">
        <f aca="false">IF(IFERROR(INDEX(tsk_Name,(ROW()-ROW(MSPTasks[[#Headers],[ID]])))="",TRUE()),"",IF(INDEX(tsk_BaseDuration,(ROW()-ROW(MSPTasks[[#Headers],[ID]])))="","",N(INDEX(tsk_BaseDuration,(ROW()-ROW(MSPTasks[[#Headers],[ID]]))))&amp;"d"))</f>
        <v/>
      </c>
      <c r="R146" s="24" t="str">
        <f aca="false">IF(IFERROR(INDEX(tsk_Name,(ROW()-ROW(MSPTasks[[#Headers],[ID]])))="",TRUE()),"",IF(INDEX(tsk_BaseWork,(ROW()-ROW(MSPTasks[[#Headers],[ID]])))="","",N(INDEX(tsk_BaseWork,(ROW()-ROW(MSPTasks[[#Headers],[ID]]))))&amp;"h"))</f>
        <v/>
      </c>
      <c r="S146" s="24" t="str">
        <f aca="false">IF(IFERROR(INDEX(tsk_Name,(ROW()-ROW(MSPTasks[[#Headers],[ID]])))="",TRUE()),"",IF(INDEX(tsk_BaseCost,(ROW()-ROW(MSPTasks[[#Headers],[ID]])))="","",N(INDEX(tsk_BaseCost,(ROW()-ROW(MSPTasks[[#Headers],[ID]]))))))</f>
        <v/>
      </c>
      <c r="T146" s="24" t="str">
        <f aca="false">IF(IFERROR(INDEX(tsk_Name,(ROW()-ROW(MSPTasks[[#Headers],[ID]])))="",TRUE()),"",IF(INDEX(tsk_IsSummary,(ROW()-ROW(MSPTasks[[#Headers],[ID]]))),"",IF(N(INDEX(tsk_ActCostInput,(ROW()-ROW(MSPTasks[[#Headers],[ID]]))))=0,"",INDEX(tsk_ActCostInput,(ROW()-ROW(MSPTasks[[#Headers],[ID]]))))))</f>
        <v/>
      </c>
      <c r="U14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6" s="137" t="str">
        <f aca="false">IF(IFERROR(INDEX(tsk_Name,(ROW()-ROW(MSPTasks[[#Headers],[ID]])))="",TRUE()),"",IF(OR(INDEX(tsk_IsSummary,(ROW()-ROW(MSPTasks[[#Headers],[ID]]))),INDEX(tsk_Mode,(ROW()-ROW(MSPTasks[[#Headers],[ID]])))="Manual"),"",IF(N(INDEX(tsk_ConstraintCode,(ROW()-ROW(MSPTasks[[#Headers],[ID]]))))&lt;2,"",INDEX(tsk_Constraint,(ROW()-ROW(MSPTasks[[#Headers],[ID]]))))))</f>
        <v/>
      </c>
      <c r="W146" s="137" t="str">
        <f aca="false">IF(IFERROR(INDEX(tsk_Name,(ROW()-ROW(MSPTasks[[#Headers],[ID]])))="",TRUE()),"",IF(N(INDEX(tsk_Deadline,(ROW()-ROW(MSPTasks[[#Headers],[ID]]))))=0,"",INDEX(tsk_Deadline,(ROW()-ROW(MSPTasks[[#Headers],[ID]])))))</f>
        <v/>
      </c>
      <c r="X146" s="24" t="str">
        <f aca="false">IF(IFERROR(INDEX(tsk_Name,(ROW()-ROW(MSPTasks[[#Headers],[ID]])))="",TRUE()),"",IF(INDEX(tsk_IsSummary,(ROW()-ROW(MSPTasks[[#Headers],[ID]]))),"",INDEX(tsk_Sprint,(ROW()-ROW(MSPTasks[[#Headers],[ID]])))&amp;""))</f>
        <v/>
      </c>
      <c r="Y146" s="24" t="str">
        <f aca="false">IF(IFERROR(INDEX(tsk_Name,(ROW()-ROW(MSPTasks[[#Headers],[ID]])))="",TRUE()),"",IF(INDEX(tsk_IsSummary,(ROW()-ROW(MSPTasks[[#Headers],[ID]]))),"",IF(N(INDEX(tsk_StoryPoints,(ROW()-ROW(MSPTasks[[#Headers],[ID]]))))=0,"",INDEX(tsk_StoryPoints,(ROW()-ROW(MSPTasks[[#Headers],[ID]]))))))</f>
        <v/>
      </c>
      <c r="Z146" s="24" t="str">
        <f aca="false">IF(IFERROR(INDEX(tsk_Name,(ROW()-ROW(MSPTasks[[#Headers],[ID]])))="",TRUE()),"",INDEX(tsk_Notes,(ROW()-ROW(MSPTasks[[#Headers],[ID]])))&amp;"")</f>
        <v/>
      </c>
    </row>
    <row r="147" customFormat="false" ht="15" hidden="false" customHeight="false" outlineLevel="0" collapsed="false">
      <c r="A147" s="24" t="str">
        <f aca="false">IF(IFERROR(INDEX(tsk_Name,(ROW()-ROW(MSPTasks[[#Headers],[ID]])))="",TRUE()),"",INDEX(tsk_ID,(ROW()-ROW(MSPTasks[[#Headers],[ID]]))))</f>
        <v/>
      </c>
      <c r="B147" s="24" t="str">
        <f aca="false">IF(IFERROR(INDEX(tsk_Name,(ROW()-ROW(MSPTasks[[#Headers],[ID]])))="",TRUE()),"",INDEX(tsk_UID,(ROW()-ROW(MSPTasks[[#Headers],[ID]]))))</f>
        <v/>
      </c>
      <c r="C147" s="24" t="str">
        <f aca="false">IF(IFERROR(INDEX(tsk_Name,(ROW()-ROW(MSPTasks[[#Headers],[ID]])))="",TRUE()),"",INDEX(tsk_Name,(ROW()-ROW(MSPTasks[[#Headers],[ID]]))))</f>
        <v/>
      </c>
      <c r="D147" s="24" t="str">
        <f aca="false">IF(IFERROR(INDEX(tsk_Name,(ROW()-ROW(MSPTasks[[#Headers],[ID]])))="",TRUE()),"",INDEX(tsk_Level,(ROW()-ROW(MSPTasks[[#Headers],[ID]]))))</f>
        <v/>
      </c>
      <c r="E147" s="24" t="str">
        <f aca="false">IF(IFERROR(INDEX(tsk_Name,(ROW()-ROW(MSPTasks[[#Headers],[ID]])))="",TRUE()),"",IF(INDEX(tsk_Mode,(ROW()-ROW(MSPTasks[[#Headers],[ID]])))="Manual","Manually Scheduled","Auto Scheduled"))</f>
        <v/>
      </c>
      <c r="F147" s="24" t="str">
        <f aca="false">IF(IFERROR(INDEX(tsk_Name,(ROW()-ROW(MSPTasks[[#Headers],[ID]])))="",TRUE()),"",IF(INDEX(tsk_IsSummary,(ROW()-ROW(MSPTasks[[#Headers],[ID]]))),"",N(INDEX(tsk_Duration,(ROW()-ROW(MSPTasks[[#Headers],[ID]]))))&amp;"d"))</f>
        <v/>
      </c>
      <c r="G147" s="137" t="str">
        <f aca="false">IF(IFERROR(INDEX(tsk_Name,(ROW()-ROW(MSPTasks[[#Headers],[ID]])))="",TRUE()),"",INDEX(tsk_FcStart,(ROW()-ROW(MSPTasks[[#Headers],[ID]]))))</f>
        <v/>
      </c>
      <c r="H147" s="137" t="str">
        <f aca="false">IF(IFERROR(INDEX(tsk_Name,(ROW()-ROW(MSPTasks[[#Headers],[ID]])))="",TRUE()),"",INDEX(tsk_FcFinish,(ROW()-ROW(MSPTasks[[#Headers],[ID]]))))</f>
        <v/>
      </c>
      <c r="I147" s="24" t="str">
        <f aca="false">IF(IFERROR(INDEX(tsk_Name,(ROW()-ROW(MSPTasks[[#Headers],[ID]])))="",TRUE()),"",IF(INDEX(tsk_IsSummary,(ROW()-ROW(MSPTasks[[#Headers],[ID]]))),"",INDEX(tsk_Predecessors,(ROW()-ROW(MSPTasks[[#Headers],[ID]])))))</f>
        <v/>
      </c>
      <c r="J147" s="24" t="str">
        <f aca="false">IF(IFERROR(INDEX(tsk_Name,(ROW()-ROW(MSPTasks[[#Headers],[ID]])))="",TRUE()),"",IF(INDEX(tsk_IsSummary,(ROW()-ROW(MSPTasks[[#Headers],[ID]]))),"",INDEX(tsk_UIDPredecessors,(ROW()-ROW(MSPTasks[[#Headers],[ID]])))))</f>
        <v/>
      </c>
      <c r="K147" s="24" t="str">
        <f aca="false">IF(IFERROR(INDEX(tsk_Name,(ROW()-ROW(MSPTasks[[#Headers],[ID]])))="",TRUE()),"",INDEX(tsk_ResourceNames,(ROW()-ROW(MSPTasks[[#Headers],[ID]])))&amp;"")</f>
        <v/>
      </c>
      <c r="L147" s="24" t="str">
        <f aca="false">IF(IFERROR(INDEX(tsk_Name,(ROW()-ROW(MSPTasks[[#Headers],[ID]])))="",TRUE()),"",IF(INDEX(tsk_IsSummary,(ROW()-ROW(MSPTasks[[#Headers],[ID]]))),"",ROUND(INDEX(tsk_Progress,(ROW()-ROW(MSPTasks[[#Headers],[ID]])))*100,0)))</f>
        <v/>
      </c>
      <c r="M147" s="137" t="str">
        <f aca="false">IF(IFERROR(INDEX(tsk_Name,(ROW()-ROW(MSPTasks[[#Headers],[ID]])))="",TRUE()),"",IF(N(INDEX(tsk_ActStart,(ROW()-ROW(MSPTasks[[#Headers],[ID]]))))=0,"",INDEX(tsk_ActStart,(ROW()-ROW(MSPTasks[[#Headers],[ID]])))))</f>
        <v/>
      </c>
      <c r="N147" s="137" t="str">
        <f aca="false">IF(IFERROR(INDEX(tsk_Name,(ROW()-ROW(MSPTasks[[#Headers],[ID]])))="",TRUE()),"",IF(N(INDEX(tsk_ActFinish,(ROW()-ROW(MSPTasks[[#Headers],[ID]]))))=0,"",INDEX(tsk_ActFinish,(ROW()-ROW(MSPTasks[[#Headers],[ID]])))))</f>
        <v/>
      </c>
      <c r="O147" s="137" t="str">
        <f aca="false">IF(IFERROR(INDEX(tsk_Name,(ROW()-ROW(MSPTasks[[#Headers],[ID]])))="",TRUE()),"",INDEX(tsk_PlanStart,(ROW()-ROW(MSPTasks[[#Headers],[ID]]))))</f>
        <v/>
      </c>
      <c r="P147" s="137" t="str">
        <f aca="false">IF(IFERROR(INDEX(tsk_Name,(ROW()-ROW(MSPTasks[[#Headers],[ID]])))="",TRUE()),"",INDEX(tsk_PlanFinish,(ROW()-ROW(MSPTasks[[#Headers],[ID]]))))</f>
        <v/>
      </c>
      <c r="Q147" s="24" t="str">
        <f aca="false">IF(IFERROR(INDEX(tsk_Name,(ROW()-ROW(MSPTasks[[#Headers],[ID]])))="",TRUE()),"",IF(INDEX(tsk_BaseDuration,(ROW()-ROW(MSPTasks[[#Headers],[ID]])))="","",N(INDEX(tsk_BaseDuration,(ROW()-ROW(MSPTasks[[#Headers],[ID]]))))&amp;"d"))</f>
        <v/>
      </c>
      <c r="R147" s="24" t="str">
        <f aca="false">IF(IFERROR(INDEX(tsk_Name,(ROW()-ROW(MSPTasks[[#Headers],[ID]])))="",TRUE()),"",IF(INDEX(tsk_BaseWork,(ROW()-ROW(MSPTasks[[#Headers],[ID]])))="","",N(INDEX(tsk_BaseWork,(ROW()-ROW(MSPTasks[[#Headers],[ID]]))))&amp;"h"))</f>
        <v/>
      </c>
      <c r="S147" s="24" t="str">
        <f aca="false">IF(IFERROR(INDEX(tsk_Name,(ROW()-ROW(MSPTasks[[#Headers],[ID]])))="",TRUE()),"",IF(INDEX(tsk_BaseCost,(ROW()-ROW(MSPTasks[[#Headers],[ID]])))="","",N(INDEX(tsk_BaseCost,(ROW()-ROW(MSPTasks[[#Headers],[ID]]))))))</f>
        <v/>
      </c>
      <c r="T147" s="24" t="str">
        <f aca="false">IF(IFERROR(INDEX(tsk_Name,(ROW()-ROW(MSPTasks[[#Headers],[ID]])))="",TRUE()),"",IF(INDEX(tsk_IsSummary,(ROW()-ROW(MSPTasks[[#Headers],[ID]]))),"",IF(N(INDEX(tsk_ActCostInput,(ROW()-ROW(MSPTasks[[#Headers],[ID]]))))=0,"",INDEX(tsk_ActCostInput,(ROW()-ROW(MSPTasks[[#Headers],[ID]]))))))</f>
        <v/>
      </c>
      <c r="U14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7" s="137" t="str">
        <f aca="false">IF(IFERROR(INDEX(tsk_Name,(ROW()-ROW(MSPTasks[[#Headers],[ID]])))="",TRUE()),"",IF(OR(INDEX(tsk_IsSummary,(ROW()-ROW(MSPTasks[[#Headers],[ID]]))),INDEX(tsk_Mode,(ROW()-ROW(MSPTasks[[#Headers],[ID]])))="Manual"),"",IF(N(INDEX(tsk_ConstraintCode,(ROW()-ROW(MSPTasks[[#Headers],[ID]]))))&lt;2,"",INDEX(tsk_Constraint,(ROW()-ROW(MSPTasks[[#Headers],[ID]]))))))</f>
        <v/>
      </c>
      <c r="W147" s="137" t="str">
        <f aca="false">IF(IFERROR(INDEX(tsk_Name,(ROW()-ROW(MSPTasks[[#Headers],[ID]])))="",TRUE()),"",IF(N(INDEX(tsk_Deadline,(ROW()-ROW(MSPTasks[[#Headers],[ID]]))))=0,"",INDEX(tsk_Deadline,(ROW()-ROW(MSPTasks[[#Headers],[ID]])))))</f>
        <v/>
      </c>
      <c r="X147" s="24" t="str">
        <f aca="false">IF(IFERROR(INDEX(tsk_Name,(ROW()-ROW(MSPTasks[[#Headers],[ID]])))="",TRUE()),"",IF(INDEX(tsk_IsSummary,(ROW()-ROW(MSPTasks[[#Headers],[ID]]))),"",INDEX(tsk_Sprint,(ROW()-ROW(MSPTasks[[#Headers],[ID]])))&amp;""))</f>
        <v/>
      </c>
      <c r="Y147" s="24" t="str">
        <f aca="false">IF(IFERROR(INDEX(tsk_Name,(ROW()-ROW(MSPTasks[[#Headers],[ID]])))="",TRUE()),"",IF(INDEX(tsk_IsSummary,(ROW()-ROW(MSPTasks[[#Headers],[ID]]))),"",IF(N(INDEX(tsk_StoryPoints,(ROW()-ROW(MSPTasks[[#Headers],[ID]]))))=0,"",INDEX(tsk_StoryPoints,(ROW()-ROW(MSPTasks[[#Headers],[ID]]))))))</f>
        <v/>
      </c>
      <c r="Z147" s="24" t="str">
        <f aca="false">IF(IFERROR(INDEX(tsk_Name,(ROW()-ROW(MSPTasks[[#Headers],[ID]])))="",TRUE()),"",INDEX(tsk_Notes,(ROW()-ROW(MSPTasks[[#Headers],[ID]])))&amp;"")</f>
        <v/>
      </c>
    </row>
    <row r="148" customFormat="false" ht="15" hidden="false" customHeight="false" outlineLevel="0" collapsed="false">
      <c r="A148" s="24" t="str">
        <f aca="false">IF(IFERROR(INDEX(tsk_Name,(ROW()-ROW(MSPTasks[[#Headers],[ID]])))="",TRUE()),"",INDEX(tsk_ID,(ROW()-ROW(MSPTasks[[#Headers],[ID]]))))</f>
        <v/>
      </c>
      <c r="B148" s="24" t="str">
        <f aca="false">IF(IFERROR(INDEX(tsk_Name,(ROW()-ROW(MSPTasks[[#Headers],[ID]])))="",TRUE()),"",INDEX(tsk_UID,(ROW()-ROW(MSPTasks[[#Headers],[ID]]))))</f>
        <v/>
      </c>
      <c r="C148" s="24" t="str">
        <f aca="false">IF(IFERROR(INDEX(tsk_Name,(ROW()-ROW(MSPTasks[[#Headers],[ID]])))="",TRUE()),"",INDEX(tsk_Name,(ROW()-ROW(MSPTasks[[#Headers],[ID]]))))</f>
        <v/>
      </c>
      <c r="D148" s="24" t="str">
        <f aca="false">IF(IFERROR(INDEX(tsk_Name,(ROW()-ROW(MSPTasks[[#Headers],[ID]])))="",TRUE()),"",INDEX(tsk_Level,(ROW()-ROW(MSPTasks[[#Headers],[ID]]))))</f>
        <v/>
      </c>
      <c r="E148" s="24" t="str">
        <f aca="false">IF(IFERROR(INDEX(tsk_Name,(ROW()-ROW(MSPTasks[[#Headers],[ID]])))="",TRUE()),"",IF(INDEX(tsk_Mode,(ROW()-ROW(MSPTasks[[#Headers],[ID]])))="Manual","Manually Scheduled","Auto Scheduled"))</f>
        <v/>
      </c>
      <c r="F148" s="24" t="str">
        <f aca="false">IF(IFERROR(INDEX(tsk_Name,(ROW()-ROW(MSPTasks[[#Headers],[ID]])))="",TRUE()),"",IF(INDEX(tsk_IsSummary,(ROW()-ROW(MSPTasks[[#Headers],[ID]]))),"",N(INDEX(tsk_Duration,(ROW()-ROW(MSPTasks[[#Headers],[ID]]))))&amp;"d"))</f>
        <v/>
      </c>
      <c r="G148" s="137" t="str">
        <f aca="false">IF(IFERROR(INDEX(tsk_Name,(ROW()-ROW(MSPTasks[[#Headers],[ID]])))="",TRUE()),"",INDEX(tsk_FcStart,(ROW()-ROW(MSPTasks[[#Headers],[ID]]))))</f>
        <v/>
      </c>
      <c r="H148" s="137" t="str">
        <f aca="false">IF(IFERROR(INDEX(tsk_Name,(ROW()-ROW(MSPTasks[[#Headers],[ID]])))="",TRUE()),"",INDEX(tsk_FcFinish,(ROW()-ROW(MSPTasks[[#Headers],[ID]]))))</f>
        <v/>
      </c>
      <c r="I148" s="24" t="str">
        <f aca="false">IF(IFERROR(INDEX(tsk_Name,(ROW()-ROW(MSPTasks[[#Headers],[ID]])))="",TRUE()),"",IF(INDEX(tsk_IsSummary,(ROW()-ROW(MSPTasks[[#Headers],[ID]]))),"",INDEX(tsk_Predecessors,(ROW()-ROW(MSPTasks[[#Headers],[ID]])))))</f>
        <v/>
      </c>
      <c r="J148" s="24" t="str">
        <f aca="false">IF(IFERROR(INDEX(tsk_Name,(ROW()-ROW(MSPTasks[[#Headers],[ID]])))="",TRUE()),"",IF(INDEX(tsk_IsSummary,(ROW()-ROW(MSPTasks[[#Headers],[ID]]))),"",INDEX(tsk_UIDPredecessors,(ROW()-ROW(MSPTasks[[#Headers],[ID]])))))</f>
        <v/>
      </c>
      <c r="K148" s="24" t="str">
        <f aca="false">IF(IFERROR(INDEX(tsk_Name,(ROW()-ROW(MSPTasks[[#Headers],[ID]])))="",TRUE()),"",INDEX(tsk_ResourceNames,(ROW()-ROW(MSPTasks[[#Headers],[ID]])))&amp;"")</f>
        <v/>
      </c>
      <c r="L148" s="24" t="str">
        <f aca="false">IF(IFERROR(INDEX(tsk_Name,(ROW()-ROW(MSPTasks[[#Headers],[ID]])))="",TRUE()),"",IF(INDEX(tsk_IsSummary,(ROW()-ROW(MSPTasks[[#Headers],[ID]]))),"",ROUND(INDEX(tsk_Progress,(ROW()-ROW(MSPTasks[[#Headers],[ID]])))*100,0)))</f>
        <v/>
      </c>
      <c r="M148" s="137" t="str">
        <f aca="false">IF(IFERROR(INDEX(tsk_Name,(ROW()-ROW(MSPTasks[[#Headers],[ID]])))="",TRUE()),"",IF(N(INDEX(tsk_ActStart,(ROW()-ROW(MSPTasks[[#Headers],[ID]]))))=0,"",INDEX(tsk_ActStart,(ROW()-ROW(MSPTasks[[#Headers],[ID]])))))</f>
        <v/>
      </c>
      <c r="N148" s="137" t="str">
        <f aca="false">IF(IFERROR(INDEX(tsk_Name,(ROW()-ROW(MSPTasks[[#Headers],[ID]])))="",TRUE()),"",IF(N(INDEX(tsk_ActFinish,(ROW()-ROW(MSPTasks[[#Headers],[ID]]))))=0,"",INDEX(tsk_ActFinish,(ROW()-ROW(MSPTasks[[#Headers],[ID]])))))</f>
        <v/>
      </c>
      <c r="O148" s="137" t="str">
        <f aca="false">IF(IFERROR(INDEX(tsk_Name,(ROW()-ROW(MSPTasks[[#Headers],[ID]])))="",TRUE()),"",INDEX(tsk_PlanStart,(ROW()-ROW(MSPTasks[[#Headers],[ID]]))))</f>
        <v/>
      </c>
      <c r="P148" s="137" t="str">
        <f aca="false">IF(IFERROR(INDEX(tsk_Name,(ROW()-ROW(MSPTasks[[#Headers],[ID]])))="",TRUE()),"",INDEX(tsk_PlanFinish,(ROW()-ROW(MSPTasks[[#Headers],[ID]]))))</f>
        <v/>
      </c>
      <c r="Q148" s="24" t="str">
        <f aca="false">IF(IFERROR(INDEX(tsk_Name,(ROW()-ROW(MSPTasks[[#Headers],[ID]])))="",TRUE()),"",IF(INDEX(tsk_BaseDuration,(ROW()-ROW(MSPTasks[[#Headers],[ID]])))="","",N(INDEX(tsk_BaseDuration,(ROW()-ROW(MSPTasks[[#Headers],[ID]]))))&amp;"d"))</f>
        <v/>
      </c>
      <c r="R148" s="24" t="str">
        <f aca="false">IF(IFERROR(INDEX(tsk_Name,(ROW()-ROW(MSPTasks[[#Headers],[ID]])))="",TRUE()),"",IF(INDEX(tsk_BaseWork,(ROW()-ROW(MSPTasks[[#Headers],[ID]])))="","",N(INDEX(tsk_BaseWork,(ROW()-ROW(MSPTasks[[#Headers],[ID]]))))&amp;"h"))</f>
        <v/>
      </c>
      <c r="S148" s="24" t="str">
        <f aca="false">IF(IFERROR(INDEX(tsk_Name,(ROW()-ROW(MSPTasks[[#Headers],[ID]])))="",TRUE()),"",IF(INDEX(tsk_BaseCost,(ROW()-ROW(MSPTasks[[#Headers],[ID]])))="","",N(INDEX(tsk_BaseCost,(ROW()-ROW(MSPTasks[[#Headers],[ID]]))))))</f>
        <v/>
      </c>
      <c r="T148" s="24" t="str">
        <f aca="false">IF(IFERROR(INDEX(tsk_Name,(ROW()-ROW(MSPTasks[[#Headers],[ID]])))="",TRUE()),"",IF(INDEX(tsk_IsSummary,(ROW()-ROW(MSPTasks[[#Headers],[ID]]))),"",IF(N(INDEX(tsk_ActCostInput,(ROW()-ROW(MSPTasks[[#Headers],[ID]]))))=0,"",INDEX(tsk_ActCostInput,(ROW()-ROW(MSPTasks[[#Headers],[ID]]))))))</f>
        <v/>
      </c>
      <c r="U14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8" s="137" t="str">
        <f aca="false">IF(IFERROR(INDEX(tsk_Name,(ROW()-ROW(MSPTasks[[#Headers],[ID]])))="",TRUE()),"",IF(OR(INDEX(tsk_IsSummary,(ROW()-ROW(MSPTasks[[#Headers],[ID]]))),INDEX(tsk_Mode,(ROW()-ROW(MSPTasks[[#Headers],[ID]])))="Manual"),"",IF(N(INDEX(tsk_ConstraintCode,(ROW()-ROW(MSPTasks[[#Headers],[ID]]))))&lt;2,"",INDEX(tsk_Constraint,(ROW()-ROW(MSPTasks[[#Headers],[ID]]))))))</f>
        <v/>
      </c>
      <c r="W148" s="137" t="str">
        <f aca="false">IF(IFERROR(INDEX(tsk_Name,(ROW()-ROW(MSPTasks[[#Headers],[ID]])))="",TRUE()),"",IF(N(INDEX(tsk_Deadline,(ROW()-ROW(MSPTasks[[#Headers],[ID]]))))=0,"",INDEX(tsk_Deadline,(ROW()-ROW(MSPTasks[[#Headers],[ID]])))))</f>
        <v/>
      </c>
      <c r="X148" s="24" t="str">
        <f aca="false">IF(IFERROR(INDEX(tsk_Name,(ROW()-ROW(MSPTasks[[#Headers],[ID]])))="",TRUE()),"",IF(INDEX(tsk_IsSummary,(ROW()-ROW(MSPTasks[[#Headers],[ID]]))),"",INDEX(tsk_Sprint,(ROW()-ROW(MSPTasks[[#Headers],[ID]])))&amp;""))</f>
        <v/>
      </c>
      <c r="Y148" s="24" t="str">
        <f aca="false">IF(IFERROR(INDEX(tsk_Name,(ROW()-ROW(MSPTasks[[#Headers],[ID]])))="",TRUE()),"",IF(INDEX(tsk_IsSummary,(ROW()-ROW(MSPTasks[[#Headers],[ID]]))),"",IF(N(INDEX(tsk_StoryPoints,(ROW()-ROW(MSPTasks[[#Headers],[ID]]))))=0,"",INDEX(tsk_StoryPoints,(ROW()-ROW(MSPTasks[[#Headers],[ID]]))))))</f>
        <v/>
      </c>
      <c r="Z148" s="24" t="str">
        <f aca="false">IF(IFERROR(INDEX(tsk_Name,(ROW()-ROW(MSPTasks[[#Headers],[ID]])))="",TRUE()),"",INDEX(tsk_Notes,(ROW()-ROW(MSPTasks[[#Headers],[ID]])))&amp;"")</f>
        <v/>
      </c>
    </row>
    <row r="149" customFormat="false" ht="15" hidden="false" customHeight="false" outlineLevel="0" collapsed="false">
      <c r="A149" s="24" t="str">
        <f aca="false">IF(IFERROR(INDEX(tsk_Name,(ROW()-ROW(MSPTasks[[#Headers],[ID]])))="",TRUE()),"",INDEX(tsk_ID,(ROW()-ROW(MSPTasks[[#Headers],[ID]]))))</f>
        <v/>
      </c>
      <c r="B149" s="24" t="str">
        <f aca="false">IF(IFERROR(INDEX(tsk_Name,(ROW()-ROW(MSPTasks[[#Headers],[ID]])))="",TRUE()),"",INDEX(tsk_UID,(ROW()-ROW(MSPTasks[[#Headers],[ID]]))))</f>
        <v/>
      </c>
      <c r="C149" s="24" t="str">
        <f aca="false">IF(IFERROR(INDEX(tsk_Name,(ROW()-ROW(MSPTasks[[#Headers],[ID]])))="",TRUE()),"",INDEX(tsk_Name,(ROW()-ROW(MSPTasks[[#Headers],[ID]]))))</f>
        <v/>
      </c>
      <c r="D149" s="24" t="str">
        <f aca="false">IF(IFERROR(INDEX(tsk_Name,(ROW()-ROW(MSPTasks[[#Headers],[ID]])))="",TRUE()),"",INDEX(tsk_Level,(ROW()-ROW(MSPTasks[[#Headers],[ID]]))))</f>
        <v/>
      </c>
      <c r="E149" s="24" t="str">
        <f aca="false">IF(IFERROR(INDEX(tsk_Name,(ROW()-ROW(MSPTasks[[#Headers],[ID]])))="",TRUE()),"",IF(INDEX(tsk_Mode,(ROW()-ROW(MSPTasks[[#Headers],[ID]])))="Manual","Manually Scheduled","Auto Scheduled"))</f>
        <v/>
      </c>
      <c r="F149" s="24" t="str">
        <f aca="false">IF(IFERROR(INDEX(tsk_Name,(ROW()-ROW(MSPTasks[[#Headers],[ID]])))="",TRUE()),"",IF(INDEX(tsk_IsSummary,(ROW()-ROW(MSPTasks[[#Headers],[ID]]))),"",N(INDEX(tsk_Duration,(ROW()-ROW(MSPTasks[[#Headers],[ID]]))))&amp;"d"))</f>
        <v/>
      </c>
      <c r="G149" s="137" t="str">
        <f aca="false">IF(IFERROR(INDEX(tsk_Name,(ROW()-ROW(MSPTasks[[#Headers],[ID]])))="",TRUE()),"",INDEX(tsk_FcStart,(ROW()-ROW(MSPTasks[[#Headers],[ID]]))))</f>
        <v/>
      </c>
      <c r="H149" s="137" t="str">
        <f aca="false">IF(IFERROR(INDEX(tsk_Name,(ROW()-ROW(MSPTasks[[#Headers],[ID]])))="",TRUE()),"",INDEX(tsk_FcFinish,(ROW()-ROW(MSPTasks[[#Headers],[ID]]))))</f>
        <v/>
      </c>
      <c r="I149" s="24" t="str">
        <f aca="false">IF(IFERROR(INDEX(tsk_Name,(ROW()-ROW(MSPTasks[[#Headers],[ID]])))="",TRUE()),"",IF(INDEX(tsk_IsSummary,(ROW()-ROW(MSPTasks[[#Headers],[ID]]))),"",INDEX(tsk_Predecessors,(ROW()-ROW(MSPTasks[[#Headers],[ID]])))))</f>
        <v/>
      </c>
      <c r="J149" s="24" t="str">
        <f aca="false">IF(IFERROR(INDEX(tsk_Name,(ROW()-ROW(MSPTasks[[#Headers],[ID]])))="",TRUE()),"",IF(INDEX(tsk_IsSummary,(ROW()-ROW(MSPTasks[[#Headers],[ID]]))),"",INDEX(tsk_UIDPredecessors,(ROW()-ROW(MSPTasks[[#Headers],[ID]])))))</f>
        <v/>
      </c>
      <c r="K149" s="24" t="str">
        <f aca="false">IF(IFERROR(INDEX(tsk_Name,(ROW()-ROW(MSPTasks[[#Headers],[ID]])))="",TRUE()),"",INDEX(tsk_ResourceNames,(ROW()-ROW(MSPTasks[[#Headers],[ID]])))&amp;"")</f>
        <v/>
      </c>
      <c r="L149" s="24" t="str">
        <f aca="false">IF(IFERROR(INDEX(tsk_Name,(ROW()-ROW(MSPTasks[[#Headers],[ID]])))="",TRUE()),"",IF(INDEX(tsk_IsSummary,(ROW()-ROW(MSPTasks[[#Headers],[ID]]))),"",ROUND(INDEX(tsk_Progress,(ROW()-ROW(MSPTasks[[#Headers],[ID]])))*100,0)))</f>
        <v/>
      </c>
      <c r="M149" s="137" t="str">
        <f aca="false">IF(IFERROR(INDEX(tsk_Name,(ROW()-ROW(MSPTasks[[#Headers],[ID]])))="",TRUE()),"",IF(N(INDEX(tsk_ActStart,(ROW()-ROW(MSPTasks[[#Headers],[ID]]))))=0,"",INDEX(tsk_ActStart,(ROW()-ROW(MSPTasks[[#Headers],[ID]])))))</f>
        <v/>
      </c>
      <c r="N149" s="137" t="str">
        <f aca="false">IF(IFERROR(INDEX(tsk_Name,(ROW()-ROW(MSPTasks[[#Headers],[ID]])))="",TRUE()),"",IF(N(INDEX(tsk_ActFinish,(ROW()-ROW(MSPTasks[[#Headers],[ID]]))))=0,"",INDEX(tsk_ActFinish,(ROW()-ROW(MSPTasks[[#Headers],[ID]])))))</f>
        <v/>
      </c>
      <c r="O149" s="137" t="str">
        <f aca="false">IF(IFERROR(INDEX(tsk_Name,(ROW()-ROW(MSPTasks[[#Headers],[ID]])))="",TRUE()),"",INDEX(tsk_PlanStart,(ROW()-ROW(MSPTasks[[#Headers],[ID]]))))</f>
        <v/>
      </c>
      <c r="P149" s="137" t="str">
        <f aca="false">IF(IFERROR(INDEX(tsk_Name,(ROW()-ROW(MSPTasks[[#Headers],[ID]])))="",TRUE()),"",INDEX(tsk_PlanFinish,(ROW()-ROW(MSPTasks[[#Headers],[ID]]))))</f>
        <v/>
      </c>
      <c r="Q149" s="24" t="str">
        <f aca="false">IF(IFERROR(INDEX(tsk_Name,(ROW()-ROW(MSPTasks[[#Headers],[ID]])))="",TRUE()),"",IF(INDEX(tsk_BaseDuration,(ROW()-ROW(MSPTasks[[#Headers],[ID]])))="","",N(INDEX(tsk_BaseDuration,(ROW()-ROW(MSPTasks[[#Headers],[ID]]))))&amp;"d"))</f>
        <v/>
      </c>
      <c r="R149" s="24" t="str">
        <f aca="false">IF(IFERROR(INDEX(tsk_Name,(ROW()-ROW(MSPTasks[[#Headers],[ID]])))="",TRUE()),"",IF(INDEX(tsk_BaseWork,(ROW()-ROW(MSPTasks[[#Headers],[ID]])))="","",N(INDEX(tsk_BaseWork,(ROW()-ROW(MSPTasks[[#Headers],[ID]]))))&amp;"h"))</f>
        <v/>
      </c>
      <c r="S149" s="24" t="str">
        <f aca="false">IF(IFERROR(INDEX(tsk_Name,(ROW()-ROW(MSPTasks[[#Headers],[ID]])))="",TRUE()),"",IF(INDEX(tsk_BaseCost,(ROW()-ROW(MSPTasks[[#Headers],[ID]])))="","",N(INDEX(tsk_BaseCost,(ROW()-ROW(MSPTasks[[#Headers],[ID]]))))))</f>
        <v/>
      </c>
      <c r="T149" s="24" t="str">
        <f aca="false">IF(IFERROR(INDEX(tsk_Name,(ROW()-ROW(MSPTasks[[#Headers],[ID]])))="",TRUE()),"",IF(INDEX(tsk_IsSummary,(ROW()-ROW(MSPTasks[[#Headers],[ID]]))),"",IF(N(INDEX(tsk_ActCostInput,(ROW()-ROW(MSPTasks[[#Headers],[ID]]))))=0,"",INDEX(tsk_ActCostInput,(ROW()-ROW(MSPTasks[[#Headers],[ID]]))))))</f>
        <v/>
      </c>
      <c r="U14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49" s="137" t="str">
        <f aca="false">IF(IFERROR(INDEX(tsk_Name,(ROW()-ROW(MSPTasks[[#Headers],[ID]])))="",TRUE()),"",IF(OR(INDEX(tsk_IsSummary,(ROW()-ROW(MSPTasks[[#Headers],[ID]]))),INDEX(tsk_Mode,(ROW()-ROW(MSPTasks[[#Headers],[ID]])))="Manual"),"",IF(N(INDEX(tsk_ConstraintCode,(ROW()-ROW(MSPTasks[[#Headers],[ID]]))))&lt;2,"",INDEX(tsk_Constraint,(ROW()-ROW(MSPTasks[[#Headers],[ID]]))))))</f>
        <v/>
      </c>
      <c r="W149" s="137" t="str">
        <f aca="false">IF(IFERROR(INDEX(tsk_Name,(ROW()-ROW(MSPTasks[[#Headers],[ID]])))="",TRUE()),"",IF(N(INDEX(tsk_Deadline,(ROW()-ROW(MSPTasks[[#Headers],[ID]]))))=0,"",INDEX(tsk_Deadline,(ROW()-ROW(MSPTasks[[#Headers],[ID]])))))</f>
        <v/>
      </c>
      <c r="X149" s="24" t="str">
        <f aca="false">IF(IFERROR(INDEX(tsk_Name,(ROW()-ROW(MSPTasks[[#Headers],[ID]])))="",TRUE()),"",IF(INDEX(tsk_IsSummary,(ROW()-ROW(MSPTasks[[#Headers],[ID]]))),"",INDEX(tsk_Sprint,(ROW()-ROW(MSPTasks[[#Headers],[ID]])))&amp;""))</f>
        <v/>
      </c>
      <c r="Y149" s="24" t="str">
        <f aca="false">IF(IFERROR(INDEX(tsk_Name,(ROW()-ROW(MSPTasks[[#Headers],[ID]])))="",TRUE()),"",IF(INDEX(tsk_IsSummary,(ROW()-ROW(MSPTasks[[#Headers],[ID]]))),"",IF(N(INDEX(tsk_StoryPoints,(ROW()-ROW(MSPTasks[[#Headers],[ID]]))))=0,"",INDEX(tsk_StoryPoints,(ROW()-ROW(MSPTasks[[#Headers],[ID]]))))))</f>
        <v/>
      </c>
      <c r="Z149" s="24" t="str">
        <f aca="false">IF(IFERROR(INDEX(tsk_Name,(ROW()-ROW(MSPTasks[[#Headers],[ID]])))="",TRUE()),"",INDEX(tsk_Notes,(ROW()-ROW(MSPTasks[[#Headers],[ID]])))&amp;"")</f>
        <v/>
      </c>
    </row>
    <row r="150" customFormat="false" ht="15" hidden="false" customHeight="false" outlineLevel="0" collapsed="false">
      <c r="A150" s="24" t="str">
        <f aca="false">IF(IFERROR(INDEX(tsk_Name,(ROW()-ROW(MSPTasks[[#Headers],[ID]])))="",TRUE()),"",INDEX(tsk_ID,(ROW()-ROW(MSPTasks[[#Headers],[ID]]))))</f>
        <v/>
      </c>
      <c r="B150" s="24" t="str">
        <f aca="false">IF(IFERROR(INDEX(tsk_Name,(ROW()-ROW(MSPTasks[[#Headers],[ID]])))="",TRUE()),"",INDEX(tsk_UID,(ROW()-ROW(MSPTasks[[#Headers],[ID]]))))</f>
        <v/>
      </c>
      <c r="C150" s="24" t="str">
        <f aca="false">IF(IFERROR(INDEX(tsk_Name,(ROW()-ROW(MSPTasks[[#Headers],[ID]])))="",TRUE()),"",INDEX(tsk_Name,(ROW()-ROW(MSPTasks[[#Headers],[ID]]))))</f>
        <v/>
      </c>
      <c r="D150" s="24" t="str">
        <f aca="false">IF(IFERROR(INDEX(tsk_Name,(ROW()-ROW(MSPTasks[[#Headers],[ID]])))="",TRUE()),"",INDEX(tsk_Level,(ROW()-ROW(MSPTasks[[#Headers],[ID]]))))</f>
        <v/>
      </c>
      <c r="E150" s="24" t="str">
        <f aca="false">IF(IFERROR(INDEX(tsk_Name,(ROW()-ROW(MSPTasks[[#Headers],[ID]])))="",TRUE()),"",IF(INDEX(tsk_Mode,(ROW()-ROW(MSPTasks[[#Headers],[ID]])))="Manual","Manually Scheduled","Auto Scheduled"))</f>
        <v/>
      </c>
      <c r="F150" s="24" t="str">
        <f aca="false">IF(IFERROR(INDEX(tsk_Name,(ROW()-ROW(MSPTasks[[#Headers],[ID]])))="",TRUE()),"",IF(INDEX(tsk_IsSummary,(ROW()-ROW(MSPTasks[[#Headers],[ID]]))),"",N(INDEX(tsk_Duration,(ROW()-ROW(MSPTasks[[#Headers],[ID]]))))&amp;"d"))</f>
        <v/>
      </c>
      <c r="G150" s="137" t="str">
        <f aca="false">IF(IFERROR(INDEX(tsk_Name,(ROW()-ROW(MSPTasks[[#Headers],[ID]])))="",TRUE()),"",INDEX(tsk_FcStart,(ROW()-ROW(MSPTasks[[#Headers],[ID]]))))</f>
        <v/>
      </c>
      <c r="H150" s="137" t="str">
        <f aca="false">IF(IFERROR(INDEX(tsk_Name,(ROW()-ROW(MSPTasks[[#Headers],[ID]])))="",TRUE()),"",INDEX(tsk_FcFinish,(ROW()-ROW(MSPTasks[[#Headers],[ID]]))))</f>
        <v/>
      </c>
      <c r="I150" s="24" t="str">
        <f aca="false">IF(IFERROR(INDEX(tsk_Name,(ROW()-ROW(MSPTasks[[#Headers],[ID]])))="",TRUE()),"",IF(INDEX(tsk_IsSummary,(ROW()-ROW(MSPTasks[[#Headers],[ID]]))),"",INDEX(tsk_Predecessors,(ROW()-ROW(MSPTasks[[#Headers],[ID]])))))</f>
        <v/>
      </c>
      <c r="J150" s="24" t="str">
        <f aca="false">IF(IFERROR(INDEX(tsk_Name,(ROW()-ROW(MSPTasks[[#Headers],[ID]])))="",TRUE()),"",IF(INDEX(tsk_IsSummary,(ROW()-ROW(MSPTasks[[#Headers],[ID]]))),"",INDEX(tsk_UIDPredecessors,(ROW()-ROW(MSPTasks[[#Headers],[ID]])))))</f>
        <v/>
      </c>
      <c r="K150" s="24" t="str">
        <f aca="false">IF(IFERROR(INDEX(tsk_Name,(ROW()-ROW(MSPTasks[[#Headers],[ID]])))="",TRUE()),"",INDEX(tsk_ResourceNames,(ROW()-ROW(MSPTasks[[#Headers],[ID]])))&amp;"")</f>
        <v/>
      </c>
      <c r="L150" s="24" t="str">
        <f aca="false">IF(IFERROR(INDEX(tsk_Name,(ROW()-ROW(MSPTasks[[#Headers],[ID]])))="",TRUE()),"",IF(INDEX(tsk_IsSummary,(ROW()-ROW(MSPTasks[[#Headers],[ID]]))),"",ROUND(INDEX(tsk_Progress,(ROW()-ROW(MSPTasks[[#Headers],[ID]])))*100,0)))</f>
        <v/>
      </c>
      <c r="M150" s="137" t="str">
        <f aca="false">IF(IFERROR(INDEX(tsk_Name,(ROW()-ROW(MSPTasks[[#Headers],[ID]])))="",TRUE()),"",IF(N(INDEX(tsk_ActStart,(ROW()-ROW(MSPTasks[[#Headers],[ID]]))))=0,"",INDEX(tsk_ActStart,(ROW()-ROW(MSPTasks[[#Headers],[ID]])))))</f>
        <v/>
      </c>
      <c r="N150" s="137" t="str">
        <f aca="false">IF(IFERROR(INDEX(tsk_Name,(ROW()-ROW(MSPTasks[[#Headers],[ID]])))="",TRUE()),"",IF(N(INDEX(tsk_ActFinish,(ROW()-ROW(MSPTasks[[#Headers],[ID]]))))=0,"",INDEX(tsk_ActFinish,(ROW()-ROW(MSPTasks[[#Headers],[ID]])))))</f>
        <v/>
      </c>
      <c r="O150" s="137" t="str">
        <f aca="false">IF(IFERROR(INDEX(tsk_Name,(ROW()-ROW(MSPTasks[[#Headers],[ID]])))="",TRUE()),"",INDEX(tsk_PlanStart,(ROW()-ROW(MSPTasks[[#Headers],[ID]]))))</f>
        <v/>
      </c>
      <c r="P150" s="137" t="str">
        <f aca="false">IF(IFERROR(INDEX(tsk_Name,(ROW()-ROW(MSPTasks[[#Headers],[ID]])))="",TRUE()),"",INDEX(tsk_PlanFinish,(ROW()-ROW(MSPTasks[[#Headers],[ID]]))))</f>
        <v/>
      </c>
      <c r="Q150" s="24" t="str">
        <f aca="false">IF(IFERROR(INDEX(tsk_Name,(ROW()-ROW(MSPTasks[[#Headers],[ID]])))="",TRUE()),"",IF(INDEX(tsk_BaseDuration,(ROW()-ROW(MSPTasks[[#Headers],[ID]])))="","",N(INDEX(tsk_BaseDuration,(ROW()-ROW(MSPTasks[[#Headers],[ID]]))))&amp;"d"))</f>
        <v/>
      </c>
      <c r="R150" s="24" t="str">
        <f aca="false">IF(IFERROR(INDEX(tsk_Name,(ROW()-ROW(MSPTasks[[#Headers],[ID]])))="",TRUE()),"",IF(INDEX(tsk_BaseWork,(ROW()-ROW(MSPTasks[[#Headers],[ID]])))="","",N(INDEX(tsk_BaseWork,(ROW()-ROW(MSPTasks[[#Headers],[ID]]))))&amp;"h"))</f>
        <v/>
      </c>
      <c r="S150" s="24" t="str">
        <f aca="false">IF(IFERROR(INDEX(tsk_Name,(ROW()-ROW(MSPTasks[[#Headers],[ID]])))="",TRUE()),"",IF(INDEX(tsk_BaseCost,(ROW()-ROW(MSPTasks[[#Headers],[ID]])))="","",N(INDEX(tsk_BaseCost,(ROW()-ROW(MSPTasks[[#Headers],[ID]]))))))</f>
        <v/>
      </c>
      <c r="T150" s="24" t="str">
        <f aca="false">IF(IFERROR(INDEX(tsk_Name,(ROW()-ROW(MSPTasks[[#Headers],[ID]])))="",TRUE()),"",IF(INDEX(tsk_IsSummary,(ROW()-ROW(MSPTasks[[#Headers],[ID]]))),"",IF(N(INDEX(tsk_ActCostInput,(ROW()-ROW(MSPTasks[[#Headers],[ID]]))))=0,"",INDEX(tsk_ActCostInput,(ROW()-ROW(MSPTasks[[#Headers],[ID]]))))))</f>
        <v/>
      </c>
      <c r="U15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0" s="137" t="str">
        <f aca="false">IF(IFERROR(INDEX(tsk_Name,(ROW()-ROW(MSPTasks[[#Headers],[ID]])))="",TRUE()),"",IF(OR(INDEX(tsk_IsSummary,(ROW()-ROW(MSPTasks[[#Headers],[ID]]))),INDEX(tsk_Mode,(ROW()-ROW(MSPTasks[[#Headers],[ID]])))="Manual"),"",IF(N(INDEX(tsk_ConstraintCode,(ROW()-ROW(MSPTasks[[#Headers],[ID]]))))&lt;2,"",INDEX(tsk_Constraint,(ROW()-ROW(MSPTasks[[#Headers],[ID]]))))))</f>
        <v/>
      </c>
      <c r="W150" s="137" t="str">
        <f aca="false">IF(IFERROR(INDEX(tsk_Name,(ROW()-ROW(MSPTasks[[#Headers],[ID]])))="",TRUE()),"",IF(N(INDEX(tsk_Deadline,(ROW()-ROW(MSPTasks[[#Headers],[ID]]))))=0,"",INDEX(tsk_Deadline,(ROW()-ROW(MSPTasks[[#Headers],[ID]])))))</f>
        <v/>
      </c>
      <c r="X150" s="24" t="str">
        <f aca="false">IF(IFERROR(INDEX(tsk_Name,(ROW()-ROW(MSPTasks[[#Headers],[ID]])))="",TRUE()),"",IF(INDEX(tsk_IsSummary,(ROW()-ROW(MSPTasks[[#Headers],[ID]]))),"",INDEX(tsk_Sprint,(ROW()-ROW(MSPTasks[[#Headers],[ID]])))&amp;""))</f>
        <v/>
      </c>
      <c r="Y150" s="24" t="str">
        <f aca="false">IF(IFERROR(INDEX(tsk_Name,(ROW()-ROW(MSPTasks[[#Headers],[ID]])))="",TRUE()),"",IF(INDEX(tsk_IsSummary,(ROW()-ROW(MSPTasks[[#Headers],[ID]]))),"",IF(N(INDEX(tsk_StoryPoints,(ROW()-ROW(MSPTasks[[#Headers],[ID]]))))=0,"",INDEX(tsk_StoryPoints,(ROW()-ROW(MSPTasks[[#Headers],[ID]]))))))</f>
        <v/>
      </c>
      <c r="Z150" s="24" t="str">
        <f aca="false">IF(IFERROR(INDEX(tsk_Name,(ROW()-ROW(MSPTasks[[#Headers],[ID]])))="",TRUE()),"",INDEX(tsk_Notes,(ROW()-ROW(MSPTasks[[#Headers],[ID]])))&amp;"")</f>
        <v/>
      </c>
    </row>
    <row r="151" customFormat="false" ht="15" hidden="false" customHeight="false" outlineLevel="0" collapsed="false">
      <c r="A151" s="24" t="str">
        <f aca="false">IF(IFERROR(INDEX(tsk_Name,(ROW()-ROW(MSPTasks[[#Headers],[ID]])))="",TRUE()),"",INDEX(tsk_ID,(ROW()-ROW(MSPTasks[[#Headers],[ID]]))))</f>
        <v/>
      </c>
      <c r="B151" s="24" t="str">
        <f aca="false">IF(IFERROR(INDEX(tsk_Name,(ROW()-ROW(MSPTasks[[#Headers],[ID]])))="",TRUE()),"",INDEX(tsk_UID,(ROW()-ROW(MSPTasks[[#Headers],[ID]]))))</f>
        <v/>
      </c>
      <c r="C151" s="24" t="str">
        <f aca="false">IF(IFERROR(INDEX(tsk_Name,(ROW()-ROW(MSPTasks[[#Headers],[ID]])))="",TRUE()),"",INDEX(tsk_Name,(ROW()-ROW(MSPTasks[[#Headers],[ID]]))))</f>
        <v/>
      </c>
      <c r="D151" s="24" t="str">
        <f aca="false">IF(IFERROR(INDEX(tsk_Name,(ROW()-ROW(MSPTasks[[#Headers],[ID]])))="",TRUE()),"",INDEX(tsk_Level,(ROW()-ROW(MSPTasks[[#Headers],[ID]]))))</f>
        <v/>
      </c>
      <c r="E151" s="24" t="str">
        <f aca="false">IF(IFERROR(INDEX(tsk_Name,(ROW()-ROW(MSPTasks[[#Headers],[ID]])))="",TRUE()),"",IF(INDEX(tsk_Mode,(ROW()-ROW(MSPTasks[[#Headers],[ID]])))="Manual","Manually Scheduled","Auto Scheduled"))</f>
        <v/>
      </c>
      <c r="F151" s="24" t="str">
        <f aca="false">IF(IFERROR(INDEX(tsk_Name,(ROW()-ROW(MSPTasks[[#Headers],[ID]])))="",TRUE()),"",IF(INDEX(tsk_IsSummary,(ROW()-ROW(MSPTasks[[#Headers],[ID]]))),"",N(INDEX(tsk_Duration,(ROW()-ROW(MSPTasks[[#Headers],[ID]]))))&amp;"d"))</f>
        <v/>
      </c>
      <c r="G151" s="137" t="str">
        <f aca="false">IF(IFERROR(INDEX(tsk_Name,(ROW()-ROW(MSPTasks[[#Headers],[ID]])))="",TRUE()),"",INDEX(tsk_FcStart,(ROW()-ROW(MSPTasks[[#Headers],[ID]]))))</f>
        <v/>
      </c>
      <c r="H151" s="137" t="str">
        <f aca="false">IF(IFERROR(INDEX(tsk_Name,(ROW()-ROW(MSPTasks[[#Headers],[ID]])))="",TRUE()),"",INDEX(tsk_FcFinish,(ROW()-ROW(MSPTasks[[#Headers],[ID]]))))</f>
        <v/>
      </c>
      <c r="I151" s="24" t="str">
        <f aca="false">IF(IFERROR(INDEX(tsk_Name,(ROW()-ROW(MSPTasks[[#Headers],[ID]])))="",TRUE()),"",IF(INDEX(tsk_IsSummary,(ROW()-ROW(MSPTasks[[#Headers],[ID]]))),"",INDEX(tsk_Predecessors,(ROW()-ROW(MSPTasks[[#Headers],[ID]])))))</f>
        <v/>
      </c>
      <c r="J151" s="24" t="str">
        <f aca="false">IF(IFERROR(INDEX(tsk_Name,(ROW()-ROW(MSPTasks[[#Headers],[ID]])))="",TRUE()),"",IF(INDEX(tsk_IsSummary,(ROW()-ROW(MSPTasks[[#Headers],[ID]]))),"",INDEX(tsk_UIDPredecessors,(ROW()-ROW(MSPTasks[[#Headers],[ID]])))))</f>
        <v/>
      </c>
      <c r="K151" s="24" t="str">
        <f aca="false">IF(IFERROR(INDEX(tsk_Name,(ROW()-ROW(MSPTasks[[#Headers],[ID]])))="",TRUE()),"",INDEX(tsk_ResourceNames,(ROW()-ROW(MSPTasks[[#Headers],[ID]])))&amp;"")</f>
        <v/>
      </c>
      <c r="L151" s="24" t="str">
        <f aca="false">IF(IFERROR(INDEX(tsk_Name,(ROW()-ROW(MSPTasks[[#Headers],[ID]])))="",TRUE()),"",IF(INDEX(tsk_IsSummary,(ROW()-ROW(MSPTasks[[#Headers],[ID]]))),"",ROUND(INDEX(tsk_Progress,(ROW()-ROW(MSPTasks[[#Headers],[ID]])))*100,0)))</f>
        <v/>
      </c>
      <c r="M151" s="137" t="str">
        <f aca="false">IF(IFERROR(INDEX(tsk_Name,(ROW()-ROW(MSPTasks[[#Headers],[ID]])))="",TRUE()),"",IF(N(INDEX(tsk_ActStart,(ROW()-ROW(MSPTasks[[#Headers],[ID]]))))=0,"",INDEX(tsk_ActStart,(ROW()-ROW(MSPTasks[[#Headers],[ID]])))))</f>
        <v/>
      </c>
      <c r="N151" s="137" t="str">
        <f aca="false">IF(IFERROR(INDEX(tsk_Name,(ROW()-ROW(MSPTasks[[#Headers],[ID]])))="",TRUE()),"",IF(N(INDEX(tsk_ActFinish,(ROW()-ROW(MSPTasks[[#Headers],[ID]]))))=0,"",INDEX(tsk_ActFinish,(ROW()-ROW(MSPTasks[[#Headers],[ID]])))))</f>
        <v/>
      </c>
      <c r="O151" s="137" t="str">
        <f aca="false">IF(IFERROR(INDEX(tsk_Name,(ROW()-ROW(MSPTasks[[#Headers],[ID]])))="",TRUE()),"",INDEX(tsk_PlanStart,(ROW()-ROW(MSPTasks[[#Headers],[ID]]))))</f>
        <v/>
      </c>
      <c r="P151" s="137" t="str">
        <f aca="false">IF(IFERROR(INDEX(tsk_Name,(ROW()-ROW(MSPTasks[[#Headers],[ID]])))="",TRUE()),"",INDEX(tsk_PlanFinish,(ROW()-ROW(MSPTasks[[#Headers],[ID]]))))</f>
        <v/>
      </c>
      <c r="Q151" s="24" t="str">
        <f aca="false">IF(IFERROR(INDEX(tsk_Name,(ROW()-ROW(MSPTasks[[#Headers],[ID]])))="",TRUE()),"",IF(INDEX(tsk_BaseDuration,(ROW()-ROW(MSPTasks[[#Headers],[ID]])))="","",N(INDEX(tsk_BaseDuration,(ROW()-ROW(MSPTasks[[#Headers],[ID]]))))&amp;"d"))</f>
        <v/>
      </c>
      <c r="R151" s="24" t="str">
        <f aca="false">IF(IFERROR(INDEX(tsk_Name,(ROW()-ROW(MSPTasks[[#Headers],[ID]])))="",TRUE()),"",IF(INDEX(tsk_BaseWork,(ROW()-ROW(MSPTasks[[#Headers],[ID]])))="","",N(INDEX(tsk_BaseWork,(ROW()-ROW(MSPTasks[[#Headers],[ID]]))))&amp;"h"))</f>
        <v/>
      </c>
      <c r="S151" s="24" t="str">
        <f aca="false">IF(IFERROR(INDEX(tsk_Name,(ROW()-ROW(MSPTasks[[#Headers],[ID]])))="",TRUE()),"",IF(INDEX(tsk_BaseCost,(ROW()-ROW(MSPTasks[[#Headers],[ID]])))="","",N(INDEX(tsk_BaseCost,(ROW()-ROW(MSPTasks[[#Headers],[ID]]))))))</f>
        <v/>
      </c>
      <c r="T151" s="24" t="str">
        <f aca="false">IF(IFERROR(INDEX(tsk_Name,(ROW()-ROW(MSPTasks[[#Headers],[ID]])))="",TRUE()),"",IF(INDEX(tsk_IsSummary,(ROW()-ROW(MSPTasks[[#Headers],[ID]]))),"",IF(N(INDEX(tsk_ActCostInput,(ROW()-ROW(MSPTasks[[#Headers],[ID]]))))=0,"",INDEX(tsk_ActCostInput,(ROW()-ROW(MSPTasks[[#Headers],[ID]]))))))</f>
        <v/>
      </c>
      <c r="U15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1" s="137" t="str">
        <f aca="false">IF(IFERROR(INDEX(tsk_Name,(ROW()-ROW(MSPTasks[[#Headers],[ID]])))="",TRUE()),"",IF(OR(INDEX(tsk_IsSummary,(ROW()-ROW(MSPTasks[[#Headers],[ID]]))),INDEX(tsk_Mode,(ROW()-ROW(MSPTasks[[#Headers],[ID]])))="Manual"),"",IF(N(INDEX(tsk_ConstraintCode,(ROW()-ROW(MSPTasks[[#Headers],[ID]]))))&lt;2,"",INDEX(tsk_Constraint,(ROW()-ROW(MSPTasks[[#Headers],[ID]]))))))</f>
        <v/>
      </c>
      <c r="W151" s="137" t="str">
        <f aca="false">IF(IFERROR(INDEX(tsk_Name,(ROW()-ROW(MSPTasks[[#Headers],[ID]])))="",TRUE()),"",IF(N(INDEX(tsk_Deadline,(ROW()-ROW(MSPTasks[[#Headers],[ID]]))))=0,"",INDEX(tsk_Deadline,(ROW()-ROW(MSPTasks[[#Headers],[ID]])))))</f>
        <v/>
      </c>
      <c r="X151" s="24" t="str">
        <f aca="false">IF(IFERROR(INDEX(tsk_Name,(ROW()-ROW(MSPTasks[[#Headers],[ID]])))="",TRUE()),"",IF(INDEX(tsk_IsSummary,(ROW()-ROW(MSPTasks[[#Headers],[ID]]))),"",INDEX(tsk_Sprint,(ROW()-ROW(MSPTasks[[#Headers],[ID]])))&amp;""))</f>
        <v/>
      </c>
      <c r="Y151" s="24" t="str">
        <f aca="false">IF(IFERROR(INDEX(tsk_Name,(ROW()-ROW(MSPTasks[[#Headers],[ID]])))="",TRUE()),"",IF(INDEX(tsk_IsSummary,(ROW()-ROW(MSPTasks[[#Headers],[ID]]))),"",IF(N(INDEX(tsk_StoryPoints,(ROW()-ROW(MSPTasks[[#Headers],[ID]]))))=0,"",INDEX(tsk_StoryPoints,(ROW()-ROW(MSPTasks[[#Headers],[ID]]))))))</f>
        <v/>
      </c>
      <c r="Z151" s="24" t="str">
        <f aca="false">IF(IFERROR(INDEX(tsk_Name,(ROW()-ROW(MSPTasks[[#Headers],[ID]])))="",TRUE()),"",INDEX(tsk_Notes,(ROW()-ROW(MSPTasks[[#Headers],[ID]])))&amp;"")</f>
        <v/>
      </c>
    </row>
    <row r="152" customFormat="false" ht="15" hidden="false" customHeight="false" outlineLevel="0" collapsed="false">
      <c r="A152" s="24" t="str">
        <f aca="false">IF(IFERROR(INDEX(tsk_Name,(ROW()-ROW(MSPTasks[[#Headers],[ID]])))="",TRUE()),"",INDEX(tsk_ID,(ROW()-ROW(MSPTasks[[#Headers],[ID]]))))</f>
        <v/>
      </c>
      <c r="B152" s="24" t="str">
        <f aca="false">IF(IFERROR(INDEX(tsk_Name,(ROW()-ROW(MSPTasks[[#Headers],[ID]])))="",TRUE()),"",INDEX(tsk_UID,(ROW()-ROW(MSPTasks[[#Headers],[ID]]))))</f>
        <v/>
      </c>
      <c r="C152" s="24" t="str">
        <f aca="false">IF(IFERROR(INDEX(tsk_Name,(ROW()-ROW(MSPTasks[[#Headers],[ID]])))="",TRUE()),"",INDEX(tsk_Name,(ROW()-ROW(MSPTasks[[#Headers],[ID]]))))</f>
        <v/>
      </c>
      <c r="D152" s="24" t="str">
        <f aca="false">IF(IFERROR(INDEX(tsk_Name,(ROW()-ROW(MSPTasks[[#Headers],[ID]])))="",TRUE()),"",INDEX(tsk_Level,(ROW()-ROW(MSPTasks[[#Headers],[ID]]))))</f>
        <v/>
      </c>
      <c r="E152" s="24" t="str">
        <f aca="false">IF(IFERROR(INDEX(tsk_Name,(ROW()-ROW(MSPTasks[[#Headers],[ID]])))="",TRUE()),"",IF(INDEX(tsk_Mode,(ROW()-ROW(MSPTasks[[#Headers],[ID]])))="Manual","Manually Scheduled","Auto Scheduled"))</f>
        <v/>
      </c>
      <c r="F152" s="24" t="str">
        <f aca="false">IF(IFERROR(INDEX(tsk_Name,(ROW()-ROW(MSPTasks[[#Headers],[ID]])))="",TRUE()),"",IF(INDEX(tsk_IsSummary,(ROW()-ROW(MSPTasks[[#Headers],[ID]]))),"",N(INDEX(tsk_Duration,(ROW()-ROW(MSPTasks[[#Headers],[ID]]))))&amp;"d"))</f>
        <v/>
      </c>
      <c r="G152" s="137" t="str">
        <f aca="false">IF(IFERROR(INDEX(tsk_Name,(ROW()-ROW(MSPTasks[[#Headers],[ID]])))="",TRUE()),"",INDEX(tsk_FcStart,(ROW()-ROW(MSPTasks[[#Headers],[ID]]))))</f>
        <v/>
      </c>
      <c r="H152" s="137" t="str">
        <f aca="false">IF(IFERROR(INDEX(tsk_Name,(ROW()-ROW(MSPTasks[[#Headers],[ID]])))="",TRUE()),"",INDEX(tsk_FcFinish,(ROW()-ROW(MSPTasks[[#Headers],[ID]]))))</f>
        <v/>
      </c>
      <c r="I152" s="24" t="str">
        <f aca="false">IF(IFERROR(INDEX(tsk_Name,(ROW()-ROW(MSPTasks[[#Headers],[ID]])))="",TRUE()),"",IF(INDEX(tsk_IsSummary,(ROW()-ROW(MSPTasks[[#Headers],[ID]]))),"",INDEX(tsk_Predecessors,(ROW()-ROW(MSPTasks[[#Headers],[ID]])))))</f>
        <v/>
      </c>
      <c r="J152" s="24" t="str">
        <f aca="false">IF(IFERROR(INDEX(tsk_Name,(ROW()-ROW(MSPTasks[[#Headers],[ID]])))="",TRUE()),"",IF(INDEX(tsk_IsSummary,(ROW()-ROW(MSPTasks[[#Headers],[ID]]))),"",INDEX(tsk_UIDPredecessors,(ROW()-ROW(MSPTasks[[#Headers],[ID]])))))</f>
        <v/>
      </c>
      <c r="K152" s="24" t="str">
        <f aca="false">IF(IFERROR(INDEX(tsk_Name,(ROW()-ROW(MSPTasks[[#Headers],[ID]])))="",TRUE()),"",INDEX(tsk_ResourceNames,(ROW()-ROW(MSPTasks[[#Headers],[ID]])))&amp;"")</f>
        <v/>
      </c>
      <c r="L152" s="24" t="str">
        <f aca="false">IF(IFERROR(INDEX(tsk_Name,(ROW()-ROW(MSPTasks[[#Headers],[ID]])))="",TRUE()),"",IF(INDEX(tsk_IsSummary,(ROW()-ROW(MSPTasks[[#Headers],[ID]]))),"",ROUND(INDEX(tsk_Progress,(ROW()-ROW(MSPTasks[[#Headers],[ID]])))*100,0)))</f>
        <v/>
      </c>
      <c r="M152" s="137" t="str">
        <f aca="false">IF(IFERROR(INDEX(tsk_Name,(ROW()-ROW(MSPTasks[[#Headers],[ID]])))="",TRUE()),"",IF(N(INDEX(tsk_ActStart,(ROW()-ROW(MSPTasks[[#Headers],[ID]]))))=0,"",INDEX(tsk_ActStart,(ROW()-ROW(MSPTasks[[#Headers],[ID]])))))</f>
        <v/>
      </c>
      <c r="N152" s="137" t="str">
        <f aca="false">IF(IFERROR(INDEX(tsk_Name,(ROW()-ROW(MSPTasks[[#Headers],[ID]])))="",TRUE()),"",IF(N(INDEX(tsk_ActFinish,(ROW()-ROW(MSPTasks[[#Headers],[ID]]))))=0,"",INDEX(tsk_ActFinish,(ROW()-ROW(MSPTasks[[#Headers],[ID]])))))</f>
        <v/>
      </c>
      <c r="O152" s="137" t="str">
        <f aca="false">IF(IFERROR(INDEX(tsk_Name,(ROW()-ROW(MSPTasks[[#Headers],[ID]])))="",TRUE()),"",INDEX(tsk_PlanStart,(ROW()-ROW(MSPTasks[[#Headers],[ID]]))))</f>
        <v/>
      </c>
      <c r="P152" s="137" t="str">
        <f aca="false">IF(IFERROR(INDEX(tsk_Name,(ROW()-ROW(MSPTasks[[#Headers],[ID]])))="",TRUE()),"",INDEX(tsk_PlanFinish,(ROW()-ROW(MSPTasks[[#Headers],[ID]]))))</f>
        <v/>
      </c>
      <c r="Q152" s="24" t="str">
        <f aca="false">IF(IFERROR(INDEX(tsk_Name,(ROW()-ROW(MSPTasks[[#Headers],[ID]])))="",TRUE()),"",IF(INDEX(tsk_BaseDuration,(ROW()-ROW(MSPTasks[[#Headers],[ID]])))="","",N(INDEX(tsk_BaseDuration,(ROW()-ROW(MSPTasks[[#Headers],[ID]]))))&amp;"d"))</f>
        <v/>
      </c>
      <c r="R152" s="24" t="str">
        <f aca="false">IF(IFERROR(INDEX(tsk_Name,(ROW()-ROW(MSPTasks[[#Headers],[ID]])))="",TRUE()),"",IF(INDEX(tsk_BaseWork,(ROW()-ROW(MSPTasks[[#Headers],[ID]])))="","",N(INDEX(tsk_BaseWork,(ROW()-ROW(MSPTasks[[#Headers],[ID]]))))&amp;"h"))</f>
        <v/>
      </c>
      <c r="S152" s="24" t="str">
        <f aca="false">IF(IFERROR(INDEX(tsk_Name,(ROW()-ROW(MSPTasks[[#Headers],[ID]])))="",TRUE()),"",IF(INDEX(tsk_BaseCost,(ROW()-ROW(MSPTasks[[#Headers],[ID]])))="","",N(INDEX(tsk_BaseCost,(ROW()-ROW(MSPTasks[[#Headers],[ID]]))))))</f>
        <v/>
      </c>
      <c r="T152" s="24" t="str">
        <f aca="false">IF(IFERROR(INDEX(tsk_Name,(ROW()-ROW(MSPTasks[[#Headers],[ID]])))="",TRUE()),"",IF(INDEX(tsk_IsSummary,(ROW()-ROW(MSPTasks[[#Headers],[ID]]))),"",IF(N(INDEX(tsk_ActCostInput,(ROW()-ROW(MSPTasks[[#Headers],[ID]]))))=0,"",INDEX(tsk_ActCostInput,(ROW()-ROW(MSPTasks[[#Headers],[ID]]))))))</f>
        <v/>
      </c>
      <c r="U15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2" s="137" t="str">
        <f aca="false">IF(IFERROR(INDEX(tsk_Name,(ROW()-ROW(MSPTasks[[#Headers],[ID]])))="",TRUE()),"",IF(OR(INDEX(tsk_IsSummary,(ROW()-ROW(MSPTasks[[#Headers],[ID]]))),INDEX(tsk_Mode,(ROW()-ROW(MSPTasks[[#Headers],[ID]])))="Manual"),"",IF(N(INDEX(tsk_ConstraintCode,(ROW()-ROW(MSPTasks[[#Headers],[ID]]))))&lt;2,"",INDEX(tsk_Constraint,(ROW()-ROW(MSPTasks[[#Headers],[ID]]))))))</f>
        <v/>
      </c>
      <c r="W152" s="137" t="str">
        <f aca="false">IF(IFERROR(INDEX(tsk_Name,(ROW()-ROW(MSPTasks[[#Headers],[ID]])))="",TRUE()),"",IF(N(INDEX(tsk_Deadline,(ROW()-ROW(MSPTasks[[#Headers],[ID]]))))=0,"",INDEX(tsk_Deadline,(ROW()-ROW(MSPTasks[[#Headers],[ID]])))))</f>
        <v/>
      </c>
      <c r="X152" s="24" t="str">
        <f aca="false">IF(IFERROR(INDEX(tsk_Name,(ROW()-ROW(MSPTasks[[#Headers],[ID]])))="",TRUE()),"",IF(INDEX(tsk_IsSummary,(ROW()-ROW(MSPTasks[[#Headers],[ID]]))),"",INDEX(tsk_Sprint,(ROW()-ROW(MSPTasks[[#Headers],[ID]])))&amp;""))</f>
        <v/>
      </c>
      <c r="Y152" s="24" t="str">
        <f aca="false">IF(IFERROR(INDEX(tsk_Name,(ROW()-ROW(MSPTasks[[#Headers],[ID]])))="",TRUE()),"",IF(INDEX(tsk_IsSummary,(ROW()-ROW(MSPTasks[[#Headers],[ID]]))),"",IF(N(INDEX(tsk_StoryPoints,(ROW()-ROW(MSPTasks[[#Headers],[ID]]))))=0,"",INDEX(tsk_StoryPoints,(ROW()-ROW(MSPTasks[[#Headers],[ID]]))))))</f>
        <v/>
      </c>
      <c r="Z152" s="24" t="str">
        <f aca="false">IF(IFERROR(INDEX(tsk_Name,(ROW()-ROW(MSPTasks[[#Headers],[ID]])))="",TRUE()),"",INDEX(tsk_Notes,(ROW()-ROW(MSPTasks[[#Headers],[ID]])))&amp;"")</f>
        <v/>
      </c>
    </row>
    <row r="153" customFormat="false" ht="15" hidden="false" customHeight="false" outlineLevel="0" collapsed="false">
      <c r="A153" s="24" t="str">
        <f aca="false">IF(IFERROR(INDEX(tsk_Name,(ROW()-ROW(MSPTasks[[#Headers],[ID]])))="",TRUE()),"",INDEX(tsk_ID,(ROW()-ROW(MSPTasks[[#Headers],[ID]]))))</f>
        <v/>
      </c>
      <c r="B153" s="24" t="str">
        <f aca="false">IF(IFERROR(INDEX(tsk_Name,(ROW()-ROW(MSPTasks[[#Headers],[ID]])))="",TRUE()),"",INDEX(tsk_UID,(ROW()-ROW(MSPTasks[[#Headers],[ID]]))))</f>
        <v/>
      </c>
      <c r="C153" s="24" t="str">
        <f aca="false">IF(IFERROR(INDEX(tsk_Name,(ROW()-ROW(MSPTasks[[#Headers],[ID]])))="",TRUE()),"",INDEX(tsk_Name,(ROW()-ROW(MSPTasks[[#Headers],[ID]]))))</f>
        <v/>
      </c>
      <c r="D153" s="24" t="str">
        <f aca="false">IF(IFERROR(INDEX(tsk_Name,(ROW()-ROW(MSPTasks[[#Headers],[ID]])))="",TRUE()),"",INDEX(tsk_Level,(ROW()-ROW(MSPTasks[[#Headers],[ID]]))))</f>
        <v/>
      </c>
      <c r="E153" s="24" t="str">
        <f aca="false">IF(IFERROR(INDEX(tsk_Name,(ROW()-ROW(MSPTasks[[#Headers],[ID]])))="",TRUE()),"",IF(INDEX(tsk_Mode,(ROW()-ROW(MSPTasks[[#Headers],[ID]])))="Manual","Manually Scheduled","Auto Scheduled"))</f>
        <v/>
      </c>
      <c r="F153" s="24" t="str">
        <f aca="false">IF(IFERROR(INDEX(tsk_Name,(ROW()-ROW(MSPTasks[[#Headers],[ID]])))="",TRUE()),"",IF(INDEX(tsk_IsSummary,(ROW()-ROW(MSPTasks[[#Headers],[ID]]))),"",N(INDEX(tsk_Duration,(ROW()-ROW(MSPTasks[[#Headers],[ID]]))))&amp;"d"))</f>
        <v/>
      </c>
      <c r="G153" s="137" t="str">
        <f aca="false">IF(IFERROR(INDEX(tsk_Name,(ROW()-ROW(MSPTasks[[#Headers],[ID]])))="",TRUE()),"",INDEX(tsk_FcStart,(ROW()-ROW(MSPTasks[[#Headers],[ID]]))))</f>
        <v/>
      </c>
      <c r="H153" s="137" t="str">
        <f aca="false">IF(IFERROR(INDEX(tsk_Name,(ROW()-ROW(MSPTasks[[#Headers],[ID]])))="",TRUE()),"",INDEX(tsk_FcFinish,(ROW()-ROW(MSPTasks[[#Headers],[ID]]))))</f>
        <v/>
      </c>
      <c r="I153" s="24" t="str">
        <f aca="false">IF(IFERROR(INDEX(tsk_Name,(ROW()-ROW(MSPTasks[[#Headers],[ID]])))="",TRUE()),"",IF(INDEX(tsk_IsSummary,(ROW()-ROW(MSPTasks[[#Headers],[ID]]))),"",INDEX(tsk_Predecessors,(ROW()-ROW(MSPTasks[[#Headers],[ID]])))))</f>
        <v/>
      </c>
      <c r="J153" s="24" t="str">
        <f aca="false">IF(IFERROR(INDEX(tsk_Name,(ROW()-ROW(MSPTasks[[#Headers],[ID]])))="",TRUE()),"",IF(INDEX(tsk_IsSummary,(ROW()-ROW(MSPTasks[[#Headers],[ID]]))),"",INDEX(tsk_UIDPredecessors,(ROW()-ROW(MSPTasks[[#Headers],[ID]])))))</f>
        <v/>
      </c>
      <c r="K153" s="24" t="str">
        <f aca="false">IF(IFERROR(INDEX(tsk_Name,(ROW()-ROW(MSPTasks[[#Headers],[ID]])))="",TRUE()),"",INDEX(tsk_ResourceNames,(ROW()-ROW(MSPTasks[[#Headers],[ID]])))&amp;"")</f>
        <v/>
      </c>
      <c r="L153" s="24" t="str">
        <f aca="false">IF(IFERROR(INDEX(tsk_Name,(ROW()-ROW(MSPTasks[[#Headers],[ID]])))="",TRUE()),"",IF(INDEX(tsk_IsSummary,(ROW()-ROW(MSPTasks[[#Headers],[ID]]))),"",ROUND(INDEX(tsk_Progress,(ROW()-ROW(MSPTasks[[#Headers],[ID]])))*100,0)))</f>
        <v/>
      </c>
      <c r="M153" s="137" t="str">
        <f aca="false">IF(IFERROR(INDEX(tsk_Name,(ROW()-ROW(MSPTasks[[#Headers],[ID]])))="",TRUE()),"",IF(N(INDEX(tsk_ActStart,(ROW()-ROW(MSPTasks[[#Headers],[ID]]))))=0,"",INDEX(tsk_ActStart,(ROW()-ROW(MSPTasks[[#Headers],[ID]])))))</f>
        <v/>
      </c>
      <c r="N153" s="137" t="str">
        <f aca="false">IF(IFERROR(INDEX(tsk_Name,(ROW()-ROW(MSPTasks[[#Headers],[ID]])))="",TRUE()),"",IF(N(INDEX(tsk_ActFinish,(ROW()-ROW(MSPTasks[[#Headers],[ID]]))))=0,"",INDEX(tsk_ActFinish,(ROW()-ROW(MSPTasks[[#Headers],[ID]])))))</f>
        <v/>
      </c>
      <c r="O153" s="137" t="str">
        <f aca="false">IF(IFERROR(INDEX(tsk_Name,(ROW()-ROW(MSPTasks[[#Headers],[ID]])))="",TRUE()),"",INDEX(tsk_PlanStart,(ROW()-ROW(MSPTasks[[#Headers],[ID]]))))</f>
        <v/>
      </c>
      <c r="P153" s="137" t="str">
        <f aca="false">IF(IFERROR(INDEX(tsk_Name,(ROW()-ROW(MSPTasks[[#Headers],[ID]])))="",TRUE()),"",INDEX(tsk_PlanFinish,(ROW()-ROW(MSPTasks[[#Headers],[ID]]))))</f>
        <v/>
      </c>
      <c r="Q153" s="24" t="str">
        <f aca="false">IF(IFERROR(INDEX(tsk_Name,(ROW()-ROW(MSPTasks[[#Headers],[ID]])))="",TRUE()),"",IF(INDEX(tsk_BaseDuration,(ROW()-ROW(MSPTasks[[#Headers],[ID]])))="","",N(INDEX(tsk_BaseDuration,(ROW()-ROW(MSPTasks[[#Headers],[ID]]))))&amp;"d"))</f>
        <v/>
      </c>
      <c r="R153" s="24" t="str">
        <f aca="false">IF(IFERROR(INDEX(tsk_Name,(ROW()-ROW(MSPTasks[[#Headers],[ID]])))="",TRUE()),"",IF(INDEX(tsk_BaseWork,(ROW()-ROW(MSPTasks[[#Headers],[ID]])))="","",N(INDEX(tsk_BaseWork,(ROW()-ROW(MSPTasks[[#Headers],[ID]]))))&amp;"h"))</f>
        <v/>
      </c>
      <c r="S153" s="24" t="str">
        <f aca="false">IF(IFERROR(INDEX(tsk_Name,(ROW()-ROW(MSPTasks[[#Headers],[ID]])))="",TRUE()),"",IF(INDEX(tsk_BaseCost,(ROW()-ROW(MSPTasks[[#Headers],[ID]])))="","",N(INDEX(tsk_BaseCost,(ROW()-ROW(MSPTasks[[#Headers],[ID]]))))))</f>
        <v/>
      </c>
      <c r="T153" s="24" t="str">
        <f aca="false">IF(IFERROR(INDEX(tsk_Name,(ROW()-ROW(MSPTasks[[#Headers],[ID]])))="",TRUE()),"",IF(INDEX(tsk_IsSummary,(ROW()-ROW(MSPTasks[[#Headers],[ID]]))),"",IF(N(INDEX(tsk_ActCostInput,(ROW()-ROW(MSPTasks[[#Headers],[ID]]))))=0,"",INDEX(tsk_ActCostInput,(ROW()-ROW(MSPTasks[[#Headers],[ID]]))))))</f>
        <v/>
      </c>
      <c r="U15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3" s="137" t="str">
        <f aca="false">IF(IFERROR(INDEX(tsk_Name,(ROW()-ROW(MSPTasks[[#Headers],[ID]])))="",TRUE()),"",IF(OR(INDEX(tsk_IsSummary,(ROW()-ROW(MSPTasks[[#Headers],[ID]]))),INDEX(tsk_Mode,(ROW()-ROW(MSPTasks[[#Headers],[ID]])))="Manual"),"",IF(N(INDEX(tsk_ConstraintCode,(ROW()-ROW(MSPTasks[[#Headers],[ID]]))))&lt;2,"",INDEX(tsk_Constraint,(ROW()-ROW(MSPTasks[[#Headers],[ID]]))))))</f>
        <v/>
      </c>
      <c r="W153" s="137" t="str">
        <f aca="false">IF(IFERROR(INDEX(tsk_Name,(ROW()-ROW(MSPTasks[[#Headers],[ID]])))="",TRUE()),"",IF(N(INDEX(tsk_Deadline,(ROW()-ROW(MSPTasks[[#Headers],[ID]]))))=0,"",INDEX(tsk_Deadline,(ROW()-ROW(MSPTasks[[#Headers],[ID]])))))</f>
        <v/>
      </c>
      <c r="X153" s="24" t="str">
        <f aca="false">IF(IFERROR(INDEX(tsk_Name,(ROW()-ROW(MSPTasks[[#Headers],[ID]])))="",TRUE()),"",IF(INDEX(tsk_IsSummary,(ROW()-ROW(MSPTasks[[#Headers],[ID]]))),"",INDEX(tsk_Sprint,(ROW()-ROW(MSPTasks[[#Headers],[ID]])))&amp;""))</f>
        <v/>
      </c>
      <c r="Y153" s="24" t="str">
        <f aca="false">IF(IFERROR(INDEX(tsk_Name,(ROW()-ROW(MSPTasks[[#Headers],[ID]])))="",TRUE()),"",IF(INDEX(tsk_IsSummary,(ROW()-ROW(MSPTasks[[#Headers],[ID]]))),"",IF(N(INDEX(tsk_StoryPoints,(ROW()-ROW(MSPTasks[[#Headers],[ID]]))))=0,"",INDEX(tsk_StoryPoints,(ROW()-ROW(MSPTasks[[#Headers],[ID]]))))))</f>
        <v/>
      </c>
      <c r="Z153" s="24" t="str">
        <f aca="false">IF(IFERROR(INDEX(tsk_Name,(ROW()-ROW(MSPTasks[[#Headers],[ID]])))="",TRUE()),"",INDEX(tsk_Notes,(ROW()-ROW(MSPTasks[[#Headers],[ID]])))&amp;"")</f>
        <v/>
      </c>
    </row>
    <row r="154" customFormat="false" ht="15" hidden="false" customHeight="false" outlineLevel="0" collapsed="false">
      <c r="A154" s="24" t="str">
        <f aca="false">IF(IFERROR(INDEX(tsk_Name,(ROW()-ROW(MSPTasks[[#Headers],[ID]])))="",TRUE()),"",INDEX(tsk_ID,(ROW()-ROW(MSPTasks[[#Headers],[ID]]))))</f>
        <v/>
      </c>
      <c r="B154" s="24" t="str">
        <f aca="false">IF(IFERROR(INDEX(tsk_Name,(ROW()-ROW(MSPTasks[[#Headers],[ID]])))="",TRUE()),"",INDEX(tsk_UID,(ROW()-ROW(MSPTasks[[#Headers],[ID]]))))</f>
        <v/>
      </c>
      <c r="C154" s="24" t="str">
        <f aca="false">IF(IFERROR(INDEX(tsk_Name,(ROW()-ROW(MSPTasks[[#Headers],[ID]])))="",TRUE()),"",INDEX(tsk_Name,(ROW()-ROW(MSPTasks[[#Headers],[ID]]))))</f>
        <v/>
      </c>
      <c r="D154" s="24" t="str">
        <f aca="false">IF(IFERROR(INDEX(tsk_Name,(ROW()-ROW(MSPTasks[[#Headers],[ID]])))="",TRUE()),"",INDEX(tsk_Level,(ROW()-ROW(MSPTasks[[#Headers],[ID]]))))</f>
        <v/>
      </c>
      <c r="E154" s="24" t="str">
        <f aca="false">IF(IFERROR(INDEX(tsk_Name,(ROW()-ROW(MSPTasks[[#Headers],[ID]])))="",TRUE()),"",IF(INDEX(tsk_Mode,(ROW()-ROW(MSPTasks[[#Headers],[ID]])))="Manual","Manually Scheduled","Auto Scheduled"))</f>
        <v/>
      </c>
      <c r="F154" s="24" t="str">
        <f aca="false">IF(IFERROR(INDEX(tsk_Name,(ROW()-ROW(MSPTasks[[#Headers],[ID]])))="",TRUE()),"",IF(INDEX(tsk_IsSummary,(ROW()-ROW(MSPTasks[[#Headers],[ID]]))),"",N(INDEX(tsk_Duration,(ROW()-ROW(MSPTasks[[#Headers],[ID]]))))&amp;"d"))</f>
        <v/>
      </c>
      <c r="G154" s="137" t="str">
        <f aca="false">IF(IFERROR(INDEX(tsk_Name,(ROW()-ROW(MSPTasks[[#Headers],[ID]])))="",TRUE()),"",INDEX(tsk_FcStart,(ROW()-ROW(MSPTasks[[#Headers],[ID]]))))</f>
        <v/>
      </c>
      <c r="H154" s="137" t="str">
        <f aca="false">IF(IFERROR(INDEX(tsk_Name,(ROW()-ROW(MSPTasks[[#Headers],[ID]])))="",TRUE()),"",INDEX(tsk_FcFinish,(ROW()-ROW(MSPTasks[[#Headers],[ID]]))))</f>
        <v/>
      </c>
      <c r="I154" s="24" t="str">
        <f aca="false">IF(IFERROR(INDEX(tsk_Name,(ROW()-ROW(MSPTasks[[#Headers],[ID]])))="",TRUE()),"",IF(INDEX(tsk_IsSummary,(ROW()-ROW(MSPTasks[[#Headers],[ID]]))),"",INDEX(tsk_Predecessors,(ROW()-ROW(MSPTasks[[#Headers],[ID]])))))</f>
        <v/>
      </c>
      <c r="J154" s="24" t="str">
        <f aca="false">IF(IFERROR(INDEX(tsk_Name,(ROW()-ROW(MSPTasks[[#Headers],[ID]])))="",TRUE()),"",IF(INDEX(tsk_IsSummary,(ROW()-ROW(MSPTasks[[#Headers],[ID]]))),"",INDEX(tsk_UIDPredecessors,(ROW()-ROW(MSPTasks[[#Headers],[ID]])))))</f>
        <v/>
      </c>
      <c r="K154" s="24" t="str">
        <f aca="false">IF(IFERROR(INDEX(tsk_Name,(ROW()-ROW(MSPTasks[[#Headers],[ID]])))="",TRUE()),"",INDEX(tsk_ResourceNames,(ROW()-ROW(MSPTasks[[#Headers],[ID]])))&amp;"")</f>
        <v/>
      </c>
      <c r="L154" s="24" t="str">
        <f aca="false">IF(IFERROR(INDEX(tsk_Name,(ROW()-ROW(MSPTasks[[#Headers],[ID]])))="",TRUE()),"",IF(INDEX(tsk_IsSummary,(ROW()-ROW(MSPTasks[[#Headers],[ID]]))),"",ROUND(INDEX(tsk_Progress,(ROW()-ROW(MSPTasks[[#Headers],[ID]])))*100,0)))</f>
        <v/>
      </c>
      <c r="M154" s="137" t="str">
        <f aca="false">IF(IFERROR(INDEX(tsk_Name,(ROW()-ROW(MSPTasks[[#Headers],[ID]])))="",TRUE()),"",IF(N(INDEX(tsk_ActStart,(ROW()-ROW(MSPTasks[[#Headers],[ID]]))))=0,"",INDEX(tsk_ActStart,(ROW()-ROW(MSPTasks[[#Headers],[ID]])))))</f>
        <v/>
      </c>
      <c r="N154" s="137" t="str">
        <f aca="false">IF(IFERROR(INDEX(tsk_Name,(ROW()-ROW(MSPTasks[[#Headers],[ID]])))="",TRUE()),"",IF(N(INDEX(tsk_ActFinish,(ROW()-ROW(MSPTasks[[#Headers],[ID]]))))=0,"",INDEX(tsk_ActFinish,(ROW()-ROW(MSPTasks[[#Headers],[ID]])))))</f>
        <v/>
      </c>
      <c r="O154" s="137" t="str">
        <f aca="false">IF(IFERROR(INDEX(tsk_Name,(ROW()-ROW(MSPTasks[[#Headers],[ID]])))="",TRUE()),"",INDEX(tsk_PlanStart,(ROW()-ROW(MSPTasks[[#Headers],[ID]]))))</f>
        <v/>
      </c>
      <c r="P154" s="137" t="str">
        <f aca="false">IF(IFERROR(INDEX(tsk_Name,(ROW()-ROW(MSPTasks[[#Headers],[ID]])))="",TRUE()),"",INDEX(tsk_PlanFinish,(ROW()-ROW(MSPTasks[[#Headers],[ID]]))))</f>
        <v/>
      </c>
      <c r="Q154" s="24" t="str">
        <f aca="false">IF(IFERROR(INDEX(tsk_Name,(ROW()-ROW(MSPTasks[[#Headers],[ID]])))="",TRUE()),"",IF(INDEX(tsk_BaseDuration,(ROW()-ROW(MSPTasks[[#Headers],[ID]])))="","",N(INDEX(tsk_BaseDuration,(ROW()-ROW(MSPTasks[[#Headers],[ID]]))))&amp;"d"))</f>
        <v/>
      </c>
      <c r="R154" s="24" t="str">
        <f aca="false">IF(IFERROR(INDEX(tsk_Name,(ROW()-ROW(MSPTasks[[#Headers],[ID]])))="",TRUE()),"",IF(INDEX(tsk_BaseWork,(ROW()-ROW(MSPTasks[[#Headers],[ID]])))="","",N(INDEX(tsk_BaseWork,(ROW()-ROW(MSPTasks[[#Headers],[ID]]))))&amp;"h"))</f>
        <v/>
      </c>
      <c r="S154" s="24" t="str">
        <f aca="false">IF(IFERROR(INDEX(tsk_Name,(ROW()-ROW(MSPTasks[[#Headers],[ID]])))="",TRUE()),"",IF(INDEX(tsk_BaseCost,(ROW()-ROW(MSPTasks[[#Headers],[ID]])))="","",N(INDEX(tsk_BaseCost,(ROW()-ROW(MSPTasks[[#Headers],[ID]]))))))</f>
        <v/>
      </c>
      <c r="T154" s="24" t="str">
        <f aca="false">IF(IFERROR(INDEX(tsk_Name,(ROW()-ROW(MSPTasks[[#Headers],[ID]])))="",TRUE()),"",IF(INDEX(tsk_IsSummary,(ROW()-ROW(MSPTasks[[#Headers],[ID]]))),"",IF(N(INDEX(tsk_ActCostInput,(ROW()-ROW(MSPTasks[[#Headers],[ID]]))))=0,"",INDEX(tsk_ActCostInput,(ROW()-ROW(MSPTasks[[#Headers],[ID]]))))))</f>
        <v/>
      </c>
      <c r="U15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4" s="137" t="str">
        <f aca="false">IF(IFERROR(INDEX(tsk_Name,(ROW()-ROW(MSPTasks[[#Headers],[ID]])))="",TRUE()),"",IF(OR(INDEX(tsk_IsSummary,(ROW()-ROW(MSPTasks[[#Headers],[ID]]))),INDEX(tsk_Mode,(ROW()-ROW(MSPTasks[[#Headers],[ID]])))="Manual"),"",IF(N(INDEX(tsk_ConstraintCode,(ROW()-ROW(MSPTasks[[#Headers],[ID]]))))&lt;2,"",INDEX(tsk_Constraint,(ROW()-ROW(MSPTasks[[#Headers],[ID]]))))))</f>
        <v/>
      </c>
      <c r="W154" s="137" t="str">
        <f aca="false">IF(IFERROR(INDEX(tsk_Name,(ROW()-ROW(MSPTasks[[#Headers],[ID]])))="",TRUE()),"",IF(N(INDEX(tsk_Deadline,(ROW()-ROW(MSPTasks[[#Headers],[ID]]))))=0,"",INDEX(tsk_Deadline,(ROW()-ROW(MSPTasks[[#Headers],[ID]])))))</f>
        <v/>
      </c>
      <c r="X154" s="24" t="str">
        <f aca="false">IF(IFERROR(INDEX(tsk_Name,(ROW()-ROW(MSPTasks[[#Headers],[ID]])))="",TRUE()),"",IF(INDEX(tsk_IsSummary,(ROW()-ROW(MSPTasks[[#Headers],[ID]]))),"",INDEX(tsk_Sprint,(ROW()-ROW(MSPTasks[[#Headers],[ID]])))&amp;""))</f>
        <v/>
      </c>
      <c r="Y154" s="24" t="str">
        <f aca="false">IF(IFERROR(INDEX(tsk_Name,(ROW()-ROW(MSPTasks[[#Headers],[ID]])))="",TRUE()),"",IF(INDEX(tsk_IsSummary,(ROW()-ROW(MSPTasks[[#Headers],[ID]]))),"",IF(N(INDEX(tsk_StoryPoints,(ROW()-ROW(MSPTasks[[#Headers],[ID]]))))=0,"",INDEX(tsk_StoryPoints,(ROW()-ROW(MSPTasks[[#Headers],[ID]]))))))</f>
        <v/>
      </c>
      <c r="Z154" s="24" t="str">
        <f aca="false">IF(IFERROR(INDEX(tsk_Name,(ROW()-ROW(MSPTasks[[#Headers],[ID]])))="",TRUE()),"",INDEX(tsk_Notes,(ROW()-ROW(MSPTasks[[#Headers],[ID]])))&amp;"")</f>
        <v/>
      </c>
    </row>
    <row r="155" customFormat="false" ht="15" hidden="false" customHeight="false" outlineLevel="0" collapsed="false">
      <c r="A155" s="24" t="str">
        <f aca="false">IF(IFERROR(INDEX(tsk_Name,(ROW()-ROW(MSPTasks[[#Headers],[ID]])))="",TRUE()),"",INDEX(tsk_ID,(ROW()-ROW(MSPTasks[[#Headers],[ID]]))))</f>
        <v/>
      </c>
      <c r="B155" s="24" t="str">
        <f aca="false">IF(IFERROR(INDEX(tsk_Name,(ROW()-ROW(MSPTasks[[#Headers],[ID]])))="",TRUE()),"",INDEX(tsk_UID,(ROW()-ROW(MSPTasks[[#Headers],[ID]]))))</f>
        <v/>
      </c>
      <c r="C155" s="24" t="str">
        <f aca="false">IF(IFERROR(INDEX(tsk_Name,(ROW()-ROW(MSPTasks[[#Headers],[ID]])))="",TRUE()),"",INDEX(tsk_Name,(ROW()-ROW(MSPTasks[[#Headers],[ID]]))))</f>
        <v/>
      </c>
      <c r="D155" s="24" t="str">
        <f aca="false">IF(IFERROR(INDEX(tsk_Name,(ROW()-ROW(MSPTasks[[#Headers],[ID]])))="",TRUE()),"",INDEX(tsk_Level,(ROW()-ROW(MSPTasks[[#Headers],[ID]]))))</f>
        <v/>
      </c>
      <c r="E155" s="24" t="str">
        <f aca="false">IF(IFERROR(INDEX(tsk_Name,(ROW()-ROW(MSPTasks[[#Headers],[ID]])))="",TRUE()),"",IF(INDEX(tsk_Mode,(ROW()-ROW(MSPTasks[[#Headers],[ID]])))="Manual","Manually Scheduled","Auto Scheduled"))</f>
        <v/>
      </c>
      <c r="F155" s="24" t="str">
        <f aca="false">IF(IFERROR(INDEX(tsk_Name,(ROW()-ROW(MSPTasks[[#Headers],[ID]])))="",TRUE()),"",IF(INDEX(tsk_IsSummary,(ROW()-ROW(MSPTasks[[#Headers],[ID]]))),"",N(INDEX(tsk_Duration,(ROW()-ROW(MSPTasks[[#Headers],[ID]]))))&amp;"d"))</f>
        <v/>
      </c>
      <c r="G155" s="137" t="str">
        <f aca="false">IF(IFERROR(INDEX(tsk_Name,(ROW()-ROW(MSPTasks[[#Headers],[ID]])))="",TRUE()),"",INDEX(tsk_FcStart,(ROW()-ROW(MSPTasks[[#Headers],[ID]]))))</f>
        <v/>
      </c>
      <c r="H155" s="137" t="str">
        <f aca="false">IF(IFERROR(INDEX(tsk_Name,(ROW()-ROW(MSPTasks[[#Headers],[ID]])))="",TRUE()),"",INDEX(tsk_FcFinish,(ROW()-ROW(MSPTasks[[#Headers],[ID]]))))</f>
        <v/>
      </c>
      <c r="I155" s="24" t="str">
        <f aca="false">IF(IFERROR(INDEX(tsk_Name,(ROW()-ROW(MSPTasks[[#Headers],[ID]])))="",TRUE()),"",IF(INDEX(tsk_IsSummary,(ROW()-ROW(MSPTasks[[#Headers],[ID]]))),"",INDEX(tsk_Predecessors,(ROW()-ROW(MSPTasks[[#Headers],[ID]])))))</f>
        <v/>
      </c>
      <c r="J155" s="24" t="str">
        <f aca="false">IF(IFERROR(INDEX(tsk_Name,(ROW()-ROW(MSPTasks[[#Headers],[ID]])))="",TRUE()),"",IF(INDEX(tsk_IsSummary,(ROW()-ROW(MSPTasks[[#Headers],[ID]]))),"",INDEX(tsk_UIDPredecessors,(ROW()-ROW(MSPTasks[[#Headers],[ID]])))))</f>
        <v/>
      </c>
      <c r="K155" s="24" t="str">
        <f aca="false">IF(IFERROR(INDEX(tsk_Name,(ROW()-ROW(MSPTasks[[#Headers],[ID]])))="",TRUE()),"",INDEX(tsk_ResourceNames,(ROW()-ROW(MSPTasks[[#Headers],[ID]])))&amp;"")</f>
        <v/>
      </c>
      <c r="L155" s="24" t="str">
        <f aca="false">IF(IFERROR(INDEX(tsk_Name,(ROW()-ROW(MSPTasks[[#Headers],[ID]])))="",TRUE()),"",IF(INDEX(tsk_IsSummary,(ROW()-ROW(MSPTasks[[#Headers],[ID]]))),"",ROUND(INDEX(tsk_Progress,(ROW()-ROW(MSPTasks[[#Headers],[ID]])))*100,0)))</f>
        <v/>
      </c>
      <c r="M155" s="137" t="str">
        <f aca="false">IF(IFERROR(INDEX(tsk_Name,(ROW()-ROW(MSPTasks[[#Headers],[ID]])))="",TRUE()),"",IF(N(INDEX(tsk_ActStart,(ROW()-ROW(MSPTasks[[#Headers],[ID]]))))=0,"",INDEX(tsk_ActStart,(ROW()-ROW(MSPTasks[[#Headers],[ID]])))))</f>
        <v/>
      </c>
      <c r="N155" s="137" t="str">
        <f aca="false">IF(IFERROR(INDEX(tsk_Name,(ROW()-ROW(MSPTasks[[#Headers],[ID]])))="",TRUE()),"",IF(N(INDEX(tsk_ActFinish,(ROW()-ROW(MSPTasks[[#Headers],[ID]]))))=0,"",INDEX(tsk_ActFinish,(ROW()-ROW(MSPTasks[[#Headers],[ID]])))))</f>
        <v/>
      </c>
      <c r="O155" s="137" t="str">
        <f aca="false">IF(IFERROR(INDEX(tsk_Name,(ROW()-ROW(MSPTasks[[#Headers],[ID]])))="",TRUE()),"",INDEX(tsk_PlanStart,(ROW()-ROW(MSPTasks[[#Headers],[ID]]))))</f>
        <v/>
      </c>
      <c r="P155" s="137" t="str">
        <f aca="false">IF(IFERROR(INDEX(tsk_Name,(ROW()-ROW(MSPTasks[[#Headers],[ID]])))="",TRUE()),"",INDEX(tsk_PlanFinish,(ROW()-ROW(MSPTasks[[#Headers],[ID]]))))</f>
        <v/>
      </c>
      <c r="Q155" s="24" t="str">
        <f aca="false">IF(IFERROR(INDEX(tsk_Name,(ROW()-ROW(MSPTasks[[#Headers],[ID]])))="",TRUE()),"",IF(INDEX(tsk_BaseDuration,(ROW()-ROW(MSPTasks[[#Headers],[ID]])))="","",N(INDEX(tsk_BaseDuration,(ROW()-ROW(MSPTasks[[#Headers],[ID]]))))&amp;"d"))</f>
        <v/>
      </c>
      <c r="R155" s="24" t="str">
        <f aca="false">IF(IFERROR(INDEX(tsk_Name,(ROW()-ROW(MSPTasks[[#Headers],[ID]])))="",TRUE()),"",IF(INDEX(tsk_BaseWork,(ROW()-ROW(MSPTasks[[#Headers],[ID]])))="","",N(INDEX(tsk_BaseWork,(ROW()-ROW(MSPTasks[[#Headers],[ID]]))))&amp;"h"))</f>
        <v/>
      </c>
      <c r="S155" s="24" t="str">
        <f aca="false">IF(IFERROR(INDEX(tsk_Name,(ROW()-ROW(MSPTasks[[#Headers],[ID]])))="",TRUE()),"",IF(INDEX(tsk_BaseCost,(ROW()-ROW(MSPTasks[[#Headers],[ID]])))="","",N(INDEX(tsk_BaseCost,(ROW()-ROW(MSPTasks[[#Headers],[ID]]))))))</f>
        <v/>
      </c>
      <c r="T155" s="24" t="str">
        <f aca="false">IF(IFERROR(INDEX(tsk_Name,(ROW()-ROW(MSPTasks[[#Headers],[ID]])))="",TRUE()),"",IF(INDEX(tsk_IsSummary,(ROW()-ROW(MSPTasks[[#Headers],[ID]]))),"",IF(N(INDEX(tsk_ActCostInput,(ROW()-ROW(MSPTasks[[#Headers],[ID]]))))=0,"",INDEX(tsk_ActCostInput,(ROW()-ROW(MSPTasks[[#Headers],[ID]]))))))</f>
        <v/>
      </c>
      <c r="U15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5" s="137" t="str">
        <f aca="false">IF(IFERROR(INDEX(tsk_Name,(ROW()-ROW(MSPTasks[[#Headers],[ID]])))="",TRUE()),"",IF(OR(INDEX(tsk_IsSummary,(ROW()-ROW(MSPTasks[[#Headers],[ID]]))),INDEX(tsk_Mode,(ROW()-ROW(MSPTasks[[#Headers],[ID]])))="Manual"),"",IF(N(INDEX(tsk_ConstraintCode,(ROW()-ROW(MSPTasks[[#Headers],[ID]]))))&lt;2,"",INDEX(tsk_Constraint,(ROW()-ROW(MSPTasks[[#Headers],[ID]]))))))</f>
        <v/>
      </c>
      <c r="W155" s="137" t="str">
        <f aca="false">IF(IFERROR(INDEX(tsk_Name,(ROW()-ROW(MSPTasks[[#Headers],[ID]])))="",TRUE()),"",IF(N(INDEX(tsk_Deadline,(ROW()-ROW(MSPTasks[[#Headers],[ID]]))))=0,"",INDEX(tsk_Deadline,(ROW()-ROW(MSPTasks[[#Headers],[ID]])))))</f>
        <v/>
      </c>
      <c r="X155" s="24" t="str">
        <f aca="false">IF(IFERROR(INDEX(tsk_Name,(ROW()-ROW(MSPTasks[[#Headers],[ID]])))="",TRUE()),"",IF(INDEX(tsk_IsSummary,(ROW()-ROW(MSPTasks[[#Headers],[ID]]))),"",INDEX(tsk_Sprint,(ROW()-ROW(MSPTasks[[#Headers],[ID]])))&amp;""))</f>
        <v/>
      </c>
      <c r="Y155" s="24" t="str">
        <f aca="false">IF(IFERROR(INDEX(tsk_Name,(ROW()-ROW(MSPTasks[[#Headers],[ID]])))="",TRUE()),"",IF(INDEX(tsk_IsSummary,(ROW()-ROW(MSPTasks[[#Headers],[ID]]))),"",IF(N(INDEX(tsk_StoryPoints,(ROW()-ROW(MSPTasks[[#Headers],[ID]]))))=0,"",INDEX(tsk_StoryPoints,(ROW()-ROW(MSPTasks[[#Headers],[ID]]))))))</f>
        <v/>
      </c>
      <c r="Z155" s="24" t="str">
        <f aca="false">IF(IFERROR(INDEX(tsk_Name,(ROW()-ROW(MSPTasks[[#Headers],[ID]])))="",TRUE()),"",INDEX(tsk_Notes,(ROW()-ROW(MSPTasks[[#Headers],[ID]])))&amp;"")</f>
        <v/>
      </c>
    </row>
    <row r="156" customFormat="false" ht="15" hidden="false" customHeight="false" outlineLevel="0" collapsed="false">
      <c r="A156" s="24" t="str">
        <f aca="false">IF(IFERROR(INDEX(tsk_Name,(ROW()-ROW(MSPTasks[[#Headers],[ID]])))="",TRUE()),"",INDEX(tsk_ID,(ROW()-ROW(MSPTasks[[#Headers],[ID]]))))</f>
        <v/>
      </c>
      <c r="B156" s="24" t="str">
        <f aca="false">IF(IFERROR(INDEX(tsk_Name,(ROW()-ROW(MSPTasks[[#Headers],[ID]])))="",TRUE()),"",INDEX(tsk_UID,(ROW()-ROW(MSPTasks[[#Headers],[ID]]))))</f>
        <v/>
      </c>
      <c r="C156" s="24" t="str">
        <f aca="false">IF(IFERROR(INDEX(tsk_Name,(ROW()-ROW(MSPTasks[[#Headers],[ID]])))="",TRUE()),"",INDEX(tsk_Name,(ROW()-ROW(MSPTasks[[#Headers],[ID]]))))</f>
        <v/>
      </c>
      <c r="D156" s="24" t="str">
        <f aca="false">IF(IFERROR(INDEX(tsk_Name,(ROW()-ROW(MSPTasks[[#Headers],[ID]])))="",TRUE()),"",INDEX(tsk_Level,(ROW()-ROW(MSPTasks[[#Headers],[ID]]))))</f>
        <v/>
      </c>
      <c r="E156" s="24" t="str">
        <f aca="false">IF(IFERROR(INDEX(tsk_Name,(ROW()-ROW(MSPTasks[[#Headers],[ID]])))="",TRUE()),"",IF(INDEX(tsk_Mode,(ROW()-ROW(MSPTasks[[#Headers],[ID]])))="Manual","Manually Scheduled","Auto Scheduled"))</f>
        <v/>
      </c>
      <c r="F156" s="24" t="str">
        <f aca="false">IF(IFERROR(INDEX(tsk_Name,(ROW()-ROW(MSPTasks[[#Headers],[ID]])))="",TRUE()),"",IF(INDEX(tsk_IsSummary,(ROW()-ROW(MSPTasks[[#Headers],[ID]]))),"",N(INDEX(tsk_Duration,(ROW()-ROW(MSPTasks[[#Headers],[ID]]))))&amp;"d"))</f>
        <v/>
      </c>
      <c r="G156" s="137" t="str">
        <f aca="false">IF(IFERROR(INDEX(tsk_Name,(ROW()-ROW(MSPTasks[[#Headers],[ID]])))="",TRUE()),"",INDEX(tsk_FcStart,(ROW()-ROW(MSPTasks[[#Headers],[ID]]))))</f>
        <v/>
      </c>
      <c r="H156" s="137" t="str">
        <f aca="false">IF(IFERROR(INDEX(tsk_Name,(ROW()-ROW(MSPTasks[[#Headers],[ID]])))="",TRUE()),"",INDEX(tsk_FcFinish,(ROW()-ROW(MSPTasks[[#Headers],[ID]]))))</f>
        <v/>
      </c>
      <c r="I156" s="24" t="str">
        <f aca="false">IF(IFERROR(INDEX(tsk_Name,(ROW()-ROW(MSPTasks[[#Headers],[ID]])))="",TRUE()),"",IF(INDEX(tsk_IsSummary,(ROW()-ROW(MSPTasks[[#Headers],[ID]]))),"",INDEX(tsk_Predecessors,(ROW()-ROW(MSPTasks[[#Headers],[ID]])))))</f>
        <v/>
      </c>
      <c r="J156" s="24" t="str">
        <f aca="false">IF(IFERROR(INDEX(tsk_Name,(ROW()-ROW(MSPTasks[[#Headers],[ID]])))="",TRUE()),"",IF(INDEX(tsk_IsSummary,(ROW()-ROW(MSPTasks[[#Headers],[ID]]))),"",INDEX(tsk_UIDPredecessors,(ROW()-ROW(MSPTasks[[#Headers],[ID]])))))</f>
        <v/>
      </c>
      <c r="K156" s="24" t="str">
        <f aca="false">IF(IFERROR(INDEX(tsk_Name,(ROW()-ROW(MSPTasks[[#Headers],[ID]])))="",TRUE()),"",INDEX(tsk_ResourceNames,(ROW()-ROW(MSPTasks[[#Headers],[ID]])))&amp;"")</f>
        <v/>
      </c>
      <c r="L156" s="24" t="str">
        <f aca="false">IF(IFERROR(INDEX(tsk_Name,(ROW()-ROW(MSPTasks[[#Headers],[ID]])))="",TRUE()),"",IF(INDEX(tsk_IsSummary,(ROW()-ROW(MSPTasks[[#Headers],[ID]]))),"",ROUND(INDEX(tsk_Progress,(ROW()-ROW(MSPTasks[[#Headers],[ID]])))*100,0)))</f>
        <v/>
      </c>
      <c r="M156" s="137" t="str">
        <f aca="false">IF(IFERROR(INDEX(tsk_Name,(ROW()-ROW(MSPTasks[[#Headers],[ID]])))="",TRUE()),"",IF(N(INDEX(tsk_ActStart,(ROW()-ROW(MSPTasks[[#Headers],[ID]]))))=0,"",INDEX(tsk_ActStart,(ROW()-ROW(MSPTasks[[#Headers],[ID]])))))</f>
        <v/>
      </c>
      <c r="N156" s="137" t="str">
        <f aca="false">IF(IFERROR(INDEX(tsk_Name,(ROW()-ROW(MSPTasks[[#Headers],[ID]])))="",TRUE()),"",IF(N(INDEX(tsk_ActFinish,(ROW()-ROW(MSPTasks[[#Headers],[ID]]))))=0,"",INDEX(tsk_ActFinish,(ROW()-ROW(MSPTasks[[#Headers],[ID]])))))</f>
        <v/>
      </c>
      <c r="O156" s="137" t="str">
        <f aca="false">IF(IFERROR(INDEX(tsk_Name,(ROW()-ROW(MSPTasks[[#Headers],[ID]])))="",TRUE()),"",INDEX(tsk_PlanStart,(ROW()-ROW(MSPTasks[[#Headers],[ID]]))))</f>
        <v/>
      </c>
      <c r="P156" s="137" t="str">
        <f aca="false">IF(IFERROR(INDEX(tsk_Name,(ROW()-ROW(MSPTasks[[#Headers],[ID]])))="",TRUE()),"",INDEX(tsk_PlanFinish,(ROW()-ROW(MSPTasks[[#Headers],[ID]]))))</f>
        <v/>
      </c>
      <c r="Q156" s="24" t="str">
        <f aca="false">IF(IFERROR(INDEX(tsk_Name,(ROW()-ROW(MSPTasks[[#Headers],[ID]])))="",TRUE()),"",IF(INDEX(tsk_BaseDuration,(ROW()-ROW(MSPTasks[[#Headers],[ID]])))="","",N(INDEX(tsk_BaseDuration,(ROW()-ROW(MSPTasks[[#Headers],[ID]]))))&amp;"d"))</f>
        <v/>
      </c>
      <c r="R156" s="24" t="str">
        <f aca="false">IF(IFERROR(INDEX(tsk_Name,(ROW()-ROW(MSPTasks[[#Headers],[ID]])))="",TRUE()),"",IF(INDEX(tsk_BaseWork,(ROW()-ROW(MSPTasks[[#Headers],[ID]])))="","",N(INDEX(tsk_BaseWork,(ROW()-ROW(MSPTasks[[#Headers],[ID]]))))&amp;"h"))</f>
        <v/>
      </c>
      <c r="S156" s="24" t="str">
        <f aca="false">IF(IFERROR(INDEX(tsk_Name,(ROW()-ROW(MSPTasks[[#Headers],[ID]])))="",TRUE()),"",IF(INDEX(tsk_BaseCost,(ROW()-ROW(MSPTasks[[#Headers],[ID]])))="","",N(INDEX(tsk_BaseCost,(ROW()-ROW(MSPTasks[[#Headers],[ID]]))))))</f>
        <v/>
      </c>
      <c r="T156" s="24" t="str">
        <f aca="false">IF(IFERROR(INDEX(tsk_Name,(ROW()-ROW(MSPTasks[[#Headers],[ID]])))="",TRUE()),"",IF(INDEX(tsk_IsSummary,(ROW()-ROW(MSPTasks[[#Headers],[ID]]))),"",IF(N(INDEX(tsk_ActCostInput,(ROW()-ROW(MSPTasks[[#Headers],[ID]]))))=0,"",INDEX(tsk_ActCostInput,(ROW()-ROW(MSPTasks[[#Headers],[ID]]))))))</f>
        <v/>
      </c>
      <c r="U15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6" s="137" t="str">
        <f aca="false">IF(IFERROR(INDEX(tsk_Name,(ROW()-ROW(MSPTasks[[#Headers],[ID]])))="",TRUE()),"",IF(OR(INDEX(tsk_IsSummary,(ROW()-ROW(MSPTasks[[#Headers],[ID]]))),INDEX(tsk_Mode,(ROW()-ROW(MSPTasks[[#Headers],[ID]])))="Manual"),"",IF(N(INDEX(tsk_ConstraintCode,(ROW()-ROW(MSPTasks[[#Headers],[ID]]))))&lt;2,"",INDEX(tsk_Constraint,(ROW()-ROW(MSPTasks[[#Headers],[ID]]))))))</f>
        <v/>
      </c>
      <c r="W156" s="137" t="str">
        <f aca="false">IF(IFERROR(INDEX(tsk_Name,(ROW()-ROW(MSPTasks[[#Headers],[ID]])))="",TRUE()),"",IF(N(INDEX(tsk_Deadline,(ROW()-ROW(MSPTasks[[#Headers],[ID]]))))=0,"",INDEX(tsk_Deadline,(ROW()-ROW(MSPTasks[[#Headers],[ID]])))))</f>
        <v/>
      </c>
      <c r="X156" s="24" t="str">
        <f aca="false">IF(IFERROR(INDEX(tsk_Name,(ROW()-ROW(MSPTasks[[#Headers],[ID]])))="",TRUE()),"",IF(INDEX(tsk_IsSummary,(ROW()-ROW(MSPTasks[[#Headers],[ID]]))),"",INDEX(tsk_Sprint,(ROW()-ROW(MSPTasks[[#Headers],[ID]])))&amp;""))</f>
        <v/>
      </c>
      <c r="Y156" s="24" t="str">
        <f aca="false">IF(IFERROR(INDEX(tsk_Name,(ROW()-ROW(MSPTasks[[#Headers],[ID]])))="",TRUE()),"",IF(INDEX(tsk_IsSummary,(ROW()-ROW(MSPTasks[[#Headers],[ID]]))),"",IF(N(INDEX(tsk_StoryPoints,(ROW()-ROW(MSPTasks[[#Headers],[ID]]))))=0,"",INDEX(tsk_StoryPoints,(ROW()-ROW(MSPTasks[[#Headers],[ID]]))))))</f>
        <v/>
      </c>
      <c r="Z156" s="24" t="str">
        <f aca="false">IF(IFERROR(INDEX(tsk_Name,(ROW()-ROW(MSPTasks[[#Headers],[ID]])))="",TRUE()),"",INDEX(tsk_Notes,(ROW()-ROW(MSPTasks[[#Headers],[ID]])))&amp;"")</f>
        <v/>
      </c>
    </row>
    <row r="157" customFormat="false" ht="15" hidden="false" customHeight="false" outlineLevel="0" collapsed="false">
      <c r="A157" s="24" t="str">
        <f aca="false">IF(IFERROR(INDEX(tsk_Name,(ROW()-ROW(MSPTasks[[#Headers],[ID]])))="",TRUE()),"",INDEX(tsk_ID,(ROW()-ROW(MSPTasks[[#Headers],[ID]]))))</f>
        <v/>
      </c>
      <c r="B157" s="24" t="str">
        <f aca="false">IF(IFERROR(INDEX(tsk_Name,(ROW()-ROW(MSPTasks[[#Headers],[ID]])))="",TRUE()),"",INDEX(tsk_UID,(ROW()-ROW(MSPTasks[[#Headers],[ID]]))))</f>
        <v/>
      </c>
      <c r="C157" s="24" t="str">
        <f aca="false">IF(IFERROR(INDEX(tsk_Name,(ROW()-ROW(MSPTasks[[#Headers],[ID]])))="",TRUE()),"",INDEX(tsk_Name,(ROW()-ROW(MSPTasks[[#Headers],[ID]]))))</f>
        <v/>
      </c>
      <c r="D157" s="24" t="str">
        <f aca="false">IF(IFERROR(INDEX(tsk_Name,(ROW()-ROW(MSPTasks[[#Headers],[ID]])))="",TRUE()),"",INDEX(tsk_Level,(ROW()-ROW(MSPTasks[[#Headers],[ID]]))))</f>
        <v/>
      </c>
      <c r="E157" s="24" t="str">
        <f aca="false">IF(IFERROR(INDEX(tsk_Name,(ROW()-ROW(MSPTasks[[#Headers],[ID]])))="",TRUE()),"",IF(INDEX(tsk_Mode,(ROW()-ROW(MSPTasks[[#Headers],[ID]])))="Manual","Manually Scheduled","Auto Scheduled"))</f>
        <v/>
      </c>
      <c r="F157" s="24" t="str">
        <f aca="false">IF(IFERROR(INDEX(tsk_Name,(ROW()-ROW(MSPTasks[[#Headers],[ID]])))="",TRUE()),"",IF(INDEX(tsk_IsSummary,(ROW()-ROW(MSPTasks[[#Headers],[ID]]))),"",N(INDEX(tsk_Duration,(ROW()-ROW(MSPTasks[[#Headers],[ID]]))))&amp;"d"))</f>
        <v/>
      </c>
      <c r="G157" s="137" t="str">
        <f aca="false">IF(IFERROR(INDEX(tsk_Name,(ROW()-ROW(MSPTasks[[#Headers],[ID]])))="",TRUE()),"",INDEX(tsk_FcStart,(ROW()-ROW(MSPTasks[[#Headers],[ID]]))))</f>
        <v/>
      </c>
      <c r="H157" s="137" t="str">
        <f aca="false">IF(IFERROR(INDEX(tsk_Name,(ROW()-ROW(MSPTasks[[#Headers],[ID]])))="",TRUE()),"",INDEX(tsk_FcFinish,(ROW()-ROW(MSPTasks[[#Headers],[ID]]))))</f>
        <v/>
      </c>
      <c r="I157" s="24" t="str">
        <f aca="false">IF(IFERROR(INDEX(tsk_Name,(ROW()-ROW(MSPTasks[[#Headers],[ID]])))="",TRUE()),"",IF(INDEX(tsk_IsSummary,(ROW()-ROW(MSPTasks[[#Headers],[ID]]))),"",INDEX(tsk_Predecessors,(ROW()-ROW(MSPTasks[[#Headers],[ID]])))))</f>
        <v/>
      </c>
      <c r="J157" s="24" t="str">
        <f aca="false">IF(IFERROR(INDEX(tsk_Name,(ROW()-ROW(MSPTasks[[#Headers],[ID]])))="",TRUE()),"",IF(INDEX(tsk_IsSummary,(ROW()-ROW(MSPTasks[[#Headers],[ID]]))),"",INDEX(tsk_UIDPredecessors,(ROW()-ROW(MSPTasks[[#Headers],[ID]])))))</f>
        <v/>
      </c>
      <c r="K157" s="24" t="str">
        <f aca="false">IF(IFERROR(INDEX(tsk_Name,(ROW()-ROW(MSPTasks[[#Headers],[ID]])))="",TRUE()),"",INDEX(tsk_ResourceNames,(ROW()-ROW(MSPTasks[[#Headers],[ID]])))&amp;"")</f>
        <v/>
      </c>
      <c r="L157" s="24" t="str">
        <f aca="false">IF(IFERROR(INDEX(tsk_Name,(ROW()-ROW(MSPTasks[[#Headers],[ID]])))="",TRUE()),"",IF(INDEX(tsk_IsSummary,(ROW()-ROW(MSPTasks[[#Headers],[ID]]))),"",ROUND(INDEX(tsk_Progress,(ROW()-ROW(MSPTasks[[#Headers],[ID]])))*100,0)))</f>
        <v/>
      </c>
      <c r="M157" s="137" t="str">
        <f aca="false">IF(IFERROR(INDEX(tsk_Name,(ROW()-ROW(MSPTasks[[#Headers],[ID]])))="",TRUE()),"",IF(N(INDEX(tsk_ActStart,(ROW()-ROW(MSPTasks[[#Headers],[ID]]))))=0,"",INDEX(tsk_ActStart,(ROW()-ROW(MSPTasks[[#Headers],[ID]])))))</f>
        <v/>
      </c>
      <c r="N157" s="137" t="str">
        <f aca="false">IF(IFERROR(INDEX(tsk_Name,(ROW()-ROW(MSPTasks[[#Headers],[ID]])))="",TRUE()),"",IF(N(INDEX(tsk_ActFinish,(ROW()-ROW(MSPTasks[[#Headers],[ID]]))))=0,"",INDEX(tsk_ActFinish,(ROW()-ROW(MSPTasks[[#Headers],[ID]])))))</f>
        <v/>
      </c>
      <c r="O157" s="137" t="str">
        <f aca="false">IF(IFERROR(INDEX(tsk_Name,(ROW()-ROW(MSPTasks[[#Headers],[ID]])))="",TRUE()),"",INDEX(tsk_PlanStart,(ROW()-ROW(MSPTasks[[#Headers],[ID]]))))</f>
        <v/>
      </c>
      <c r="P157" s="137" t="str">
        <f aca="false">IF(IFERROR(INDEX(tsk_Name,(ROW()-ROW(MSPTasks[[#Headers],[ID]])))="",TRUE()),"",INDEX(tsk_PlanFinish,(ROW()-ROW(MSPTasks[[#Headers],[ID]]))))</f>
        <v/>
      </c>
      <c r="Q157" s="24" t="str">
        <f aca="false">IF(IFERROR(INDEX(tsk_Name,(ROW()-ROW(MSPTasks[[#Headers],[ID]])))="",TRUE()),"",IF(INDEX(tsk_BaseDuration,(ROW()-ROW(MSPTasks[[#Headers],[ID]])))="","",N(INDEX(tsk_BaseDuration,(ROW()-ROW(MSPTasks[[#Headers],[ID]]))))&amp;"d"))</f>
        <v/>
      </c>
      <c r="R157" s="24" t="str">
        <f aca="false">IF(IFERROR(INDEX(tsk_Name,(ROW()-ROW(MSPTasks[[#Headers],[ID]])))="",TRUE()),"",IF(INDEX(tsk_BaseWork,(ROW()-ROW(MSPTasks[[#Headers],[ID]])))="","",N(INDEX(tsk_BaseWork,(ROW()-ROW(MSPTasks[[#Headers],[ID]]))))&amp;"h"))</f>
        <v/>
      </c>
      <c r="S157" s="24" t="str">
        <f aca="false">IF(IFERROR(INDEX(tsk_Name,(ROW()-ROW(MSPTasks[[#Headers],[ID]])))="",TRUE()),"",IF(INDEX(tsk_BaseCost,(ROW()-ROW(MSPTasks[[#Headers],[ID]])))="","",N(INDEX(tsk_BaseCost,(ROW()-ROW(MSPTasks[[#Headers],[ID]]))))))</f>
        <v/>
      </c>
      <c r="T157" s="24" t="str">
        <f aca="false">IF(IFERROR(INDEX(tsk_Name,(ROW()-ROW(MSPTasks[[#Headers],[ID]])))="",TRUE()),"",IF(INDEX(tsk_IsSummary,(ROW()-ROW(MSPTasks[[#Headers],[ID]]))),"",IF(N(INDEX(tsk_ActCostInput,(ROW()-ROW(MSPTasks[[#Headers],[ID]]))))=0,"",INDEX(tsk_ActCostInput,(ROW()-ROW(MSPTasks[[#Headers],[ID]]))))))</f>
        <v/>
      </c>
      <c r="U15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7" s="137" t="str">
        <f aca="false">IF(IFERROR(INDEX(tsk_Name,(ROW()-ROW(MSPTasks[[#Headers],[ID]])))="",TRUE()),"",IF(OR(INDEX(tsk_IsSummary,(ROW()-ROW(MSPTasks[[#Headers],[ID]]))),INDEX(tsk_Mode,(ROW()-ROW(MSPTasks[[#Headers],[ID]])))="Manual"),"",IF(N(INDEX(tsk_ConstraintCode,(ROW()-ROW(MSPTasks[[#Headers],[ID]]))))&lt;2,"",INDEX(tsk_Constraint,(ROW()-ROW(MSPTasks[[#Headers],[ID]]))))))</f>
        <v/>
      </c>
      <c r="W157" s="137" t="str">
        <f aca="false">IF(IFERROR(INDEX(tsk_Name,(ROW()-ROW(MSPTasks[[#Headers],[ID]])))="",TRUE()),"",IF(N(INDEX(tsk_Deadline,(ROW()-ROW(MSPTasks[[#Headers],[ID]]))))=0,"",INDEX(tsk_Deadline,(ROW()-ROW(MSPTasks[[#Headers],[ID]])))))</f>
        <v/>
      </c>
      <c r="X157" s="24" t="str">
        <f aca="false">IF(IFERROR(INDEX(tsk_Name,(ROW()-ROW(MSPTasks[[#Headers],[ID]])))="",TRUE()),"",IF(INDEX(tsk_IsSummary,(ROW()-ROW(MSPTasks[[#Headers],[ID]]))),"",INDEX(tsk_Sprint,(ROW()-ROW(MSPTasks[[#Headers],[ID]])))&amp;""))</f>
        <v/>
      </c>
      <c r="Y157" s="24" t="str">
        <f aca="false">IF(IFERROR(INDEX(tsk_Name,(ROW()-ROW(MSPTasks[[#Headers],[ID]])))="",TRUE()),"",IF(INDEX(tsk_IsSummary,(ROW()-ROW(MSPTasks[[#Headers],[ID]]))),"",IF(N(INDEX(tsk_StoryPoints,(ROW()-ROW(MSPTasks[[#Headers],[ID]]))))=0,"",INDEX(tsk_StoryPoints,(ROW()-ROW(MSPTasks[[#Headers],[ID]]))))))</f>
        <v/>
      </c>
      <c r="Z157" s="24" t="str">
        <f aca="false">IF(IFERROR(INDEX(tsk_Name,(ROW()-ROW(MSPTasks[[#Headers],[ID]])))="",TRUE()),"",INDEX(tsk_Notes,(ROW()-ROW(MSPTasks[[#Headers],[ID]])))&amp;"")</f>
        <v/>
      </c>
    </row>
    <row r="158" customFormat="false" ht="15" hidden="false" customHeight="false" outlineLevel="0" collapsed="false">
      <c r="A158" s="24" t="str">
        <f aca="false">IF(IFERROR(INDEX(tsk_Name,(ROW()-ROW(MSPTasks[[#Headers],[ID]])))="",TRUE()),"",INDEX(tsk_ID,(ROW()-ROW(MSPTasks[[#Headers],[ID]]))))</f>
        <v/>
      </c>
      <c r="B158" s="24" t="str">
        <f aca="false">IF(IFERROR(INDEX(tsk_Name,(ROW()-ROW(MSPTasks[[#Headers],[ID]])))="",TRUE()),"",INDEX(tsk_UID,(ROW()-ROW(MSPTasks[[#Headers],[ID]]))))</f>
        <v/>
      </c>
      <c r="C158" s="24" t="str">
        <f aca="false">IF(IFERROR(INDEX(tsk_Name,(ROW()-ROW(MSPTasks[[#Headers],[ID]])))="",TRUE()),"",INDEX(tsk_Name,(ROW()-ROW(MSPTasks[[#Headers],[ID]]))))</f>
        <v/>
      </c>
      <c r="D158" s="24" t="str">
        <f aca="false">IF(IFERROR(INDEX(tsk_Name,(ROW()-ROW(MSPTasks[[#Headers],[ID]])))="",TRUE()),"",INDEX(tsk_Level,(ROW()-ROW(MSPTasks[[#Headers],[ID]]))))</f>
        <v/>
      </c>
      <c r="E158" s="24" t="str">
        <f aca="false">IF(IFERROR(INDEX(tsk_Name,(ROW()-ROW(MSPTasks[[#Headers],[ID]])))="",TRUE()),"",IF(INDEX(tsk_Mode,(ROW()-ROW(MSPTasks[[#Headers],[ID]])))="Manual","Manually Scheduled","Auto Scheduled"))</f>
        <v/>
      </c>
      <c r="F158" s="24" t="str">
        <f aca="false">IF(IFERROR(INDEX(tsk_Name,(ROW()-ROW(MSPTasks[[#Headers],[ID]])))="",TRUE()),"",IF(INDEX(tsk_IsSummary,(ROW()-ROW(MSPTasks[[#Headers],[ID]]))),"",N(INDEX(tsk_Duration,(ROW()-ROW(MSPTasks[[#Headers],[ID]]))))&amp;"d"))</f>
        <v/>
      </c>
      <c r="G158" s="137" t="str">
        <f aca="false">IF(IFERROR(INDEX(tsk_Name,(ROW()-ROW(MSPTasks[[#Headers],[ID]])))="",TRUE()),"",INDEX(tsk_FcStart,(ROW()-ROW(MSPTasks[[#Headers],[ID]]))))</f>
        <v/>
      </c>
      <c r="H158" s="137" t="str">
        <f aca="false">IF(IFERROR(INDEX(tsk_Name,(ROW()-ROW(MSPTasks[[#Headers],[ID]])))="",TRUE()),"",INDEX(tsk_FcFinish,(ROW()-ROW(MSPTasks[[#Headers],[ID]]))))</f>
        <v/>
      </c>
      <c r="I158" s="24" t="str">
        <f aca="false">IF(IFERROR(INDEX(tsk_Name,(ROW()-ROW(MSPTasks[[#Headers],[ID]])))="",TRUE()),"",IF(INDEX(tsk_IsSummary,(ROW()-ROW(MSPTasks[[#Headers],[ID]]))),"",INDEX(tsk_Predecessors,(ROW()-ROW(MSPTasks[[#Headers],[ID]])))))</f>
        <v/>
      </c>
      <c r="J158" s="24" t="str">
        <f aca="false">IF(IFERROR(INDEX(tsk_Name,(ROW()-ROW(MSPTasks[[#Headers],[ID]])))="",TRUE()),"",IF(INDEX(tsk_IsSummary,(ROW()-ROW(MSPTasks[[#Headers],[ID]]))),"",INDEX(tsk_UIDPredecessors,(ROW()-ROW(MSPTasks[[#Headers],[ID]])))))</f>
        <v/>
      </c>
      <c r="K158" s="24" t="str">
        <f aca="false">IF(IFERROR(INDEX(tsk_Name,(ROW()-ROW(MSPTasks[[#Headers],[ID]])))="",TRUE()),"",INDEX(tsk_ResourceNames,(ROW()-ROW(MSPTasks[[#Headers],[ID]])))&amp;"")</f>
        <v/>
      </c>
      <c r="L158" s="24" t="str">
        <f aca="false">IF(IFERROR(INDEX(tsk_Name,(ROW()-ROW(MSPTasks[[#Headers],[ID]])))="",TRUE()),"",IF(INDEX(tsk_IsSummary,(ROW()-ROW(MSPTasks[[#Headers],[ID]]))),"",ROUND(INDEX(tsk_Progress,(ROW()-ROW(MSPTasks[[#Headers],[ID]])))*100,0)))</f>
        <v/>
      </c>
      <c r="M158" s="137" t="str">
        <f aca="false">IF(IFERROR(INDEX(tsk_Name,(ROW()-ROW(MSPTasks[[#Headers],[ID]])))="",TRUE()),"",IF(N(INDEX(tsk_ActStart,(ROW()-ROW(MSPTasks[[#Headers],[ID]]))))=0,"",INDEX(tsk_ActStart,(ROW()-ROW(MSPTasks[[#Headers],[ID]])))))</f>
        <v/>
      </c>
      <c r="N158" s="137" t="str">
        <f aca="false">IF(IFERROR(INDEX(tsk_Name,(ROW()-ROW(MSPTasks[[#Headers],[ID]])))="",TRUE()),"",IF(N(INDEX(tsk_ActFinish,(ROW()-ROW(MSPTasks[[#Headers],[ID]]))))=0,"",INDEX(tsk_ActFinish,(ROW()-ROW(MSPTasks[[#Headers],[ID]])))))</f>
        <v/>
      </c>
      <c r="O158" s="137" t="str">
        <f aca="false">IF(IFERROR(INDEX(tsk_Name,(ROW()-ROW(MSPTasks[[#Headers],[ID]])))="",TRUE()),"",INDEX(tsk_PlanStart,(ROW()-ROW(MSPTasks[[#Headers],[ID]]))))</f>
        <v/>
      </c>
      <c r="P158" s="137" t="str">
        <f aca="false">IF(IFERROR(INDEX(tsk_Name,(ROW()-ROW(MSPTasks[[#Headers],[ID]])))="",TRUE()),"",INDEX(tsk_PlanFinish,(ROW()-ROW(MSPTasks[[#Headers],[ID]]))))</f>
        <v/>
      </c>
      <c r="Q158" s="24" t="str">
        <f aca="false">IF(IFERROR(INDEX(tsk_Name,(ROW()-ROW(MSPTasks[[#Headers],[ID]])))="",TRUE()),"",IF(INDEX(tsk_BaseDuration,(ROW()-ROW(MSPTasks[[#Headers],[ID]])))="","",N(INDEX(tsk_BaseDuration,(ROW()-ROW(MSPTasks[[#Headers],[ID]]))))&amp;"d"))</f>
        <v/>
      </c>
      <c r="R158" s="24" t="str">
        <f aca="false">IF(IFERROR(INDEX(tsk_Name,(ROW()-ROW(MSPTasks[[#Headers],[ID]])))="",TRUE()),"",IF(INDEX(tsk_BaseWork,(ROW()-ROW(MSPTasks[[#Headers],[ID]])))="","",N(INDEX(tsk_BaseWork,(ROW()-ROW(MSPTasks[[#Headers],[ID]]))))&amp;"h"))</f>
        <v/>
      </c>
      <c r="S158" s="24" t="str">
        <f aca="false">IF(IFERROR(INDEX(tsk_Name,(ROW()-ROW(MSPTasks[[#Headers],[ID]])))="",TRUE()),"",IF(INDEX(tsk_BaseCost,(ROW()-ROW(MSPTasks[[#Headers],[ID]])))="","",N(INDEX(tsk_BaseCost,(ROW()-ROW(MSPTasks[[#Headers],[ID]]))))))</f>
        <v/>
      </c>
      <c r="T158" s="24" t="str">
        <f aca="false">IF(IFERROR(INDEX(tsk_Name,(ROW()-ROW(MSPTasks[[#Headers],[ID]])))="",TRUE()),"",IF(INDEX(tsk_IsSummary,(ROW()-ROW(MSPTasks[[#Headers],[ID]]))),"",IF(N(INDEX(tsk_ActCostInput,(ROW()-ROW(MSPTasks[[#Headers],[ID]]))))=0,"",INDEX(tsk_ActCostInput,(ROW()-ROW(MSPTasks[[#Headers],[ID]]))))))</f>
        <v/>
      </c>
      <c r="U15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8" s="137" t="str">
        <f aca="false">IF(IFERROR(INDEX(tsk_Name,(ROW()-ROW(MSPTasks[[#Headers],[ID]])))="",TRUE()),"",IF(OR(INDEX(tsk_IsSummary,(ROW()-ROW(MSPTasks[[#Headers],[ID]]))),INDEX(tsk_Mode,(ROW()-ROW(MSPTasks[[#Headers],[ID]])))="Manual"),"",IF(N(INDEX(tsk_ConstraintCode,(ROW()-ROW(MSPTasks[[#Headers],[ID]]))))&lt;2,"",INDEX(tsk_Constraint,(ROW()-ROW(MSPTasks[[#Headers],[ID]]))))))</f>
        <v/>
      </c>
      <c r="W158" s="137" t="str">
        <f aca="false">IF(IFERROR(INDEX(tsk_Name,(ROW()-ROW(MSPTasks[[#Headers],[ID]])))="",TRUE()),"",IF(N(INDEX(tsk_Deadline,(ROW()-ROW(MSPTasks[[#Headers],[ID]]))))=0,"",INDEX(tsk_Deadline,(ROW()-ROW(MSPTasks[[#Headers],[ID]])))))</f>
        <v/>
      </c>
      <c r="X158" s="24" t="str">
        <f aca="false">IF(IFERROR(INDEX(tsk_Name,(ROW()-ROW(MSPTasks[[#Headers],[ID]])))="",TRUE()),"",IF(INDEX(tsk_IsSummary,(ROW()-ROW(MSPTasks[[#Headers],[ID]]))),"",INDEX(tsk_Sprint,(ROW()-ROW(MSPTasks[[#Headers],[ID]])))&amp;""))</f>
        <v/>
      </c>
      <c r="Y158" s="24" t="str">
        <f aca="false">IF(IFERROR(INDEX(tsk_Name,(ROW()-ROW(MSPTasks[[#Headers],[ID]])))="",TRUE()),"",IF(INDEX(tsk_IsSummary,(ROW()-ROW(MSPTasks[[#Headers],[ID]]))),"",IF(N(INDEX(tsk_StoryPoints,(ROW()-ROW(MSPTasks[[#Headers],[ID]]))))=0,"",INDEX(tsk_StoryPoints,(ROW()-ROW(MSPTasks[[#Headers],[ID]]))))))</f>
        <v/>
      </c>
      <c r="Z158" s="24" t="str">
        <f aca="false">IF(IFERROR(INDEX(tsk_Name,(ROW()-ROW(MSPTasks[[#Headers],[ID]])))="",TRUE()),"",INDEX(tsk_Notes,(ROW()-ROW(MSPTasks[[#Headers],[ID]])))&amp;"")</f>
        <v/>
      </c>
    </row>
    <row r="159" customFormat="false" ht="15" hidden="false" customHeight="false" outlineLevel="0" collapsed="false">
      <c r="A159" s="24" t="str">
        <f aca="false">IF(IFERROR(INDEX(tsk_Name,(ROW()-ROW(MSPTasks[[#Headers],[ID]])))="",TRUE()),"",INDEX(tsk_ID,(ROW()-ROW(MSPTasks[[#Headers],[ID]]))))</f>
        <v/>
      </c>
      <c r="B159" s="24" t="str">
        <f aca="false">IF(IFERROR(INDEX(tsk_Name,(ROW()-ROW(MSPTasks[[#Headers],[ID]])))="",TRUE()),"",INDEX(tsk_UID,(ROW()-ROW(MSPTasks[[#Headers],[ID]]))))</f>
        <v/>
      </c>
      <c r="C159" s="24" t="str">
        <f aca="false">IF(IFERROR(INDEX(tsk_Name,(ROW()-ROW(MSPTasks[[#Headers],[ID]])))="",TRUE()),"",INDEX(tsk_Name,(ROW()-ROW(MSPTasks[[#Headers],[ID]]))))</f>
        <v/>
      </c>
      <c r="D159" s="24" t="str">
        <f aca="false">IF(IFERROR(INDEX(tsk_Name,(ROW()-ROW(MSPTasks[[#Headers],[ID]])))="",TRUE()),"",INDEX(tsk_Level,(ROW()-ROW(MSPTasks[[#Headers],[ID]]))))</f>
        <v/>
      </c>
      <c r="E159" s="24" t="str">
        <f aca="false">IF(IFERROR(INDEX(tsk_Name,(ROW()-ROW(MSPTasks[[#Headers],[ID]])))="",TRUE()),"",IF(INDEX(tsk_Mode,(ROW()-ROW(MSPTasks[[#Headers],[ID]])))="Manual","Manually Scheduled","Auto Scheduled"))</f>
        <v/>
      </c>
      <c r="F159" s="24" t="str">
        <f aca="false">IF(IFERROR(INDEX(tsk_Name,(ROW()-ROW(MSPTasks[[#Headers],[ID]])))="",TRUE()),"",IF(INDEX(tsk_IsSummary,(ROW()-ROW(MSPTasks[[#Headers],[ID]]))),"",N(INDEX(tsk_Duration,(ROW()-ROW(MSPTasks[[#Headers],[ID]]))))&amp;"d"))</f>
        <v/>
      </c>
      <c r="G159" s="137" t="str">
        <f aca="false">IF(IFERROR(INDEX(tsk_Name,(ROW()-ROW(MSPTasks[[#Headers],[ID]])))="",TRUE()),"",INDEX(tsk_FcStart,(ROW()-ROW(MSPTasks[[#Headers],[ID]]))))</f>
        <v/>
      </c>
      <c r="H159" s="137" t="str">
        <f aca="false">IF(IFERROR(INDEX(tsk_Name,(ROW()-ROW(MSPTasks[[#Headers],[ID]])))="",TRUE()),"",INDEX(tsk_FcFinish,(ROW()-ROW(MSPTasks[[#Headers],[ID]]))))</f>
        <v/>
      </c>
      <c r="I159" s="24" t="str">
        <f aca="false">IF(IFERROR(INDEX(tsk_Name,(ROW()-ROW(MSPTasks[[#Headers],[ID]])))="",TRUE()),"",IF(INDEX(tsk_IsSummary,(ROW()-ROW(MSPTasks[[#Headers],[ID]]))),"",INDEX(tsk_Predecessors,(ROW()-ROW(MSPTasks[[#Headers],[ID]])))))</f>
        <v/>
      </c>
      <c r="J159" s="24" t="str">
        <f aca="false">IF(IFERROR(INDEX(tsk_Name,(ROW()-ROW(MSPTasks[[#Headers],[ID]])))="",TRUE()),"",IF(INDEX(tsk_IsSummary,(ROW()-ROW(MSPTasks[[#Headers],[ID]]))),"",INDEX(tsk_UIDPredecessors,(ROW()-ROW(MSPTasks[[#Headers],[ID]])))))</f>
        <v/>
      </c>
      <c r="K159" s="24" t="str">
        <f aca="false">IF(IFERROR(INDEX(tsk_Name,(ROW()-ROW(MSPTasks[[#Headers],[ID]])))="",TRUE()),"",INDEX(tsk_ResourceNames,(ROW()-ROW(MSPTasks[[#Headers],[ID]])))&amp;"")</f>
        <v/>
      </c>
      <c r="L159" s="24" t="str">
        <f aca="false">IF(IFERROR(INDEX(tsk_Name,(ROW()-ROW(MSPTasks[[#Headers],[ID]])))="",TRUE()),"",IF(INDEX(tsk_IsSummary,(ROW()-ROW(MSPTasks[[#Headers],[ID]]))),"",ROUND(INDEX(tsk_Progress,(ROW()-ROW(MSPTasks[[#Headers],[ID]])))*100,0)))</f>
        <v/>
      </c>
      <c r="M159" s="137" t="str">
        <f aca="false">IF(IFERROR(INDEX(tsk_Name,(ROW()-ROW(MSPTasks[[#Headers],[ID]])))="",TRUE()),"",IF(N(INDEX(tsk_ActStart,(ROW()-ROW(MSPTasks[[#Headers],[ID]]))))=0,"",INDEX(tsk_ActStart,(ROW()-ROW(MSPTasks[[#Headers],[ID]])))))</f>
        <v/>
      </c>
      <c r="N159" s="137" t="str">
        <f aca="false">IF(IFERROR(INDEX(tsk_Name,(ROW()-ROW(MSPTasks[[#Headers],[ID]])))="",TRUE()),"",IF(N(INDEX(tsk_ActFinish,(ROW()-ROW(MSPTasks[[#Headers],[ID]]))))=0,"",INDEX(tsk_ActFinish,(ROW()-ROW(MSPTasks[[#Headers],[ID]])))))</f>
        <v/>
      </c>
      <c r="O159" s="137" t="str">
        <f aca="false">IF(IFERROR(INDEX(tsk_Name,(ROW()-ROW(MSPTasks[[#Headers],[ID]])))="",TRUE()),"",INDEX(tsk_PlanStart,(ROW()-ROW(MSPTasks[[#Headers],[ID]]))))</f>
        <v/>
      </c>
      <c r="P159" s="137" t="str">
        <f aca="false">IF(IFERROR(INDEX(tsk_Name,(ROW()-ROW(MSPTasks[[#Headers],[ID]])))="",TRUE()),"",INDEX(tsk_PlanFinish,(ROW()-ROW(MSPTasks[[#Headers],[ID]]))))</f>
        <v/>
      </c>
      <c r="Q159" s="24" t="str">
        <f aca="false">IF(IFERROR(INDEX(tsk_Name,(ROW()-ROW(MSPTasks[[#Headers],[ID]])))="",TRUE()),"",IF(INDEX(tsk_BaseDuration,(ROW()-ROW(MSPTasks[[#Headers],[ID]])))="","",N(INDEX(tsk_BaseDuration,(ROW()-ROW(MSPTasks[[#Headers],[ID]]))))&amp;"d"))</f>
        <v/>
      </c>
      <c r="R159" s="24" t="str">
        <f aca="false">IF(IFERROR(INDEX(tsk_Name,(ROW()-ROW(MSPTasks[[#Headers],[ID]])))="",TRUE()),"",IF(INDEX(tsk_BaseWork,(ROW()-ROW(MSPTasks[[#Headers],[ID]])))="","",N(INDEX(tsk_BaseWork,(ROW()-ROW(MSPTasks[[#Headers],[ID]]))))&amp;"h"))</f>
        <v/>
      </c>
      <c r="S159" s="24" t="str">
        <f aca="false">IF(IFERROR(INDEX(tsk_Name,(ROW()-ROW(MSPTasks[[#Headers],[ID]])))="",TRUE()),"",IF(INDEX(tsk_BaseCost,(ROW()-ROW(MSPTasks[[#Headers],[ID]])))="","",N(INDEX(tsk_BaseCost,(ROW()-ROW(MSPTasks[[#Headers],[ID]]))))))</f>
        <v/>
      </c>
      <c r="T159" s="24" t="str">
        <f aca="false">IF(IFERROR(INDEX(tsk_Name,(ROW()-ROW(MSPTasks[[#Headers],[ID]])))="",TRUE()),"",IF(INDEX(tsk_IsSummary,(ROW()-ROW(MSPTasks[[#Headers],[ID]]))),"",IF(N(INDEX(tsk_ActCostInput,(ROW()-ROW(MSPTasks[[#Headers],[ID]]))))=0,"",INDEX(tsk_ActCostInput,(ROW()-ROW(MSPTasks[[#Headers],[ID]]))))))</f>
        <v/>
      </c>
      <c r="U15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59" s="137" t="str">
        <f aca="false">IF(IFERROR(INDEX(tsk_Name,(ROW()-ROW(MSPTasks[[#Headers],[ID]])))="",TRUE()),"",IF(OR(INDEX(tsk_IsSummary,(ROW()-ROW(MSPTasks[[#Headers],[ID]]))),INDEX(tsk_Mode,(ROW()-ROW(MSPTasks[[#Headers],[ID]])))="Manual"),"",IF(N(INDEX(tsk_ConstraintCode,(ROW()-ROW(MSPTasks[[#Headers],[ID]]))))&lt;2,"",INDEX(tsk_Constraint,(ROW()-ROW(MSPTasks[[#Headers],[ID]]))))))</f>
        <v/>
      </c>
      <c r="W159" s="137" t="str">
        <f aca="false">IF(IFERROR(INDEX(tsk_Name,(ROW()-ROW(MSPTasks[[#Headers],[ID]])))="",TRUE()),"",IF(N(INDEX(tsk_Deadline,(ROW()-ROW(MSPTasks[[#Headers],[ID]]))))=0,"",INDEX(tsk_Deadline,(ROW()-ROW(MSPTasks[[#Headers],[ID]])))))</f>
        <v/>
      </c>
      <c r="X159" s="24" t="str">
        <f aca="false">IF(IFERROR(INDEX(tsk_Name,(ROW()-ROW(MSPTasks[[#Headers],[ID]])))="",TRUE()),"",IF(INDEX(tsk_IsSummary,(ROW()-ROW(MSPTasks[[#Headers],[ID]]))),"",INDEX(tsk_Sprint,(ROW()-ROW(MSPTasks[[#Headers],[ID]])))&amp;""))</f>
        <v/>
      </c>
      <c r="Y159" s="24" t="str">
        <f aca="false">IF(IFERROR(INDEX(tsk_Name,(ROW()-ROW(MSPTasks[[#Headers],[ID]])))="",TRUE()),"",IF(INDEX(tsk_IsSummary,(ROW()-ROW(MSPTasks[[#Headers],[ID]]))),"",IF(N(INDEX(tsk_StoryPoints,(ROW()-ROW(MSPTasks[[#Headers],[ID]]))))=0,"",INDEX(tsk_StoryPoints,(ROW()-ROW(MSPTasks[[#Headers],[ID]]))))))</f>
        <v/>
      </c>
      <c r="Z159" s="24" t="str">
        <f aca="false">IF(IFERROR(INDEX(tsk_Name,(ROW()-ROW(MSPTasks[[#Headers],[ID]])))="",TRUE()),"",INDEX(tsk_Notes,(ROW()-ROW(MSPTasks[[#Headers],[ID]])))&amp;"")</f>
        <v/>
      </c>
    </row>
    <row r="160" customFormat="false" ht="15" hidden="false" customHeight="false" outlineLevel="0" collapsed="false">
      <c r="A160" s="24" t="str">
        <f aca="false">IF(IFERROR(INDEX(tsk_Name,(ROW()-ROW(MSPTasks[[#Headers],[ID]])))="",TRUE()),"",INDEX(tsk_ID,(ROW()-ROW(MSPTasks[[#Headers],[ID]]))))</f>
        <v/>
      </c>
      <c r="B160" s="24" t="str">
        <f aca="false">IF(IFERROR(INDEX(tsk_Name,(ROW()-ROW(MSPTasks[[#Headers],[ID]])))="",TRUE()),"",INDEX(tsk_UID,(ROW()-ROW(MSPTasks[[#Headers],[ID]]))))</f>
        <v/>
      </c>
      <c r="C160" s="24" t="str">
        <f aca="false">IF(IFERROR(INDEX(tsk_Name,(ROW()-ROW(MSPTasks[[#Headers],[ID]])))="",TRUE()),"",INDEX(tsk_Name,(ROW()-ROW(MSPTasks[[#Headers],[ID]]))))</f>
        <v/>
      </c>
      <c r="D160" s="24" t="str">
        <f aca="false">IF(IFERROR(INDEX(tsk_Name,(ROW()-ROW(MSPTasks[[#Headers],[ID]])))="",TRUE()),"",INDEX(tsk_Level,(ROW()-ROW(MSPTasks[[#Headers],[ID]]))))</f>
        <v/>
      </c>
      <c r="E160" s="24" t="str">
        <f aca="false">IF(IFERROR(INDEX(tsk_Name,(ROW()-ROW(MSPTasks[[#Headers],[ID]])))="",TRUE()),"",IF(INDEX(tsk_Mode,(ROW()-ROW(MSPTasks[[#Headers],[ID]])))="Manual","Manually Scheduled","Auto Scheduled"))</f>
        <v/>
      </c>
      <c r="F160" s="24" t="str">
        <f aca="false">IF(IFERROR(INDEX(tsk_Name,(ROW()-ROW(MSPTasks[[#Headers],[ID]])))="",TRUE()),"",IF(INDEX(tsk_IsSummary,(ROW()-ROW(MSPTasks[[#Headers],[ID]]))),"",N(INDEX(tsk_Duration,(ROW()-ROW(MSPTasks[[#Headers],[ID]]))))&amp;"d"))</f>
        <v/>
      </c>
      <c r="G160" s="137" t="str">
        <f aca="false">IF(IFERROR(INDEX(tsk_Name,(ROW()-ROW(MSPTasks[[#Headers],[ID]])))="",TRUE()),"",INDEX(tsk_FcStart,(ROW()-ROW(MSPTasks[[#Headers],[ID]]))))</f>
        <v/>
      </c>
      <c r="H160" s="137" t="str">
        <f aca="false">IF(IFERROR(INDEX(tsk_Name,(ROW()-ROW(MSPTasks[[#Headers],[ID]])))="",TRUE()),"",INDEX(tsk_FcFinish,(ROW()-ROW(MSPTasks[[#Headers],[ID]]))))</f>
        <v/>
      </c>
      <c r="I160" s="24" t="str">
        <f aca="false">IF(IFERROR(INDEX(tsk_Name,(ROW()-ROW(MSPTasks[[#Headers],[ID]])))="",TRUE()),"",IF(INDEX(tsk_IsSummary,(ROW()-ROW(MSPTasks[[#Headers],[ID]]))),"",INDEX(tsk_Predecessors,(ROW()-ROW(MSPTasks[[#Headers],[ID]])))))</f>
        <v/>
      </c>
      <c r="J160" s="24" t="str">
        <f aca="false">IF(IFERROR(INDEX(tsk_Name,(ROW()-ROW(MSPTasks[[#Headers],[ID]])))="",TRUE()),"",IF(INDEX(tsk_IsSummary,(ROW()-ROW(MSPTasks[[#Headers],[ID]]))),"",INDEX(tsk_UIDPredecessors,(ROW()-ROW(MSPTasks[[#Headers],[ID]])))))</f>
        <v/>
      </c>
      <c r="K160" s="24" t="str">
        <f aca="false">IF(IFERROR(INDEX(tsk_Name,(ROW()-ROW(MSPTasks[[#Headers],[ID]])))="",TRUE()),"",INDEX(tsk_ResourceNames,(ROW()-ROW(MSPTasks[[#Headers],[ID]])))&amp;"")</f>
        <v/>
      </c>
      <c r="L160" s="24" t="str">
        <f aca="false">IF(IFERROR(INDEX(tsk_Name,(ROW()-ROW(MSPTasks[[#Headers],[ID]])))="",TRUE()),"",IF(INDEX(tsk_IsSummary,(ROW()-ROW(MSPTasks[[#Headers],[ID]]))),"",ROUND(INDEX(tsk_Progress,(ROW()-ROW(MSPTasks[[#Headers],[ID]])))*100,0)))</f>
        <v/>
      </c>
      <c r="M160" s="137" t="str">
        <f aca="false">IF(IFERROR(INDEX(tsk_Name,(ROW()-ROW(MSPTasks[[#Headers],[ID]])))="",TRUE()),"",IF(N(INDEX(tsk_ActStart,(ROW()-ROW(MSPTasks[[#Headers],[ID]]))))=0,"",INDEX(tsk_ActStart,(ROW()-ROW(MSPTasks[[#Headers],[ID]])))))</f>
        <v/>
      </c>
      <c r="N160" s="137" t="str">
        <f aca="false">IF(IFERROR(INDEX(tsk_Name,(ROW()-ROW(MSPTasks[[#Headers],[ID]])))="",TRUE()),"",IF(N(INDEX(tsk_ActFinish,(ROW()-ROW(MSPTasks[[#Headers],[ID]]))))=0,"",INDEX(tsk_ActFinish,(ROW()-ROW(MSPTasks[[#Headers],[ID]])))))</f>
        <v/>
      </c>
      <c r="O160" s="137" t="str">
        <f aca="false">IF(IFERROR(INDEX(tsk_Name,(ROW()-ROW(MSPTasks[[#Headers],[ID]])))="",TRUE()),"",INDEX(tsk_PlanStart,(ROW()-ROW(MSPTasks[[#Headers],[ID]]))))</f>
        <v/>
      </c>
      <c r="P160" s="137" t="str">
        <f aca="false">IF(IFERROR(INDEX(tsk_Name,(ROW()-ROW(MSPTasks[[#Headers],[ID]])))="",TRUE()),"",INDEX(tsk_PlanFinish,(ROW()-ROW(MSPTasks[[#Headers],[ID]]))))</f>
        <v/>
      </c>
      <c r="Q160" s="24" t="str">
        <f aca="false">IF(IFERROR(INDEX(tsk_Name,(ROW()-ROW(MSPTasks[[#Headers],[ID]])))="",TRUE()),"",IF(INDEX(tsk_BaseDuration,(ROW()-ROW(MSPTasks[[#Headers],[ID]])))="","",N(INDEX(tsk_BaseDuration,(ROW()-ROW(MSPTasks[[#Headers],[ID]]))))&amp;"d"))</f>
        <v/>
      </c>
      <c r="R160" s="24" t="str">
        <f aca="false">IF(IFERROR(INDEX(tsk_Name,(ROW()-ROW(MSPTasks[[#Headers],[ID]])))="",TRUE()),"",IF(INDEX(tsk_BaseWork,(ROW()-ROW(MSPTasks[[#Headers],[ID]])))="","",N(INDEX(tsk_BaseWork,(ROW()-ROW(MSPTasks[[#Headers],[ID]]))))&amp;"h"))</f>
        <v/>
      </c>
      <c r="S160" s="24" t="str">
        <f aca="false">IF(IFERROR(INDEX(tsk_Name,(ROW()-ROW(MSPTasks[[#Headers],[ID]])))="",TRUE()),"",IF(INDEX(tsk_BaseCost,(ROW()-ROW(MSPTasks[[#Headers],[ID]])))="","",N(INDEX(tsk_BaseCost,(ROW()-ROW(MSPTasks[[#Headers],[ID]]))))))</f>
        <v/>
      </c>
      <c r="T160" s="24" t="str">
        <f aca="false">IF(IFERROR(INDEX(tsk_Name,(ROW()-ROW(MSPTasks[[#Headers],[ID]])))="",TRUE()),"",IF(INDEX(tsk_IsSummary,(ROW()-ROW(MSPTasks[[#Headers],[ID]]))),"",IF(N(INDEX(tsk_ActCostInput,(ROW()-ROW(MSPTasks[[#Headers],[ID]]))))=0,"",INDEX(tsk_ActCostInput,(ROW()-ROW(MSPTasks[[#Headers],[ID]]))))))</f>
        <v/>
      </c>
      <c r="U16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0" s="137" t="str">
        <f aca="false">IF(IFERROR(INDEX(tsk_Name,(ROW()-ROW(MSPTasks[[#Headers],[ID]])))="",TRUE()),"",IF(OR(INDEX(tsk_IsSummary,(ROW()-ROW(MSPTasks[[#Headers],[ID]]))),INDEX(tsk_Mode,(ROW()-ROW(MSPTasks[[#Headers],[ID]])))="Manual"),"",IF(N(INDEX(tsk_ConstraintCode,(ROW()-ROW(MSPTasks[[#Headers],[ID]]))))&lt;2,"",INDEX(tsk_Constraint,(ROW()-ROW(MSPTasks[[#Headers],[ID]]))))))</f>
        <v/>
      </c>
      <c r="W160" s="137" t="str">
        <f aca="false">IF(IFERROR(INDEX(tsk_Name,(ROW()-ROW(MSPTasks[[#Headers],[ID]])))="",TRUE()),"",IF(N(INDEX(tsk_Deadline,(ROW()-ROW(MSPTasks[[#Headers],[ID]]))))=0,"",INDEX(tsk_Deadline,(ROW()-ROW(MSPTasks[[#Headers],[ID]])))))</f>
        <v/>
      </c>
      <c r="X160" s="24" t="str">
        <f aca="false">IF(IFERROR(INDEX(tsk_Name,(ROW()-ROW(MSPTasks[[#Headers],[ID]])))="",TRUE()),"",IF(INDEX(tsk_IsSummary,(ROW()-ROW(MSPTasks[[#Headers],[ID]]))),"",INDEX(tsk_Sprint,(ROW()-ROW(MSPTasks[[#Headers],[ID]])))&amp;""))</f>
        <v/>
      </c>
      <c r="Y160" s="24" t="str">
        <f aca="false">IF(IFERROR(INDEX(tsk_Name,(ROW()-ROW(MSPTasks[[#Headers],[ID]])))="",TRUE()),"",IF(INDEX(tsk_IsSummary,(ROW()-ROW(MSPTasks[[#Headers],[ID]]))),"",IF(N(INDEX(tsk_StoryPoints,(ROW()-ROW(MSPTasks[[#Headers],[ID]]))))=0,"",INDEX(tsk_StoryPoints,(ROW()-ROW(MSPTasks[[#Headers],[ID]]))))))</f>
        <v/>
      </c>
      <c r="Z160" s="24" t="str">
        <f aca="false">IF(IFERROR(INDEX(tsk_Name,(ROW()-ROW(MSPTasks[[#Headers],[ID]])))="",TRUE()),"",INDEX(tsk_Notes,(ROW()-ROW(MSPTasks[[#Headers],[ID]])))&amp;"")</f>
        <v/>
      </c>
    </row>
    <row r="161" customFormat="false" ht="15" hidden="false" customHeight="false" outlineLevel="0" collapsed="false">
      <c r="A161" s="24" t="str">
        <f aca="false">IF(IFERROR(INDEX(tsk_Name,(ROW()-ROW(MSPTasks[[#Headers],[ID]])))="",TRUE()),"",INDEX(tsk_ID,(ROW()-ROW(MSPTasks[[#Headers],[ID]]))))</f>
        <v/>
      </c>
      <c r="B161" s="24" t="str">
        <f aca="false">IF(IFERROR(INDEX(tsk_Name,(ROW()-ROW(MSPTasks[[#Headers],[ID]])))="",TRUE()),"",INDEX(tsk_UID,(ROW()-ROW(MSPTasks[[#Headers],[ID]]))))</f>
        <v/>
      </c>
      <c r="C161" s="24" t="str">
        <f aca="false">IF(IFERROR(INDEX(tsk_Name,(ROW()-ROW(MSPTasks[[#Headers],[ID]])))="",TRUE()),"",INDEX(tsk_Name,(ROW()-ROW(MSPTasks[[#Headers],[ID]]))))</f>
        <v/>
      </c>
      <c r="D161" s="24" t="str">
        <f aca="false">IF(IFERROR(INDEX(tsk_Name,(ROW()-ROW(MSPTasks[[#Headers],[ID]])))="",TRUE()),"",INDEX(tsk_Level,(ROW()-ROW(MSPTasks[[#Headers],[ID]]))))</f>
        <v/>
      </c>
      <c r="E161" s="24" t="str">
        <f aca="false">IF(IFERROR(INDEX(tsk_Name,(ROW()-ROW(MSPTasks[[#Headers],[ID]])))="",TRUE()),"",IF(INDEX(tsk_Mode,(ROW()-ROW(MSPTasks[[#Headers],[ID]])))="Manual","Manually Scheduled","Auto Scheduled"))</f>
        <v/>
      </c>
      <c r="F161" s="24" t="str">
        <f aca="false">IF(IFERROR(INDEX(tsk_Name,(ROW()-ROW(MSPTasks[[#Headers],[ID]])))="",TRUE()),"",IF(INDEX(tsk_IsSummary,(ROW()-ROW(MSPTasks[[#Headers],[ID]]))),"",N(INDEX(tsk_Duration,(ROW()-ROW(MSPTasks[[#Headers],[ID]]))))&amp;"d"))</f>
        <v/>
      </c>
      <c r="G161" s="137" t="str">
        <f aca="false">IF(IFERROR(INDEX(tsk_Name,(ROW()-ROW(MSPTasks[[#Headers],[ID]])))="",TRUE()),"",INDEX(tsk_FcStart,(ROW()-ROW(MSPTasks[[#Headers],[ID]]))))</f>
        <v/>
      </c>
      <c r="H161" s="137" t="str">
        <f aca="false">IF(IFERROR(INDEX(tsk_Name,(ROW()-ROW(MSPTasks[[#Headers],[ID]])))="",TRUE()),"",INDEX(tsk_FcFinish,(ROW()-ROW(MSPTasks[[#Headers],[ID]]))))</f>
        <v/>
      </c>
      <c r="I161" s="24" t="str">
        <f aca="false">IF(IFERROR(INDEX(tsk_Name,(ROW()-ROW(MSPTasks[[#Headers],[ID]])))="",TRUE()),"",IF(INDEX(tsk_IsSummary,(ROW()-ROW(MSPTasks[[#Headers],[ID]]))),"",INDEX(tsk_Predecessors,(ROW()-ROW(MSPTasks[[#Headers],[ID]])))))</f>
        <v/>
      </c>
      <c r="J161" s="24" t="str">
        <f aca="false">IF(IFERROR(INDEX(tsk_Name,(ROW()-ROW(MSPTasks[[#Headers],[ID]])))="",TRUE()),"",IF(INDEX(tsk_IsSummary,(ROW()-ROW(MSPTasks[[#Headers],[ID]]))),"",INDEX(tsk_UIDPredecessors,(ROW()-ROW(MSPTasks[[#Headers],[ID]])))))</f>
        <v/>
      </c>
      <c r="K161" s="24" t="str">
        <f aca="false">IF(IFERROR(INDEX(tsk_Name,(ROW()-ROW(MSPTasks[[#Headers],[ID]])))="",TRUE()),"",INDEX(tsk_ResourceNames,(ROW()-ROW(MSPTasks[[#Headers],[ID]])))&amp;"")</f>
        <v/>
      </c>
      <c r="L161" s="24" t="str">
        <f aca="false">IF(IFERROR(INDEX(tsk_Name,(ROW()-ROW(MSPTasks[[#Headers],[ID]])))="",TRUE()),"",IF(INDEX(tsk_IsSummary,(ROW()-ROW(MSPTasks[[#Headers],[ID]]))),"",ROUND(INDEX(tsk_Progress,(ROW()-ROW(MSPTasks[[#Headers],[ID]])))*100,0)))</f>
        <v/>
      </c>
      <c r="M161" s="137" t="str">
        <f aca="false">IF(IFERROR(INDEX(tsk_Name,(ROW()-ROW(MSPTasks[[#Headers],[ID]])))="",TRUE()),"",IF(N(INDEX(tsk_ActStart,(ROW()-ROW(MSPTasks[[#Headers],[ID]]))))=0,"",INDEX(tsk_ActStart,(ROW()-ROW(MSPTasks[[#Headers],[ID]])))))</f>
        <v/>
      </c>
      <c r="N161" s="137" t="str">
        <f aca="false">IF(IFERROR(INDEX(tsk_Name,(ROW()-ROW(MSPTasks[[#Headers],[ID]])))="",TRUE()),"",IF(N(INDEX(tsk_ActFinish,(ROW()-ROW(MSPTasks[[#Headers],[ID]]))))=0,"",INDEX(tsk_ActFinish,(ROW()-ROW(MSPTasks[[#Headers],[ID]])))))</f>
        <v/>
      </c>
      <c r="O161" s="137" t="str">
        <f aca="false">IF(IFERROR(INDEX(tsk_Name,(ROW()-ROW(MSPTasks[[#Headers],[ID]])))="",TRUE()),"",INDEX(tsk_PlanStart,(ROW()-ROW(MSPTasks[[#Headers],[ID]]))))</f>
        <v/>
      </c>
      <c r="P161" s="137" t="str">
        <f aca="false">IF(IFERROR(INDEX(tsk_Name,(ROW()-ROW(MSPTasks[[#Headers],[ID]])))="",TRUE()),"",INDEX(tsk_PlanFinish,(ROW()-ROW(MSPTasks[[#Headers],[ID]]))))</f>
        <v/>
      </c>
      <c r="Q161" s="24" t="str">
        <f aca="false">IF(IFERROR(INDEX(tsk_Name,(ROW()-ROW(MSPTasks[[#Headers],[ID]])))="",TRUE()),"",IF(INDEX(tsk_BaseDuration,(ROW()-ROW(MSPTasks[[#Headers],[ID]])))="","",N(INDEX(tsk_BaseDuration,(ROW()-ROW(MSPTasks[[#Headers],[ID]]))))&amp;"d"))</f>
        <v/>
      </c>
      <c r="R161" s="24" t="str">
        <f aca="false">IF(IFERROR(INDEX(tsk_Name,(ROW()-ROW(MSPTasks[[#Headers],[ID]])))="",TRUE()),"",IF(INDEX(tsk_BaseWork,(ROW()-ROW(MSPTasks[[#Headers],[ID]])))="","",N(INDEX(tsk_BaseWork,(ROW()-ROW(MSPTasks[[#Headers],[ID]]))))&amp;"h"))</f>
        <v/>
      </c>
      <c r="S161" s="24" t="str">
        <f aca="false">IF(IFERROR(INDEX(tsk_Name,(ROW()-ROW(MSPTasks[[#Headers],[ID]])))="",TRUE()),"",IF(INDEX(tsk_BaseCost,(ROW()-ROW(MSPTasks[[#Headers],[ID]])))="","",N(INDEX(tsk_BaseCost,(ROW()-ROW(MSPTasks[[#Headers],[ID]]))))))</f>
        <v/>
      </c>
      <c r="T161" s="24" t="str">
        <f aca="false">IF(IFERROR(INDEX(tsk_Name,(ROW()-ROW(MSPTasks[[#Headers],[ID]])))="",TRUE()),"",IF(INDEX(tsk_IsSummary,(ROW()-ROW(MSPTasks[[#Headers],[ID]]))),"",IF(N(INDEX(tsk_ActCostInput,(ROW()-ROW(MSPTasks[[#Headers],[ID]]))))=0,"",INDEX(tsk_ActCostInput,(ROW()-ROW(MSPTasks[[#Headers],[ID]]))))))</f>
        <v/>
      </c>
      <c r="U16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1" s="137" t="str">
        <f aca="false">IF(IFERROR(INDEX(tsk_Name,(ROW()-ROW(MSPTasks[[#Headers],[ID]])))="",TRUE()),"",IF(OR(INDEX(tsk_IsSummary,(ROW()-ROW(MSPTasks[[#Headers],[ID]]))),INDEX(tsk_Mode,(ROW()-ROW(MSPTasks[[#Headers],[ID]])))="Manual"),"",IF(N(INDEX(tsk_ConstraintCode,(ROW()-ROW(MSPTasks[[#Headers],[ID]]))))&lt;2,"",INDEX(tsk_Constraint,(ROW()-ROW(MSPTasks[[#Headers],[ID]]))))))</f>
        <v/>
      </c>
      <c r="W161" s="137" t="str">
        <f aca="false">IF(IFERROR(INDEX(tsk_Name,(ROW()-ROW(MSPTasks[[#Headers],[ID]])))="",TRUE()),"",IF(N(INDEX(tsk_Deadline,(ROW()-ROW(MSPTasks[[#Headers],[ID]]))))=0,"",INDEX(tsk_Deadline,(ROW()-ROW(MSPTasks[[#Headers],[ID]])))))</f>
        <v/>
      </c>
      <c r="X161" s="24" t="str">
        <f aca="false">IF(IFERROR(INDEX(tsk_Name,(ROW()-ROW(MSPTasks[[#Headers],[ID]])))="",TRUE()),"",IF(INDEX(tsk_IsSummary,(ROW()-ROW(MSPTasks[[#Headers],[ID]]))),"",INDEX(tsk_Sprint,(ROW()-ROW(MSPTasks[[#Headers],[ID]])))&amp;""))</f>
        <v/>
      </c>
      <c r="Y161" s="24" t="str">
        <f aca="false">IF(IFERROR(INDEX(tsk_Name,(ROW()-ROW(MSPTasks[[#Headers],[ID]])))="",TRUE()),"",IF(INDEX(tsk_IsSummary,(ROW()-ROW(MSPTasks[[#Headers],[ID]]))),"",IF(N(INDEX(tsk_StoryPoints,(ROW()-ROW(MSPTasks[[#Headers],[ID]]))))=0,"",INDEX(tsk_StoryPoints,(ROW()-ROW(MSPTasks[[#Headers],[ID]]))))))</f>
        <v/>
      </c>
      <c r="Z161" s="24" t="str">
        <f aca="false">IF(IFERROR(INDEX(tsk_Name,(ROW()-ROW(MSPTasks[[#Headers],[ID]])))="",TRUE()),"",INDEX(tsk_Notes,(ROW()-ROW(MSPTasks[[#Headers],[ID]])))&amp;"")</f>
        <v/>
      </c>
    </row>
    <row r="162" customFormat="false" ht="15" hidden="false" customHeight="false" outlineLevel="0" collapsed="false">
      <c r="A162" s="24" t="str">
        <f aca="false">IF(IFERROR(INDEX(tsk_Name,(ROW()-ROW(MSPTasks[[#Headers],[ID]])))="",TRUE()),"",INDEX(tsk_ID,(ROW()-ROW(MSPTasks[[#Headers],[ID]]))))</f>
        <v/>
      </c>
      <c r="B162" s="24" t="str">
        <f aca="false">IF(IFERROR(INDEX(tsk_Name,(ROW()-ROW(MSPTasks[[#Headers],[ID]])))="",TRUE()),"",INDEX(tsk_UID,(ROW()-ROW(MSPTasks[[#Headers],[ID]]))))</f>
        <v/>
      </c>
      <c r="C162" s="24" t="str">
        <f aca="false">IF(IFERROR(INDEX(tsk_Name,(ROW()-ROW(MSPTasks[[#Headers],[ID]])))="",TRUE()),"",INDEX(tsk_Name,(ROW()-ROW(MSPTasks[[#Headers],[ID]]))))</f>
        <v/>
      </c>
      <c r="D162" s="24" t="str">
        <f aca="false">IF(IFERROR(INDEX(tsk_Name,(ROW()-ROW(MSPTasks[[#Headers],[ID]])))="",TRUE()),"",INDEX(tsk_Level,(ROW()-ROW(MSPTasks[[#Headers],[ID]]))))</f>
        <v/>
      </c>
      <c r="E162" s="24" t="str">
        <f aca="false">IF(IFERROR(INDEX(tsk_Name,(ROW()-ROW(MSPTasks[[#Headers],[ID]])))="",TRUE()),"",IF(INDEX(tsk_Mode,(ROW()-ROW(MSPTasks[[#Headers],[ID]])))="Manual","Manually Scheduled","Auto Scheduled"))</f>
        <v/>
      </c>
      <c r="F162" s="24" t="str">
        <f aca="false">IF(IFERROR(INDEX(tsk_Name,(ROW()-ROW(MSPTasks[[#Headers],[ID]])))="",TRUE()),"",IF(INDEX(tsk_IsSummary,(ROW()-ROW(MSPTasks[[#Headers],[ID]]))),"",N(INDEX(tsk_Duration,(ROW()-ROW(MSPTasks[[#Headers],[ID]]))))&amp;"d"))</f>
        <v/>
      </c>
      <c r="G162" s="137" t="str">
        <f aca="false">IF(IFERROR(INDEX(tsk_Name,(ROW()-ROW(MSPTasks[[#Headers],[ID]])))="",TRUE()),"",INDEX(tsk_FcStart,(ROW()-ROW(MSPTasks[[#Headers],[ID]]))))</f>
        <v/>
      </c>
      <c r="H162" s="137" t="str">
        <f aca="false">IF(IFERROR(INDEX(tsk_Name,(ROW()-ROW(MSPTasks[[#Headers],[ID]])))="",TRUE()),"",INDEX(tsk_FcFinish,(ROW()-ROW(MSPTasks[[#Headers],[ID]]))))</f>
        <v/>
      </c>
      <c r="I162" s="24" t="str">
        <f aca="false">IF(IFERROR(INDEX(tsk_Name,(ROW()-ROW(MSPTasks[[#Headers],[ID]])))="",TRUE()),"",IF(INDEX(tsk_IsSummary,(ROW()-ROW(MSPTasks[[#Headers],[ID]]))),"",INDEX(tsk_Predecessors,(ROW()-ROW(MSPTasks[[#Headers],[ID]])))))</f>
        <v/>
      </c>
      <c r="J162" s="24" t="str">
        <f aca="false">IF(IFERROR(INDEX(tsk_Name,(ROW()-ROW(MSPTasks[[#Headers],[ID]])))="",TRUE()),"",IF(INDEX(tsk_IsSummary,(ROW()-ROW(MSPTasks[[#Headers],[ID]]))),"",INDEX(tsk_UIDPredecessors,(ROW()-ROW(MSPTasks[[#Headers],[ID]])))))</f>
        <v/>
      </c>
      <c r="K162" s="24" t="str">
        <f aca="false">IF(IFERROR(INDEX(tsk_Name,(ROW()-ROW(MSPTasks[[#Headers],[ID]])))="",TRUE()),"",INDEX(tsk_ResourceNames,(ROW()-ROW(MSPTasks[[#Headers],[ID]])))&amp;"")</f>
        <v/>
      </c>
      <c r="L162" s="24" t="str">
        <f aca="false">IF(IFERROR(INDEX(tsk_Name,(ROW()-ROW(MSPTasks[[#Headers],[ID]])))="",TRUE()),"",IF(INDEX(tsk_IsSummary,(ROW()-ROW(MSPTasks[[#Headers],[ID]]))),"",ROUND(INDEX(tsk_Progress,(ROW()-ROW(MSPTasks[[#Headers],[ID]])))*100,0)))</f>
        <v/>
      </c>
      <c r="M162" s="137" t="str">
        <f aca="false">IF(IFERROR(INDEX(tsk_Name,(ROW()-ROW(MSPTasks[[#Headers],[ID]])))="",TRUE()),"",IF(N(INDEX(tsk_ActStart,(ROW()-ROW(MSPTasks[[#Headers],[ID]]))))=0,"",INDEX(tsk_ActStart,(ROW()-ROW(MSPTasks[[#Headers],[ID]])))))</f>
        <v/>
      </c>
      <c r="N162" s="137" t="str">
        <f aca="false">IF(IFERROR(INDEX(tsk_Name,(ROW()-ROW(MSPTasks[[#Headers],[ID]])))="",TRUE()),"",IF(N(INDEX(tsk_ActFinish,(ROW()-ROW(MSPTasks[[#Headers],[ID]]))))=0,"",INDEX(tsk_ActFinish,(ROW()-ROW(MSPTasks[[#Headers],[ID]])))))</f>
        <v/>
      </c>
      <c r="O162" s="137" t="str">
        <f aca="false">IF(IFERROR(INDEX(tsk_Name,(ROW()-ROW(MSPTasks[[#Headers],[ID]])))="",TRUE()),"",INDEX(tsk_PlanStart,(ROW()-ROW(MSPTasks[[#Headers],[ID]]))))</f>
        <v/>
      </c>
      <c r="P162" s="137" t="str">
        <f aca="false">IF(IFERROR(INDEX(tsk_Name,(ROW()-ROW(MSPTasks[[#Headers],[ID]])))="",TRUE()),"",INDEX(tsk_PlanFinish,(ROW()-ROW(MSPTasks[[#Headers],[ID]]))))</f>
        <v/>
      </c>
      <c r="Q162" s="24" t="str">
        <f aca="false">IF(IFERROR(INDEX(tsk_Name,(ROW()-ROW(MSPTasks[[#Headers],[ID]])))="",TRUE()),"",IF(INDEX(tsk_BaseDuration,(ROW()-ROW(MSPTasks[[#Headers],[ID]])))="","",N(INDEX(tsk_BaseDuration,(ROW()-ROW(MSPTasks[[#Headers],[ID]]))))&amp;"d"))</f>
        <v/>
      </c>
      <c r="R162" s="24" t="str">
        <f aca="false">IF(IFERROR(INDEX(tsk_Name,(ROW()-ROW(MSPTasks[[#Headers],[ID]])))="",TRUE()),"",IF(INDEX(tsk_BaseWork,(ROW()-ROW(MSPTasks[[#Headers],[ID]])))="","",N(INDEX(tsk_BaseWork,(ROW()-ROW(MSPTasks[[#Headers],[ID]]))))&amp;"h"))</f>
        <v/>
      </c>
      <c r="S162" s="24" t="str">
        <f aca="false">IF(IFERROR(INDEX(tsk_Name,(ROW()-ROW(MSPTasks[[#Headers],[ID]])))="",TRUE()),"",IF(INDEX(tsk_BaseCost,(ROW()-ROW(MSPTasks[[#Headers],[ID]])))="","",N(INDEX(tsk_BaseCost,(ROW()-ROW(MSPTasks[[#Headers],[ID]]))))))</f>
        <v/>
      </c>
      <c r="T162" s="24" t="str">
        <f aca="false">IF(IFERROR(INDEX(tsk_Name,(ROW()-ROW(MSPTasks[[#Headers],[ID]])))="",TRUE()),"",IF(INDEX(tsk_IsSummary,(ROW()-ROW(MSPTasks[[#Headers],[ID]]))),"",IF(N(INDEX(tsk_ActCostInput,(ROW()-ROW(MSPTasks[[#Headers],[ID]]))))=0,"",INDEX(tsk_ActCostInput,(ROW()-ROW(MSPTasks[[#Headers],[ID]]))))))</f>
        <v/>
      </c>
      <c r="U16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2" s="137" t="str">
        <f aca="false">IF(IFERROR(INDEX(tsk_Name,(ROW()-ROW(MSPTasks[[#Headers],[ID]])))="",TRUE()),"",IF(OR(INDEX(tsk_IsSummary,(ROW()-ROW(MSPTasks[[#Headers],[ID]]))),INDEX(tsk_Mode,(ROW()-ROW(MSPTasks[[#Headers],[ID]])))="Manual"),"",IF(N(INDEX(tsk_ConstraintCode,(ROW()-ROW(MSPTasks[[#Headers],[ID]]))))&lt;2,"",INDEX(tsk_Constraint,(ROW()-ROW(MSPTasks[[#Headers],[ID]]))))))</f>
        <v/>
      </c>
      <c r="W162" s="137" t="str">
        <f aca="false">IF(IFERROR(INDEX(tsk_Name,(ROW()-ROW(MSPTasks[[#Headers],[ID]])))="",TRUE()),"",IF(N(INDEX(tsk_Deadline,(ROW()-ROW(MSPTasks[[#Headers],[ID]]))))=0,"",INDEX(tsk_Deadline,(ROW()-ROW(MSPTasks[[#Headers],[ID]])))))</f>
        <v/>
      </c>
      <c r="X162" s="24" t="str">
        <f aca="false">IF(IFERROR(INDEX(tsk_Name,(ROW()-ROW(MSPTasks[[#Headers],[ID]])))="",TRUE()),"",IF(INDEX(tsk_IsSummary,(ROW()-ROW(MSPTasks[[#Headers],[ID]]))),"",INDEX(tsk_Sprint,(ROW()-ROW(MSPTasks[[#Headers],[ID]])))&amp;""))</f>
        <v/>
      </c>
      <c r="Y162" s="24" t="str">
        <f aca="false">IF(IFERROR(INDEX(tsk_Name,(ROW()-ROW(MSPTasks[[#Headers],[ID]])))="",TRUE()),"",IF(INDEX(tsk_IsSummary,(ROW()-ROW(MSPTasks[[#Headers],[ID]]))),"",IF(N(INDEX(tsk_StoryPoints,(ROW()-ROW(MSPTasks[[#Headers],[ID]]))))=0,"",INDEX(tsk_StoryPoints,(ROW()-ROW(MSPTasks[[#Headers],[ID]]))))))</f>
        <v/>
      </c>
      <c r="Z162" s="24" t="str">
        <f aca="false">IF(IFERROR(INDEX(tsk_Name,(ROW()-ROW(MSPTasks[[#Headers],[ID]])))="",TRUE()),"",INDEX(tsk_Notes,(ROW()-ROW(MSPTasks[[#Headers],[ID]])))&amp;"")</f>
        <v/>
      </c>
    </row>
    <row r="163" customFormat="false" ht="15" hidden="false" customHeight="false" outlineLevel="0" collapsed="false">
      <c r="A163" s="24" t="str">
        <f aca="false">IF(IFERROR(INDEX(tsk_Name,(ROW()-ROW(MSPTasks[[#Headers],[ID]])))="",TRUE()),"",INDEX(tsk_ID,(ROW()-ROW(MSPTasks[[#Headers],[ID]]))))</f>
        <v/>
      </c>
      <c r="B163" s="24" t="str">
        <f aca="false">IF(IFERROR(INDEX(tsk_Name,(ROW()-ROW(MSPTasks[[#Headers],[ID]])))="",TRUE()),"",INDEX(tsk_UID,(ROW()-ROW(MSPTasks[[#Headers],[ID]]))))</f>
        <v/>
      </c>
      <c r="C163" s="24" t="str">
        <f aca="false">IF(IFERROR(INDEX(tsk_Name,(ROW()-ROW(MSPTasks[[#Headers],[ID]])))="",TRUE()),"",INDEX(tsk_Name,(ROW()-ROW(MSPTasks[[#Headers],[ID]]))))</f>
        <v/>
      </c>
      <c r="D163" s="24" t="str">
        <f aca="false">IF(IFERROR(INDEX(tsk_Name,(ROW()-ROW(MSPTasks[[#Headers],[ID]])))="",TRUE()),"",INDEX(tsk_Level,(ROW()-ROW(MSPTasks[[#Headers],[ID]]))))</f>
        <v/>
      </c>
      <c r="E163" s="24" t="str">
        <f aca="false">IF(IFERROR(INDEX(tsk_Name,(ROW()-ROW(MSPTasks[[#Headers],[ID]])))="",TRUE()),"",IF(INDEX(tsk_Mode,(ROW()-ROW(MSPTasks[[#Headers],[ID]])))="Manual","Manually Scheduled","Auto Scheduled"))</f>
        <v/>
      </c>
      <c r="F163" s="24" t="str">
        <f aca="false">IF(IFERROR(INDEX(tsk_Name,(ROW()-ROW(MSPTasks[[#Headers],[ID]])))="",TRUE()),"",IF(INDEX(tsk_IsSummary,(ROW()-ROW(MSPTasks[[#Headers],[ID]]))),"",N(INDEX(tsk_Duration,(ROW()-ROW(MSPTasks[[#Headers],[ID]]))))&amp;"d"))</f>
        <v/>
      </c>
      <c r="G163" s="137" t="str">
        <f aca="false">IF(IFERROR(INDEX(tsk_Name,(ROW()-ROW(MSPTasks[[#Headers],[ID]])))="",TRUE()),"",INDEX(tsk_FcStart,(ROW()-ROW(MSPTasks[[#Headers],[ID]]))))</f>
        <v/>
      </c>
      <c r="H163" s="137" t="str">
        <f aca="false">IF(IFERROR(INDEX(tsk_Name,(ROW()-ROW(MSPTasks[[#Headers],[ID]])))="",TRUE()),"",INDEX(tsk_FcFinish,(ROW()-ROW(MSPTasks[[#Headers],[ID]]))))</f>
        <v/>
      </c>
      <c r="I163" s="24" t="str">
        <f aca="false">IF(IFERROR(INDEX(tsk_Name,(ROW()-ROW(MSPTasks[[#Headers],[ID]])))="",TRUE()),"",IF(INDEX(tsk_IsSummary,(ROW()-ROW(MSPTasks[[#Headers],[ID]]))),"",INDEX(tsk_Predecessors,(ROW()-ROW(MSPTasks[[#Headers],[ID]])))))</f>
        <v/>
      </c>
      <c r="J163" s="24" t="str">
        <f aca="false">IF(IFERROR(INDEX(tsk_Name,(ROW()-ROW(MSPTasks[[#Headers],[ID]])))="",TRUE()),"",IF(INDEX(tsk_IsSummary,(ROW()-ROW(MSPTasks[[#Headers],[ID]]))),"",INDEX(tsk_UIDPredecessors,(ROW()-ROW(MSPTasks[[#Headers],[ID]])))))</f>
        <v/>
      </c>
      <c r="K163" s="24" t="str">
        <f aca="false">IF(IFERROR(INDEX(tsk_Name,(ROW()-ROW(MSPTasks[[#Headers],[ID]])))="",TRUE()),"",INDEX(tsk_ResourceNames,(ROW()-ROW(MSPTasks[[#Headers],[ID]])))&amp;"")</f>
        <v/>
      </c>
      <c r="L163" s="24" t="str">
        <f aca="false">IF(IFERROR(INDEX(tsk_Name,(ROW()-ROW(MSPTasks[[#Headers],[ID]])))="",TRUE()),"",IF(INDEX(tsk_IsSummary,(ROW()-ROW(MSPTasks[[#Headers],[ID]]))),"",ROUND(INDEX(tsk_Progress,(ROW()-ROW(MSPTasks[[#Headers],[ID]])))*100,0)))</f>
        <v/>
      </c>
      <c r="M163" s="137" t="str">
        <f aca="false">IF(IFERROR(INDEX(tsk_Name,(ROW()-ROW(MSPTasks[[#Headers],[ID]])))="",TRUE()),"",IF(N(INDEX(tsk_ActStart,(ROW()-ROW(MSPTasks[[#Headers],[ID]]))))=0,"",INDEX(tsk_ActStart,(ROW()-ROW(MSPTasks[[#Headers],[ID]])))))</f>
        <v/>
      </c>
      <c r="N163" s="137" t="str">
        <f aca="false">IF(IFERROR(INDEX(tsk_Name,(ROW()-ROW(MSPTasks[[#Headers],[ID]])))="",TRUE()),"",IF(N(INDEX(tsk_ActFinish,(ROW()-ROW(MSPTasks[[#Headers],[ID]]))))=0,"",INDEX(tsk_ActFinish,(ROW()-ROW(MSPTasks[[#Headers],[ID]])))))</f>
        <v/>
      </c>
      <c r="O163" s="137" t="str">
        <f aca="false">IF(IFERROR(INDEX(tsk_Name,(ROW()-ROW(MSPTasks[[#Headers],[ID]])))="",TRUE()),"",INDEX(tsk_PlanStart,(ROW()-ROW(MSPTasks[[#Headers],[ID]]))))</f>
        <v/>
      </c>
      <c r="P163" s="137" t="str">
        <f aca="false">IF(IFERROR(INDEX(tsk_Name,(ROW()-ROW(MSPTasks[[#Headers],[ID]])))="",TRUE()),"",INDEX(tsk_PlanFinish,(ROW()-ROW(MSPTasks[[#Headers],[ID]]))))</f>
        <v/>
      </c>
      <c r="Q163" s="24" t="str">
        <f aca="false">IF(IFERROR(INDEX(tsk_Name,(ROW()-ROW(MSPTasks[[#Headers],[ID]])))="",TRUE()),"",IF(INDEX(tsk_BaseDuration,(ROW()-ROW(MSPTasks[[#Headers],[ID]])))="","",N(INDEX(tsk_BaseDuration,(ROW()-ROW(MSPTasks[[#Headers],[ID]]))))&amp;"d"))</f>
        <v/>
      </c>
      <c r="R163" s="24" t="str">
        <f aca="false">IF(IFERROR(INDEX(tsk_Name,(ROW()-ROW(MSPTasks[[#Headers],[ID]])))="",TRUE()),"",IF(INDEX(tsk_BaseWork,(ROW()-ROW(MSPTasks[[#Headers],[ID]])))="","",N(INDEX(tsk_BaseWork,(ROW()-ROW(MSPTasks[[#Headers],[ID]]))))&amp;"h"))</f>
        <v/>
      </c>
      <c r="S163" s="24" t="str">
        <f aca="false">IF(IFERROR(INDEX(tsk_Name,(ROW()-ROW(MSPTasks[[#Headers],[ID]])))="",TRUE()),"",IF(INDEX(tsk_BaseCost,(ROW()-ROW(MSPTasks[[#Headers],[ID]])))="","",N(INDEX(tsk_BaseCost,(ROW()-ROW(MSPTasks[[#Headers],[ID]]))))))</f>
        <v/>
      </c>
      <c r="T163" s="24" t="str">
        <f aca="false">IF(IFERROR(INDEX(tsk_Name,(ROW()-ROW(MSPTasks[[#Headers],[ID]])))="",TRUE()),"",IF(INDEX(tsk_IsSummary,(ROW()-ROW(MSPTasks[[#Headers],[ID]]))),"",IF(N(INDEX(tsk_ActCostInput,(ROW()-ROW(MSPTasks[[#Headers],[ID]]))))=0,"",INDEX(tsk_ActCostInput,(ROW()-ROW(MSPTasks[[#Headers],[ID]]))))))</f>
        <v/>
      </c>
      <c r="U16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3" s="137" t="str">
        <f aca="false">IF(IFERROR(INDEX(tsk_Name,(ROW()-ROW(MSPTasks[[#Headers],[ID]])))="",TRUE()),"",IF(OR(INDEX(tsk_IsSummary,(ROW()-ROW(MSPTasks[[#Headers],[ID]]))),INDEX(tsk_Mode,(ROW()-ROW(MSPTasks[[#Headers],[ID]])))="Manual"),"",IF(N(INDEX(tsk_ConstraintCode,(ROW()-ROW(MSPTasks[[#Headers],[ID]]))))&lt;2,"",INDEX(tsk_Constraint,(ROW()-ROW(MSPTasks[[#Headers],[ID]]))))))</f>
        <v/>
      </c>
      <c r="W163" s="137" t="str">
        <f aca="false">IF(IFERROR(INDEX(tsk_Name,(ROW()-ROW(MSPTasks[[#Headers],[ID]])))="",TRUE()),"",IF(N(INDEX(tsk_Deadline,(ROW()-ROW(MSPTasks[[#Headers],[ID]]))))=0,"",INDEX(tsk_Deadline,(ROW()-ROW(MSPTasks[[#Headers],[ID]])))))</f>
        <v/>
      </c>
      <c r="X163" s="24" t="str">
        <f aca="false">IF(IFERROR(INDEX(tsk_Name,(ROW()-ROW(MSPTasks[[#Headers],[ID]])))="",TRUE()),"",IF(INDEX(tsk_IsSummary,(ROW()-ROW(MSPTasks[[#Headers],[ID]]))),"",INDEX(tsk_Sprint,(ROW()-ROW(MSPTasks[[#Headers],[ID]])))&amp;""))</f>
        <v/>
      </c>
      <c r="Y163" s="24" t="str">
        <f aca="false">IF(IFERROR(INDEX(tsk_Name,(ROW()-ROW(MSPTasks[[#Headers],[ID]])))="",TRUE()),"",IF(INDEX(tsk_IsSummary,(ROW()-ROW(MSPTasks[[#Headers],[ID]]))),"",IF(N(INDEX(tsk_StoryPoints,(ROW()-ROW(MSPTasks[[#Headers],[ID]]))))=0,"",INDEX(tsk_StoryPoints,(ROW()-ROW(MSPTasks[[#Headers],[ID]]))))))</f>
        <v/>
      </c>
      <c r="Z163" s="24" t="str">
        <f aca="false">IF(IFERROR(INDEX(tsk_Name,(ROW()-ROW(MSPTasks[[#Headers],[ID]])))="",TRUE()),"",INDEX(tsk_Notes,(ROW()-ROW(MSPTasks[[#Headers],[ID]])))&amp;"")</f>
        <v/>
      </c>
    </row>
    <row r="164" customFormat="false" ht="15" hidden="false" customHeight="false" outlineLevel="0" collapsed="false">
      <c r="A164" s="24" t="str">
        <f aca="false">IF(IFERROR(INDEX(tsk_Name,(ROW()-ROW(MSPTasks[[#Headers],[ID]])))="",TRUE()),"",INDEX(tsk_ID,(ROW()-ROW(MSPTasks[[#Headers],[ID]]))))</f>
        <v/>
      </c>
      <c r="B164" s="24" t="str">
        <f aca="false">IF(IFERROR(INDEX(tsk_Name,(ROW()-ROW(MSPTasks[[#Headers],[ID]])))="",TRUE()),"",INDEX(tsk_UID,(ROW()-ROW(MSPTasks[[#Headers],[ID]]))))</f>
        <v/>
      </c>
      <c r="C164" s="24" t="str">
        <f aca="false">IF(IFERROR(INDEX(tsk_Name,(ROW()-ROW(MSPTasks[[#Headers],[ID]])))="",TRUE()),"",INDEX(tsk_Name,(ROW()-ROW(MSPTasks[[#Headers],[ID]]))))</f>
        <v/>
      </c>
      <c r="D164" s="24" t="str">
        <f aca="false">IF(IFERROR(INDEX(tsk_Name,(ROW()-ROW(MSPTasks[[#Headers],[ID]])))="",TRUE()),"",INDEX(tsk_Level,(ROW()-ROW(MSPTasks[[#Headers],[ID]]))))</f>
        <v/>
      </c>
      <c r="E164" s="24" t="str">
        <f aca="false">IF(IFERROR(INDEX(tsk_Name,(ROW()-ROW(MSPTasks[[#Headers],[ID]])))="",TRUE()),"",IF(INDEX(tsk_Mode,(ROW()-ROW(MSPTasks[[#Headers],[ID]])))="Manual","Manually Scheduled","Auto Scheduled"))</f>
        <v/>
      </c>
      <c r="F164" s="24" t="str">
        <f aca="false">IF(IFERROR(INDEX(tsk_Name,(ROW()-ROW(MSPTasks[[#Headers],[ID]])))="",TRUE()),"",IF(INDEX(tsk_IsSummary,(ROW()-ROW(MSPTasks[[#Headers],[ID]]))),"",N(INDEX(tsk_Duration,(ROW()-ROW(MSPTasks[[#Headers],[ID]]))))&amp;"d"))</f>
        <v/>
      </c>
      <c r="G164" s="137" t="str">
        <f aca="false">IF(IFERROR(INDEX(tsk_Name,(ROW()-ROW(MSPTasks[[#Headers],[ID]])))="",TRUE()),"",INDEX(tsk_FcStart,(ROW()-ROW(MSPTasks[[#Headers],[ID]]))))</f>
        <v/>
      </c>
      <c r="H164" s="137" t="str">
        <f aca="false">IF(IFERROR(INDEX(tsk_Name,(ROW()-ROW(MSPTasks[[#Headers],[ID]])))="",TRUE()),"",INDEX(tsk_FcFinish,(ROW()-ROW(MSPTasks[[#Headers],[ID]]))))</f>
        <v/>
      </c>
      <c r="I164" s="24" t="str">
        <f aca="false">IF(IFERROR(INDEX(tsk_Name,(ROW()-ROW(MSPTasks[[#Headers],[ID]])))="",TRUE()),"",IF(INDEX(tsk_IsSummary,(ROW()-ROW(MSPTasks[[#Headers],[ID]]))),"",INDEX(tsk_Predecessors,(ROW()-ROW(MSPTasks[[#Headers],[ID]])))))</f>
        <v/>
      </c>
      <c r="J164" s="24" t="str">
        <f aca="false">IF(IFERROR(INDEX(tsk_Name,(ROW()-ROW(MSPTasks[[#Headers],[ID]])))="",TRUE()),"",IF(INDEX(tsk_IsSummary,(ROW()-ROW(MSPTasks[[#Headers],[ID]]))),"",INDEX(tsk_UIDPredecessors,(ROW()-ROW(MSPTasks[[#Headers],[ID]])))))</f>
        <v/>
      </c>
      <c r="K164" s="24" t="str">
        <f aca="false">IF(IFERROR(INDEX(tsk_Name,(ROW()-ROW(MSPTasks[[#Headers],[ID]])))="",TRUE()),"",INDEX(tsk_ResourceNames,(ROW()-ROW(MSPTasks[[#Headers],[ID]])))&amp;"")</f>
        <v/>
      </c>
      <c r="L164" s="24" t="str">
        <f aca="false">IF(IFERROR(INDEX(tsk_Name,(ROW()-ROW(MSPTasks[[#Headers],[ID]])))="",TRUE()),"",IF(INDEX(tsk_IsSummary,(ROW()-ROW(MSPTasks[[#Headers],[ID]]))),"",ROUND(INDEX(tsk_Progress,(ROW()-ROW(MSPTasks[[#Headers],[ID]])))*100,0)))</f>
        <v/>
      </c>
      <c r="M164" s="137" t="str">
        <f aca="false">IF(IFERROR(INDEX(tsk_Name,(ROW()-ROW(MSPTasks[[#Headers],[ID]])))="",TRUE()),"",IF(N(INDEX(tsk_ActStart,(ROW()-ROW(MSPTasks[[#Headers],[ID]]))))=0,"",INDEX(tsk_ActStart,(ROW()-ROW(MSPTasks[[#Headers],[ID]])))))</f>
        <v/>
      </c>
      <c r="N164" s="137" t="str">
        <f aca="false">IF(IFERROR(INDEX(tsk_Name,(ROW()-ROW(MSPTasks[[#Headers],[ID]])))="",TRUE()),"",IF(N(INDEX(tsk_ActFinish,(ROW()-ROW(MSPTasks[[#Headers],[ID]]))))=0,"",INDEX(tsk_ActFinish,(ROW()-ROW(MSPTasks[[#Headers],[ID]])))))</f>
        <v/>
      </c>
      <c r="O164" s="137" t="str">
        <f aca="false">IF(IFERROR(INDEX(tsk_Name,(ROW()-ROW(MSPTasks[[#Headers],[ID]])))="",TRUE()),"",INDEX(tsk_PlanStart,(ROW()-ROW(MSPTasks[[#Headers],[ID]]))))</f>
        <v/>
      </c>
      <c r="P164" s="137" t="str">
        <f aca="false">IF(IFERROR(INDEX(tsk_Name,(ROW()-ROW(MSPTasks[[#Headers],[ID]])))="",TRUE()),"",INDEX(tsk_PlanFinish,(ROW()-ROW(MSPTasks[[#Headers],[ID]]))))</f>
        <v/>
      </c>
      <c r="Q164" s="24" t="str">
        <f aca="false">IF(IFERROR(INDEX(tsk_Name,(ROW()-ROW(MSPTasks[[#Headers],[ID]])))="",TRUE()),"",IF(INDEX(tsk_BaseDuration,(ROW()-ROW(MSPTasks[[#Headers],[ID]])))="","",N(INDEX(tsk_BaseDuration,(ROW()-ROW(MSPTasks[[#Headers],[ID]]))))&amp;"d"))</f>
        <v/>
      </c>
      <c r="R164" s="24" t="str">
        <f aca="false">IF(IFERROR(INDEX(tsk_Name,(ROW()-ROW(MSPTasks[[#Headers],[ID]])))="",TRUE()),"",IF(INDEX(tsk_BaseWork,(ROW()-ROW(MSPTasks[[#Headers],[ID]])))="","",N(INDEX(tsk_BaseWork,(ROW()-ROW(MSPTasks[[#Headers],[ID]]))))&amp;"h"))</f>
        <v/>
      </c>
      <c r="S164" s="24" t="str">
        <f aca="false">IF(IFERROR(INDEX(tsk_Name,(ROW()-ROW(MSPTasks[[#Headers],[ID]])))="",TRUE()),"",IF(INDEX(tsk_BaseCost,(ROW()-ROW(MSPTasks[[#Headers],[ID]])))="","",N(INDEX(tsk_BaseCost,(ROW()-ROW(MSPTasks[[#Headers],[ID]]))))))</f>
        <v/>
      </c>
      <c r="T164" s="24" t="str">
        <f aca="false">IF(IFERROR(INDEX(tsk_Name,(ROW()-ROW(MSPTasks[[#Headers],[ID]])))="",TRUE()),"",IF(INDEX(tsk_IsSummary,(ROW()-ROW(MSPTasks[[#Headers],[ID]]))),"",IF(N(INDEX(tsk_ActCostInput,(ROW()-ROW(MSPTasks[[#Headers],[ID]]))))=0,"",INDEX(tsk_ActCostInput,(ROW()-ROW(MSPTasks[[#Headers],[ID]]))))))</f>
        <v/>
      </c>
      <c r="U16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4" s="137" t="str">
        <f aca="false">IF(IFERROR(INDEX(tsk_Name,(ROW()-ROW(MSPTasks[[#Headers],[ID]])))="",TRUE()),"",IF(OR(INDEX(tsk_IsSummary,(ROW()-ROW(MSPTasks[[#Headers],[ID]]))),INDEX(tsk_Mode,(ROW()-ROW(MSPTasks[[#Headers],[ID]])))="Manual"),"",IF(N(INDEX(tsk_ConstraintCode,(ROW()-ROW(MSPTasks[[#Headers],[ID]]))))&lt;2,"",INDEX(tsk_Constraint,(ROW()-ROW(MSPTasks[[#Headers],[ID]]))))))</f>
        <v/>
      </c>
      <c r="W164" s="137" t="str">
        <f aca="false">IF(IFERROR(INDEX(tsk_Name,(ROW()-ROW(MSPTasks[[#Headers],[ID]])))="",TRUE()),"",IF(N(INDEX(tsk_Deadline,(ROW()-ROW(MSPTasks[[#Headers],[ID]]))))=0,"",INDEX(tsk_Deadline,(ROW()-ROW(MSPTasks[[#Headers],[ID]])))))</f>
        <v/>
      </c>
      <c r="X164" s="24" t="str">
        <f aca="false">IF(IFERROR(INDEX(tsk_Name,(ROW()-ROW(MSPTasks[[#Headers],[ID]])))="",TRUE()),"",IF(INDEX(tsk_IsSummary,(ROW()-ROW(MSPTasks[[#Headers],[ID]]))),"",INDEX(tsk_Sprint,(ROW()-ROW(MSPTasks[[#Headers],[ID]])))&amp;""))</f>
        <v/>
      </c>
      <c r="Y164" s="24" t="str">
        <f aca="false">IF(IFERROR(INDEX(tsk_Name,(ROW()-ROW(MSPTasks[[#Headers],[ID]])))="",TRUE()),"",IF(INDEX(tsk_IsSummary,(ROW()-ROW(MSPTasks[[#Headers],[ID]]))),"",IF(N(INDEX(tsk_StoryPoints,(ROW()-ROW(MSPTasks[[#Headers],[ID]]))))=0,"",INDEX(tsk_StoryPoints,(ROW()-ROW(MSPTasks[[#Headers],[ID]]))))))</f>
        <v/>
      </c>
      <c r="Z164" s="24" t="str">
        <f aca="false">IF(IFERROR(INDEX(tsk_Name,(ROW()-ROW(MSPTasks[[#Headers],[ID]])))="",TRUE()),"",INDEX(tsk_Notes,(ROW()-ROW(MSPTasks[[#Headers],[ID]])))&amp;"")</f>
        <v/>
      </c>
    </row>
    <row r="165" customFormat="false" ht="15" hidden="false" customHeight="false" outlineLevel="0" collapsed="false">
      <c r="A165" s="24" t="str">
        <f aca="false">IF(IFERROR(INDEX(tsk_Name,(ROW()-ROW(MSPTasks[[#Headers],[ID]])))="",TRUE()),"",INDEX(tsk_ID,(ROW()-ROW(MSPTasks[[#Headers],[ID]]))))</f>
        <v/>
      </c>
      <c r="B165" s="24" t="str">
        <f aca="false">IF(IFERROR(INDEX(tsk_Name,(ROW()-ROW(MSPTasks[[#Headers],[ID]])))="",TRUE()),"",INDEX(tsk_UID,(ROW()-ROW(MSPTasks[[#Headers],[ID]]))))</f>
        <v/>
      </c>
      <c r="C165" s="24" t="str">
        <f aca="false">IF(IFERROR(INDEX(tsk_Name,(ROW()-ROW(MSPTasks[[#Headers],[ID]])))="",TRUE()),"",INDEX(tsk_Name,(ROW()-ROW(MSPTasks[[#Headers],[ID]]))))</f>
        <v/>
      </c>
      <c r="D165" s="24" t="str">
        <f aca="false">IF(IFERROR(INDEX(tsk_Name,(ROW()-ROW(MSPTasks[[#Headers],[ID]])))="",TRUE()),"",INDEX(tsk_Level,(ROW()-ROW(MSPTasks[[#Headers],[ID]]))))</f>
        <v/>
      </c>
      <c r="E165" s="24" t="str">
        <f aca="false">IF(IFERROR(INDEX(tsk_Name,(ROW()-ROW(MSPTasks[[#Headers],[ID]])))="",TRUE()),"",IF(INDEX(tsk_Mode,(ROW()-ROW(MSPTasks[[#Headers],[ID]])))="Manual","Manually Scheduled","Auto Scheduled"))</f>
        <v/>
      </c>
      <c r="F165" s="24" t="str">
        <f aca="false">IF(IFERROR(INDEX(tsk_Name,(ROW()-ROW(MSPTasks[[#Headers],[ID]])))="",TRUE()),"",IF(INDEX(tsk_IsSummary,(ROW()-ROW(MSPTasks[[#Headers],[ID]]))),"",N(INDEX(tsk_Duration,(ROW()-ROW(MSPTasks[[#Headers],[ID]]))))&amp;"d"))</f>
        <v/>
      </c>
      <c r="G165" s="137" t="str">
        <f aca="false">IF(IFERROR(INDEX(tsk_Name,(ROW()-ROW(MSPTasks[[#Headers],[ID]])))="",TRUE()),"",INDEX(tsk_FcStart,(ROW()-ROW(MSPTasks[[#Headers],[ID]]))))</f>
        <v/>
      </c>
      <c r="H165" s="137" t="str">
        <f aca="false">IF(IFERROR(INDEX(tsk_Name,(ROW()-ROW(MSPTasks[[#Headers],[ID]])))="",TRUE()),"",INDEX(tsk_FcFinish,(ROW()-ROW(MSPTasks[[#Headers],[ID]]))))</f>
        <v/>
      </c>
      <c r="I165" s="24" t="str">
        <f aca="false">IF(IFERROR(INDEX(tsk_Name,(ROW()-ROW(MSPTasks[[#Headers],[ID]])))="",TRUE()),"",IF(INDEX(tsk_IsSummary,(ROW()-ROW(MSPTasks[[#Headers],[ID]]))),"",INDEX(tsk_Predecessors,(ROW()-ROW(MSPTasks[[#Headers],[ID]])))))</f>
        <v/>
      </c>
      <c r="J165" s="24" t="str">
        <f aca="false">IF(IFERROR(INDEX(tsk_Name,(ROW()-ROW(MSPTasks[[#Headers],[ID]])))="",TRUE()),"",IF(INDEX(tsk_IsSummary,(ROW()-ROW(MSPTasks[[#Headers],[ID]]))),"",INDEX(tsk_UIDPredecessors,(ROW()-ROW(MSPTasks[[#Headers],[ID]])))))</f>
        <v/>
      </c>
      <c r="K165" s="24" t="str">
        <f aca="false">IF(IFERROR(INDEX(tsk_Name,(ROW()-ROW(MSPTasks[[#Headers],[ID]])))="",TRUE()),"",INDEX(tsk_ResourceNames,(ROW()-ROW(MSPTasks[[#Headers],[ID]])))&amp;"")</f>
        <v/>
      </c>
      <c r="L165" s="24" t="str">
        <f aca="false">IF(IFERROR(INDEX(tsk_Name,(ROW()-ROW(MSPTasks[[#Headers],[ID]])))="",TRUE()),"",IF(INDEX(tsk_IsSummary,(ROW()-ROW(MSPTasks[[#Headers],[ID]]))),"",ROUND(INDEX(tsk_Progress,(ROW()-ROW(MSPTasks[[#Headers],[ID]])))*100,0)))</f>
        <v/>
      </c>
      <c r="M165" s="137" t="str">
        <f aca="false">IF(IFERROR(INDEX(tsk_Name,(ROW()-ROW(MSPTasks[[#Headers],[ID]])))="",TRUE()),"",IF(N(INDEX(tsk_ActStart,(ROW()-ROW(MSPTasks[[#Headers],[ID]]))))=0,"",INDEX(tsk_ActStart,(ROW()-ROW(MSPTasks[[#Headers],[ID]])))))</f>
        <v/>
      </c>
      <c r="N165" s="137" t="str">
        <f aca="false">IF(IFERROR(INDEX(tsk_Name,(ROW()-ROW(MSPTasks[[#Headers],[ID]])))="",TRUE()),"",IF(N(INDEX(tsk_ActFinish,(ROW()-ROW(MSPTasks[[#Headers],[ID]]))))=0,"",INDEX(tsk_ActFinish,(ROW()-ROW(MSPTasks[[#Headers],[ID]])))))</f>
        <v/>
      </c>
      <c r="O165" s="137" t="str">
        <f aca="false">IF(IFERROR(INDEX(tsk_Name,(ROW()-ROW(MSPTasks[[#Headers],[ID]])))="",TRUE()),"",INDEX(tsk_PlanStart,(ROW()-ROW(MSPTasks[[#Headers],[ID]]))))</f>
        <v/>
      </c>
      <c r="P165" s="137" t="str">
        <f aca="false">IF(IFERROR(INDEX(tsk_Name,(ROW()-ROW(MSPTasks[[#Headers],[ID]])))="",TRUE()),"",INDEX(tsk_PlanFinish,(ROW()-ROW(MSPTasks[[#Headers],[ID]]))))</f>
        <v/>
      </c>
      <c r="Q165" s="24" t="str">
        <f aca="false">IF(IFERROR(INDEX(tsk_Name,(ROW()-ROW(MSPTasks[[#Headers],[ID]])))="",TRUE()),"",IF(INDEX(tsk_BaseDuration,(ROW()-ROW(MSPTasks[[#Headers],[ID]])))="","",N(INDEX(tsk_BaseDuration,(ROW()-ROW(MSPTasks[[#Headers],[ID]]))))&amp;"d"))</f>
        <v/>
      </c>
      <c r="R165" s="24" t="str">
        <f aca="false">IF(IFERROR(INDEX(tsk_Name,(ROW()-ROW(MSPTasks[[#Headers],[ID]])))="",TRUE()),"",IF(INDEX(tsk_BaseWork,(ROW()-ROW(MSPTasks[[#Headers],[ID]])))="","",N(INDEX(tsk_BaseWork,(ROW()-ROW(MSPTasks[[#Headers],[ID]]))))&amp;"h"))</f>
        <v/>
      </c>
      <c r="S165" s="24" t="str">
        <f aca="false">IF(IFERROR(INDEX(tsk_Name,(ROW()-ROW(MSPTasks[[#Headers],[ID]])))="",TRUE()),"",IF(INDEX(tsk_BaseCost,(ROW()-ROW(MSPTasks[[#Headers],[ID]])))="","",N(INDEX(tsk_BaseCost,(ROW()-ROW(MSPTasks[[#Headers],[ID]]))))))</f>
        <v/>
      </c>
      <c r="T165" s="24" t="str">
        <f aca="false">IF(IFERROR(INDEX(tsk_Name,(ROW()-ROW(MSPTasks[[#Headers],[ID]])))="",TRUE()),"",IF(INDEX(tsk_IsSummary,(ROW()-ROW(MSPTasks[[#Headers],[ID]]))),"",IF(N(INDEX(tsk_ActCostInput,(ROW()-ROW(MSPTasks[[#Headers],[ID]]))))=0,"",INDEX(tsk_ActCostInput,(ROW()-ROW(MSPTasks[[#Headers],[ID]]))))))</f>
        <v/>
      </c>
      <c r="U16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5" s="137" t="str">
        <f aca="false">IF(IFERROR(INDEX(tsk_Name,(ROW()-ROW(MSPTasks[[#Headers],[ID]])))="",TRUE()),"",IF(OR(INDEX(tsk_IsSummary,(ROW()-ROW(MSPTasks[[#Headers],[ID]]))),INDEX(tsk_Mode,(ROW()-ROW(MSPTasks[[#Headers],[ID]])))="Manual"),"",IF(N(INDEX(tsk_ConstraintCode,(ROW()-ROW(MSPTasks[[#Headers],[ID]]))))&lt;2,"",INDEX(tsk_Constraint,(ROW()-ROW(MSPTasks[[#Headers],[ID]]))))))</f>
        <v/>
      </c>
      <c r="W165" s="137" t="str">
        <f aca="false">IF(IFERROR(INDEX(tsk_Name,(ROW()-ROW(MSPTasks[[#Headers],[ID]])))="",TRUE()),"",IF(N(INDEX(tsk_Deadline,(ROW()-ROW(MSPTasks[[#Headers],[ID]]))))=0,"",INDEX(tsk_Deadline,(ROW()-ROW(MSPTasks[[#Headers],[ID]])))))</f>
        <v/>
      </c>
      <c r="X165" s="24" t="str">
        <f aca="false">IF(IFERROR(INDEX(tsk_Name,(ROW()-ROW(MSPTasks[[#Headers],[ID]])))="",TRUE()),"",IF(INDEX(tsk_IsSummary,(ROW()-ROW(MSPTasks[[#Headers],[ID]]))),"",INDEX(tsk_Sprint,(ROW()-ROW(MSPTasks[[#Headers],[ID]])))&amp;""))</f>
        <v/>
      </c>
      <c r="Y165" s="24" t="str">
        <f aca="false">IF(IFERROR(INDEX(tsk_Name,(ROW()-ROW(MSPTasks[[#Headers],[ID]])))="",TRUE()),"",IF(INDEX(tsk_IsSummary,(ROW()-ROW(MSPTasks[[#Headers],[ID]]))),"",IF(N(INDEX(tsk_StoryPoints,(ROW()-ROW(MSPTasks[[#Headers],[ID]]))))=0,"",INDEX(tsk_StoryPoints,(ROW()-ROW(MSPTasks[[#Headers],[ID]]))))))</f>
        <v/>
      </c>
      <c r="Z165" s="24" t="str">
        <f aca="false">IF(IFERROR(INDEX(tsk_Name,(ROW()-ROW(MSPTasks[[#Headers],[ID]])))="",TRUE()),"",INDEX(tsk_Notes,(ROW()-ROW(MSPTasks[[#Headers],[ID]])))&amp;"")</f>
        <v/>
      </c>
    </row>
    <row r="166" customFormat="false" ht="15" hidden="false" customHeight="false" outlineLevel="0" collapsed="false">
      <c r="A166" s="24" t="str">
        <f aca="false">IF(IFERROR(INDEX(tsk_Name,(ROW()-ROW(MSPTasks[[#Headers],[ID]])))="",TRUE()),"",INDEX(tsk_ID,(ROW()-ROW(MSPTasks[[#Headers],[ID]]))))</f>
        <v/>
      </c>
      <c r="B166" s="24" t="str">
        <f aca="false">IF(IFERROR(INDEX(tsk_Name,(ROW()-ROW(MSPTasks[[#Headers],[ID]])))="",TRUE()),"",INDEX(tsk_UID,(ROW()-ROW(MSPTasks[[#Headers],[ID]]))))</f>
        <v/>
      </c>
      <c r="C166" s="24" t="str">
        <f aca="false">IF(IFERROR(INDEX(tsk_Name,(ROW()-ROW(MSPTasks[[#Headers],[ID]])))="",TRUE()),"",INDEX(tsk_Name,(ROW()-ROW(MSPTasks[[#Headers],[ID]]))))</f>
        <v/>
      </c>
      <c r="D166" s="24" t="str">
        <f aca="false">IF(IFERROR(INDEX(tsk_Name,(ROW()-ROW(MSPTasks[[#Headers],[ID]])))="",TRUE()),"",INDEX(tsk_Level,(ROW()-ROW(MSPTasks[[#Headers],[ID]]))))</f>
        <v/>
      </c>
      <c r="E166" s="24" t="str">
        <f aca="false">IF(IFERROR(INDEX(tsk_Name,(ROW()-ROW(MSPTasks[[#Headers],[ID]])))="",TRUE()),"",IF(INDEX(tsk_Mode,(ROW()-ROW(MSPTasks[[#Headers],[ID]])))="Manual","Manually Scheduled","Auto Scheduled"))</f>
        <v/>
      </c>
      <c r="F166" s="24" t="str">
        <f aca="false">IF(IFERROR(INDEX(tsk_Name,(ROW()-ROW(MSPTasks[[#Headers],[ID]])))="",TRUE()),"",IF(INDEX(tsk_IsSummary,(ROW()-ROW(MSPTasks[[#Headers],[ID]]))),"",N(INDEX(tsk_Duration,(ROW()-ROW(MSPTasks[[#Headers],[ID]]))))&amp;"d"))</f>
        <v/>
      </c>
      <c r="G166" s="137" t="str">
        <f aca="false">IF(IFERROR(INDEX(tsk_Name,(ROW()-ROW(MSPTasks[[#Headers],[ID]])))="",TRUE()),"",INDEX(tsk_FcStart,(ROW()-ROW(MSPTasks[[#Headers],[ID]]))))</f>
        <v/>
      </c>
      <c r="H166" s="137" t="str">
        <f aca="false">IF(IFERROR(INDEX(tsk_Name,(ROW()-ROW(MSPTasks[[#Headers],[ID]])))="",TRUE()),"",INDEX(tsk_FcFinish,(ROW()-ROW(MSPTasks[[#Headers],[ID]]))))</f>
        <v/>
      </c>
      <c r="I166" s="24" t="str">
        <f aca="false">IF(IFERROR(INDEX(tsk_Name,(ROW()-ROW(MSPTasks[[#Headers],[ID]])))="",TRUE()),"",IF(INDEX(tsk_IsSummary,(ROW()-ROW(MSPTasks[[#Headers],[ID]]))),"",INDEX(tsk_Predecessors,(ROW()-ROW(MSPTasks[[#Headers],[ID]])))))</f>
        <v/>
      </c>
      <c r="J166" s="24" t="str">
        <f aca="false">IF(IFERROR(INDEX(tsk_Name,(ROW()-ROW(MSPTasks[[#Headers],[ID]])))="",TRUE()),"",IF(INDEX(tsk_IsSummary,(ROW()-ROW(MSPTasks[[#Headers],[ID]]))),"",INDEX(tsk_UIDPredecessors,(ROW()-ROW(MSPTasks[[#Headers],[ID]])))))</f>
        <v/>
      </c>
      <c r="K166" s="24" t="str">
        <f aca="false">IF(IFERROR(INDEX(tsk_Name,(ROW()-ROW(MSPTasks[[#Headers],[ID]])))="",TRUE()),"",INDEX(tsk_ResourceNames,(ROW()-ROW(MSPTasks[[#Headers],[ID]])))&amp;"")</f>
        <v/>
      </c>
      <c r="L166" s="24" t="str">
        <f aca="false">IF(IFERROR(INDEX(tsk_Name,(ROW()-ROW(MSPTasks[[#Headers],[ID]])))="",TRUE()),"",IF(INDEX(tsk_IsSummary,(ROW()-ROW(MSPTasks[[#Headers],[ID]]))),"",ROUND(INDEX(tsk_Progress,(ROW()-ROW(MSPTasks[[#Headers],[ID]])))*100,0)))</f>
        <v/>
      </c>
      <c r="M166" s="137" t="str">
        <f aca="false">IF(IFERROR(INDEX(tsk_Name,(ROW()-ROW(MSPTasks[[#Headers],[ID]])))="",TRUE()),"",IF(N(INDEX(tsk_ActStart,(ROW()-ROW(MSPTasks[[#Headers],[ID]]))))=0,"",INDEX(tsk_ActStart,(ROW()-ROW(MSPTasks[[#Headers],[ID]])))))</f>
        <v/>
      </c>
      <c r="N166" s="137" t="str">
        <f aca="false">IF(IFERROR(INDEX(tsk_Name,(ROW()-ROW(MSPTasks[[#Headers],[ID]])))="",TRUE()),"",IF(N(INDEX(tsk_ActFinish,(ROW()-ROW(MSPTasks[[#Headers],[ID]]))))=0,"",INDEX(tsk_ActFinish,(ROW()-ROW(MSPTasks[[#Headers],[ID]])))))</f>
        <v/>
      </c>
      <c r="O166" s="137" t="str">
        <f aca="false">IF(IFERROR(INDEX(tsk_Name,(ROW()-ROW(MSPTasks[[#Headers],[ID]])))="",TRUE()),"",INDEX(tsk_PlanStart,(ROW()-ROW(MSPTasks[[#Headers],[ID]]))))</f>
        <v/>
      </c>
      <c r="P166" s="137" t="str">
        <f aca="false">IF(IFERROR(INDEX(tsk_Name,(ROW()-ROW(MSPTasks[[#Headers],[ID]])))="",TRUE()),"",INDEX(tsk_PlanFinish,(ROW()-ROW(MSPTasks[[#Headers],[ID]]))))</f>
        <v/>
      </c>
      <c r="Q166" s="24" t="str">
        <f aca="false">IF(IFERROR(INDEX(tsk_Name,(ROW()-ROW(MSPTasks[[#Headers],[ID]])))="",TRUE()),"",IF(INDEX(tsk_BaseDuration,(ROW()-ROW(MSPTasks[[#Headers],[ID]])))="","",N(INDEX(tsk_BaseDuration,(ROW()-ROW(MSPTasks[[#Headers],[ID]]))))&amp;"d"))</f>
        <v/>
      </c>
      <c r="R166" s="24" t="str">
        <f aca="false">IF(IFERROR(INDEX(tsk_Name,(ROW()-ROW(MSPTasks[[#Headers],[ID]])))="",TRUE()),"",IF(INDEX(tsk_BaseWork,(ROW()-ROW(MSPTasks[[#Headers],[ID]])))="","",N(INDEX(tsk_BaseWork,(ROW()-ROW(MSPTasks[[#Headers],[ID]]))))&amp;"h"))</f>
        <v/>
      </c>
      <c r="S166" s="24" t="str">
        <f aca="false">IF(IFERROR(INDEX(tsk_Name,(ROW()-ROW(MSPTasks[[#Headers],[ID]])))="",TRUE()),"",IF(INDEX(tsk_BaseCost,(ROW()-ROW(MSPTasks[[#Headers],[ID]])))="","",N(INDEX(tsk_BaseCost,(ROW()-ROW(MSPTasks[[#Headers],[ID]]))))))</f>
        <v/>
      </c>
      <c r="T166" s="24" t="str">
        <f aca="false">IF(IFERROR(INDEX(tsk_Name,(ROW()-ROW(MSPTasks[[#Headers],[ID]])))="",TRUE()),"",IF(INDEX(tsk_IsSummary,(ROW()-ROW(MSPTasks[[#Headers],[ID]]))),"",IF(N(INDEX(tsk_ActCostInput,(ROW()-ROW(MSPTasks[[#Headers],[ID]]))))=0,"",INDEX(tsk_ActCostInput,(ROW()-ROW(MSPTasks[[#Headers],[ID]]))))))</f>
        <v/>
      </c>
      <c r="U16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6" s="137" t="str">
        <f aca="false">IF(IFERROR(INDEX(tsk_Name,(ROW()-ROW(MSPTasks[[#Headers],[ID]])))="",TRUE()),"",IF(OR(INDEX(tsk_IsSummary,(ROW()-ROW(MSPTasks[[#Headers],[ID]]))),INDEX(tsk_Mode,(ROW()-ROW(MSPTasks[[#Headers],[ID]])))="Manual"),"",IF(N(INDEX(tsk_ConstraintCode,(ROW()-ROW(MSPTasks[[#Headers],[ID]]))))&lt;2,"",INDEX(tsk_Constraint,(ROW()-ROW(MSPTasks[[#Headers],[ID]]))))))</f>
        <v/>
      </c>
      <c r="W166" s="137" t="str">
        <f aca="false">IF(IFERROR(INDEX(tsk_Name,(ROW()-ROW(MSPTasks[[#Headers],[ID]])))="",TRUE()),"",IF(N(INDEX(tsk_Deadline,(ROW()-ROW(MSPTasks[[#Headers],[ID]]))))=0,"",INDEX(tsk_Deadline,(ROW()-ROW(MSPTasks[[#Headers],[ID]])))))</f>
        <v/>
      </c>
      <c r="X166" s="24" t="str">
        <f aca="false">IF(IFERROR(INDEX(tsk_Name,(ROW()-ROW(MSPTasks[[#Headers],[ID]])))="",TRUE()),"",IF(INDEX(tsk_IsSummary,(ROW()-ROW(MSPTasks[[#Headers],[ID]]))),"",INDEX(tsk_Sprint,(ROW()-ROW(MSPTasks[[#Headers],[ID]])))&amp;""))</f>
        <v/>
      </c>
      <c r="Y166" s="24" t="str">
        <f aca="false">IF(IFERROR(INDEX(tsk_Name,(ROW()-ROW(MSPTasks[[#Headers],[ID]])))="",TRUE()),"",IF(INDEX(tsk_IsSummary,(ROW()-ROW(MSPTasks[[#Headers],[ID]]))),"",IF(N(INDEX(tsk_StoryPoints,(ROW()-ROW(MSPTasks[[#Headers],[ID]]))))=0,"",INDEX(tsk_StoryPoints,(ROW()-ROW(MSPTasks[[#Headers],[ID]]))))))</f>
        <v/>
      </c>
      <c r="Z166" s="24" t="str">
        <f aca="false">IF(IFERROR(INDEX(tsk_Name,(ROW()-ROW(MSPTasks[[#Headers],[ID]])))="",TRUE()),"",INDEX(tsk_Notes,(ROW()-ROW(MSPTasks[[#Headers],[ID]])))&amp;"")</f>
        <v/>
      </c>
    </row>
    <row r="167" customFormat="false" ht="15" hidden="false" customHeight="false" outlineLevel="0" collapsed="false">
      <c r="A167" s="24" t="str">
        <f aca="false">IF(IFERROR(INDEX(tsk_Name,(ROW()-ROW(MSPTasks[[#Headers],[ID]])))="",TRUE()),"",INDEX(tsk_ID,(ROW()-ROW(MSPTasks[[#Headers],[ID]]))))</f>
        <v/>
      </c>
      <c r="B167" s="24" t="str">
        <f aca="false">IF(IFERROR(INDEX(tsk_Name,(ROW()-ROW(MSPTasks[[#Headers],[ID]])))="",TRUE()),"",INDEX(tsk_UID,(ROW()-ROW(MSPTasks[[#Headers],[ID]]))))</f>
        <v/>
      </c>
      <c r="C167" s="24" t="str">
        <f aca="false">IF(IFERROR(INDEX(tsk_Name,(ROW()-ROW(MSPTasks[[#Headers],[ID]])))="",TRUE()),"",INDEX(tsk_Name,(ROW()-ROW(MSPTasks[[#Headers],[ID]]))))</f>
        <v/>
      </c>
      <c r="D167" s="24" t="str">
        <f aca="false">IF(IFERROR(INDEX(tsk_Name,(ROW()-ROW(MSPTasks[[#Headers],[ID]])))="",TRUE()),"",INDEX(tsk_Level,(ROW()-ROW(MSPTasks[[#Headers],[ID]]))))</f>
        <v/>
      </c>
      <c r="E167" s="24" t="str">
        <f aca="false">IF(IFERROR(INDEX(tsk_Name,(ROW()-ROW(MSPTasks[[#Headers],[ID]])))="",TRUE()),"",IF(INDEX(tsk_Mode,(ROW()-ROW(MSPTasks[[#Headers],[ID]])))="Manual","Manually Scheduled","Auto Scheduled"))</f>
        <v/>
      </c>
      <c r="F167" s="24" t="str">
        <f aca="false">IF(IFERROR(INDEX(tsk_Name,(ROW()-ROW(MSPTasks[[#Headers],[ID]])))="",TRUE()),"",IF(INDEX(tsk_IsSummary,(ROW()-ROW(MSPTasks[[#Headers],[ID]]))),"",N(INDEX(tsk_Duration,(ROW()-ROW(MSPTasks[[#Headers],[ID]]))))&amp;"d"))</f>
        <v/>
      </c>
      <c r="G167" s="137" t="str">
        <f aca="false">IF(IFERROR(INDEX(tsk_Name,(ROW()-ROW(MSPTasks[[#Headers],[ID]])))="",TRUE()),"",INDEX(tsk_FcStart,(ROW()-ROW(MSPTasks[[#Headers],[ID]]))))</f>
        <v/>
      </c>
      <c r="H167" s="137" t="str">
        <f aca="false">IF(IFERROR(INDEX(tsk_Name,(ROW()-ROW(MSPTasks[[#Headers],[ID]])))="",TRUE()),"",INDEX(tsk_FcFinish,(ROW()-ROW(MSPTasks[[#Headers],[ID]]))))</f>
        <v/>
      </c>
      <c r="I167" s="24" t="str">
        <f aca="false">IF(IFERROR(INDEX(tsk_Name,(ROW()-ROW(MSPTasks[[#Headers],[ID]])))="",TRUE()),"",IF(INDEX(tsk_IsSummary,(ROW()-ROW(MSPTasks[[#Headers],[ID]]))),"",INDEX(tsk_Predecessors,(ROW()-ROW(MSPTasks[[#Headers],[ID]])))))</f>
        <v/>
      </c>
      <c r="J167" s="24" t="str">
        <f aca="false">IF(IFERROR(INDEX(tsk_Name,(ROW()-ROW(MSPTasks[[#Headers],[ID]])))="",TRUE()),"",IF(INDEX(tsk_IsSummary,(ROW()-ROW(MSPTasks[[#Headers],[ID]]))),"",INDEX(tsk_UIDPredecessors,(ROW()-ROW(MSPTasks[[#Headers],[ID]])))))</f>
        <v/>
      </c>
      <c r="K167" s="24" t="str">
        <f aca="false">IF(IFERROR(INDEX(tsk_Name,(ROW()-ROW(MSPTasks[[#Headers],[ID]])))="",TRUE()),"",INDEX(tsk_ResourceNames,(ROW()-ROW(MSPTasks[[#Headers],[ID]])))&amp;"")</f>
        <v/>
      </c>
      <c r="L167" s="24" t="str">
        <f aca="false">IF(IFERROR(INDEX(tsk_Name,(ROW()-ROW(MSPTasks[[#Headers],[ID]])))="",TRUE()),"",IF(INDEX(tsk_IsSummary,(ROW()-ROW(MSPTasks[[#Headers],[ID]]))),"",ROUND(INDEX(tsk_Progress,(ROW()-ROW(MSPTasks[[#Headers],[ID]])))*100,0)))</f>
        <v/>
      </c>
      <c r="M167" s="137" t="str">
        <f aca="false">IF(IFERROR(INDEX(tsk_Name,(ROW()-ROW(MSPTasks[[#Headers],[ID]])))="",TRUE()),"",IF(N(INDEX(tsk_ActStart,(ROW()-ROW(MSPTasks[[#Headers],[ID]]))))=0,"",INDEX(tsk_ActStart,(ROW()-ROW(MSPTasks[[#Headers],[ID]])))))</f>
        <v/>
      </c>
      <c r="N167" s="137" t="str">
        <f aca="false">IF(IFERROR(INDEX(tsk_Name,(ROW()-ROW(MSPTasks[[#Headers],[ID]])))="",TRUE()),"",IF(N(INDEX(tsk_ActFinish,(ROW()-ROW(MSPTasks[[#Headers],[ID]]))))=0,"",INDEX(tsk_ActFinish,(ROW()-ROW(MSPTasks[[#Headers],[ID]])))))</f>
        <v/>
      </c>
      <c r="O167" s="137" t="str">
        <f aca="false">IF(IFERROR(INDEX(tsk_Name,(ROW()-ROW(MSPTasks[[#Headers],[ID]])))="",TRUE()),"",INDEX(tsk_PlanStart,(ROW()-ROW(MSPTasks[[#Headers],[ID]]))))</f>
        <v/>
      </c>
      <c r="P167" s="137" t="str">
        <f aca="false">IF(IFERROR(INDEX(tsk_Name,(ROW()-ROW(MSPTasks[[#Headers],[ID]])))="",TRUE()),"",INDEX(tsk_PlanFinish,(ROW()-ROW(MSPTasks[[#Headers],[ID]]))))</f>
        <v/>
      </c>
      <c r="Q167" s="24" t="str">
        <f aca="false">IF(IFERROR(INDEX(tsk_Name,(ROW()-ROW(MSPTasks[[#Headers],[ID]])))="",TRUE()),"",IF(INDEX(tsk_BaseDuration,(ROW()-ROW(MSPTasks[[#Headers],[ID]])))="","",N(INDEX(tsk_BaseDuration,(ROW()-ROW(MSPTasks[[#Headers],[ID]]))))&amp;"d"))</f>
        <v/>
      </c>
      <c r="R167" s="24" t="str">
        <f aca="false">IF(IFERROR(INDEX(tsk_Name,(ROW()-ROW(MSPTasks[[#Headers],[ID]])))="",TRUE()),"",IF(INDEX(tsk_BaseWork,(ROW()-ROW(MSPTasks[[#Headers],[ID]])))="","",N(INDEX(tsk_BaseWork,(ROW()-ROW(MSPTasks[[#Headers],[ID]]))))&amp;"h"))</f>
        <v/>
      </c>
      <c r="S167" s="24" t="str">
        <f aca="false">IF(IFERROR(INDEX(tsk_Name,(ROW()-ROW(MSPTasks[[#Headers],[ID]])))="",TRUE()),"",IF(INDEX(tsk_BaseCost,(ROW()-ROW(MSPTasks[[#Headers],[ID]])))="","",N(INDEX(tsk_BaseCost,(ROW()-ROW(MSPTasks[[#Headers],[ID]]))))))</f>
        <v/>
      </c>
      <c r="T167" s="24" t="str">
        <f aca="false">IF(IFERROR(INDEX(tsk_Name,(ROW()-ROW(MSPTasks[[#Headers],[ID]])))="",TRUE()),"",IF(INDEX(tsk_IsSummary,(ROW()-ROW(MSPTasks[[#Headers],[ID]]))),"",IF(N(INDEX(tsk_ActCostInput,(ROW()-ROW(MSPTasks[[#Headers],[ID]]))))=0,"",INDEX(tsk_ActCostInput,(ROW()-ROW(MSPTasks[[#Headers],[ID]]))))))</f>
        <v/>
      </c>
      <c r="U16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7" s="137" t="str">
        <f aca="false">IF(IFERROR(INDEX(tsk_Name,(ROW()-ROW(MSPTasks[[#Headers],[ID]])))="",TRUE()),"",IF(OR(INDEX(tsk_IsSummary,(ROW()-ROW(MSPTasks[[#Headers],[ID]]))),INDEX(tsk_Mode,(ROW()-ROW(MSPTasks[[#Headers],[ID]])))="Manual"),"",IF(N(INDEX(tsk_ConstraintCode,(ROW()-ROW(MSPTasks[[#Headers],[ID]]))))&lt;2,"",INDEX(tsk_Constraint,(ROW()-ROW(MSPTasks[[#Headers],[ID]]))))))</f>
        <v/>
      </c>
      <c r="W167" s="137" t="str">
        <f aca="false">IF(IFERROR(INDEX(tsk_Name,(ROW()-ROW(MSPTasks[[#Headers],[ID]])))="",TRUE()),"",IF(N(INDEX(tsk_Deadline,(ROW()-ROW(MSPTasks[[#Headers],[ID]]))))=0,"",INDEX(tsk_Deadline,(ROW()-ROW(MSPTasks[[#Headers],[ID]])))))</f>
        <v/>
      </c>
      <c r="X167" s="24" t="str">
        <f aca="false">IF(IFERROR(INDEX(tsk_Name,(ROW()-ROW(MSPTasks[[#Headers],[ID]])))="",TRUE()),"",IF(INDEX(tsk_IsSummary,(ROW()-ROW(MSPTasks[[#Headers],[ID]]))),"",INDEX(tsk_Sprint,(ROW()-ROW(MSPTasks[[#Headers],[ID]])))&amp;""))</f>
        <v/>
      </c>
      <c r="Y167" s="24" t="str">
        <f aca="false">IF(IFERROR(INDEX(tsk_Name,(ROW()-ROW(MSPTasks[[#Headers],[ID]])))="",TRUE()),"",IF(INDEX(tsk_IsSummary,(ROW()-ROW(MSPTasks[[#Headers],[ID]]))),"",IF(N(INDEX(tsk_StoryPoints,(ROW()-ROW(MSPTasks[[#Headers],[ID]]))))=0,"",INDEX(tsk_StoryPoints,(ROW()-ROW(MSPTasks[[#Headers],[ID]]))))))</f>
        <v/>
      </c>
      <c r="Z167" s="24" t="str">
        <f aca="false">IF(IFERROR(INDEX(tsk_Name,(ROW()-ROW(MSPTasks[[#Headers],[ID]])))="",TRUE()),"",INDEX(tsk_Notes,(ROW()-ROW(MSPTasks[[#Headers],[ID]])))&amp;"")</f>
        <v/>
      </c>
    </row>
    <row r="168" customFormat="false" ht="15" hidden="false" customHeight="false" outlineLevel="0" collapsed="false">
      <c r="A168" s="24" t="str">
        <f aca="false">IF(IFERROR(INDEX(tsk_Name,(ROW()-ROW(MSPTasks[[#Headers],[ID]])))="",TRUE()),"",INDEX(tsk_ID,(ROW()-ROW(MSPTasks[[#Headers],[ID]]))))</f>
        <v/>
      </c>
      <c r="B168" s="24" t="str">
        <f aca="false">IF(IFERROR(INDEX(tsk_Name,(ROW()-ROW(MSPTasks[[#Headers],[ID]])))="",TRUE()),"",INDEX(tsk_UID,(ROW()-ROW(MSPTasks[[#Headers],[ID]]))))</f>
        <v/>
      </c>
      <c r="C168" s="24" t="str">
        <f aca="false">IF(IFERROR(INDEX(tsk_Name,(ROW()-ROW(MSPTasks[[#Headers],[ID]])))="",TRUE()),"",INDEX(tsk_Name,(ROW()-ROW(MSPTasks[[#Headers],[ID]]))))</f>
        <v/>
      </c>
      <c r="D168" s="24" t="str">
        <f aca="false">IF(IFERROR(INDEX(tsk_Name,(ROW()-ROW(MSPTasks[[#Headers],[ID]])))="",TRUE()),"",INDEX(tsk_Level,(ROW()-ROW(MSPTasks[[#Headers],[ID]]))))</f>
        <v/>
      </c>
      <c r="E168" s="24" t="str">
        <f aca="false">IF(IFERROR(INDEX(tsk_Name,(ROW()-ROW(MSPTasks[[#Headers],[ID]])))="",TRUE()),"",IF(INDEX(tsk_Mode,(ROW()-ROW(MSPTasks[[#Headers],[ID]])))="Manual","Manually Scheduled","Auto Scheduled"))</f>
        <v/>
      </c>
      <c r="F168" s="24" t="str">
        <f aca="false">IF(IFERROR(INDEX(tsk_Name,(ROW()-ROW(MSPTasks[[#Headers],[ID]])))="",TRUE()),"",IF(INDEX(tsk_IsSummary,(ROW()-ROW(MSPTasks[[#Headers],[ID]]))),"",N(INDEX(tsk_Duration,(ROW()-ROW(MSPTasks[[#Headers],[ID]]))))&amp;"d"))</f>
        <v/>
      </c>
      <c r="G168" s="137" t="str">
        <f aca="false">IF(IFERROR(INDEX(tsk_Name,(ROW()-ROW(MSPTasks[[#Headers],[ID]])))="",TRUE()),"",INDEX(tsk_FcStart,(ROW()-ROW(MSPTasks[[#Headers],[ID]]))))</f>
        <v/>
      </c>
      <c r="H168" s="137" t="str">
        <f aca="false">IF(IFERROR(INDEX(tsk_Name,(ROW()-ROW(MSPTasks[[#Headers],[ID]])))="",TRUE()),"",INDEX(tsk_FcFinish,(ROW()-ROW(MSPTasks[[#Headers],[ID]]))))</f>
        <v/>
      </c>
      <c r="I168" s="24" t="str">
        <f aca="false">IF(IFERROR(INDEX(tsk_Name,(ROW()-ROW(MSPTasks[[#Headers],[ID]])))="",TRUE()),"",IF(INDEX(tsk_IsSummary,(ROW()-ROW(MSPTasks[[#Headers],[ID]]))),"",INDEX(tsk_Predecessors,(ROW()-ROW(MSPTasks[[#Headers],[ID]])))))</f>
        <v/>
      </c>
      <c r="J168" s="24" t="str">
        <f aca="false">IF(IFERROR(INDEX(tsk_Name,(ROW()-ROW(MSPTasks[[#Headers],[ID]])))="",TRUE()),"",IF(INDEX(tsk_IsSummary,(ROW()-ROW(MSPTasks[[#Headers],[ID]]))),"",INDEX(tsk_UIDPredecessors,(ROW()-ROW(MSPTasks[[#Headers],[ID]])))))</f>
        <v/>
      </c>
      <c r="K168" s="24" t="str">
        <f aca="false">IF(IFERROR(INDEX(tsk_Name,(ROW()-ROW(MSPTasks[[#Headers],[ID]])))="",TRUE()),"",INDEX(tsk_ResourceNames,(ROW()-ROW(MSPTasks[[#Headers],[ID]])))&amp;"")</f>
        <v/>
      </c>
      <c r="L168" s="24" t="str">
        <f aca="false">IF(IFERROR(INDEX(tsk_Name,(ROW()-ROW(MSPTasks[[#Headers],[ID]])))="",TRUE()),"",IF(INDEX(tsk_IsSummary,(ROW()-ROW(MSPTasks[[#Headers],[ID]]))),"",ROUND(INDEX(tsk_Progress,(ROW()-ROW(MSPTasks[[#Headers],[ID]])))*100,0)))</f>
        <v/>
      </c>
      <c r="M168" s="137" t="str">
        <f aca="false">IF(IFERROR(INDEX(tsk_Name,(ROW()-ROW(MSPTasks[[#Headers],[ID]])))="",TRUE()),"",IF(N(INDEX(tsk_ActStart,(ROW()-ROW(MSPTasks[[#Headers],[ID]]))))=0,"",INDEX(tsk_ActStart,(ROW()-ROW(MSPTasks[[#Headers],[ID]])))))</f>
        <v/>
      </c>
      <c r="N168" s="137" t="str">
        <f aca="false">IF(IFERROR(INDEX(tsk_Name,(ROW()-ROW(MSPTasks[[#Headers],[ID]])))="",TRUE()),"",IF(N(INDEX(tsk_ActFinish,(ROW()-ROW(MSPTasks[[#Headers],[ID]]))))=0,"",INDEX(tsk_ActFinish,(ROW()-ROW(MSPTasks[[#Headers],[ID]])))))</f>
        <v/>
      </c>
      <c r="O168" s="137" t="str">
        <f aca="false">IF(IFERROR(INDEX(tsk_Name,(ROW()-ROW(MSPTasks[[#Headers],[ID]])))="",TRUE()),"",INDEX(tsk_PlanStart,(ROW()-ROW(MSPTasks[[#Headers],[ID]]))))</f>
        <v/>
      </c>
      <c r="P168" s="137" t="str">
        <f aca="false">IF(IFERROR(INDEX(tsk_Name,(ROW()-ROW(MSPTasks[[#Headers],[ID]])))="",TRUE()),"",INDEX(tsk_PlanFinish,(ROW()-ROW(MSPTasks[[#Headers],[ID]]))))</f>
        <v/>
      </c>
      <c r="Q168" s="24" t="str">
        <f aca="false">IF(IFERROR(INDEX(tsk_Name,(ROW()-ROW(MSPTasks[[#Headers],[ID]])))="",TRUE()),"",IF(INDEX(tsk_BaseDuration,(ROW()-ROW(MSPTasks[[#Headers],[ID]])))="","",N(INDEX(tsk_BaseDuration,(ROW()-ROW(MSPTasks[[#Headers],[ID]]))))&amp;"d"))</f>
        <v/>
      </c>
      <c r="R168" s="24" t="str">
        <f aca="false">IF(IFERROR(INDEX(tsk_Name,(ROW()-ROW(MSPTasks[[#Headers],[ID]])))="",TRUE()),"",IF(INDEX(tsk_BaseWork,(ROW()-ROW(MSPTasks[[#Headers],[ID]])))="","",N(INDEX(tsk_BaseWork,(ROW()-ROW(MSPTasks[[#Headers],[ID]]))))&amp;"h"))</f>
        <v/>
      </c>
      <c r="S168" s="24" t="str">
        <f aca="false">IF(IFERROR(INDEX(tsk_Name,(ROW()-ROW(MSPTasks[[#Headers],[ID]])))="",TRUE()),"",IF(INDEX(tsk_BaseCost,(ROW()-ROW(MSPTasks[[#Headers],[ID]])))="","",N(INDEX(tsk_BaseCost,(ROW()-ROW(MSPTasks[[#Headers],[ID]]))))))</f>
        <v/>
      </c>
      <c r="T168" s="24" t="str">
        <f aca="false">IF(IFERROR(INDEX(tsk_Name,(ROW()-ROW(MSPTasks[[#Headers],[ID]])))="",TRUE()),"",IF(INDEX(tsk_IsSummary,(ROW()-ROW(MSPTasks[[#Headers],[ID]]))),"",IF(N(INDEX(tsk_ActCostInput,(ROW()-ROW(MSPTasks[[#Headers],[ID]]))))=0,"",INDEX(tsk_ActCostInput,(ROW()-ROW(MSPTasks[[#Headers],[ID]]))))))</f>
        <v/>
      </c>
      <c r="U16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8" s="137" t="str">
        <f aca="false">IF(IFERROR(INDEX(tsk_Name,(ROW()-ROW(MSPTasks[[#Headers],[ID]])))="",TRUE()),"",IF(OR(INDEX(tsk_IsSummary,(ROW()-ROW(MSPTasks[[#Headers],[ID]]))),INDEX(tsk_Mode,(ROW()-ROW(MSPTasks[[#Headers],[ID]])))="Manual"),"",IF(N(INDEX(tsk_ConstraintCode,(ROW()-ROW(MSPTasks[[#Headers],[ID]]))))&lt;2,"",INDEX(tsk_Constraint,(ROW()-ROW(MSPTasks[[#Headers],[ID]]))))))</f>
        <v/>
      </c>
      <c r="W168" s="137" t="str">
        <f aca="false">IF(IFERROR(INDEX(tsk_Name,(ROW()-ROW(MSPTasks[[#Headers],[ID]])))="",TRUE()),"",IF(N(INDEX(tsk_Deadline,(ROW()-ROW(MSPTasks[[#Headers],[ID]]))))=0,"",INDEX(tsk_Deadline,(ROW()-ROW(MSPTasks[[#Headers],[ID]])))))</f>
        <v/>
      </c>
      <c r="X168" s="24" t="str">
        <f aca="false">IF(IFERROR(INDEX(tsk_Name,(ROW()-ROW(MSPTasks[[#Headers],[ID]])))="",TRUE()),"",IF(INDEX(tsk_IsSummary,(ROW()-ROW(MSPTasks[[#Headers],[ID]]))),"",INDEX(tsk_Sprint,(ROW()-ROW(MSPTasks[[#Headers],[ID]])))&amp;""))</f>
        <v/>
      </c>
      <c r="Y168" s="24" t="str">
        <f aca="false">IF(IFERROR(INDEX(tsk_Name,(ROW()-ROW(MSPTasks[[#Headers],[ID]])))="",TRUE()),"",IF(INDEX(tsk_IsSummary,(ROW()-ROW(MSPTasks[[#Headers],[ID]]))),"",IF(N(INDEX(tsk_StoryPoints,(ROW()-ROW(MSPTasks[[#Headers],[ID]]))))=0,"",INDEX(tsk_StoryPoints,(ROW()-ROW(MSPTasks[[#Headers],[ID]]))))))</f>
        <v/>
      </c>
      <c r="Z168" s="24" t="str">
        <f aca="false">IF(IFERROR(INDEX(tsk_Name,(ROW()-ROW(MSPTasks[[#Headers],[ID]])))="",TRUE()),"",INDEX(tsk_Notes,(ROW()-ROW(MSPTasks[[#Headers],[ID]])))&amp;"")</f>
        <v/>
      </c>
    </row>
    <row r="169" customFormat="false" ht="15" hidden="false" customHeight="false" outlineLevel="0" collapsed="false">
      <c r="A169" s="24" t="str">
        <f aca="false">IF(IFERROR(INDEX(tsk_Name,(ROW()-ROW(MSPTasks[[#Headers],[ID]])))="",TRUE()),"",INDEX(tsk_ID,(ROW()-ROW(MSPTasks[[#Headers],[ID]]))))</f>
        <v/>
      </c>
      <c r="B169" s="24" t="str">
        <f aca="false">IF(IFERROR(INDEX(tsk_Name,(ROW()-ROW(MSPTasks[[#Headers],[ID]])))="",TRUE()),"",INDEX(tsk_UID,(ROW()-ROW(MSPTasks[[#Headers],[ID]]))))</f>
        <v/>
      </c>
      <c r="C169" s="24" t="str">
        <f aca="false">IF(IFERROR(INDEX(tsk_Name,(ROW()-ROW(MSPTasks[[#Headers],[ID]])))="",TRUE()),"",INDEX(tsk_Name,(ROW()-ROW(MSPTasks[[#Headers],[ID]]))))</f>
        <v/>
      </c>
      <c r="D169" s="24" t="str">
        <f aca="false">IF(IFERROR(INDEX(tsk_Name,(ROW()-ROW(MSPTasks[[#Headers],[ID]])))="",TRUE()),"",INDEX(tsk_Level,(ROW()-ROW(MSPTasks[[#Headers],[ID]]))))</f>
        <v/>
      </c>
      <c r="E169" s="24" t="str">
        <f aca="false">IF(IFERROR(INDEX(tsk_Name,(ROW()-ROW(MSPTasks[[#Headers],[ID]])))="",TRUE()),"",IF(INDEX(tsk_Mode,(ROW()-ROW(MSPTasks[[#Headers],[ID]])))="Manual","Manually Scheduled","Auto Scheduled"))</f>
        <v/>
      </c>
      <c r="F169" s="24" t="str">
        <f aca="false">IF(IFERROR(INDEX(tsk_Name,(ROW()-ROW(MSPTasks[[#Headers],[ID]])))="",TRUE()),"",IF(INDEX(tsk_IsSummary,(ROW()-ROW(MSPTasks[[#Headers],[ID]]))),"",N(INDEX(tsk_Duration,(ROW()-ROW(MSPTasks[[#Headers],[ID]]))))&amp;"d"))</f>
        <v/>
      </c>
      <c r="G169" s="137" t="str">
        <f aca="false">IF(IFERROR(INDEX(tsk_Name,(ROW()-ROW(MSPTasks[[#Headers],[ID]])))="",TRUE()),"",INDEX(tsk_FcStart,(ROW()-ROW(MSPTasks[[#Headers],[ID]]))))</f>
        <v/>
      </c>
      <c r="H169" s="137" t="str">
        <f aca="false">IF(IFERROR(INDEX(tsk_Name,(ROW()-ROW(MSPTasks[[#Headers],[ID]])))="",TRUE()),"",INDEX(tsk_FcFinish,(ROW()-ROW(MSPTasks[[#Headers],[ID]]))))</f>
        <v/>
      </c>
      <c r="I169" s="24" t="str">
        <f aca="false">IF(IFERROR(INDEX(tsk_Name,(ROW()-ROW(MSPTasks[[#Headers],[ID]])))="",TRUE()),"",IF(INDEX(tsk_IsSummary,(ROW()-ROW(MSPTasks[[#Headers],[ID]]))),"",INDEX(tsk_Predecessors,(ROW()-ROW(MSPTasks[[#Headers],[ID]])))))</f>
        <v/>
      </c>
      <c r="J169" s="24" t="str">
        <f aca="false">IF(IFERROR(INDEX(tsk_Name,(ROW()-ROW(MSPTasks[[#Headers],[ID]])))="",TRUE()),"",IF(INDEX(tsk_IsSummary,(ROW()-ROW(MSPTasks[[#Headers],[ID]]))),"",INDEX(tsk_UIDPredecessors,(ROW()-ROW(MSPTasks[[#Headers],[ID]])))))</f>
        <v/>
      </c>
      <c r="K169" s="24" t="str">
        <f aca="false">IF(IFERROR(INDEX(tsk_Name,(ROW()-ROW(MSPTasks[[#Headers],[ID]])))="",TRUE()),"",INDEX(tsk_ResourceNames,(ROW()-ROW(MSPTasks[[#Headers],[ID]])))&amp;"")</f>
        <v/>
      </c>
      <c r="L169" s="24" t="str">
        <f aca="false">IF(IFERROR(INDEX(tsk_Name,(ROW()-ROW(MSPTasks[[#Headers],[ID]])))="",TRUE()),"",IF(INDEX(tsk_IsSummary,(ROW()-ROW(MSPTasks[[#Headers],[ID]]))),"",ROUND(INDEX(tsk_Progress,(ROW()-ROW(MSPTasks[[#Headers],[ID]])))*100,0)))</f>
        <v/>
      </c>
      <c r="M169" s="137" t="str">
        <f aca="false">IF(IFERROR(INDEX(tsk_Name,(ROW()-ROW(MSPTasks[[#Headers],[ID]])))="",TRUE()),"",IF(N(INDEX(tsk_ActStart,(ROW()-ROW(MSPTasks[[#Headers],[ID]]))))=0,"",INDEX(tsk_ActStart,(ROW()-ROW(MSPTasks[[#Headers],[ID]])))))</f>
        <v/>
      </c>
      <c r="N169" s="137" t="str">
        <f aca="false">IF(IFERROR(INDEX(tsk_Name,(ROW()-ROW(MSPTasks[[#Headers],[ID]])))="",TRUE()),"",IF(N(INDEX(tsk_ActFinish,(ROW()-ROW(MSPTasks[[#Headers],[ID]]))))=0,"",INDEX(tsk_ActFinish,(ROW()-ROW(MSPTasks[[#Headers],[ID]])))))</f>
        <v/>
      </c>
      <c r="O169" s="137" t="str">
        <f aca="false">IF(IFERROR(INDEX(tsk_Name,(ROW()-ROW(MSPTasks[[#Headers],[ID]])))="",TRUE()),"",INDEX(tsk_PlanStart,(ROW()-ROW(MSPTasks[[#Headers],[ID]]))))</f>
        <v/>
      </c>
      <c r="P169" s="137" t="str">
        <f aca="false">IF(IFERROR(INDEX(tsk_Name,(ROW()-ROW(MSPTasks[[#Headers],[ID]])))="",TRUE()),"",INDEX(tsk_PlanFinish,(ROW()-ROW(MSPTasks[[#Headers],[ID]]))))</f>
        <v/>
      </c>
      <c r="Q169" s="24" t="str">
        <f aca="false">IF(IFERROR(INDEX(tsk_Name,(ROW()-ROW(MSPTasks[[#Headers],[ID]])))="",TRUE()),"",IF(INDEX(tsk_BaseDuration,(ROW()-ROW(MSPTasks[[#Headers],[ID]])))="","",N(INDEX(tsk_BaseDuration,(ROW()-ROW(MSPTasks[[#Headers],[ID]]))))&amp;"d"))</f>
        <v/>
      </c>
      <c r="R169" s="24" t="str">
        <f aca="false">IF(IFERROR(INDEX(tsk_Name,(ROW()-ROW(MSPTasks[[#Headers],[ID]])))="",TRUE()),"",IF(INDEX(tsk_BaseWork,(ROW()-ROW(MSPTasks[[#Headers],[ID]])))="","",N(INDEX(tsk_BaseWork,(ROW()-ROW(MSPTasks[[#Headers],[ID]]))))&amp;"h"))</f>
        <v/>
      </c>
      <c r="S169" s="24" t="str">
        <f aca="false">IF(IFERROR(INDEX(tsk_Name,(ROW()-ROW(MSPTasks[[#Headers],[ID]])))="",TRUE()),"",IF(INDEX(tsk_BaseCost,(ROW()-ROW(MSPTasks[[#Headers],[ID]])))="","",N(INDEX(tsk_BaseCost,(ROW()-ROW(MSPTasks[[#Headers],[ID]]))))))</f>
        <v/>
      </c>
      <c r="T169" s="24" t="str">
        <f aca="false">IF(IFERROR(INDEX(tsk_Name,(ROW()-ROW(MSPTasks[[#Headers],[ID]])))="",TRUE()),"",IF(INDEX(tsk_IsSummary,(ROW()-ROW(MSPTasks[[#Headers],[ID]]))),"",IF(N(INDEX(tsk_ActCostInput,(ROW()-ROW(MSPTasks[[#Headers],[ID]]))))=0,"",INDEX(tsk_ActCostInput,(ROW()-ROW(MSPTasks[[#Headers],[ID]]))))))</f>
        <v/>
      </c>
      <c r="U16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69" s="137" t="str">
        <f aca="false">IF(IFERROR(INDEX(tsk_Name,(ROW()-ROW(MSPTasks[[#Headers],[ID]])))="",TRUE()),"",IF(OR(INDEX(tsk_IsSummary,(ROW()-ROW(MSPTasks[[#Headers],[ID]]))),INDEX(tsk_Mode,(ROW()-ROW(MSPTasks[[#Headers],[ID]])))="Manual"),"",IF(N(INDEX(tsk_ConstraintCode,(ROW()-ROW(MSPTasks[[#Headers],[ID]]))))&lt;2,"",INDEX(tsk_Constraint,(ROW()-ROW(MSPTasks[[#Headers],[ID]]))))))</f>
        <v/>
      </c>
      <c r="W169" s="137" t="str">
        <f aca="false">IF(IFERROR(INDEX(tsk_Name,(ROW()-ROW(MSPTasks[[#Headers],[ID]])))="",TRUE()),"",IF(N(INDEX(tsk_Deadline,(ROW()-ROW(MSPTasks[[#Headers],[ID]]))))=0,"",INDEX(tsk_Deadline,(ROW()-ROW(MSPTasks[[#Headers],[ID]])))))</f>
        <v/>
      </c>
      <c r="X169" s="24" t="str">
        <f aca="false">IF(IFERROR(INDEX(tsk_Name,(ROW()-ROW(MSPTasks[[#Headers],[ID]])))="",TRUE()),"",IF(INDEX(tsk_IsSummary,(ROW()-ROW(MSPTasks[[#Headers],[ID]]))),"",INDEX(tsk_Sprint,(ROW()-ROW(MSPTasks[[#Headers],[ID]])))&amp;""))</f>
        <v/>
      </c>
      <c r="Y169" s="24" t="str">
        <f aca="false">IF(IFERROR(INDEX(tsk_Name,(ROW()-ROW(MSPTasks[[#Headers],[ID]])))="",TRUE()),"",IF(INDEX(tsk_IsSummary,(ROW()-ROW(MSPTasks[[#Headers],[ID]]))),"",IF(N(INDEX(tsk_StoryPoints,(ROW()-ROW(MSPTasks[[#Headers],[ID]]))))=0,"",INDEX(tsk_StoryPoints,(ROW()-ROW(MSPTasks[[#Headers],[ID]]))))))</f>
        <v/>
      </c>
      <c r="Z169" s="24" t="str">
        <f aca="false">IF(IFERROR(INDEX(tsk_Name,(ROW()-ROW(MSPTasks[[#Headers],[ID]])))="",TRUE()),"",INDEX(tsk_Notes,(ROW()-ROW(MSPTasks[[#Headers],[ID]])))&amp;"")</f>
        <v/>
      </c>
    </row>
    <row r="170" customFormat="false" ht="15" hidden="false" customHeight="false" outlineLevel="0" collapsed="false">
      <c r="A170" s="24" t="str">
        <f aca="false">IF(IFERROR(INDEX(tsk_Name,(ROW()-ROW(MSPTasks[[#Headers],[ID]])))="",TRUE()),"",INDEX(tsk_ID,(ROW()-ROW(MSPTasks[[#Headers],[ID]]))))</f>
        <v/>
      </c>
      <c r="B170" s="24" t="str">
        <f aca="false">IF(IFERROR(INDEX(tsk_Name,(ROW()-ROW(MSPTasks[[#Headers],[ID]])))="",TRUE()),"",INDEX(tsk_UID,(ROW()-ROW(MSPTasks[[#Headers],[ID]]))))</f>
        <v/>
      </c>
      <c r="C170" s="24" t="str">
        <f aca="false">IF(IFERROR(INDEX(tsk_Name,(ROW()-ROW(MSPTasks[[#Headers],[ID]])))="",TRUE()),"",INDEX(tsk_Name,(ROW()-ROW(MSPTasks[[#Headers],[ID]]))))</f>
        <v/>
      </c>
      <c r="D170" s="24" t="str">
        <f aca="false">IF(IFERROR(INDEX(tsk_Name,(ROW()-ROW(MSPTasks[[#Headers],[ID]])))="",TRUE()),"",INDEX(tsk_Level,(ROW()-ROW(MSPTasks[[#Headers],[ID]]))))</f>
        <v/>
      </c>
      <c r="E170" s="24" t="str">
        <f aca="false">IF(IFERROR(INDEX(tsk_Name,(ROW()-ROW(MSPTasks[[#Headers],[ID]])))="",TRUE()),"",IF(INDEX(tsk_Mode,(ROW()-ROW(MSPTasks[[#Headers],[ID]])))="Manual","Manually Scheduled","Auto Scheduled"))</f>
        <v/>
      </c>
      <c r="F170" s="24" t="str">
        <f aca="false">IF(IFERROR(INDEX(tsk_Name,(ROW()-ROW(MSPTasks[[#Headers],[ID]])))="",TRUE()),"",IF(INDEX(tsk_IsSummary,(ROW()-ROW(MSPTasks[[#Headers],[ID]]))),"",N(INDEX(tsk_Duration,(ROW()-ROW(MSPTasks[[#Headers],[ID]]))))&amp;"d"))</f>
        <v/>
      </c>
      <c r="G170" s="137" t="str">
        <f aca="false">IF(IFERROR(INDEX(tsk_Name,(ROW()-ROW(MSPTasks[[#Headers],[ID]])))="",TRUE()),"",INDEX(tsk_FcStart,(ROW()-ROW(MSPTasks[[#Headers],[ID]]))))</f>
        <v/>
      </c>
      <c r="H170" s="137" t="str">
        <f aca="false">IF(IFERROR(INDEX(tsk_Name,(ROW()-ROW(MSPTasks[[#Headers],[ID]])))="",TRUE()),"",INDEX(tsk_FcFinish,(ROW()-ROW(MSPTasks[[#Headers],[ID]]))))</f>
        <v/>
      </c>
      <c r="I170" s="24" t="str">
        <f aca="false">IF(IFERROR(INDEX(tsk_Name,(ROW()-ROW(MSPTasks[[#Headers],[ID]])))="",TRUE()),"",IF(INDEX(tsk_IsSummary,(ROW()-ROW(MSPTasks[[#Headers],[ID]]))),"",INDEX(tsk_Predecessors,(ROW()-ROW(MSPTasks[[#Headers],[ID]])))))</f>
        <v/>
      </c>
      <c r="J170" s="24" t="str">
        <f aca="false">IF(IFERROR(INDEX(tsk_Name,(ROW()-ROW(MSPTasks[[#Headers],[ID]])))="",TRUE()),"",IF(INDEX(tsk_IsSummary,(ROW()-ROW(MSPTasks[[#Headers],[ID]]))),"",INDEX(tsk_UIDPredecessors,(ROW()-ROW(MSPTasks[[#Headers],[ID]])))))</f>
        <v/>
      </c>
      <c r="K170" s="24" t="str">
        <f aca="false">IF(IFERROR(INDEX(tsk_Name,(ROW()-ROW(MSPTasks[[#Headers],[ID]])))="",TRUE()),"",INDEX(tsk_ResourceNames,(ROW()-ROW(MSPTasks[[#Headers],[ID]])))&amp;"")</f>
        <v/>
      </c>
      <c r="L170" s="24" t="str">
        <f aca="false">IF(IFERROR(INDEX(tsk_Name,(ROW()-ROW(MSPTasks[[#Headers],[ID]])))="",TRUE()),"",IF(INDEX(tsk_IsSummary,(ROW()-ROW(MSPTasks[[#Headers],[ID]]))),"",ROUND(INDEX(tsk_Progress,(ROW()-ROW(MSPTasks[[#Headers],[ID]])))*100,0)))</f>
        <v/>
      </c>
      <c r="M170" s="137" t="str">
        <f aca="false">IF(IFERROR(INDEX(tsk_Name,(ROW()-ROW(MSPTasks[[#Headers],[ID]])))="",TRUE()),"",IF(N(INDEX(tsk_ActStart,(ROW()-ROW(MSPTasks[[#Headers],[ID]]))))=0,"",INDEX(tsk_ActStart,(ROW()-ROW(MSPTasks[[#Headers],[ID]])))))</f>
        <v/>
      </c>
      <c r="N170" s="137" t="str">
        <f aca="false">IF(IFERROR(INDEX(tsk_Name,(ROW()-ROW(MSPTasks[[#Headers],[ID]])))="",TRUE()),"",IF(N(INDEX(tsk_ActFinish,(ROW()-ROW(MSPTasks[[#Headers],[ID]]))))=0,"",INDEX(tsk_ActFinish,(ROW()-ROW(MSPTasks[[#Headers],[ID]])))))</f>
        <v/>
      </c>
      <c r="O170" s="137" t="str">
        <f aca="false">IF(IFERROR(INDEX(tsk_Name,(ROW()-ROW(MSPTasks[[#Headers],[ID]])))="",TRUE()),"",INDEX(tsk_PlanStart,(ROW()-ROW(MSPTasks[[#Headers],[ID]]))))</f>
        <v/>
      </c>
      <c r="P170" s="137" t="str">
        <f aca="false">IF(IFERROR(INDEX(tsk_Name,(ROW()-ROW(MSPTasks[[#Headers],[ID]])))="",TRUE()),"",INDEX(tsk_PlanFinish,(ROW()-ROW(MSPTasks[[#Headers],[ID]]))))</f>
        <v/>
      </c>
      <c r="Q170" s="24" t="str">
        <f aca="false">IF(IFERROR(INDEX(tsk_Name,(ROW()-ROW(MSPTasks[[#Headers],[ID]])))="",TRUE()),"",IF(INDEX(tsk_BaseDuration,(ROW()-ROW(MSPTasks[[#Headers],[ID]])))="","",N(INDEX(tsk_BaseDuration,(ROW()-ROW(MSPTasks[[#Headers],[ID]]))))&amp;"d"))</f>
        <v/>
      </c>
      <c r="R170" s="24" t="str">
        <f aca="false">IF(IFERROR(INDEX(tsk_Name,(ROW()-ROW(MSPTasks[[#Headers],[ID]])))="",TRUE()),"",IF(INDEX(tsk_BaseWork,(ROW()-ROW(MSPTasks[[#Headers],[ID]])))="","",N(INDEX(tsk_BaseWork,(ROW()-ROW(MSPTasks[[#Headers],[ID]]))))&amp;"h"))</f>
        <v/>
      </c>
      <c r="S170" s="24" t="str">
        <f aca="false">IF(IFERROR(INDEX(tsk_Name,(ROW()-ROW(MSPTasks[[#Headers],[ID]])))="",TRUE()),"",IF(INDEX(tsk_BaseCost,(ROW()-ROW(MSPTasks[[#Headers],[ID]])))="","",N(INDEX(tsk_BaseCost,(ROW()-ROW(MSPTasks[[#Headers],[ID]]))))))</f>
        <v/>
      </c>
      <c r="T170" s="24" t="str">
        <f aca="false">IF(IFERROR(INDEX(tsk_Name,(ROW()-ROW(MSPTasks[[#Headers],[ID]])))="",TRUE()),"",IF(INDEX(tsk_IsSummary,(ROW()-ROW(MSPTasks[[#Headers],[ID]]))),"",IF(N(INDEX(tsk_ActCostInput,(ROW()-ROW(MSPTasks[[#Headers],[ID]]))))=0,"",INDEX(tsk_ActCostInput,(ROW()-ROW(MSPTasks[[#Headers],[ID]]))))))</f>
        <v/>
      </c>
      <c r="U17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0" s="137" t="str">
        <f aca="false">IF(IFERROR(INDEX(tsk_Name,(ROW()-ROW(MSPTasks[[#Headers],[ID]])))="",TRUE()),"",IF(OR(INDEX(tsk_IsSummary,(ROW()-ROW(MSPTasks[[#Headers],[ID]]))),INDEX(tsk_Mode,(ROW()-ROW(MSPTasks[[#Headers],[ID]])))="Manual"),"",IF(N(INDEX(tsk_ConstraintCode,(ROW()-ROW(MSPTasks[[#Headers],[ID]]))))&lt;2,"",INDEX(tsk_Constraint,(ROW()-ROW(MSPTasks[[#Headers],[ID]]))))))</f>
        <v/>
      </c>
      <c r="W170" s="137" t="str">
        <f aca="false">IF(IFERROR(INDEX(tsk_Name,(ROW()-ROW(MSPTasks[[#Headers],[ID]])))="",TRUE()),"",IF(N(INDEX(tsk_Deadline,(ROW()-ROW(MSPTasks[[#Headers],[ID]]))))=0,"",INDEX(tsk_Deadline,(ROW()-ROW(MSPTasks[[#Headers],[ID]])))))</f>
        <v/>
      </c>
      <c r="X170" s="24" t="str">
        <f aca="false">IF(IFERROR(INDEX(tsk_Name,(ROW()-ROW(MSPTasks[[#Headers],[ID]])))="",TRUE()),"",IF(INDEX(tsk_IsSummary,(ROW()-ROW(MSPTasks[[#Headers],[ID]]))),"",INDEX(tsk_Sprint,(ROW()-ROW(MSPTasks[[#Headers],[ID]])))&amp;""))</f>
        <v/>
      </c>
      <c r="Y170" s="24" t="str">
        <f aca="false">IF(IFERROR(INDEX(tsk_Name,(ROW()-ROW(MSPTasks[[#Headers],[ID]])))="",TRUE()),"",IF(INDEX(tsk_IsSummary,(ROW()-ROW(MSPTasks[[#Headers],[ID]]))),"",IF(N(INDEX(tsk_StoryPoints,(ROW()-ROW(MSPTasks[[#Headers],[ID]]))))=0,"",INDEX(tsk_StoryPoints,(ROW()-ROW(MSPTasks[[#Headers],[ID]]))))))</f>
        <v/>
      </c>
      <c r="Z170" s="24" t="str">
        <f aca="false">IF(IFERROR(INDEX(tsk_Name,(ROW()-ROW(MSPTasks[[#Headers],[ID]])))="",TRUE()),"",INDEX(tsk_Notes,(ROW()-ROW(MSPTasks[[#Headers],[ID]])))&amp;"")</f>
        <v/>
      </c>
    </row>
    <row r="171" customFormat="false" ht="15" hidden="false" customHeight="false" outlineLevel="0" collapsed="false">
      <c r="A171" s="24" t="str">
        <f aca="false">IF(IFERROR(INDEX(tsk_Name,(ROW()-ROW(MSPTasks[[#Headers],[ID]])))="",TRUE()),"",INDEX(tsk_ID,(ROW()-ROW(MSPTasks[[#Headers],[ID]]))))</f>
        <v/>
      </c>
      <c r="B171" s="24" t="str">
        <f aca="false">IF(IFERROR(INDEX(tsk_Name,(ROW()-ROW(MSPTasks[[#Headers],[ID]])))="",TRUE()),"",INDEX(tsk_UID,(ROW()-ROW(MSPTasks[[#Headers],[ID]]))))</f>
        <v/>
      </c>
      <c r="C171" s="24" t="str">
        <f aca="false">IF(IFERROR(INDEX(tsk_Name,(ROW()-ROW(MSPTasks[[#Headers],[ID]])))="",TRUE()),"",INDEX(tsk_Name,(ROW()-ROW(MSPTasks[[#Headers],[ID]]))))</f>
        <v/>
      </c>
      <c r="D171" s="24" t="str">
        <f aca="false">IF(IFERROR(INDEX(tsk_Name,(ROW()-ROW(MSPTasks[[#Headers],[ID]])))="",TRUE()),"",INDEX(tsk_Level,(ROW()-ROW(MSPTasks[[#Headers],[ID]]))))</f>
        <v/>
      </c>
      <c r="E171" s="24" t="str">
        <f aca="false">IF(IFERROR(INDEX(tsk_Name,(ROW()-ROW(MSPTasks[[#Headers],[ID]])))="",TRUE()),"",IF(INDEX(tsk_Mode,(ROW()-ROW(MSPTasks[[#Headers],[ID]])))="Manual","Manually Scheduled","Auto Scheduled"))</f>
        <v/>
      </c>
      <c r="F171" s="24" t="str">
        <f aca="false">IF(IFERROR(INDEX(tsk_Name,(ROW()-ROW(MSPTasks[[#Headers],[ID]])))="",TRUE()),"",IF(INDEX(tsk_IsSummary,(ROW()-ROW(MSPTasks[[#Headers],[ID]]))),"",N(INDEX(tsk_Duration,(ROW()-ROW(MSPTasks[[#Headers],[ID]]))))&amp;"d"))</f>
        <v/>
      </c>
      <c r="G171" s="137" t="str">
        <f aca="false">IF(IFERROR(INDEX(tsk_Name,(ROW()-ROW(MSPTasks[[#Headers],[ID]])))="",TRUE()),"",INDEX(tsk_FcStart,(ROW()-ROW(MSPTasks[[#Headers],[ID]]))))</f>
        <v/>
      </c>
      <c r="H171" s="137" t="str">
        <f aca="false">IF(IFERROR(INDEX(tsk_Name,(ROW()-ROW(MSPTasks[[#Headers],[ID]])))="",TRUE()),"",INDEX(tsk_FcFinish,(ROW()-ROW(MSPTasks[[#Headers],[ID]]))))</f>
        <v/>
      </c>
      <c r="I171" s="24" t="str">
        <f aca="false">IF(IFERROR(INDEX(tsk_Name,(ROW()-ROW(MSPTasks[[#Headers],[ID]])))="",TRUE()),"",IF(INDEX(tsk_IsSummary,(ROW()-ROW(MSPTasks[[#Headers],[ID]]))),"",INDEX(tsk_Predecessors,(ROW()-ROW(MSPTasks[[#Headers],[ID]])))))</f>
        <v/>
      </c>
      <c r="J171" s="24" t="str">
        <f aca="false">IF(IFERROR(INDEX(tsk_Name,(ROW()-ROW(MSPTasks[[#Headers],[ID]])))="",TRUE()),"",IF(INDEX(tsk_IsSummary,(ROW()-ROW(MSPTasks[[#Headers],[ID]]))),"",INDEX(tsk_UIDPredecessors,(ROW()-ROW(MSPTasks[[#Headers],[ID]])))))</f>
        <v/>
      </c>
      <c r="K171" s="24" t="str">
        <f aca="false">IF(IFERROR(INDEX(tsk_Name,(ROW()-ROW(MSPTasks[[#Headers],[ID]])))="",TRUE()),"",INDEX(tsk_ResourceNames,(ROW()-ROW(MSPTasks[[#Headers],[ID]])))&amp;"")</f>
        <v/>
      </c>
      <c r="L171" s="24" t="str">
        <f aca="false">IF(IFERROR(INDEX(tsk_Name,(ROW()-ROW(MSPTasks[[#Headers],[ID]])))="",TRUE()),"",IF(INDEX(tsk_IsSummary,(ROW()-ROW(MSPTasks[[#Headers],[ID]]))),"",ROUND(INDEX(tsk_Progress,(ROW()-ROW(MSPTasks[[#Headers],[ID]])))*100,0)))</f>
        <v/>
      </c>
      <c r="M171" s="137" t="str">
        <f aca="false">IF(IFERROR(INDEX(tsk_Name,(ROW()-ROW(MSPTasks[[#Headers],[ID]])))="",TRUE()),"",IF(N(INDEX(tsk_ActStart,(ROW()-ROW(MSPTasks[[#Headers],[ID]]))))=0,"",INDEX(tsk_ActStart,(ROW()-ROW(MSPTasks[[#Headers],[ID]])))))</f>
        <v/>
      </c>
      <c r="N171" s="137" t="str">
        <f aca="false">IF(IFERROR(INDEX(tsk_Name,(ROW()-ROW(MSPTasks[[#Headers],[ID]])))="",TRUE()),"",IF(N(INDEX(tsk_ActFinish,(ROW()-ROW(MSPTasks[[#Headers],[ID]]))))=0,"",INDEX(tsk_ActFinish,(ROW()-ROW(MSPTasks[[#Headers],[ID]])))))</f>
        <v/>
      </c>
      <c r="O171" s="137" t="str">
        <f aca="false">IF(IFERROR(INDEX(tsk_Name,(ROW()-ROW(MSPTasks[[#Headers],[ID]])))="",TRUE()),"",INDEX(tsk_PlanStart,(ROW()-ROW(MSPTasks[[#Headers],[ID]]))))</f>
        <v/>
      </c>
      <c r="P171" s="137" t="str">
        <f aca="false">IF(IFERROR(INDEX(tsk_Name,(ROW()-ROW(MSPTasks[[#Headers],[ID]])))="",TRUE()),"",INDEX(tsk_PlanFinish,(ROW()-ROW(MSPTasks[[#Headers],[ID]]))))</f>
        <v/>
      </c>
      <c r="Q171" s="24" t="str">
        <f aca="false">IF(IFERROR(INDEX(tsk_Name,(ROW()-ROW(MSPTasks[[#Headers],[ID]])))="",TRUE()),"",IF(INDEX(tsk_BaseDuration,(ROW()-ROW(MSPTasks[[#Headers],[ID]])))="","",N(INDEX(tsk_BaseDuration,(ROW()-ROW(MSPTasks[[#Headers],[ID]]))))&amp;"d"))</f>
        <v/>
      </c>
      <c r="R171" s="24" t="str">
        <f aca="false">IF(IFERROR(INDEX(tsk_Name,(ROW()-ROW(MSPTasks[[#Headers],[ID]])))="",TRUE()),"",IF(INDEX(tsk_BaseWork,(ROW()-ROW(MSPTasks[[#Headers],[ID]])))="","",N(INDEX(tsk_BaseWork,(ROW()-ROW(MSPTasks[[#Headers],[ID]]))))&amp;"h"))</f>
        <v/>
      </c>
      <c r="S171" s="24" t="str">
        <f aca="false">IF(IFERROR(INDEX(tsk_Name,(ROW()-ROW(MSPTasks[[#Headers],[ID]])))="",TRUE()),"",IF(INDEX(tsk_BaseCost,(ROW()-ROW(MSPTasks[[#Headers],[ID]])))="","",N(INDEX(tsk_BaseCost,(ROW()-ROW(MSPTasks[[#Headers],[ID]]))))))</f>
        <v/>
      </c>
      <c r="T171" s="24" t="str">
        <f aca="false">IF(IFERROR(INDEX(tsk_Name,(ROW()-ROW(MSPTasks[[#Headers],[ID]])))="",TRUE()),"",IF(INDEX(tsk_IsSummary,(ROW()-ROW(MSPTasks[[#Headers],[ID]]))),"",IF(N(INDEX(tsk_ActCostInput,(ROW()-ROW(MSPTasks[[#Headers],[ID]]))))=0,"",INDEX(tsk_ActCostInput,(ROW()-ROW(MSPTasks[[#Headers],[ID]]))))))</f>
        <v/>
      </c>
      <c r="U17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1" s="137" t="str">
        <f aca="false">IF(IFERROR(INDEX(tsk_Name,(ROW()-ROW(MSPTasks[[#Headers],[ID]])))="",TRUE()),"",IF(OR(INDEX(tsk_IsSummary,(ROW()-ROW(MSPTasks[[#Headers],[ID]]))),INDEX(tsk_Mode,(ROW()-ROW(MSPTasks[[#Headers],[ID]])))="Manual"),"",IF(N(INDEX(tsk_ConstraintCode,(ROW()-ROW(MSPTasks[[#Headers],[ID]]))))&lt;2,"",INDEX(tsk_Constraint,(ROW()-ROW(MSPTasks[[#Headers],[ID]]))))))</f>
        <v/>
      </c>
      <c r="W171" s="137" t="str">
        <f aca="false">IF(IFERROR(INDEX(tsk_Name,(ROW()-ROW(MSPTasks[[#Headers],[ID]])))="",TRUE()),"",IF(N(INDEX(tsk_Deadline,(ROW()-ROW(MSPTasks[[#Headers],[ID]]))))=0,"",INDEX(tsk_Deadline,(ROW()-ROW(MSPTasks[[#Headers],[ID]])))))</f>
        <v/>
      </c>
      <c r="X171" s="24" t="str">
        <f aca="false">IF(IFERROR(INDEX(tsk_Name,(ROW()-ROW(MSPTasks[[#Headers],[ID]])))="",TRUE()),"",IF(INDEX(tsk_IsSummary,(ROW()-ROW(MSPTasks[[#Headers],[ID]]))),"",INDEX(tsk_Sprint,(ROW()-ROW(MSPTasks[[#Headers],[ID]])))&amp;""))</f>
        <v/>
      </c>
      <c r="Y171" s="24" t="str">
        <f aca="false">IF(IFERROR(INDEX(tsk_Name,(ROW()-ROW(MSPTasks[[#Headers],[ID]])))="",TRUE()),"",IF(INDEX(tsk_IsSummary,(ROW()-ROW(MSPTasks[[#Headers],[ID]]))),"",IF(N(INDEX(tsk_StoryPoints,(ROW()-ROW(MSPTasks[[#Headers],[ID]]))))=0,"",INDEX(tsk_StoryPoints,(ROW()-ROW(MSPTasks[[#Headers],[ID]]))))))</f>
        <v/>
      </c>
      <c r="Z171" s="24" t="str">
        <f aca="false">IF(IFERROR(INDEX(tsk_Name,(ROW()-ROW(MSPTasks[[#Headers],[ID]])))="",TRUE()),"",INDEX(tsk_Notes,(ROW()-ROW(MSPTasks[[#Headers],[ID]])))&amp;"")</f>
        <v/>
      </c>
    </row>
    <row r="172" customFormat="false" ht="15" hidden="false" customHeight="false" outlineLevel="0" collapsed="false">
      <c r="A172" s="24" t="str">
        <f aca="false">IF(IFERROR(INDEX(tsk_Name,(ROW()-ROW(MSPTasks[[#Headers],[ID]])))="",TRUE()),"",INDEX(tsk_ID,(ROW()-ROW(MSPTasks[[#Headers],[ID]]))))</f>
        <v/>
      </c>
      <c r="B172" s="24" t="str">
        <f aca="false">IF(IFERROR(INDEX(tsk_Name,(ROW()-ROW(MSPTasks[[#Headers],[ID]])))="",TRUE()),"",INDEX(tsk_UID,(ROW()-ROW(MSPTasks[[#Headers],[ID]]))))</f>
        <v/>
      </c>
      <c r="C172" s="24" t="str">
        <f aca="false">IF(IFERROR(INDEX(tsk_Name,(ROW()-ROW(MSPTasks[[#Headers],[ID]])))="",TRUE()),"",INDEX(tsk_Name,(ROW()-ROW(MSPTasks[[#Headers],[ID]]))))</f>
        <v/>
      </c>
      <c r="D172" s="24" t="str">
        <f aca="false">IF(IFERROR(INDEX(tsk_Name,(ROW()-ROW(MSPTasks[[#Headers],[ID]])))="",TRUE()),"",INDEX(tsk_Level,(ROW()-ROW(MSPTasks[[#Headers],[ID]]))))</f>
        <v/>
      </c>
      <c r="E172" s="24" t="str">
        <f aca="false">IF(IFERROR(INDEX(tsk_Name,(ROW()-ROW(MSPTasks[[#Headers],[ID]])))="",TRUE()),"",IF(INDEX(tsk_Mode,(ROW()-ROW(MSPTasks[[#Headers],[ID]])))="Manual","Manually Scheduled","Auto Scheduled"))</f>
        <v/>
      </c>
      <c r="F172" s="24" t="str">
        <f aca="false">IF(IFERROR(INDEX(tsk_Name,(ROW()-ROW(MSPTasks[[#Headers],[ID]])))="",TRUE()),"",IF(INDEX(tsk_IsSummary,(ROW()-ROW(MSPTasks[[#Headers],[ID]]))),"",N(INDEX(tsk_Duration,(ROW()-ROW(MSPTasks[[#Headers],[ID]]))))&amp;"d"))</f>
        <v/>
      </c>
      <c r="G172" s="137" t="str">
        <f aca="false">IF(IFERROR(INDEX(tsk_Name,(ROW()-ROW(MSPTasks[[#Headers],[ID]])))="",TRUE()),"",INDEX(tsk_FcStart,(ROW()-ROW(MSPTasks[[#Headers],[ID]]))))</f>
        <v/>
      </c>
      <c r="H172" s="137" t="str">
        <f aca="false">IF(IFERROR(INDEX(tsk_Name,(ROW()-ROW(MSPTasks[[#Headers],[ID]])))="",TRUE()),"",INDEX(tsk_FcFinish,(ROW()-ROW(MSPTasks[[#Headers],[ID]]))))</f>
        <v/>
      </c>
      <c r="I172" s="24" t="str">
        <f aca="false">IF(IFERROR(INDEX(tsk_Name,(ROW()-ROW(MSPTasks[[#Headers],[ID]])))="",TRUE()),"",IF(INDEX(tsk_IsSummary,(ROW()-ROW(MSPTasks[[#Headers],[ID]]))),"",INDEX(tsk_Predecessors,(ROW()-ROW(MSPTasks[[#Headers],[ID]])))))</f>
        <v/>
      </c>
      <c r="J172" s="24" t="str">
        <f aca="false">IF(IFERROR(INDEX(tsk_Name,(ROW()-ROW(MSPTasks[[#Headers],[ID]])))="",TRUE()),"",IF(INDEX(tsk_IsSummary,(ROW()-ROW(MSPTasks[[#Headers],[ID]]))),"",INDEX(tsk_UIDPredecessors,(ROW()-ROW(MSPTasks[[#Headers],[ID]])))))</f>
        <v/>
      </c>
      <c r="K172" s="24" t="str">
        <f aca="false">IF(IFERROR(INDEX(tsk_Name,(ROW()-ROW(MSPTasks[[#Headers],[ID]])))="",TRUE()),"",INDEX(tsk_ResourceNames,(ROW()-ROW(MSPTasks[[#Headers],[ID]])))&amp;"")</f>
        <v/>
      </c>
      <c r="L172" s="24" t="str">
        <f aca="false">IF(IFERROR(INDEX(tsk_Name,(ROW()-ROW(MSPTasks[[#Headers],[ID]])))="",TRUE()),"",IF(INDEX(tsk_IsSummary,(ROW()-ROW(MSPTasks[[#Headers],[ID]]))),"",ROUND(INDEX(tsk_Progress,(ROW()-ROW(MSPTasks[[#Headers],[ID]])))*100,0)))</f>
        <v/>
      </c>
      <c r="M172" s="137" t="str">
        <f aca="false">IF(IFERROR(INDEX(tsk_Name,(ROW()-ROW(MSPTasks[[#Headers],[ID]])))="",TRUE()),"",IF(N(INDEX(tsk_ActStart,(ROW()-ROW(MSPTasks[[#Headers],[ID]]))))=0,"",INDEX(tsk_ActStart,(ROW()-ROW(MSPTasks[[#Headers],[ID]])))))</f>
        <v/>
      </c>
      <c r="N172" s="137" t="str">
        <f aca="false">IF(IFERROR(INDEX(tsk_Name,(ROW()-ROW(MSPTasks[[#Headers],[ID]])))="",TRUE()),"",IF(N(INDEX(tsk_ActFinish,(ROW()-ROW(MSPTasks[[#Headers],[ID]]))))=0,"",INDEX(tsk_ActFinish,(ROW()-ROW(MSPTasks[[#Headers],[ID]])))))</f>
        <v/>
      </c>
      <c r="O172" s="137" t="str">
        <f aca="false">IF(IFERROR(INDEX(tsk_Name,(ROW()-ROW(MSPTasks[[#Headers],[ID]])))="",TRUE()),"",INDEX(tsk_PlanStart,(ROW()-ROW(MSPTasks[[#Headers],[ID]]))))</f>
        <v/>
      </c>
      <c r="P172" s="137" t="str">
        <f aca="false">IF(IFERROR(INDEX(tsk_Name,(ROW()-ROW(MSPTasks[[#Headers],[ID]])))="",TRUE()),"",INDEX(tsk_PlanFinish,(ROW()-ROW(MSPTasks[[#Headers],[ID]]))))</f>
        <v/>
      </c>
      <c r="Q172" s="24" t="str">
        <f aca="false">IF(IFERROR(INDEX(tsk_Name,(ROW()-ROW(MSPTasks[[#Headers],[ID]])))="",TRUE()),"",IF(INDEX(tsk_BaseDuration,(ROW()-ROW(MSPTasks[[#Headers],[ID]])))="","",N(INDEX(tsk_BaseDuration,(ROW()-ROW(MSPTasks[[#Headers],[ID]]))))&amp;"d"))</f>
        <v/>
      </c>
      <c r="R172" s="24" t="str">
        <f aca="false">IF(IFERROR(INDEX(tsk_Name,(ROW()-ROW(MSPTasks[[#Headers],[ID]])))="",TRUE()),"",IF(INDEX(tsk_BaseWork,(ROW()-ROW(MSPTasks[[#Headers],[ID]])))="","",N(INDEX(tsk_BaseWork,(ROW()-ROW(MSPTasks[[#Headers],[ID]]))))&amp;"h"))</f>
        <v/>
      </c>
      <c r="S172" s="24" t="str">
        <f aca="false">IF(IFERROR(INDEX(tsk_Name,(ROW()-ROW(MSPTasks[[#Headers],[ID]])))="",TRUE()),"",IF(INDEX(tsk_BaseCost,(ROW()-ROW(MSPTasks[[#Headers],[ID]])))="","",N(INDEX(tsk_BaseCost,(ROW()-ROW(MSPTasks[[#Headers],[ID]]))))))</f>
        <v/>
      </c>
      <c r="T172" s="24" t="str">
        <f aca="false">IF(IFERROR(INDEX(tsk_Name,(ROW()-ROW(MSPTasks[[#Headers],[ID]])))="",TRUE()),"",IF(INDEX(tsk_IsSummary,(ROW()-ROW(MSPTasks[[#Headers],[ID]]))),"",IF(N(INDEX(tsk_ActCostInput,(ROW()-ROW(MSPTasks[[#Headers],[ID]]))))=0,"",INDEX(tsk_ActCostInput,(ROW()-ROW(MSPTasks[[#Headers],[ID]]))))))</f>
        <v/>
      </c>
      <c r="U17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2" s="137" t="str">
        <f aca="false">IF(IFERROR(INDEX(tsk_Name,(ROW()-ROW(MSPTasks[[#Headers],[ID]])))="",TRUE()),"",IF(OR(INDEX(tsk_IsSummary,(ROW()-ROW(MSPTasks[[#Headers],[ID]]))),INDEX(tsk_Mode,(ROW()-ROW(MSPTasks[[#Headers],[ID]])))="Manual"),"",IF(N(INDEX(tsk_ConstraintCode,(ROW()-ROW(MSPTasks[[#Headers],[ID]]))))&lt;2,"",INDEX(tsk_Constraint,(ROW()-ROW(MSPTasks[[#Headers],[ID]]))))))</f>
        <v/>
      </c>
      <c r="W172" s="137" t="str">
        <f aca="false">IF(IFERROR(INDEX(tsk_Name,(ROW()-ROW(MSPTasks[[#Headers],[ID]])))="",TRUE()),"",IF(N(INDEX(tsk_Deadline,(ROW()-ROW(MSPTasks[[#Headers],[ID]]))))=0,"",INDEX(tsk_Deadline,(ROW()-ROW(MSPTasks[[#Headers],[ID]])))))</f>
        <v/>
      </c>
      <c r="X172" s="24" t="str">
        <f aca="false">IF(IFERROR(INDEX(tsk_Name,(ROW()-ROW(MSPTasks[[#Headers],[ID]])))="",TRUE()),"",IF(INDEX(tsk_IsSummary,(ROW()-ROW(MSPTasks[[#Headers],[ID]]))),"",INDEX(tsk_Sprint,(ROW()-ROW(MSPTasks[[#Headers],[ID]])))&amp;""))</f>
        <v/>
      </c>
      <c r="Y172" s="24" t="str">
        <f aca="false">IF(IFERROR(INDEX(tsk_Name,(ROW()-ROW(MSPTasks[[#Headers],[ID]])))="",TRUE()),"",IF(INDEX(tsk_IsSummary,(ROW()-ROW(MSPTasks[[#Headers],[ID]]))),"",IF(N(INDEX(tsk_StoryPoints,(ROW()-ROW(MSPTasks[[#Headers],[ID]]))))=0,"",INDEX(tsk_StoryPoints,(ROW()-ROW(MSPTasks[[#Headers],[ID]]))))))</f>
        <v/>
      </c>
      <c r="Z172" s="24" t="str">
        <f aca="false">IF(IFERROR(INDEX(tsk_Name,(ROW()-ROW(MSPTasks[[#Headers],[ID]])))="",TRUE()),"",INDEX(tsk_Notes,(ROW()-ROW(MSPTasks[[#Headers],[ID]])))&amp;"")</f>
        <v/>
      </c>
    </row>
    <row r="173" customFormat="false" ht="15" hidden="false" customHeight="false" outlineLevel="0" collapsed="false">
      <c r="A173" s="24" t="str">
        <f aca="false">IF(IFERROR(INDEX(tsk_Name,(ROW()-ROW(MSPTasks[[#Headers],[ID]])))="",TRUE()),"",INDEX(tsk_ID,(ROW()-ROW(MSPTasks[[#Headers],[ID]]))))</f>
        <v/>
      </c>
      <c r="B173" s="24" t="str">
        <f aca="false">IF(IFERROR(INDEX(tsk_Name,(ROW()-ROW(MSPTasks[[#Headers],[ID]])))="",TRUE()),"",INDEX(tsk_UID,(ROW()-ROW(MSPTasks[[#Headers],[ID]]))))</f>
        <v/>
      </c>
      <c r="C173" s="24" t="str">
        <f aca="false">IF(IFERROR(INDEX(tsk_Name,(ROW()-ROW(MSPTasks[[#Headers],[ID]])))="",TRUE()),"",INDEX(tsk_Name,(ROW()-ROW(MSPTasks[[#Headers],[ID]]))))</f>
        <v/>
      </c>
      <c r="D173" s="24" t="str">
        <f aca="false">IF(IFERROR(INDEX(tsk_Name,(ROW()-ROW(MSPTasks[[#Headers],[ID]])))="",TRUE()),"",INDEX(tsk_Level,(ROW()-ROW(MSPTasks[[#Headers],[ID]]))))</f>
        <v/>
      </c>
      <c r="E173" s="24" t="str">
        <f aca="false">IF(IFERROR(INDEX(tsk_Name,(ROW()-ROW(MSPTasks[[#Headers],[ID]])))="",TRUE()),"",IF(INDEX(tsk_Mode,(ROW()-ROW(MSPTasks[[#Headers],[ID]])))="Manual","Manually Scheduled","Auto Scheduled"))</f>
        <v/>
      </c>
      <c r="F173" s="24" t="str">
        <f aca="false">IF(IFERROR(INDEX(tsk_Name,(ROW()-ROW(MSPTasks[[#Headers],[ID]])))="",TRUE()),"",IF(INDEX(tsk_IsSummary,(ROW()-ROW(MSPTasks[[#Headers],[ID]]))),"",N(INDEX(tsk_Duration,(ROW()-ROW(MSPTasks[[#Headers],[ID]]))))&amp;"d"))</f>
        <v/>
      </c>
      <c r="G173" s="137" t="str">
        <f aca="false">IF(IFERROR(INDEX(tsk_Name,(ROW()-ROW(MSPTasks[[#Headers],[ID]])))="",TRUE()),"",INDEX(tsk_FcStart,(ROW()-ROW(MSPTasks[[#Headers],[ID]]))))</f>
        <v/>
      </c>
      <c r="H173" s="137" t="str">
        <f aca="false">IF(IFERROR(INDEX(tsk_Name,(ROW()-ROW(MSPTasks[[#Headers],[ID]])))="",TRUE()),"",INDEX(tsk_FcFinish,(ROW()-ROW(MSPTasks[[#Headers],[ID]]))))</f>
        <v/>
      </c>
      <c r="I173" s="24" t="str">
        <f aca="false">IF(IFERROR(INDEX(tsk_Name,(ROW()-ROW(MSPTasks[[#Headers],[ID]])))="",TRUE()),"",IF(INDEX(tsk_IsSummary,(ROW()-ROW(MSPTasks[[#Headers],[ID]]))),"",INDEX(tsk_Predecessors,(ROW()-ROW(MSPTasks[[#Headers],[ID]])))))</f>
        <v/>
      </c>
      <c r="J173" s="24" t="str">
        <f aca="false">IF(IFERROR(INDEX(tsk_Name,(ROW()-ROW(MSPTasks[[#Headers],[ID]])))="",TRUE()),"",IF(INDEX(tsk_IsSummary,(ROW()-ROW(MSPTasks[[#Headers],[ID]]))),"",INDEX(tsk_UIDPredecessors,(ROW()-ROW(MSPTasks[[#Headers],[ID]])))))</f>
        <v/>
      </c>
      <c r="K173" s="24" t="str">
        <f aca="false">IF(IFERROR(INDEX(tsk_Name,(ROW()-ROW(MSPTasks[[#Headers],[ID]])))="",TRUE()),"",INDEX(tsk_ResourceNames,(ROW()-ROW(MSPTasks[[#Headers],[ID]])))&amp;"")</f>
        <v/>
      </c>
      <c r="L173" s="24" t="str">
        <f aca="false">IF(IFERROR(INDEX(tsk_Name,(ROW()-ROW(MSPTasks[[#Headers],[ID]])))="",TRUE()),"",IF(INDEX(tsk_IsSummary,(ROW()-ROW(MSPTasks[[#Headers],[ID]]))),"",ROUND(INDEX(tsk_Progress,(ROW()-ROW(MSPTasks[[#Headers],[ID]])))*100,0)))</f>
        <v/>
      </c>
      <c r="M173" s="137" t="str">
        <f aca="false">IF(IFERROR(INDEX(tsk_Name,(ROW()-ROW(MSPTasks[[#Headers],[ID]])))="",TRUE()),"",IF(N(INDEX(tsk_ActStart,(ROW()-ROW(MSPTasks[[#Headers],[ID]]))))=0,"",INDEX(tsk_ActStart,(ROW()-ROW(MSPTasks[[#Headers],[ID]])))))</f>
        <v/>
      </c>
      <c r="N173" s="137" t="str">
        <f aca="false">IF(IFERROR(INDEX(tsk_Name,(ROW()-ROW(MSPTasks[[#Headers],[ID]])))="",TRUE()),"",IF(N(INDEX(tsk_ActFinish,(ROW()-ROW(MSPTasks[[#Headers],[ID]]))))=0,"",INDEX(tsk_ActFinish,(ROW()-ROW(MSPTasks[[#Headers],[ID]])))))</f>
        <v/>
      </c>
      <c r="O173" s="137" t="str">
        <f aca="false">IF(IFERROR(INDEX(tsk_Name,(ROW()-ROW(MSPTasks[[#Headers],[ID]])))="",TRUE()),"",INDEX(tsk_PlanStart,(ROW()-ROW(MSPTasks[[#Headers],[ID]]))))</f>
        <v/>
      </c>
      <c r="P173" s="137" t="str">
        <f aca="false">IF(IFERROR(INDEX(tsk_Name,(ROW()-ROW(MSPTasks[[#Headers],[ID]])))="",TRUE()),"",INDEX(tsk_PlanFinish,(ROW()-ROW(MSPTasks[[#Headers],[ID]]))))</f>
        <v/>
      </c>
      <c r="Q173" s="24" t="str">
        <f aca="false">IF(IFERROR(INDEX(tsk_Name,(ROW()-ROW(MSPTasks[[#Headers],[ID]])))="",TRUE()),"",IF(INDEX(tsk_BaseDuration,(ROW()-ROW(MSPTasks[[#Headers],[ID]])))="","",N(INDEX(tsk_BaseDuration,(ROW()-ROW(MSPTasks[[#Headers],[ID]]))))&amp;"d"))</f>
        <v/>
      </c>
      <c r="R173" s="24" t="str">
        <f aca="false">IF(IFERROR(INDEX(tsk_Name,(ROW()-ROW(MSPTasks[[#Headers],[ID]])))="",TRUE()),"",IF(INDEX(tsk_BaseWork,(ROW()-ROW(MSPTasks[[#Headers],[ID]])))="","",N(INDEX(tsk_BaseWork,(ROW()-ROW(MSPTasks[[#Headers],[ID]]))))&amp;"h"))</f>
        <v/>
      </c>
      <c r="S173" s="24" t="str">
        <f aca="false">IF(IFERROR(INDEX(tsk_Name,(ROW()-ROW(MSPTasks[[#Headers],[ID]])))="",TRUE()),"",IF(INDEX(tsk_BaseCost,(ROW()-ROW(MSPTasks[[#Headers],[ID]])))="","",N(INDEX(tsk_BaseCost,(ROW()-ROW(MSPTasks[[#Headers],[ID]]))))))</f>
        <v/>
      </c>
      <c r="T173" s="24" t="str">
        <f aca="false">IF(IFERROR(INDEX(tsk_Name,(ROW()-ROW(MSPTasks[[#Headers],[ID]])))="",TRUE()),"",IF(INDEX(tsk_IsSummary,(ROW()-ROW(MSPTasks[[#Headers],[ID]]))),"",IF(N(INDEX(tsk_ActCostInput,(ROW()-ROW(MSPTasks[[#Headers],[ID]]))))=0,"",INDEX(tsk_ActCostInput,(ROW()-ROW(MSPTasks[[#Headers],[ID]]))))))</f>
        <v/>
      </c>
      <c r="U17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3" s="137" t="str">
        <f aca="false">IF(IFERROR(INDEX(tsk_Name,(ROW()-ROW(MSPTasks[[#Headers],[ID]])))="",TRUE()),"",IF(OR(INDEX(tsk_IsSummary,(ROW()-ROW(MSPTasks[[#Headers],[ID]]))),INDEX(tsk_Mode,(ROW()-ROW(MSPTasks[[#Headers],[ID]])))="Manual"),"",IF(N(INDEX(tsk_ConstraintCode,(ROW()-ROW(MSPTasks[[#Headers],[ID]]))))&lt;2,"",INDEX(tsk_Constraint,(ROW()-ROW(MSPTasks[[#Headers],[ID]]))))))</f>
        <v/>
      </c>
      <c r="W173" s="137" t="str">
        <f aca="false">IF(IFERROR(INDEX(tsk_Name,(ROW()-ROW(MSPTasks[[#Headers],[ID]])))="",TRUE()),"",IF(N(INDEX(tsk_Deadline,(ROW()-ROW(MSPTasks[[#Headers],[ID]]))))=0,"",INDEX(tsk_Deadline,(ROW()-ROW(MSPTasks[[#Headers],[ID]])))))</f>
        <v/>
      </c>
      <c r="X173" s="24" t="str">
        <f aca="false">IF(IFERROR(INDEX(tsk_Name,(ROW()-ROW(MSPTasks[[#Headers],[ID]])))="",TRUE()),"",IF(INDEX(tsk_IsSummary,(ROW()-ROW(MSPTasks[[#Headers],[ID]]))),"",INDEX(tsk_Sprint,(ROW()-ROW(MSPTasks[[#Headers],[ID]])))&amp;""))</f>
        <v/>
      </c>
      <c r="Y173" s="24" t="str">
        <f aca="false">IF(IFERROR(INDEX(tsk_Name,(ROW()-ROW(MSPTasks[[#Headers],[ID]])))="",TRUE()),"",IF(INDEX(tsk_IsSummary,(ROW()-ROW(MSPTasks[[#Headers],[ID]]))),"",IF(N(INDEX(tsk_StoryPoints,(ROW()-ROW(MSPTasks[[#Headers],[ID]]))))=0,"",INDEX(tsk_StoryPoints,(ROW()-ROW(MSPTasks[[#Headers],[ID]]))))))</f>
        <v/>
      </c>
      <c r="Z173" s="24" t="str">
        <f aca="false">IF(IFERROR(INDEX(tsk_Name,(ROW()-ROW(MSPTasks[[#Headers],[ID]])))="",TRUE()),"",INDEX(tsk_Notes,(ROW()-ROW(MSPTasks[[#Headers],[ID]])))&amp;"")</f>
        <v/>
      </c>
    </row>
    <row r="174" customFormat="false" ht="15" hidden="false" customHeight="false" outlineLevel="0" collapsed="false">
      <c r="A174" s="24" t="str">
        <f aca="false">IF(IFERROR(INDEX(tsk_Name,(ROW()-ROW(MSPTasks[[#Headers],[ID]])))="",TRUE()),"",INDEX(tsk_ID,(ROW()-ROW(MSPTasks[[#Headers],[ID]]))))</f>
        <v/>
      </c>
      <c r="B174" s="24" t="str">
        <f aca="false">IF(IFERROR(INDEX(tsk_Name,(ROW()-ROW(MSPTasks[[#Headers],[ID]])))="",TRUE()),"",INDEX(tsk_UID,(ROW()-ROW(MSPTasks[[#Headers],[ID]]))))</f>
        <v/>
      </c>
      <c r="C174" s="24" t="str">
        <f aca="false">IF(IFERROR(INDEX(tsk_Name,(ROW()-ROW(MSPTasks[[#Headers],[ID]])))="",TRUE()),"",INDEX(tsk_Name,(ROW()-ROW(MSPTasks[[#Headers],[ID]]))))</f>
        <v/>
      </c>
      <c r="D174" s="24" t="str">
        <f aca="false">IF(IFERROR(INDEX(tsk_Name,(ROW()-ROW(MSPTasks[[#Headers],[ID]])))="",TRUE()),"",INDEX(tsk_Level,(ROW()-ROW(MSPTasks[[#Headers],[ID]]))))</f>
        <v/>
      </c>
      <c r="E174" s="24" t="str">
        <f aca="false">IF(IFERROR(INDEX(tsk_Name,(ROW()-ROW(MSPTasks[[#Headers],[ID]])))="",TRUE()),"",IF(INDEX(tsk_Mode,(ROW()-ROW(MSPTasks[[#Headers],[ID]])))="Manual","Manually Scheduled","Auto Scheduled"))</f>
        <v/>
      </c>
      <c r="F174" s="24" t="str">
        <f aca="false">IF(IFERROR(INDEX(tsk_Name,(ROW()-ROW(MSPTasks[[#Headers],[ID]])))="",TRUE()),"",IF(INDEX(tsk_IsSummary,(ROW()-ROW(MSPTasks[[#Headers],[ID]]))),"",N(INDEX(tsk_Duration,(ROW()-ROW(MSPTasks[[#Headers],[ID]]))))&amp;"d"))</f>
        <v/>
      </c>
      <c r="G174" s="137" t="str">
        <f aca="false">IF(IFERROR(INDEX(tsk_Name,(ROW()-ROW(MSPTasks[[#Headers],[ID]])))="",TRUE()),"",INDEX(tsk_FcStart,(ROW()-ROW(MSPTasks[[#Headers],[ID]]))))</f>
        <v/>
      </c>
      <c r="H174" s="137" t="str">
        <f aca="false">IF(IFERROR(INDEX(tsk_Name,(ROW()-ROW(MSPTasks[[#Headers],[ID]])))="",TRUE()),"",INDEX(tsk_FcFinish,(ROW()-ROW(MSPTasks[[#Headers],[ID]]))))</f>
        <v/>
      </c>
      <c r="I174" s="24" t="str">
        <f aca="false">IF(IFERROR(INDEX(tsk_Name,(ROW()-ROW(MSPTasks[[#Headers],[ID]])))="",TRUE()),"",IF(INDEX(tsk_IsSummary,(ROW()-ROW(MSPTasks[[#Headers],[ID]]))),"",INDEX(tsk_Predecessors,(ROW()-ROW(MSPTasks[[#Headers],[ID]])))))</f>
        <v/>
      </c>
      <c r="J174" s="24" t="str">
        <f aca="false">IF(IFERROR(INDEX(tsk_Name,(ROW()-ROW(MSPTasks[[#Headers],[ID]])))="",TRUE()),"",IF(INDEX(tsk_IsSummary,(ROW()-ROW(MSPTasks[[#Headers],[ID]]))),"",INDEX(tsk_UIDPredecessors,(ROW()-ROW(MSPTasks[[#Headers],[ID]])))))</f>
        <v/>
      </c>
      <c r="K174" s="24" t="str">
        <f aca="false">IF(IFERROR(INDEX(tsk_Name,(ROW()-ROW(MSPTasks[[#Headers],[ID]])))="",TRUE()),"",INDEX(tsk_ResourceNames,(ROW()-ROW(MSPTasks[[#Headers],[ID]])))&amp;"")</f>
        <v/>
      </c>
      <c r="L174" s="24" t="str">
        <f aca="false">IF(IFERROR(INDEX(tsk_Name,(ROW()-ROW(MSPTasks[[#Headers],[ID]])))="",TRUE()),"",IF(INDEX(tsk_IsSummary,(ROW()-ROW(MSPTasks[[#Headers],[ID]]))),"",ROUND(INDEX(tsk_Progress,(ROW()-ROW(MSPTasks[[#Headers],[ID]])))*100,0)))</f>
        <v/>
      </c>
      <c r="M174" s="137" t="str">
        <f aca="false">IF(IFERROR(INDEX(tsk_Name,(ROW()-ROW(MSPTasks[[#Headers],[ID]])))="",TRUE()),"",IF(N(INDEX(tsk_ActStart,(ROW()-ROW(MSPTasks[[#Headers],[ID]]))))=0,"",INDEX(tsk_ActStart,(ROW()-ROW(MSPTasks[[#Headers],[ID]])))))</f>
        <v/>
      </c>
      <c r="N174" s="137" t="str">
        <f aca="false">IF(IFERROR(INDEX(tsk_Name,(ROW()-ROW(MSPTasks[[#Headers],[ID]])))="",TRUE()),"",IF(N(INDEX(tsk_ActFinish,(ROW()-ROW(MSPTasks[[#Headers],[ID]]))))=0,"",INDEX(tsk_ActFinish,(ROW()-ROW(MSPTasks[[#Headers],[ID]])))))</f>
        <v/>
      </c>
      <c r="O174" s="137" t="str">
        <f aca="false">IF(IFERROR(INDEX(tsk_Name,(ROW()-ROW(MSPTasks[[#Headers],[ID]])))="",TRUE()),"",INDEX(tsk_PlanStart,(ROW()-ROW(MSPTasks[[#Headers],[ID]]))))</f>
        <v/>
      </c>
      <c r="P174" s="137" t="str">
        <f aca="false">IF(IFERROR(INDEX(tsk_Name,(ROW()-ROW(MSPTasks[[#Headers],[ID]])))="",TRUE()),"",INDEX(tsk_PlanFinish,(ROW()-ROW(MSPTasks[[#Headers],[ID]]))))</f>
        <v/>
      </c>
      <c r="Q174" s="24" t="str">
        <f aca="false">IF(IFERROR(INDEX(tsk_Name,(ROW()-ROW(MSPTasks[[#Headers],[ID]])))="",TRUE()),"",IF(INDEX(tsk_BaseDuration,(ROW()-ROW(MSPTasks[[#Headers],[ID]])))="","",N(INDEX(tsk_BaseDuration,(ROW()-ROW(MSPTasks[[#Headers],[ID]]))))&amp;"d"))</f>
        <v/>
      </c>
      <c r="R174" s="24" t="str">
        <f aca="false">IF(IFERROR(INDEX(tsk_Name,(ROW()-ROW(MSPTasks[[#Headers],[ID]])))="",TRUE()),"",IF(INDEX(tsk_BaseWork,(ROW()-ROW(MSPTasks[[#Headers],[ID]])))="","",N(INDEX(tsk_BaseWork,(ROW()-ROW(MSPTasks[[#Headers],[ID]]))))&amp;"h"))</f>
        <v/>
      </c>
      <c r="S174" s="24" t="str">
        <f aca="false">IF(IFERROR(INDEX(tsk_Name,(ROW()-ROW(MSPTasks[[#Headers],[ID]])))="",TRUE()),"",IF(INDEX(tsk_BaseCost,(ROW()-ROW(MSPTasks[[#Headers],[ID]])))="","",N(INDEX(tsk_BaseCost,(ROW()-ROW(MSPTasks[[#Headers],[ID]]))))))</f>
        <v/>
      </c>
      <c r="T174" s="24" t="str">
        <f aca="false">IF(IFERROR(INDEX(tsk_Name,(ROW()-ROW(MSPTasks[[#Headers],[ID]])))="",TRUE()),"",IF(INDEX(tsk_IsSummary,(ROW()-ROW(MSPTasks[[#Headers],[ID]]))),"",IF(N(INDEX(tsk_ActCostInput,(ROW()-ROW(MSPTasks[[#Headers],[ID]]))))=0,"",INDEX(tsk_ActCostInput,(ROW()-ROW(MSPTasks[[#Headers],[ID]]))))))</f>
        <v/>
      </c>
      <c r="U17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4" s="137" t="str">
        <f aca="false">IF(IFERROR(INDEX(tsk_Name,(ROW()-ROW(MSPTasks[[#Headers],[ID]])))="",TRUE()),"",IF(OR(INDEX(tsk_IsSummary,(ROW()-ROW(MSPTasks[[#Headers],[ID]]))),INDEX(tsk_Mode,(ROW()-ROW(MSPTasks[[#Headers],[ID]])))="Manual"),"",IF(N(INDEX(tsk_ConstraintCode,(ROW()-ROW(MSPTasks[[#Headers],[ID]]))))&lt;2,"",INDEX(tsk_Constraint,(ROW()-ROW(MSPTasks[[#Headers],[ID]]))))))</f>
        <v/>
      </c>
      <c r="W174" s="137" t="str">
        <f aca="false">IF(IFERROR(INDEX(tsk_Name,(ROW()-ROW(MSPTasks[[#Headers],[ID]])))="",TRUE()),"",IF(N(INDEX(tsk_Deadline,(ROW()-ROW(MSPTasks[[#Headers],[ID]]))))=0,"",INDEX(tsk_Deadline,(ROW()-ROW(MSPTasks[[#Headers],[ID]])))))</f>
        <v/>
      </c>
      <c r="X174" s="24" t="str">
        <f aca="false">IF(IFERROR(INDEX(tsk_Name,(ROW()-ROW(MSPTasks[[#Headers],[ID]])))="",TRUE()),"",IF(INDEX(tsk_IsSummary,(ROW()-ROW(MSPTasks[[#Headers],[ID]]))),"",INDEX(tsk_Sprint,(ROW()-ROW(MSPTasks[[#Headers],[ID]])))&amp;""))</f>
        <v/>
      </c>
      <c r="Y174" s="24" t="str">
        <f aca="false">IF(IFERROR(INDEX(tsk_Name,(ROW()-ROW(MSPTasks[[#Headers],[ID]])))="",TRUE()),"",IF(INDEX(tsk_IsSummary,(ROW()-ROW(MSPTasks[[#Headers],[ID]]))),"",IF(N(INDEX(tsk_StoryPoints,(ROW()-ROW(MSPTasks[[#Headers],[ID]]))))=0,"",INDEX(tsk_StoryPoints,(ROW()-ROW(MSPTasks[[#Headers],[ID]]))))))</f>
        <v/>
      </c>
      <c r="Z174" s="24" t="str">
        <f aca="false">IF(IFERROR(INDEX(tsk_Name,(ROW()-ROW(MSPTasks[[#Headers],[ID]])))="",TRUE()),"",INDEX(tsk_Notes,(ROW()-ROW(MSPTasks[[#Headers],[ID]])))&amp;"")</f>
        <v/>
      </c>
    </row>
    <row r="175" customFormat="false" ht="15" hidden="false" customHeight="false" outlineLevel="0" collapsed="false">
      <c r="A175" s="24" t="str">
        <f aca="false">IF(IFERROR(INDEX(tsk_Name,(ROW()-ROW(MSPTasks[[#Headers],[ID]])))="",TRUE()),"",INDEX(tsk_ID,(ROW()-ROW(MSPTasks[[#Headers],[ID]]))))</f>
        <v/>
      </c>
      <c r="B175" s="24" t="str">
        <f aca="false">IF(IFERROR(INDEX(tsk_Name,(ROW()-ROW(MSPTasks[[#Headers],[ID]])))="",TRUE()),"",INDEX(tsk_UID,(ROW()-ROW(MSPTasks[[#Headers],[ID]]))))</f>
        <v/>
      </c>
      <c r="C175" s="24" t="str">
        <f aca="false">IF(IFERROR(INDEX(tsk_Name,(ROW()-ROW(MSPTasks[[#Headers],[ID]])))="",TRUE()),"",INDEX(tsk_Name,(ROW()-ROW(MSPTasks[[#Headers],[ID]]))))</f>
        <v/>
      </c>
      <c r="D175" s="24" t="str">
        <f aca="false">IF(IFERROR(INDEX(tsk_Name,(ROW()-ROW(MSPTasks[[#Headers],[ID]])))="",TRUE()),"",INDEX(tsk_Level,(ROW()-ROW(MSPTasks[[#Headers],[ID]]))))</f>
        <v/>
      </c>
      <c r="E175" s="24" t="str">
        <f aca="false">IF(IFERROR(INDEX(tsk_Name,(ROW()-ROW(MSPTasks[[#Headers],[ID]])))="",TRUE()),"",IF(INDEX(tsk_Mode,(ROW()-ROW(MSPTasks[[#Headers],[ID]])))="Manual","Manually Scheduled","Auto Scheduled"))</f>
        <v/>
      </c>
      <c r="F175" s="24" t="str">
        <f aca="false">IF(IFERROR(INDEX(tsk_Name,(ROW()-ROW(MSPTasks[[#Headers],[ID]])))="",TRUE()),"",IF(INDEX(tsk_IsSummary,(ROW()-ROW(MSPTasks[[#Headers],[ID]]))),"",N(INDEX(tsk_Duration,(ROW()-ROW(MSPTasks[[#Headers],[ID]]))))&amp;"d"))</f>
        <v/>
      </c>
      <c r="G175" s="137" t="str">
        <f aca="false">IF(IFERROR(INDEX(tsk_Name,(ROW()-ROW(MSPTasks[[#Headers],[ID]])))="",TRUE()),"",INDEX(tsk_FcStart,(ROW()-ROW(MSPTasks[[#Headers],[ID]]))))</f>
        <v/>
      </c>
      <c r="H175" s="137" t="str">
        <f aca="false">IF(IFERROR(INDEX(tsk_Name,(ROW()-ROW(MSPTasks[[#Headers],[ID]])))="",TRUE()),"",INDEX(tsk_FcFinish,(ROW()-ROW(MSPTasks[[#Headers],[ID]]))))</f>
        <v/>
      </c>
      <c r="I175" s="24" t="str">
        <f aca="false">IF(IFERROR(INDEX(tsk_Name,(ROW()-ROW(MSPTasks[[#Headers],[ID]])))="",TRUE()),"",IF(INDEX(tsk_IsSummary,(ROW()-ROW(MSPTasks[[#Headers],[ID]]))),"",INDEX(tsk_Predecessors,(ROW()-ROW(MSPTasks[[#Headers],[ID]])))))</f>
        <v/>
      </c>
      <c r="J175" s="24" t="str">
        <f aca="false">IF(IFERROR(INDEX(tsk_Name,(ROW()-ROW(MSPTasks[[#Headers],[ID]])))="",TRUE()),"",IF(INDEX(tsk_IsSummary,(ROW()-ROW(MSPTasks[[#Headers],[ID]]))),"",INDEX(tsk_UIDPredecessors,(ROW()-ROW(MSPTasks[[#Headers],[ID]])))))</f>
        <v/>
      </c>
      <c r="K175" s="24" t="str">
        <f aca="false">IF(IFERROR(INDEX(tsk_Name,(ROW()-ROW(MSPTasks[[#Headers],[ID]])))="",TRUE()),"",INDEX(tsk_ResourceNames,(ROW()-ROW(MSPTasks[[#Headers],[ID]])))&amp;"")</f>
        <v/>
      </c>
      <c r="L175" s="24" t="str">
        <f aca="false">IF(IFERROR(INDEX(tsk_Name,(ROW()-ROW(MSPTasks[[#Headers],[ID]])))="",TRUE()),"",IF(INDEX(tsk_IsSummary,(ROW()-ROW(MSPTasks[[#Headers],[ID]]))),"",ROUND(INDEX(tsk_Progress,(ROW()-ROW(MSPTasks[[#Headers],[ID]])))*100,0)))</f>
        <v/>
      </c>
      <c r="M175" s="137" t="str">
        <f aca="false">IF(IFERROR(INDEX(tsk_Name,(ROW()-ROW(MSPTasks[[#Headers],[ID]])))="",TRUE()),"",IF(N(INDEX(tsk_ActStart,(ROW()-ROW(MSPTasks[[#Headers],[ID]]))))=0,"",INDEX(tsk_ActStart,(ROW()-ROW(MSPTasks[[#Headers],[ID]])))))</f>
        <v/>
      </c>
      <c r="N175" s="137" t="str">
        <f aca="false">IF(IFERROR(INDEX(tsk_Name,(ROW()-ROW(MSPTasks[[#Headers],[ID]])))="",TRUE()),"",IF(N(INDEX(tsk_ActFinish,(ROW()-ROW(MSPTasks[[#Headers],[ID]]))))=0,"",INDEX(tsk_ActFinish,(ROW()-ROW(MSPTasks[[#Headers],[ID]])))))</f>
        <v/>
      </c>
      <c r="O175" s="137" t="str">
        <f aca="false">IF(IFERROR(INDEX(tsk_Name,(ROW()-ROW(MSPTasks[[#Headers],[ID]])))="",TRUE()),"",INDEX(tsk_PlanStart,(ROW()-ROW(MSPTasks[[#Headers],[ID]]))))</f>
        <v/>
      </c>
      <c r="P175" s="137" t="str">
        <f aca="false">IF(IFERROR(INDEX(tsk_Name,(ROW()-ROW(MSPTasks[[#Headers],[ID]])))="",TRUE()),"",INDEX(tsk_PlanFinish,(ROW()-ROW(MSPTasks[[#Headers],[ID]]))))</f>
        <v/>
      </c>
      <c r="Q175" s="24" t="str">
        <f aca="false">IF(IFERROR(INDEX(tsk_Name,(ROW()-ROW(MSPTasks[[#Headers],[ID]])))="",TRUE()),"",IF(INDEX(tsk_BaseDuration,(ROW()-ROW(MSPTasks[[#Headers],[ID]])))="","",N(INDEX(tsk_BaseDuration,(ROW()-ROW(MSPTasks[[#Headers],[ID]]))))&amp;"d"))</f>
        <v/>
      </c>
      <c r="R175" s="24" t="str">
        <f aca="false">IF(IFERROR(INDEX(tsk_Name,(ROW()-ROW(MSPTasks[[#Headers],[ID]])))="",TRUE()),"",IF(INDEX(tsk_BaseWork,(ROW()-ROW(MSPTasks[[#Headers],[ID]])))="","",N(INDEX(tsk_BaseWork,(ROW()-ROW(MSPTasks[[#Headers],[ID]]))))&amp;"h"))</f>
        <v/>
      </c>
      <c r="S175" s="24" t="str">
        <f aca="false">IF(IFERROR(INDEX(tsk_Name,(ROW()-ROW(MSPTasks[[#Headers],[ID]])))="",TRUE()),"",IF(INDEX(tsk_BaseCost,(ROW()-ROW(MSPTasks[[#Headers],[ID]])))="","",N(INDEX(tsk_BaseCost,(ROW()-ROW(MSPTasks[[#Headers],[ID]]))))))</f>
        <v/>
      </c>
      <c r="T175" s="24" t="str">
        <f aca="false">IF(IFERROR(INDEX(tsk_Name,(ROW()-ROW(MSPTasks[[#Headers],[ID]])))="",TRUE()),"",IF(INDEX(tsk_IsSummary,(ROW()-ROW(MSPTasks[[#Headers],[ID]]))),"",IF(N(INDEX(tsk_ActCostInput,(ROW()-ROW(MSPTasks[[#Headers],[ID]]))))=0,"",INDEX(tsk_ActCostInput,(ROW()-ROW(MSPTasks[[#Headers],[ID]]))))))</f>
        <v/>
      </c>
      <c r="U17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5" s="137" t="str">
        <f aca="false">IF(IFERROR(INDEX(tsk_Name,(ROW()-ROW(MSPTasks[[#Headers],[ID]])))="",TRUE()),"",IF(OR(INDEX(tsk_IsSummary,(ROW()-ROW(MSPTasks[[#Headers],[ID]]))),INDEX(tsk_Mode,(ROW()-ROW(MSPTasks[[#Headers],[ID]])))="Manual"),"",IF(N(INDEX(tsk_ConstraintCode,(ROW()-ROW(MSPTasks[[#Headers],[ID]]))))&lt;2,"",INDEX(tsk_Constraint,(ROW()-ROW(MSPTasks[[#Headers],[ID]]))))))</f>
        <v/>
      </c>
      <c r="W175" s="137" t="str">
        <f aca="false">IF(IFERROR(INDEX(tsk_Name,(ROW()-ROW(MSPTasks[[#Headers],[ID]])))="",TRUE()),"",IF(N(INDEX(tsk_Deadline,(ROW()-ROW(MSPTasks[[#Headers],[ID]]))))=0,"",INDEX(tsk_Deadline,(ROW()-ROW(MSPTasks[[#Headers],[ID]])))))</f>
        <v/>
      </c>
      <c r="X175" s="24" t="str">
        <f aca="false">IF(IFERROR(INDEX(tsk_Name,(ROW()-ROW(MSPTasks[[#Headers],[ID]])))="",TRUE()),"",IF(INDEX(tsk_IsSummary,(ROW()-ROW(MSPTasks[[#Headers],[ID]]))),"",INDEX(tsk_Sprint,(ROW()-ROW(MSPTasks[[#Headers],[ID]])))&amp;""))</f>
        <v/>
      </c>
      <c r="Y175" s="24" t="str">
        <f aca="false">IF(IFERROR(INDEX(tsk_Name,(ROW()-ROW(MSPTasks[[#Headers],[ID]])))="",TRUE()),"",IF(INDEX(tsk_IsSummary,(ROW()-ROW(MSPTasks[[#Headers],[ID]]))),"",IF(N(INDEX(tsk_StoryPoints,(ROW()-ROW(MSPTasks[[#Headers],[ID]]))))=0,"",INDEX(tsk_StoryPoints,(ROW()-ROW(MSPTasks[[#Headers],[ID]]))))))</f>
        <v/>
      </c>
      <c r="Z175" s="24" t="str">
        <f aca="false">IF(IFERROR(INDEX(tsk_Name,(ROW()-ROW(MSPTasks[[#Headers],[ID]])))="",TRUE()),"",INDEX(tsk_Notes,(ROW()-ROW(MSPTasks[[#Headers],[ID]])))&amp;"")</f>
        <v/>
      </c>
    </row>
    <row r="176" customFormat="false" ht="15" hidden="false" customHeight="false" outlineLevel="0" collapsed="false">
      <c r="A176" s="24" t="str">
        <f aca="false">IF(IFERROR(INDEX(tsk_Name,(ROW()-ROW(MSPTasks[[#Headers],[ID]])))="",TRUE()),"",INDEX(tsk_ID,(ROW()-ROW(MSPTasks[[#Headers],[ID]]))))</f>
        <v/>
      </c>
      <c r="B176" s="24" t="str">
        <f aca="false">IF(IFERROR(INDEX(tsk_Name,(ROW()-ROW(MSPTasks[[#Headers],[ID]])))="",TRUE()),"",INDEX(tsk_UID,(ROW()-ROW(MSPTasks[[#Headers],[ID]]))))</f>
        <v/>
      </c>
      <c r="C176" s="24" t="str">
        <f aca="false">IF(IFERROR(INDEX(tsk_Name,(ROW()-ROW(MSPTasks[[#Headers],[ID]])))="",TRUE()),"",INDEX(tsk_Name,(ROW()-ROW(MSPTasks[[#Headers],[ID]]))))</f>
        <v/>
      </c>
      <c r="D176" s="24" t="str">
        <f aca="false">IF(IFERROR(INDEX(tsk_Name,(ROW()-ROW(MSPTasks[[#Headers],[ID]])))="",TRUE()),"",INDEX(tsk_Level,(ROW()-ROW(MSPTasks[[#Headers],[ID]]))))</f>
        <v/>
      </c>
      <c r="E176" s="24" t="str">
        <f aca="false">IF(IFERROR(INDEX(tsk_Name,(ROW()-ROW(MSPTasks[[#Headers],[ID]])))="",TRUE()),"",IF(INDEX(tsk_Mode,(ROW()-ROW(MSPTasks[[#Headers],[ID]])))="Manual","Manually Scheduled","Auto Scheduled"))</f>
        <v/>
      </c>
      <c r="F176" s="24" t="str">
        <f aca="false">IF(IFERROR(INDEX(tsk_Name,(ROW()-ROW(MSPTasks[[#Headers],[ID]])))="",TRUE()),"",IF(INDEX(tsk_IsSummary,(ROW()-ROW(MSPTasks[[#Headers],[ID]]))),"",N(INDEX(tsk_Duration,(ROW()-ROW(MSPTasks[[#Headers],[ID]]))))&amp;"d"))</f>
        <v/>
      </c>
      <c r="G176" s="137" t="str">
        <f aca="false">IF(IFERROR(INDEX(tsk_Name,(ROW()-ROW(MSPTasks[[#Headers],[ID]])))="",TRUE()),"",INDEX(tsk_FcStart,(ROW()-ROW(MSPTasks[[#Headers],[ID]]))))</f>
        <v/>
      </c>
      <c r="H176" s="137" t="str">
        <f aca="false">IF(IFERROR(INDEX(tsk_Name,(ROW()-ROW(MSPTasks[[#Headers],[ID]])))="",TRUE()),"",INDEX(tsk_FcFinish,(ROW()-ROW(MSPTasks[[#Headers],[ID]]))))</f>
        <v/>
      </c>
      <c r="I176" s="24" t="str">
        <f aca="false">IF(IFERROR(INDEX(tsk_Name,(ROW()-ROW(MSPTasks[[#Headers],[ID]])))="",TRUE()),"",IF(INDEX(tsk_IsSummary,(ROW()-ROW(MSPTasks[[#Headers],[ID]]))),"",INDEX(tsk_Predecessors,(ROW()-ROW(MSPTasks[[#Headers],[ID]])))))</f>
        <v/>
      </c>
      <c r="J176" s="24" t="str">
        <f aca="false">IF(IFERROR(INDEX(tsk_Name,(ROW()-ROW(MSPTasks[[#Headers],[ID]])))="",TRUE()),"",IF(INDEX(tsk_IsSummary,(ROW()-ROW(MSPTasks[[#Headers],[ID]]))),"",INDEX(tsk_UIDPredecessors,(ROW()-ROW(MSPTasks[[#Headers],[ID]])))))</f>
        <v/>
      </c>
      <c r="K176" s="24" t="str">
        <f aca="false">IF(IFERROR(INDEX(tsk_Name,(ROW()-ROW(MSPTasks[[#Headers],[ID]])))="",TRUE()),"",INDEX(tsk_ResourceNames,(ROW()-ROW(MSPTasks[[#Headers],[ID]])))&amp;"")</f>
        <v/>
      </c>
      <c r="L176" s="24" t="str">
        <f aca="false">IF(IFERROR(INDEX(tsk_Name,(ROW()-ROW(MSPTasks[[#Headers],[ID]])))="",TRUE()),"",IF(INDEX(tsk_IsSummary,(ROW()-ROW(MSPTasks[[#Headers],[ID]]))),"",ROUND(INDEX(tsk_Progress,(ROW()-ROW(MSPTasks[[#Headers],[ID]])))*100,0)))</f>
        <v/>
      </c>
      <c r="M176" s="137" t="str">
        <f aca="false">IF(IFERROR(INDEX(tsk_Name,(ROW()-ROW(MSPTasks[[#Headers],[ID]])))="",TRUE()),"",IF(N(INDEX(tsk_ActStart,(ROW()-ROW(MSPTasks[[#Headers],[ID]]))))=0,"",INDEX(tsk_ActStart,(ROW()-ROW(MSPTasks[[#Headers],[ID]])))))</f>
        <v/>
      </c>
      <c r="N176" s="137" t="str">
        <f aca="false">IF(IFERROR(INDEX(tsk_Name,(ROW()-ROW(MSPTasks[[#Headers],[ID]])))="",TRUE()),"",IF(N(INDEX(tsk_ActFinish,(ROW()-ROW(MSPTasks[[#Headers],[ID]]))))=0,"",INDEX(tsk_ActFinish,(ROW()-ROW(MSPTasks[[#Headers],[ID]])))))</f>
        <v/>
      </c>
      <c r="O176" s="137" t="str">
        <f aca="false">IF(IFERROR(INDEX(tsk_Name,(ROW()-ROW(MSPTasks[[#Headers],[ID]])))="",TRUE()),"",INDEX(tsk_PlanStart,(ROW()-ROW(MSPTasks[[#Headers],[ID]]))))</f>
        <v/>
      </c>
      <c r="P176" s="137" t="str">
        <f aca="false">IF(IFERROR(INDEX(tsk_Name,(ROW()-ROW(MSPTasks[[#Headers],[ID]])))="",TRUE()),"",INDEX(tsk_PlanFinish,(ROW()-ROW(MSPTasks[[#Headers],[ID]]))))</f>
        <v/>
      </c>
      <c r="Q176" s="24" t="str">
        <f aca="false">IF(IFERROR(INDEX(tsk_Name,(ROW()-ROW(MSPTasks[[#Headers],[ID]])))="",TRUE()),"",IF(INDEX(tsk_BaseDuration,(ROW()-ROW(MSPTasks[[#Headers],[ID]])))="","",N(INDEX(tsk_BaseDuration,(ROW()-ROW(MSPTasks[[#Headers],[ID]]))))&amp;"d"))</f>
        <v/>
      </c>
      <c r="R176" s="24" t="str">
        <f aca="false">IF(IFERROR(INDEX(tsk_Name,(ROW()-ROW(MSPTasks[[#Headers],[ID]])))="",TRUE()),"",IF(INDEX(tsk_BaseWork,(ROW()-ROW(MSPTasks[[#Headers],[ID]])))="","",N(INDEX(tsk_BaseWork,(ROW()-ROW(MSPTasks[[#Headers],[ID]]))))&amp;"h"))</f>
        <v/>
      </c>
      <c r="S176" s="24" t="str">
        <f aca="false">IF(IFERROR(INDEX(tsk_Name,(ROW()-ROW(MSPTasks[[#Headers],[ID]])))="",TRUE()),"",IF(INDEX(tsk_BaseCost,(ROW()-ROW(MSPTasks[[#Headers],[ID]])))="","",N(INDEX(tsk_BaseCost,(ROW()-ROW(MSPTasks[[#Headers],[ID]]))))))</f>
        <v/>
      </c>
      <c r="T176" s="24" t="str">
        <f aca="false">IF(IFERROR(INDEX(tsk_Name,(ROW()-ROW(MSPTasks[[#Headers],[ID]])))="",TRUE()),"",IF(INDEX(tsk_IsSummary,(ROW()-ROW(MSPTasks[[#Headers],[ID]]))),"",IF(N(INDEX(tsk_ActCostInput,(ROW()-ROW(MSPTasks[[#Headers],[ID]]))))=0,"",INDEX(tsk_ActCostInput,(ROW()-ROW(MSPTasks[[#Headers],[ID]]))))))</f>
        <v/>
      </c>
      <c r="U17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6" s="137" t="str">
        <f aca="false">IF(IFERROR(INDEX(tsk_Name,(ROW()-ROW(MSPTasks[[#Headers],[ID]])))="",TRUE()),"",IF(OR(INDEX(tsk_IsSummary,(ROW()-ROW(MSPTasks[[#Headers],[ID]]))),INDEX(tsk_Mode,(ROW()-ROW(MSPTasks[[#Headers],[ID]])))="Manual"),"",IF(N(INDEX(tsk_ConstraintCode,(ROW()-ROW(MSPTasks[[#Headers],[ID]]))))&lt;2,"",INDEX(tsk_Constraint,(ROW()-ROW(MSPTasks[[#Headers],[ID]]))))))</f>
        <v/>
      </c>
      <c r="W176" s="137" t="str">
        <f aca="false">IF(IFERROR(INDEX(tsk_Name,(ROW()-ROW(MSPTasks[[#Headers],[ID]])))="",TRUE()),"",IF(N(INDEX(tsk_Deadline,(ROW()-ROW(MSPTasks[[#Headers],[ID]]))))=0,"",INDEX(tsk_Deadline,(ROW()-ROW(MSPTasks[[#Headers],[ID]])))))</f>
        <v/>
      </c>
      <c r="X176" s="24" t="str">
        <f aca="false">IF(IFERROR(INDEX(tsk_Name,(ROW()-ROW(MSPTasks[[#Headers],[ID]])))="",TRUE()),"",IF(INDEX(tsk_IsSummary,(ROW()-ROW(MSPTasks[[#Headers],[ID]]))),"",INDEX(tsk_Sprint,(ROW()-ROW(MSPTasks[[#Headers],[ID]])))&amp;""))</f>
        <v/>
      </c>
      <c r="Y176" s="24" t="str">
        <f aca="false">IF(IFERROR(INDEX(tsk_Name,(ROW()-ROW(MSPTasks[[#Headers],[ID]])))="",TRUE()),"",IF(INDEX(tsk_IsSummary,(ROW()-ROW(MSPTasks[[#Headers],[ID]]))),"",IF(N(INDEX(tsk_StoryPoints,(ROW()-ROW(MSPTasks[[#Headers],[ID]]))))=0,"",INDEX(tsk_StoryPoints,(ROW()-ROW(MSPTasks[[#Headers],[ID]]))))))</f>
        <v/>
      </c>
      <c r="Z176" s="24" t="str">
        <f aca="false">IF(IFERROR(INDEX(tsk_Name,(ROW()-ROW(MSPTasks[[#Headers],[ID]])))="",TRUE()),"",INDEX(tsk_Notes,(ROW()-ROW(MSPTasks[[#Headers],[ID]])))&amp;"")</f>
        <v/>
      </c>
    </row>
    <row r="177" customFormat="false" ht="15" hidden="false" customHeight="false" outlineLevel="0" collapsed="false">
      <c r="A177" s="24" t="str">
        <f aca="false">IF(IFERROR(INDEX(tsk_Name,(ROW()-ROW(MSPTasks[[#Headers],[ID]])))="",TRUE()),"",INDEX(tsk_ID,(ROW()-ROW(MSPTasks[[#Headers],[ID]]))))</f>
        <v/>
      </c>
      <c r="B177" s="24" t="str">
        <f aca="false">IF(IFERROR(INDEX(tsk_Name,(ROW()-ROW(MSPTasks[[#Headers],[ID]])))="",TRUE()),"",INDEX(tsk_UID,(ROW()-ROW(MSPTasks[[#Headers],[ID]]))))</f>
        <v/>
      </c>
      <c r="C177" s="24" t="str">
        <f aca="false">IF(IFERROR(INDEX(tsk_Name,(ROW()-ROW(MSPTasks[[#Headers],[ID]])))="",TRUE()),"",INDEX(tsk_Name,(ROW()-ROW(MSPTasks[[#Headers],[ID]]))))</f>
        <v/>
      </c>
      <c r="D177" s="24" t="str">
        <f aca="false">IF(IFERROR(INDEX(tsk_Name,(ROW()-ROW(MSPTasks[[#Headers],[ID]])))="",TRUE()),"",INDEX(tsk_Level,(ROW()-ROW(MSPTasks[[#Headers],[ID]]))))</f>
        <v/>
      </c>
      <c r="E177" s="24" t="str">
        <f aca="false">IF(IFERROR(INDEX(tsk_Name,(ROW()-ROW(MSPTasks[[#Headers],[ID]])))="",TRUE()),"",IF(INDEX(tsk_Mode,(ROW()-ROW(MSPTasks[[#Headers],[ID]])))="Manual","Manually Scheduled","Auto Scheduled"))</f>
        <v/>
      </c>
      <c r="F177" s="24" t="str">
        <f aca="false">IF(IFERROR(INDEX(tsk_Name,(ROW()-ROW(MSPTasks[[#Headers],[ID]])))="",TRUE()),"",IF(INDEX(tsk_IsSummary,(ROW()-ROW(MSPTasks[[#Headers],[ID]]))),"",N(INDEX(tsk_Duration,(ROW()-ROW(MSPTasks[[#Headers],[ID]]))))&amp;"d"))</f>
        <v/>
      </c>
      <c r="G177" s="137" t="str">
        <f aca="false">IF(IFERROR(INDEX(tsk_Name,(ROW()-ROW(MSPTasks[[#Headers],[ID]])))="",TRUE()),"",INDEX(tsk_FcStart,(ROW()-ROW(MSPTasks[[#Headers],[ID]]))))</f>
        <v/>
      </c>
      <c r="H177" s="137" t="str">
        <f aca="false">IF(IFERROR(INDEX(tsk_Name,(ROW()-ROW(MSPTasks[[#Headers],[ID]])))="",TRUE()),"",INDEX(tsk_FcFinish,(ROW()-ROW(MSPTasks[[#Headers],[ID]]))))</f>
        <v/>
      </c>
      <c r="I177" s="24" t="str">
        <f aca="false">IF(IFERROR(INDEX(tsk_Name,(ROW()-ROW(MSPTasks[[#Headers],[ID]])))="",TRUE()),"",IF(INDEX(tsk_IsSummary,(ROW()-ROW(MSPTasks[[#Headers],[ID]]))),"",INDEX(tsk_Predecessors,(ROW()-ROW(MSPTasks[[#Headers],[ID]])))))</f>
        <v/>
      </c>
      <c r="J177" s="24" t="str">
        <f aca="false">IF(IFERROR(INDEX(tsk_Name,(ROW()-ROW(MSPTasks[[#Headers],[ID]])))="",TRUE()),"",IF(INDEX(tsk_IsSummary,(ROW()-ROW(MSPTasks[[#Headers],[ID]]))),"",INDEX(tsk_UIDPredecessors,(ROW()-ROW(MSPTasks[[#Headers],[ID]])))))</f>
        <v/>
      </c>
      <c r="K177" s="24" t="str">
        <f aca="false">IF(IFERROR(INDEX(tsk_Name,(ROW()-ROW(MSPTasks[[#Headers],[ID]])))="",TRUE()),"",INDEX(tsk_ResourceNames,(ROW()-ROW(MSPTasks[[#Headers],[ID]])))&amp;"")</f>
        <v/>
      </c>
      <c r="L177" s="24" t="str">
        <f aca="false">IF(IFERROR(INDEX(tsk_Name,(ROW()-ROW(MSPTasks[[#Headers],[ID]])))="",TRUE()),"",IF(INDEX(tsk_IsSummary,(ROW()-ROW(MSPTasks[[#Headers],[ID]]))),"",ROUND(INDEX(tsk_Progress,(ROW()-ROW(MSPTasks[[#Headers],[ID]])))*100,0)))</f>
        <v/>
      </c>
      <c r="M177" s="137" t="str">
        <f aca="false">IF(IFERROR(INDEX(tsk_Name,(ROW()-ROW(MSPTasks[[#Headers],[ID]])))="",TRUE()),"",IF(N(INDEX(tsk_ActStart,(ROW()-ROW(MSPTasks[[#Headers],[ID]]))))=0,"",INDEX(tsk_ActStart,(ROW()-ROW(MSPTasks[[#Headers],[ID]])))))</f>
        <v/>
      </c>
      <c r="N177" s="137" t="str">
        <f aca="false">IF(IFERROR(INDEX(tsk_Name,(ROW()-ROW(MSPTasks[[#Headers],[ID]])))="",TRUE()),"",IF(N(INDEX(tsk_ActFinish,(ROW()-ROW(MSPTasks[[#Headers],[ID]]))))=0,"",INDEX(tsk_ActFinish,(ROW()-ROW(MSPTasks[[#Headers],[ID]])))))</f>
        <v/>
      </c>
      <c r="O177" s="137" t="str">
        <f aca="false">IF(IFERROR(INDEX(tsk_Name,(ROW()-ROW(MSPTasks[[#Headers],[ID]])))="",TRUE()),"",INDEX(tsk_PlanStart,(ROW()-ROW(MSPTasks[[#Headers],[ID]]))))</f>
        <v/>
      </c>
      <c r="P177" s="137" t="str">
        <f aca="false">IF(IFERROR(INDEX(tsk_Name,(ROW()-ROW(MSPTasks[[#Headers],[ID]])))="",TRUE()),"",INDEX(tsk_PlanFinish,(ROW()-ROW(MSPTasks[[#Headers],[ID]]))))</f>
        <v/>
      </c>
      <c r="Q177" s="24" t="str">
        <f aca="false">IF(IFERROR(INDEX(tsk_Name,(ROW()-ROW(MSPTasks[[#Headers],[ID]])))="",TRUE()),"",IF(INDEX(tsk_BaseDuration,(ROW()-ROW(MSPTasks[[#Headers],[ID]])))="","",N(INDEX(tsk_BaseDuration,(ROW()-ROW(MSPTasks[[#Headers],[ID]]))))&amp;"d"))</f>
        <v/>
      </c>
      <c r="R177" s="24" t="str">
        <f aca="false">IF(IFERROR(INDEX(tsk_Name,(ROW()-ROW(MSPTasks[[#Headers],[ID]])))="",TRUE()),"",IF(INDEX(tsk_BaseWork,(ROW()-ROW(MSPTasks[[#Headers],[ID]])))="","",N(INDEX(tsk_BaseWork,(ROW()-ROW(MSPTasks[[#Headers],[ID]]))))&amp;"h"))</f>
        <v/>
      </c>
      <c r="S177" s="24" t="str">
        <f aca="false">IF(IFERROR(INDEX(tsk_Name,(ROW()-ROW(MSPTasks[[#Headers],[ID]])))="",TRUE()),"",IF(INDEX(tsk_BaseCost,(ROW()-ROW(MSPTasks[[#Headers],[ID]])))="","",N(INDEX(tsk_BaseCost,(ROW()-ROW(MSPTasks[[#Headers],[ID]]))))))</f>
        <v/>
      </c>
      <c r="T177" s="24" t="str">
        <f aca="false">IF(IFERROR(INDEX(tsk_Name,(ROW()-ROW(MSPTasks[[#Headers],[ID]])))="",TRUE()),"",IF(INDEX(tsk_IsSummary,(ROW()-ROW(MSPTasks[[#Headers],[ID]]))),"",IF(N(INDEX(tsk_ActCostInput,(ROW()-ROW(MSPTasks[[#Headers],[ID]]))))=0,"",INDEX(tsk_ActCostInput,(ROW()-ROW(MSPTasks[[#Headers],[ID]]))))))</f>
        <v/>
      </c>
      <c r="U17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7" s="137" t="str">
        <f aca="false">IF(IFERROR(INDEX(tsk_Name,(ROW()-ROW(MSPTasks[[#Headers],[ID]])))="",TRUE()),"",IF(OR(INDEX(tsk_IsSummary,(ROW()-ROW(MSPTasks[[#Headers],[ID]]))),INDEX(tsk_Mode,(ROW()-ROW(MSPTasks[[#Headers],[ID]])))="Manual"),"",IF(N(INDEX(tsk_ConstraintCode,(ROW()-ROW(MSPTasks[[#Headers],[ID]]))))&lt;2,"",INDEX(tsk_Constraint,(ROW()-ROW(MSPTasks[[#Headers],[ID]]))))))</f>
        <v/>
      </c>
      <c r="W177" s="137" t="str">
        <f aca="false">IF(IFERROR(INDEX(tsk_Name,(ROW()-ROW(MSPTasks[[#Headers],[ID]])))="",TRUE()),"",IF(N(INDEX(tsk_Deadline,(ROW()-ROW(MSPTasks[[#Headers],[ID]]))))=0,"",INDEX(tsk_Deadline,(ROW()-ROW(MSPTasks[[#Headers],[ID]])))))</f>
        <v/>
      </c>
      <c r="X177" s="24" t="str">
        <f aca="false">IF(IFERROR(INDEX(tsk_Name,(ROW()-ROW(MSPTasks[[#Headers],[ID]])))="",TRUE()),"",IF(INDEX(tsk_IsSummary,(ROW()-ROW(MSPTasks[[#Headers],[ID]]))),"",INDEX(tsk_Sprint,(ROW()-ROW(MSPTasks[[#Headers],[ID]])))&amp;""))</f>
        <v/>
      </c>
      <c r="Y177" s="24" t="str">
        <f aca="false">IF(IFERROR(INDEX(tsk_Name,(ROW()-ROW(MSPTasks[[#Headers],[ID]])))="",TRUE()),"",IF(INDEX(tsk_IsSummary,(ROW()-ROW(MSPTasks[[#Headers],[ID]]))),"",IF(N(INDEX(tsk_StoryPoints,(ROW()-ROW(MSPTasks[[#Headers],[ID]]))))=0,"",INDEX(tsk_StoryPoints,(ROW()-ROW(MSPTasks[[#Headers],[ID]]))))))</f>
        <v/>
      </c>
      <c r="Z177" s="24" t="str">
        <f aca="false">IF(IFERROR(INDEX(tsk_Name,(ROW()-ROW(MSPTasks[[#Headers],[ID]])))="",TRUE()),"",INDEX(tsk_Notes,(ROW()-ROW(MSPTasks[[#Headers],[ID]])))&amp;"")</f>
        <v/>
      </c>
    </row>
    <row r="178" customFormat="false" ht="15" hidden="false" customHeight="false" outlineLevel="0" collapsed="false">
      <c r="A178" s="24" t="str">
        <f aca="false">IF(IFERROR(INDEX(tsk_Name,(ROW()-ROW(MSPTasks[[#Headers],[ID]])))="",TRUE()),"",INDEX(tsk_ID,(ROW()-ROW(MSPTasks[[#Headers],[ID]]))))</f>
        <v/>
      </c>
      <c r="B178" s="24" t="str">
        <f aca="false">IF(IFERROR(INDEX(tsk_Name,(ROW()-ROW(MSPTasks[[#Headers],[ID]])))="",TRUE()),"",INDEX(tsk_UID,(ROW()-ROW(MSPTasks[[#Headers],[ID]]))))</f>
        <v/>
      </c>
      <c r="C178" s="24" t="str">
        <f aca="false">IF(IFERROR(INDEX(tsk_Name,(ROW()-ROW(MSPTasks[[#Headers],[ID]])))="",TRUE()),"",INDEX(tsk_Name,(ROW()-ROW(MSPTasks[[#Headers],[ID]]))))</f>
        <v/>
      </c>
      <c r="D178" s="24" t="str">
        <f aca="false">IF(IFERROR(INDEX(tsk_Name,(ROW()-ROW(MSPTasks[[#Headers],[ID]])))="",TRUE()),"",INDEX(tsk_Level,(ROW()-ROW(MSPTasks[[#Headers],[ID]]))))</f>
        <v/>
      </c>
      <c r="E178" s="24" t="str">
        <f aca="false">IF(IFERROR(INDEX(tsk_Name,(ROW()-ROW(MSPTasks[[#Headers],[ID]])))="",TRUE()),"",IF(INDEX(tsk_Mode,(ROW()-ROW(MSPTasks[[#Headers],[ID]])))="Manual","Manually Scheduled","Auto Scheduled"))</f>
        <v/>
      </c>
      <c r="F178" s="24" t="str">
        <f aca="false">IF(IFERROR(INDEX(tsk_Name,(ROW()-ROW(MSPTasks[[#Headers],[ID]])))="",TRUE()),"",IF(INDEX(tsk_IsSummary,(ROW()-ROW(MSPTasks[[#Headers],[ID]]))),"",N(INDEX(tsk_Duration,(ROW()-ROW(MSPTasks[[#Headers],[ID]]))))&amp;"d"))</f>
        <v/>
      </c>
      <c r="G178" s="137" t="str">
        <f aca="false">IF(IFERROR(INDEX(tsk_Name,(ROW()-ROW(MSPTasks[[#Headers],[ID]])))="",TRUE()),"",INDEX(tsk_FcStart,(ROW()-ROW(MSPTasks[[#Headers],[ID]]))))</f>
        <v/>
      </c>
      <c r="H178" s="137" t="str">
        <f aca="false">IF(IFERROR(INDEX(tsk_Name,(ROW()-ROW(MSPTasks[[#Headers],[ID]])))="",TRUE()),"",INDEX(tsk_FcFinish,(ROW()-ROW(MSPTasks[[#Headers],[ID]]))))</f>
        <v/>
      </c>
      <c r="I178" s="24" t="str">
        <f aca="false">IF(IFERROR(INDEX(tsk_Name,(ROW()-ROW(MSPTasks[[#Headers],[ID]])))="",TRUE()),"",IF(INDEX(tsk_IsSummary,(ROW()-ROW(MSPTasks[[#Headers],[ID]]))),"",INDEX(tsk_Predecessors,(ROW()-ROW(MSPTasks[[#Headers],[ID]])))))</f>
        <v/>
      </c>
      <c r="J178" s="24" t="str">
        <f aca="false">IF(IFERROR(INDEX(tsk_Name,(ROW()-ROW(MSPTasks[[#Headers],[ID]])))="",TRUE()),"",IF(INDEX(tsk_IsSummary,(ROW()-ROW(MSPTasks[[#Headers],[ID]]))),"",INDEX(tsk_UIDPredecessors,(ROW()-ROW(MSPTasks[[#Headers],[ID]])))))</f>
        <v/>
      </c>
      <c r="K178" s="24" t="str">
        <f aca="false">IF(IFERROR(INDEX(tsk_Name,(ROW()-ROW(MSPTasks[[#Headers],[ID]])))="",TRUE()),"",INDEX(tsk_ResourceNames,(ROW()-ROW(MSPTasks[[#Headers],[ID]])))&amp;"")</f>
        <v/>
      </c>
      <c r="L178" s="24" t="str">
        <f aca="false">IF(IFERROR(INDEX(tsk_Name,(ROW()-ROW(MSPTasks[[#Headers],[ID]])))="",TRUE()),"",IF(INDEX(tsk_IsSummary,(ROW()-ROW(MSPTasks[[#Headers],[ID]]))),"",ROUND(INDEX(tsk_Progress,(ROW()-ROW(MSPTasks[[#Headers],[ID]])))*100,0)))</f>
        <v/>
      </c>
      <c r="M178" s="137" t="str">
        <f aca="false">IF(IFERROR(INDEX(tsk_Name,(ROW()-ROW(MSPTasks[[#Headers],[ID]])))="",TRUE()),"",IF(N(INDEX(tsk_ActStart,(ROW()-ROW(MSPTasks[[#Headers],[ID]]))))=0,"",INDEX(tsk_ActStart,(ROW()-ROW(MSPTasks[[#Headers],[ID]])))))</f>
        <v/>
      </c>
      <c r="N178" s="137" t="str">
        <f aca="false">IF(IFERROR(INDEX(tsk_Name,(ROW()-ROW(MSPTasks[[#Headers],[ID]])))="",TRUE()),"",IF(N(INDEX(tsk_ActFinish,(ROW()-ROW(MSPTasks[[#Headers],[ID]]))))=0,"",INDEX(tsk_ActFinish,(ROW()-ROW(MSPTasks[[#Headers],[ID]])))))</f>
        <v/>
      </c>
      <c r="O178" s="137" t="str">
        <f aca="false">IF(IFERROR(INDEX(tsk_Name,(ROW()-ROW(MSPTasks[[#Headers],[ID]])))="",TRUE()),"",INDEX(tsk_PlanStart,(ROW()-ROW(MSPTasks[[#Headers],[ID]]))))</f>
        <v/>
      </c>
      <c r="P178" s="137" t="str">
        <f aca="false">IF(IFERROR(INDEX(tsk_Name,(ROW()-ROW(MSPTasks[[#Headers],[ID]])))="",TRUE()),"",INDEX(tsk_PlanFinish,(ROW()-ROW(MSPTasks[[#Headers],[ID]]))))</f>
        <v/>
      </c>
      <c r="Q178" s="24" t="str">
        <f aca="false">IF(IFERROR(INDEX(tsk_Name,(ROW()-ROW(MSPTasks[[#Headers],[ID]])))="",TRUE()),"",IF(INDEX(tsk_BaseDuration,(ROW()-ROW(MSPTasks[[#Headers],[ID]])))="","",N(INDEX(tsk_BaseDuration,(ROW()-ROW(MSPTasks[[#Headers],[ID]]))))&amp;"d"))</f>
        <v/>
      </c>
      <c r="R178" s="24" t="str">
        <f aca="false">IF(IFERROR(INDEX(tsk_Name,(ROW()-ROW(MSPTasks[[#Headers],[ID]])))="",TRUE()),"",IF(INDEX(tsk_BaseWork,(ROW()-ROW(MSPTasks[[#Headers],[ID]])))="","",N(INDEX(tsk_BaseWork,(ROW()-ROW(MSPTasks[[#Headers],[ID]]))))&amp;"h"))</f>
        <v/>
      </c>
      <c r="S178" s="24" t="str">
        <f aca="false">IF(IFERROR(INDEX(tsk_Name,(ROW()-ROW(MSPTasks[[#Headers],[ID]])))="",TRUE()),"",IF(INDEX(tsk_BaseCost,(ROW()-ROW(MSPTasks[[#Headers],[ID]])))="","",N(INDEX(tsk_BaseCost,(ROW()-ROW(MSPTasks[[#Headers],[ID]]))))))</f>
        <v/>
      </c>
      <c r="T178" s="24" t="str">
        <f aca="false">IF(IFERROR(INDEX(tsk_Name,(ROW()-ROW(MSPTasks[[#Headers],[ID]])))="",TRUE()),"",IF(INDEX(tsk_IsSummary,(ROW()-ROW(MSPTasks[[#Headers],[ID]]))),"",IF(N(INDEX(tsk_ActCostInput,(ROW()-ROW(MSPTasks[[#Headers],[ID]]))))=0,"",INDEX(tsk_ActCostInput,(ROW()-ROW(MSPTasks[[#Headers],[ID]]))))))</f>
        <v/>
      </c>
      <c r="U17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8" s="137" t="str">
        <f aca="false">IF(IFERROR(INDEX(tsk_Name,(ROW()-ROW(MSPTasks[[#Headers],[ID]])))="",TRUE()),"",IF(OR(INDEX(tsk_IsSummary,(ROW()-ROW(MSPTasks[[#Headers],[ID]]))),INDEX(tsk_Mode,(ROW()-ROW(MSPTasks[[#Headers],[ID]])))="Manual"),"",IF(N(INDEX(tsk_ConstraintCode,(ROW()-ROW(MSPTasks[[#Headers],[ID]]))))&lt;2,"",INDEX(tsk_Constraint,(ROW()-ROW(MSPTasks[[#Headers],[ID]]))))))</f>
        <v/>
      </c>
      <c r="W178" s="137" t="str">
        <f aca="false">IF(IFERROR(INDEX(tsk_Name,(ROW()-ROW(MSPTasks[[#Headers],[ID]])))="",TRUE()),"",IF(N(INDEX(tsk_Deadline,(ROW()-ROW(MSPTasks[[#Headers],[ID]]))))=0,"",INDEX(tsk_Deadline,(ROW()-ROW(MSPTasks[[#Headers],[ID]])))))</f>
        <v/>
      </c>
      <c r="X178" s="24" t="str">
        <f aca="false">IF(IFERROR(INDEX(tsk_Name,(ROW()-ROW(MSPTasks[[#Headers],[ID]])))="",TRUE()),"",IF(INDEX(tsk_IsSummary,(ROW()-ROW(MSPTasks[[#Headers],[ID]]))),"",INDEX(tsk_Sprint,(ROW()-ROW(MSPTasks[[#Headers],[ID]])))&amp;""))</f>
        <v/>
      </c>
      <c r="Y178" s="24" t="str">
        <f aca="false">IF(IFERROR(INDEX(tsk_Name,(ROW()-ROW(MSPTasks[[#Headers],[ID]])))="",TRUE()),"",IF(INDEX(tsk_IsSummary,(ROW()-ROW(MSPTasks[[#Headers],[ID]]))),"",IF(N(INDEX(tsk_StoryPoints,(ROW()-ROW(MSPTasks[[#Headers],[ID]]))))=0,"",INDEX(tsk_StoryPoints,(ROW()-ROW(MSPTasks[[#Headers],[ID]]))))))</f>
        <v/>
      </c>
      <c r="Z178" s="24" t="str">
        <f aca="false">IF(IFERROR(INDEX(tsk_Name,(ROW()-ROW(MSPTasks[[#Headers],[ID]])))="",TRUE()),"",INDEX(tsk_Notes,(ROW()-ROW(MSPTasks[[#Headers],[ID]])))&amp;"")</f>
        <v/>
      </c>
    </row>
    <row r="179" customFormat="false" ht="15" hidden="false" customHeight="false" outlineLevel="0" collapsed="false">
      <c r="A179" s="24" t="str">
        <f aca="false">IF(IFERROR(INDEX(tsk_Name,(ROW()-ROW(MSPTasks[[#Headers],[ID]])))="",TRUE()),"",INDEX(tsk_ID,(ROW()-ROW(MSPTasks[[#Headers],[ID]]))))</f>
        <v/>
      </c>
      <c r="B179" s="24" t="str">
        <f aca="false">IF(IFERROR(INDEX(tsk_Name,(ROW()-ROW(MSPTasks[[#Headers],[ID]])))="",TRUE()),"",INDEX(tsk_UID,(ROW()-ROW(MSPTasks[[#Headers],[ID]]))))</f>
        <v/>
      </c>
      <c r="C179" s="24" t="str">
        <f aca="false">IF(IFERROR(INDEX(tsk_Name,(ROW()-ROW(MSPTasks[[#Headers],[ID]])))="",TRUE()),"",INDEX(tsk_Name,(ROW()-ROW(MSPTasks[[#Headers],[ID]]))))</f>
        <v/>
      </c>
      <c r="D179" s="24" t="str">
        <f aca="false">IF(IFERROR(INDEX(tsk_Name,(ROW()-ROW(MSPTasks[[#Headers],[ID]])))="",TRUE()),"",INDEX(tsk_Level,(ROW()-ROW(MSPTasks[[#Headers],[ID]]))))</f>
        <v/>
      </c>
      <c r="E179" s="24" t="str">
        <f aca="false">IF(IFERROR(INDEX(tsk_Name,(ROW()-ROW(MSPTasks[[#Headers],[ID]])))="",TRUE()),"",IF(INDEX(tsk_Mode,(ROW()-ROW(MSPTasks[[#Headers],[ID]])))="Manual","Manually Scheduled","Auto Scheduled"))</f>
        <v/>
      </c>
      <c r="F179" s="24" t="str">
        <f aca="false">IF(IFERROR(INDEX(tsk_Name,(ROW()-ROW(MSPTasks[[#Headers],[ID]])))="",TRUE()),"",IF(INDEX(tsk_IsSummary,(ROW()-ROW(MSPTasks[[#Headers],[ID]]))),"",N(INDEX(tsk_Duration,(ROW()-ROW(MSPTasks[[#Headers],[ID]]))))&amp;"d"))</f>
        <v/>
      </c>
      <c r="G179" s="137" t="str">
        <f aca="false">IF(IFERROR(INDEX(tsk_Name,(ROW()-ROW(MSPTasks[[#Headers],[ID]])))="",TRUE()),"",INDEX(tsk_FcStart,(ROW()-ROW(MSPTasks[[#Headers],[ID]]))))</f>
        <v/>
      </c>
      <c r="H179" s="137" t="str">
        <f aca="false">IF(IFERROR(INDEX(tsk_Name,(ROW()-ROW(MSPTasks[[#Headers],[ID]])))="",TRUE()),"",INDEX(tsk_FcFinish,(ROW()-ROW(MSPTasks[[#Headers],[ID]]))))</f>
        <v/>
      </c>
      <c r="I179" s="24" t="str">
        <f aca="false">IF(IFERROR(INDEX(tsk_Name,(ROW()-ROW(MSPTasks[[#Headers],[ID]])))="",TRUE()),"",IF(INDEX(tsk_IsSummary,(ROW()-ROW(MSPTasks[[#Headers],[ID]]))),"",INDEX(tsk_Predecessors,(ROW()-ROW(MSPTasks[[#Headers],[ID]])))))</f>
        <v/>
      </c>
      <c r="J179" s="24" t="str">
        <f aca="false">IF(IFERROR(INDEX(tsk_Name,(ROW()-ROW(MSPTasks[[#Headers],[ID]])))="",TRUE()),"",IF(INDEX(tsk_IsSummary,(ROW()-ROW(MSPTasks[[#Headers],[ID]]))),"",INDEX(tsk_UIDPredecessors,(ROW()-ROW(MSPTasks[[#Headers],[ID]])))))</f>
        <v/>
      </c>
      <c r="K179" s="24" t="str">
        <f aca="false">IF(IFERROR(INDEX(tsk_Name,(ROW()-ROW(MSPTasks[[#Headers],[ID]])))="",TRUE()),"",INDEX(tsk_ResourceNames,(ROW()-ROW(MSPTasks[[#Headers],[ID]])))&amp;"")</f>
        <v/>
      </c>
      <c r="L179" s="24" t="str">
        <f aca="false">IF(IFERROR(INDEX(tsk_Name,(ROW()-ROW(MSPTasks[[#Headers],[ID]])))="",TRUE()),"",IF(INDEX(tsk_IsSummary,(ROW()-ROW(MSPTasks[[#Headers],[ID]]))),"",ROUND(INDEX(tsk_Progress,(ROW()-ROW(MSPTasks[[#Headers],[ID]])))*100,0)))</f>
        <v/>
      </c>
      <c r="M179" s="137" t="str">
        <f aca="false">IF(IFERROR(INDEX(tsk_Name,(ROW()-ROW(MSPTasks[[#Headers],[ID]])))="",TRUE()),"",IF(N(INDEX(tsk_ActStart,(ROW()-ROW(MSPTasks[[#Headers],[ID]]))))=0,"",INDEX(tsk_ActStart,(ROW()-ROW(MSPTasks[[#Headers],[ID]])))))</f>
        <v/>
      </c>
      <c r="N179" s="137" t="str">
        <f aca="false">IF(IFERROR(INDEX(tsk_Name,(ROW()-ROW(MSPTasks[[#Headers],[ID]])))="",TRUE()),"",IF(N(INDEX(tsk_ActFinish,(ROW()-ROW(MSPTasks[[#Headers],[ID]]))))=0,"",INDEX(tsk_ActFinish,(ROW()-ROW(MSPTasks[[#Headers],[ID]])))))</f>
        <v/>
      </c>
      <c r="O179" s="137" t="str">
        <f aca="false">IF(IFERROR(INDEX(tsk_Name,(ROW()-ROW(MSPTasks[[#Headers],[ID]])))="",TRUE()),"",INDEX(tsk_PlanStart,(ROW()-ROW(MSPTasks[[#Headers],[ID]]))))</f>
        <v/>
      </c>
      <c r="P179" s="137" t="str">
        <f aca="false">IF(IFERROR(INDEX(tsk_Name,(ROW()-ROW(MSPTasks[[#Headers],[ID]])))="",TRUE()),"",INDEX(tsk_PlanFinish,(ROW()-ROW(MSPTasks[[#Headers],[ID]]))))</f>
        <v/>
      </c>
      <c r="Q179" s="24" t="str">
        <f aca="false">IF(IFERROR(INDEX(tsk_Name,(ROW()-ROW(MSPTasks[[#Headers],[ID]])))="",TRUE()),"",IF(INDEX(tsk_BaseDuration,(ROW()-ROW(MSPTasks[[#Headers],[ID]])))="","",N(INDEX(tsk_BaseDuration,(ROW()-ROW(MSPTasks[[#Headers],[ID]]))))&amp;"d"))</f>
        <v/>
      </c>
      <c r="R179" s="24" t="str">
        <f aca="false">IF(IFERROR(INDEX(tsk_Name,(ROW()-ROW(MSPTasks[[#Headers],[ID]])))="",TRUE()),"",IF(INDEX(tsk_BaseWork,(ROW()-ROW(MSPTasks[[#Headers],[ID]])))="","",N(INDEX(tsk_BaseWork,(ROW()-ROW(MSPTasks[[#Headers],[ID]]))))&amp;"h"))</f>
        <v/>
      </c>
      <c r="S179" s="24" t="str">
        <f aca="false">IF(IFERROR(INDEX(tsk_Name,(ROW()-ROW(MSPTasks[[#Headers],[ID]])))="",TRUE()),"",IF(INDEX(tsk_BaseCost,(ROW()-ROW(MSPTasks[[#Headers],[ID]])))="","",N(INDEX(tsk_BaseCost,(ROW()-ROW(MSPTasks[[#Headers],[ID]]))))))</f>
        <v/>
      </c>
      <c r="T179" s="24" t="str">
        <f aca="false">IF(IFERROR(INDEX(tsk_Name,(ROW()-ROW(MSPTasks[[#Headers],[ID]])))="",TRUE()),"",IF(INDEX(tsk_IsSummary,(ROW()-ROW(MSPTasks[[#Headers],[ID]]))),"",IF(N(INDEX(tsk_ActCostInput,(ROW()-ROW(MSPTasks[[#Headers],[ID]]))))=0,"",INDEX(tsk_ActCostInput,(ROW()-ROW(MSPTasks[[#Headers],[ID]]))))))</f>
        <v/>
      </c>
      <c r="U17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79" s="137" t="str">
        <f aca="false">IF(IFERROR(INDEX(tsk_Name,(ROW()-ROW(MSPTasks[[#Headers],[ID]])))="",TRUE()),"",IF(OR(INDEX(tsk_IsSummary,(ROW()-ROW(MSPTasks[[#Headers],[ID]]))),INDEX(tsk_Mode,(ROW()-ROW(MSPTasks[[#Headers],[ID]])))="Manual"),"",IF(N(INDEX(tsk_ConstraintCode,(ROW()-ROW(MSPTasks[[#Headers],[ID]]))))&lt;2,"",INDEX(tsk_Constraint,(ROW()-ROW(MSPTasks[[#Headers],[ID]]))))))</f>
        <v/>
      </c>
      <c r="W179" s="137" t="str">
        <f aca="false">IF(IFERROR(INDEX(tsk_Name,(ROW()-ROW(MSPTasks[[#Headers],[ID]])))="",TRUE()),"",IF(N(INDEX(tsk_Deadline,(ROW()-ROW(MSPTasks[[#Headers],[ID]]))))=0,"",INDEX(tsk_Deadline,(ROW()-ROW(MSPTasks[[#Headers],[ID]])))))</f>
        <v/>
      </c>
      <c r="X179" s="24" t="str">
        <f aca="false">IF(IFERROR(INDEX(tsk_Name,(ROW()-ROW(MSPTasks[[#Headers],[ID]])))="",TRUE()),"",IF(INDEX(tsk_IsSummary,(ROW()-ROW(MSPTasks[[#Headers],[ID]]))),"",INDEX(tsk_Sprint,(ROW()-ROW(MSPTasks[[#Headers],[ID]])))&amp;""))</f>
        <v/>
      </c>
      <c r="Y179" s="24" t="str">
        <f aca="false">IF(IFERROR(INDEX(tsk_Name,(ROW()-ROW(MSPTasks[[#Headers],[ID]])))="",TRUE()),"",IF(INDEX(tsk_IsSummary,(ROW()-ROW(MSPTasks[[#Headers],[ID]]))),"",IF(N(INDEX(tsk_StoryPoints,(ROW()-ROW(MSPTasks[[#Headers],[ID]]))))=0,"",INDEX(tsk_StoryPoints,(ROW()-ROW(MSPTasks[[#Headers],[ID]]))))))</f>
        <v/>
      </c>
      <c r="Z179" s="24" t="str">
        <f aca="false">IF(IFERROR(INDEX(tsk_Name,(ROW()-ROW(MSPTasks[[#Headers],[ID]])))="",TRUE()),"",INDEX(tsk_Notes,(ROW()-ROW(MSPTasks[[#Headers],[ID]])))&amp;"")</f>
        <v/>
      </c>
    </row>
    <row r="180" customFormat="false" ht="15" hidden="false" customHeight="false" outlineLevel="0" collapsed="false">
      <c r="A180" s="24" t="str">
        <f aca="false">IF(IFERROR(INDEX(tsk_Name,(ROW()-ROW(MSPTasks[[#Headers],[ID]])))="",TRUE()),"",INDEX(tsk_ID,(ROW()-ROW(MSPTasks[[#Headers],[ID]]))))</f>
        <v/>
      </c>
      <c r="B180" s="24" t="str">
        <f aca="false">IF(IFERROR(INDEX(tsk_Name,(ROW()-ROW(MSPTasks[[#Headers],[ID]])))="",TRUE()),"",INDEX(tsk_UID,(ROW()-ROW(MSPTasks[[#Headers],[ID]]))))</f>
        <v/>
      </c>
      <c r="C180" s="24" t="str">
        <f aca="false">IF(IFERROR(INDEX(tsk_Name,(ROW()-ROW(MSPTasks[[#Headers],[ID]])))="",TRUE()),"",INDEX(tsk_Name,(ROW()-ROW(MSPTasks[[#Headers],[ID]]))))</f>
        <v/>
      </c>
      <c r="D180" s="24" t="str">
        <f aca="false">IF(IFERROR(INDEX(tsk_Name,(ROW()-ROW(MSPTasks[[#Headers],[ID]])))="",TRUE()),"",INDEX(tsk_Level,(ROW()-ROW(MSPTasks[[#Headers],[ID]]))))</f>
        <v/>
      </c>
      <c r="E180" s="24" t="str">
        <f aca="false">IF(IFERROR(INDEX(tsk_Name,(ROW()-ROW(MSPTasks[[#Headers],[ID]])))="",TRUE()),"",IF(INDEX(tsk_Mode,(ROW()-ROW(MSPTasks[[#Headers],[ID]])))="Manual","Manually Scheduled","Auto Scheduled"))</f>
        <v/>
      </c>
      <c r="F180" s="24" t="str">
        <f aca="false">IF(IFERROR(INDEX(tsk_Name,(ROW()-ROW(MSPTasks[[#Headers],[ID]])))="",TRUE()),"",IF(INDEX(tsk_IsSummary,(ROW()-ROW(MSPTasks[[#Headers],[ID]]))),"",N(INDEX(tsk_Duration,(ROW()-ROW(MSPTasks[[#Headers],[ID]]))))&amp;"d"))</f>
        <v/>
      </c>
      <c r="G180" s="137" t="str">
        <f aca="false">IF(IFERROR(INDEX(tsk_Name,(ROW()-ROW(MSPTasks[[#Headers],[ID]])))="",TRUE()),"",INDEX(tsk_FcStart,(ROW()-ROW(MSPTasks[[#Headers],[ID]]))))</f>
        <v/>
      </c>
      <c r="H180" s="137" t="str">
        <f aca="false">IF(IFERROR(INDEX(tsk_Name,(ROW()-ROW(MSPTasks[[#Headers],[ID]])))="",TRUE()),"",INDEX(tsk_FcFinish,(ROW()-ROW(MSPTasks[[#Headers],[ID]]))))</f>
        <v/>
      </c>
      <c r="I180" s="24" t="str">
        <f aca="false">IF(IFERROR(INDEX(tsk_Name,(ROW()-ROW(MSPTasks[[#Headers],[ID]])))="",TRUE()),"",IF(INDEX(tsk_IsSummary,(ROW()-ROW(MSPTasks[[#Headers],[ID]]))),"",INDEX(tsk_Predecessors,(ROW()-ROW(MSPTasks[[#Headers],[ID]])))))</f>
        <v/>
      </c>
      <c r="J180" s="24" t="str">
        <f aca="false">IF(IFERROR(INDEX(tsk_Name,(ROW()-ROW(MSPTasks[[#Headers],[ID]])))="",TRUE()),"",IF(INDEX(tsk_IsSummary,(ROW()-ROW(MSPTasks[[#Headers],[ID]]))),"",INDEX(tsk_UIDPredecessors,(ROW()-ROW(MSPTasks[[#Headers],[ID]])))))</f>
        <v/>
      </c>
      <c r="K180" s="24" t="str">
        <f aca="false">IF(IFERROR(INDEX(tsk_Name,(ROW()-ROW(MSPTasks[[#Headers],[ID]])))="",TRUE()),"",INDEX(tsk_ResourceNames,(ROW()-ROW(MSPTasks[[#Headers],[ID]])))&amp;"")</f>
        <v/>
      </c>
      <c r="L180" s="24" t="str">
        <f aca="false">IF(IFERROR(INDEX(tsk_Name,(ROW()-ROW(MSPTasks[[#Headers],[ID]])))="",TRUE()),"",IF(INDEX(tsk_IsSummary,(ROW()-ROW(MSPTasks[[#Headers],[ID]]))),"",ROUND(INDEX(tsk_Progress,(ROW()-ROW(MSPTasks[[#Headers],[ID]])))*100,0)))</f>
        <v/>
      </c>
      <c r="M180" s="137" t="str">
        <f aca="false">IF(IFERROR(INDEX(tsk_Name,(ROW()-ROW(MSPTasks[[#Headers],[ID]])))="",TRUE()),"",IF(N(INDEX(tsk_ActStart,(ROW()-ROW(MSPTasks[[#Headers],[ID]]))))=0,"",INDEX(tsk_ActStart,(ROW()-ROW(MSPTasks[[#Headers],[ID]])))))</f>
        <v/>
      </c>
      <c r="N180" s="137" t="str">
        <f aca="false">IF(IFERROR(INDEX(tsk_Name,(ROW()-ROW(MSPTasks[[#Headers],[ID]])))="",TRUE()),"",IF(N(INDEX(tsk_ActFinish,(ROW()-ROW(MSPTasks[[#Headers],[ID]]))))=0,"",INDEX(tsk_ActFinish,(ROW()-ROW(MSPTasks[[#Headers],[ID]])))))</f>
        <v/>
      </c>
      <c r="O180" s="137" t="str">
        <f aca="false">IF(IFERROR(INDEX(tsk_Name,(ROW()-ROW(MSPTasks[[#Headers],[ID]])))="",TRUE()),"",INDEX(tsk_PlanStart,(ROW()-ROW(MSPTasks[[#Headers],[ID]]))))</f>
        <v/>
      </c>
      <c r="P180" s="137" t="str">
        <f aca="false">IF(IFERROR(INDEX(tsk_Name,(ROW()-ROW(MSPTasks[[#Headers],[ID]])))="",TRUE()),"",INDEX(tsk_PlanFinish,(ROW()-ROW(MSPTasks[[#Headers],[ID]]))))</f>
        <v/>
      </c>
      <c r="Q180" s="24" t="str">
        <f aca="false">IF(IFERROR(INDEX(tsk_Name,(ROW()-ROW(MSPTasks[[#Headers],[ID]])))="",TRUE()),"",IF(INDEX(tsk_BaseDuration,(ROW()-ROW(MSPTasks[[#Headers],[ID]])))="","",N(INDEX(tsk_BaseDuration,(ROW()-ROW(MSPTasks[[#Headers],[ID]]))))&amp;"d"))</f>
        <v/>
      </c>
      <c r="R180" s="24" t="str">
        <f aca="false">IF(IFERROR(INDEX(tsk_Name,(ROW()-ROW(MSPTasks[[#Headers],[ID]])))="",TRUE()),"",IF(INDEX(tsk_BaseWork,(ROW()-ROW(MSPTasks[[#Headers],[ID]])))="","",N(INDEX(tsk_BaseWork,(ROW()-ROW(MSPTasks[[#Headers],[ID]]))))&amp;"h"))</f>
        <v/>
      </c>
      <c r="S180" s="24" t="str">
        <f aca="false">IF(IFERROR(INDEX(tsk_Name,(ROW()-ROW(MSPTasks[[#Headers],[ID]])))="",TRUE()),"",IF(INDEX(tsk_BaseCost,(ROW()-ROW(MSPTasks[[#Headers],[ID]])))="","",N(INDEX(tsk_BaseCost,(ROW()-ROW(MSPTasks[[#Headers],[ID]]))))))</f>
        <v/>
      </c>
      <c r="T180" s="24" t="str">
        <f aca="false">IF(IFERROR(INDEX(tsk_Name,(ROW()-ROW(MSPTasks[[#Headers],[ID]])))="",TRUE()),"",IF(INDEX(tsk_IsSummary,(ROW()-ROW(MSPTasks[[#Headers],[ID]]))),"",IF(N(INDEX(tsk_ActCostInput,(ROW()-ROW(MSPTasks[[#Headers],[ID]]))))=0,"",INDEX(tsk_ActCostInput,(ROW()-ROW(MSPTasks[[#Headers],[ID]]))))))</f>
        <v/>
      </c>
      <c r="U18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0" s="137" t="str">
        <f aca="false">IF(IFERROR(INDEX(tsk_Name,(ROW()-ROW(MSPTasks[[#Headers],[ID]])))="",TRUE()),"",IF(OR(INDEX(tsk_IsSummary,(ROW()-ROW(MSPTasks[[#Headers],[ID]]))),INDEX(tsk_Mode,(ROW()-ROW(MSPTasks[[#Headers],[ID]])))="Manual"),"",IF(N(INDEX(tsk_ConstraintCode,(ROW()-ROW(MSPTasks[[#Headers],[ID]]))))&lt;2,"",INDEX(tsk_Constraint,(ROW()-ROW(MSPTasks[[#Headers],[ID]]))))))</f>
        <v/>
      </c>
      <c r="W180" s="137" t="str">
        <f aca="false">IF(IFERROR(INDEX(tsk_Name,(ROW()-ROW(MSPTasks[[#Headers],[ID]])))="",TRUE()),"",IF(N(INDEX(tsk_Deadline,(ROW()-ROW(MSPTasks[[#Headers],[ID]]))))=0,"",INDEX(tsk_Deadline,(ROW()-ROW(MSPTasks[[#Headers],[ID]])))))</f>
        <v/>
      </c>
      <c r="X180" s="24" t="str">
        <f aca="false">IF(IFERROR(INDEX(tsk_Name,(ROW()-ROW(MSPTasks[[#Headers],[ID]])))="",TRUE()),"",IF(INDEX(tsk_IsSummary,(ROW()-ROW(MSPTasks[[#Headers],[ID]]))),"",INDEX(tsk_Sprint,(ROW()-ROW(MSPTasks[[#Headers],[ID]])))&amp;""))</f>
        <v/>
      </c>
      <c r="Y180" s="24" t="str">
        <f aca="false">IF(IFERROR(INDEX(tsk_Name,(ROW()-ROW(MSPTasks[[#Headers],[ID]])))="",TRUE()),"",IF(INDEX(tsk_IsSummary,(ROW()-ROW(MSPTasks[[#Headers],[ID]]))),"",IF(N(INDEX(tsk_StoryPoints,(ROW()-ROW(MSPTasks[[#Headers],[ID]]))))=0,"",INDEX(tsk_StoryPoints,(ROW()-ROW(MSPTasks[[#Headers],[ID]]))))))</f>
        <v/>
      </c>
      <c r="Z180" s="24" t="str">
        <f aca="false">IF(IFERROR(INDEX(tsk_Name,(ROW()-ROW(MSPTasks[[#Headers],[ID]])))="",TRUE()),"",INDEX(tsk_Notes,(ROW()-ROW(MSPTasks[[#Headers],[ID]])))&amp;"")</f>
        <v/>
      </c>
    </row>
    <row r="181" customFormat="false" ht="15" hidden="false" customHeight="false" outlineLevel="0" collapsed="false">
      <c r="A181" s="24" t="str">
        <f aca="false">IF(IFERROR(INDEX(tsk_Name,(ROW()-ROW(MSPTasks[[#Headers],[ID]])))="",TRUE()),"",INDEX(tsk_ID,(ROW()-ROW(MSPTasks[[#Headers],[ID]]))))</f>
        <v/>
      </c>
      <c r="B181" s="24" t="str">
        <f aca="false">IF(IFERROR(INDEX(tsk_Name,(ROW()-ROW(MSPTasks[[#Headers],[ID]])))="",TRUE()),"",INDEX(tsk_UID,(ROW()-ROW(MSPTasks[[#Headers],[ID]]))))</f>
        <v/>
      </c>
      <c r="C181" s="24" t="str">
        <f aca="false">IF(IFERROR(INDEX(tsk_Name,(ROW()-ROW(MSPTasks[[#Headers],[ID]])))="",TRUE()),"",INDEX(tsk_Name,(ROW()-ROW(MSPTasks[[#Headers],[ID]]))))</f>
        <v/>
      </c>
      <c r="D181" s="24" t="str">
        <f aca="false">IF(IFERROR(INDEX(tsk_Name,(ROW()-ROW(MSPTasks[[#Headers],[ID]])))="",TRUE()),"",INDEX(tsk_Level,(ROW()-ROW(MSPTasks[[#Headers],[ID]]))))</f>
        <v/>
      </c>
      <c r="E181" s="24" t="str">
        <f aca="false">IF(IFERROR(INDEX(tsk_Name,(ROW()-ROW(MSPTasks[[#Headers],[ID]])))="",TRUE()),"",IF(INDEX(tsk_Mode,(ROW()-ROW(MSPTasks[[#Headers],[ID]])))="Manual","Manually Scheduled","Auto Scheduled"))</f>
        <v/>
      </c>
      <c r="F181" s="24" t="str">
        <f aca="false">IF(IFERROR(INDEX(tsk_Name,(ROW()-ROW(MSPTasks[[#Headers],[ID]])))="",TRUE()),"",IF(INDEX(tsk_IsSummary,(ROW()-ROW(MSPTasks[[#Headers],[ID]]))),"",N(INDEX(tsk_Duration,(ROW()-ROW(MSPTasks[[#Headers],[ID]]))))&amp;"d"))</f>
        <v/>
      </c>
      <c r="G181" s="137" t="str">
        <f aca="false">IF(IFERROR(INDEX(tsk_Name,(ROW()-ROW(MSPTasks[[#Headers],[ID]])))="",TRUE()),"",INDEX(tsk_FcStart,(ROW()-ROW(MSPTasks[[#Headers],[ID]]))))</f>
        <v/>
      </c>
      <c r="H181" s="137" t="str">
        <f aca="false">IF(IFERROR(INDEX(tsk_Name,(ROW()-ROW(MSPTasks[[#Headers],[ID]])))="",TRUE()),"",INDEX(tsk_FcFinish,(ROW()-ROW(MSPTasks[[#Headers],[ID]]))))</f>
        <v/>
      </c>
      <c r="I181" s="24" t="str">
        <f aca="false">IF(IFERROR(INDEX(tsk_Name,(ROW()-ROW(MSPTasks[[#Headers],[ID]])))="",TRUE()),"",IF(INDEX(tsk_IsSummary,(ROW()-ROW(MSPTasks[[#Headers],[ID]]))),"",INDEX(tsk_Predecessors,(ROW()-ROW(MSPTasks[[#Headers],[ID]])))))</f>
        <v/>
      </c>
      <c r="J181" s="24" t="str">
        <f aca="false">IF(IFERROR(INDEX(tsk_Name,(ROW()-ROW(MSPTasks[[#Headers],[ID]])))="",TRUE()),"",IF(INDEX(tsk_IsSummary,(ROW()-ROW(MSPTasks[[#Headers],[ID]]))),"",INDEX(tsk_UIDPredecessors,(ROW()-ROW(MSPTasks[[#Headers],[ID]])))))</f>
        <v/>
      </c>
      <c r="K181" s="24" t="str">
        <f aca="false">IF(IFERROR(INDEX(tsk_Name,(ROW()-ROW(MSPTasks[[#Headers],[ID]])))="",TRUE()),"",INDEX(tsk_ResourceNames,(ROW()-ROW(MSPTasks[[#Headers],[ID]])))&amp;"")</f>
        <v/>
      </c>
      <c r="L181" s="24" t="str">
        <f aca="false">IF(IFERROR(INDEX(tsk_Name,(ROW()-ROW(MSPTasks[[#Headers],[ID]])))="",TRUE()),"",IF(INDEX(tsk_IsSummary,(ROW()-ROW(MSPTasks[[#Headers],[ID]]))),"",ROUND(INDEX(tsk_Progress,(ROW()-ROW(MSPTasks[[#Headers],[ID]])))*100,0)))</f>
        <v/>
      </c>
      <c r="M181" s="137" t="str">
        <f aca="false">IF(IFERROR(INDEX(tsk_Name,(ROW()-ROW(MSPTasks[[#Headers],[ID]])))="",TRUE()),"",IF(N(INDEX(tsk_ActStart,(ROW()-ROW(MSPTasks[[#Headers],[ID]]))))=0,"",INDEX(tsk_ActStart,(ROW()-ROW(MSPTasks[[#Headers],[ID]])))))</f>
        <v/>
      </c>
      <c r="N181" s="137" t="str">
        <f aca="false">IF(IFERROR(INDEX(tsk_Name,(ROW()-ROW(MSPTasks[[#Headers],[ID]])))="",TRUE()),"",IF(N(INDEX(tsk_ActFinish,(ROW()-ROW(MSPTasks[[#Headers],[ID]]))))=0,"",INDEX(tsk_ActFinish,(ROW()-ROW(MSPTasks[[#Headers],[ID]])))))</f>
        <v/>
      </c>
      <c r="O181" s="137" t="str">
        <f aca="false">IF(IFERROR(INDEX(tsk_Name,(ROW()-ROW(MSPTasks[[#Headers],[ID]])))="",TRUE()),"",INDEX(tsk_PlanStart,(ROW()-ROW(MSPTasks[[#Headers],[ID]]))))</f>
        <v/>
      </c>
      <c r="P181" s="137" t="str">
        <f aca="false">IF(IFERROR(INDEX(tsk_Name,(ROW()-ROW(MSPTasks[[#Headers],[ID]])))="",TRUE()),"",INDEX(tsk_PlanFinish,(ROW()-ROW(MSPTasks[[#Headers],[ID]]))))</f>
        <v/>
      </c>
      <c r="Q181" s="24" t="str">
        <f aca="false">IF(IFERROR(INDEX(tsk_Name,(ROW()-ROW(MSPTasks[[#Headers],[ID]])))="",TRUE()),"",IF(INDEX(tsk_BaseDuration,(ROW()-ROW(MSPTasks[[#Headers],[ID]])))="","",N(INDEX(tsk_BaseDuration,(ROW()-ROW(MSPTasks[[#Headers],[ID]]))))&amp;"d"))</f>
        <v/>
      </c>
      <c r="R181" s="24" t="str">
        <f aca="false">IF(IFERROR(INDEX(tsk_Name,(ROW()-ROW(MSPTasks[[#Headers],[ID]])))="",TRUE()),"",IF(INDEX(tsk_BaseWork,(ROW()-ROW(MSPTasks[[#Headers],[ID]])))="","",N(INDEX(tsk_BaseWork,(ROW()-ROW(MSPTasks[[#Headers],[ID]]))))&amp;"h"))</f>
        <v/>
      </c>
      <c r="S181" s="24" t="str">
        <f aca="false">IF(IFERROR(INDEX(tsk_Name,(ROW()-ROW(MSPTasks[[#Headers],[ID]])))="",TRUE()),"",IF(INDEX(tsk_BaseCost,(ROW()-ROW(MSPTasks[[#Headers],[ID]])))="","",N(INDEX(tsk_BaseCost,(ROW()-ROW(MSPTasks[[#Headers],[ID]]))))))</f>
        <v/>
      </c>
      <c r="T181" s="24" t="str">
        <f aca="false">IF(IFERROR(INDEX(tsk_Name,(ROW()-ROW(MSPTasks[[#Headers],[ID]])))="",TRUE()),"",IF(INDEX(tsk_IsSummary,(ROW()-ROW(MSPTasks[[#Headers],[ID]]))),"",IF(N(INDEX(tsk_ActCostInput,(ROW()-ROW(MSPTasks[[#Headers],[ID]]))))=0,"",INDEX(tsk_ActCostInput,(ROW()-ROW(MSPTasks[[#Headers],[ID]]))))))</f>
        <v/>
      </c>
      <c r="U18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1" s="137" t="str">
        <f aca="false">IF(IFERROR(INDEX(tsk_Name,(ROW()-ROW(MSPTasks[[#Headers],[ID]])))="",TRUE()),"",IF(OR(INDEX(tsk_IsSummary,(ROW()-ROW(MSPTasks[[#Headers],[ID]]))),INDEX(tsk_Mode,(ROW()-ROW(MSPTasks[[#Headers],[ID]])))="Manual"),"",IF(N(INDEX(tsk_ConstraintCode,(ROW()-ROW(MSPTasks[[#Headers],[ID]]))))&lt;2,"",INDEX(tsk_Constraint,(ROW()-ROW(MSPTasks[[#Headers],[ID]]))))))</f>
        <v/>
      </c>
      <c r="W181" s="137" t="str">
        <f aca="false">IF(IFERROR(INDEX(tsk_Name,(ROW()-ROW(MSPTasks[[#Headers],[ID]])))="",TRUE()),"",IF(N(INDEX(tsk_Deadline,(ROW()-ROW(MSPTasks[[#Headers],[ID]]))))=0,"",INDEX(tsk_Deadline,(ROW()-ROW(MSPTasks[[#Headers],[ID]])))))</f>
        <v/>
      </c>
      <c r="X181" s="24" t="str">
        <f aca="false">IF(IFERROR(INDEX(tsk_Name,(ROW()-ROW(MSPTasks[[#Headers],[ID]])))="",TRUE()),"",IF(INDEX(tsk_IsSummary,(ROW()-ROW(MSPTasks[[#Headers],[ID]]))),"",INDEX(tsk_Sprint,(ROW()-ROW(MSPTasks[[#Headers],[ID]])))&amp;""))</f>
        <v/>
      </c>
      <c r="Y181" s="24" t="str">
        <f aca="false">IF(IFERROR(INDEX(tsk_Name,(ROW()-ROW(MSPTasks[[#Headers],[ID]])))="",TRUE()),"",IF(INDEX(tsk_IsSummary,(ROW()-ROW(MSPTasks[[#Headers],[ID]]))),"",IF(N(INDEX(tsk_StoryPoints,(ROW()-ROW(MSPTasks[[#Headers],[ID]]))))=0,"",INDEX(tsk_StoryPoints,(ROW()-ROW(MSPTasks[[#Headers],[ID]]))))))</f>
        <v/>
      </c>
      <c r="Z181" s="24" t="str">
        <f aca="false">IF(IFERROR(INDEX(tsk_Name,(ROW()-ROW(MSPTasks[[#Headers],[ID]])))="",TRUE()),"",INDEX(tsk_Notes,(ROW()-ROW(MSPTasks[[#Headers],[ID]])))&amp;"")</f>
        <v/>
      </c>
    </row>
    <row r="182" customFormat="false" ht="15" hidden="false" customHeight="false" outlineLevel="0" collapsed="false">
      <c r="A182" s="24" t="str">
        <f aca="false">IF(IFERROR(INDEX(tsk_Name,(ROW()-ROW(MSPTasks[[#Headers],[ID]])))="",TRUE()),"",INDEX(tsk_ID,(ROW()-ROW(MSPTasks[[#Headers],[ID]]))))</f>
        <v/>
      </c>
      <c r="B182" s="24" t="str">
        <f aca="false">IF(IFERROR(INDEX(tsk_Name,(ROW()-ROW(MSPTasks[[#Headers],[ID]])))="",TRUE()),"",INDEX(tsk_UID,(ROW()-ROW(MSPTasks[[#Headers],[ID]]))))</f>
        <v/>
      </c>
      <c r="C182" s="24" t="str">
        <f aca="false">IF(IFERROR(INDEX(tsk_Name,(ROW()-ROW(MSPTasks[[#Headers],[ID]])))="",TRUE()),"",INDEX(tsk_Name,(ROW()-ROW(MSPTasks[[#Headers],[ID]]))))</f>
        <v/>
      </c>
      <c r="D182" s="24" t="str">
        <f aca="false">IF(IFERROR(INDEX(tsk_Name,(ROW()-ROW(MSPTasks[[#Headers],[ID]])))="",TRUE()),"",INDEX(tsk_Level,(ROW()-ROW(MSPTasks[[#Headers],[ID]]))))</f>
        <v/>
      </c>
      <c r="E182" s="24" t="str">
        <f aca="false">IF(IFERROR(INDEX(tsk_Name,(ROW()-ROW(MSPTasks[[#Headers],[ID]])))="",TRUE()),"",IF(INDEX(tsk_Mode,(ROW()-ROW(MSPTasks[[#Headers],[ID]])))="Manual","Manually Scheduled","Auto Scheduled"))</f>
        <v/>
      </c>
      <c r="F182" s="24" t="str">
        <f aca="false">IF(IFERROR(INDEX(tsk_Name,(ROW()-ROW(MSPTasks[[#Headers],[ID]])))="",TRUE()),"",IF(INDEX(tsk_IsSummary,(ROW()-ROW(MSPTasks[[#Headers],[ID]]))),"",N(INDEX(tsk_Duration,(ROW()-ROW(MSPTasks[[#Headers],[ID]]))))&amp;"d"))</f>
        <v/>
      </c>
      <c r="G182" s="137" t="str">
        <f aca="false">IF(IFERROR(INDEX(tsk_Name,(ROW()-ROW(MSPTasks[[#Headers],[ID]])))="",TRUE()),"",INDEX(tsk_FcStart,(ROW()-ROW(MSPTasks[[#Headers],[ID]]))))</f>
        <v/>
      </c>
      <c r="H182" s="137" t="str">
        <f aca="false">IF(IFERROR(INDEX(tsk_Name,(ROW()-ROW(MSPTasks[[#Headers],[ID]])))="",TRUE()),"",INDEX(tsk_FcFinish,(ROW()-ROW(MSPTasks[[#Headers],[ID]]))))</f>
        <v/>
      </c>
      <c r="I182" s="24" t="str">
        <f aca="false">IF(IFERROR(INDEX(tsk_Name,(ROW()-ROW(MSPTasks[[#Headers],[ID]])))="",TRUE()),"",IF(INDEX(tsk_IsSummary,(ROW()-ROW(MSPTasks[[#Headers],[ID]]))),"",INDEX(tsk_Predecessors,(ROW()-ROW(MSPTasks[[#Headers],[ID]])))))</f>
        <v/>
      </c>
      <c r="J182" s="24" t="str">
        <f aca="false">IF(IFERROR(INDEX(tsk_Name,(ROW()-ROW(MSPTasks[[#Headers],[ID]])))="",TRUE()),"",IF(INDEX(tsk_IsSummary,(ROW()-ROW(MSPTasks[[#Headers],[ID]]))),"",INDEX(tsk_UIDPredecessors,(ROW()-ROW(MSPTasks[[#Headers],[ID]])))))</f>
        <v/>
      </c>
      <c r="K182" s="24" t="str">
        <f aca="false">IF(IFERROR(INDEX(tsk_Name,(ROW()-ROW(MSPTasks[[#Headers],[ID]])))="",TRUE()),"",INDEX(tsk_ResourceNames,(ROW()-ROW(MSPTasks[[#Headers],[ID]])))&amp;"")</f>
        <v/>
      </c>
      <c r="L182" s="24" t="str">
        <f aca="false">IF(IFERROR(INDEX(tsk_Name,(ROW()-ROW(MSPTasks[[#Headers],[ID]])))="",TRUE()),"",IF(INDEX(tsk_IsSummary,(ROW()-ROW(MSPTasks[[#Headers],[ID]]))),"",ROUND(INDEX(tsk_Progress,(ROW()-ROW(MSPTasks[[#Headers],[ID]])))*100,0)))</f>
        <v/>
      </c>
      <c r="M182" s="137" t="str">
        <f aca="false">IF(IFERROR(INDEX(tsk_Name,(ROW()-ROW(MSPTasks[[#Headers],[ID]])))="",TRUE()),"",IF(N(INDEX(tsk_ActStart,(ROW()-ROW(MSPTasks[[#Headers],[ID]]))))=0,"",INDEX(tsk_ActStart,(ROW()-ROW(MSPTasks[[#Headers],[ID]])))))</f>
        <v/>
      </c>
      <c r="N182" s="137" t="str">
        <f aca="false">IF(IFERROR(INDEX(tsk_Name,(ROW()-ROW(MSPTasks[[#Headers],[ID]])))="",TRUE()),"",IF(N(INDEX(tsk_ActFinish,(ROW()-ROW(MSPTasks[[#Headers],[ID]]))))=0,"",INDEX(tsk_ActFinish,(ROW()-ROW(MSPTasks[[#Headers],[ID]])))))</f>
        <v/>
      </c>
      <c r="O182" s="137" t="str">
        <f aca="false">IF(IFERROR(INDEX(tsk_Name,(ROW()-ROW(MSPTasks[[#Headers],[ID]])))="",TRUE()),"",INDEX(tsk_PlanStart,(ROW()-ROW(MSPTasks[[#Headers],[ID]]))))</f>
        <v/>
      </c>
      <c r="P182" s="137" t="str">
        <f aca="false">IF(IFERROR(INDEX(tsk_Name,(ROW()-ROW(MSPTasks[[#Headers],[ID]])))="",TRUE()),"",INDEX(tsk_PlanFinish,(ROW()-ROW(MSPTasks[[#Headers],[ID]]))))</f>
        <v/>
      </c>
      <c r="Q182" s="24" t="str">
        <f aca="false">IF(IFERROR(INDEX(tsk_Name,(ROW()-ROW(MSPTasks[[#Headers],[ID]])))="",TRUE()),"",IF(INDEX(tsk_BaseDuration,(ROW()-ROW(MSPTasks[[#Headers],[ID]])))="","",N(INDEX(tsk_BaseDuration,(ROW()-ROW(MSPTasks[[#Headers],[ID]]))))&amp;"d"))</f>
        <v/>
      </c>
      <c r="R182" s="24" t="str">
        <f aca="false">IF(IFERROR(INDEX(tsk_Name,(ROW()-ROW(MSPTasks[[#Headers],[ID]])))="",TRUE()),"",IF(INDEX(tsk_BaseWork,(ROW()-ROW(MSPTasks[[#Headers],[ID]])))="","",N(INDEX(tsk_BaseWork,(ROW()-ROW(MSPTasks[[#Headers],[ID]]))))&amp;"h"))</f>
        <v/>
      </c>
      <c r="S182" s="24" t="str">
        <f aca="false">IF(IFERROR(INDEX(tsk_Name,(ROW()-ROW(MSPTasks[[#Headers],[ID]])))="",TRUE()),"",IF(INDEX(tsk_BaseCost,(ROW()-ROW(MSPTasks[[#Headers],[ID]])))="","",N(INDEX(tsk_BaseCost,(ROW()-ROW(MSPTasks[[#Headers],[ID]]))))))</f>
        <v/>
      </c>
      <c r="T182" s="24" t="str">
        <f aca="false">IF(IFERROR(INDEX(tsk_Name,(ROW()-ROW(MSPTasks[[#Headers],[ID]])))="",TRUE()),"",IF(INDEX(tsk_IsSummary,(ROW()-ROW(MSPTasks[[#Headers],[ID]]))),"",IF(N(INDEX(tsk_ActCostInput,(ROW()-ROW(MSPTasks[[#Headers],[ID]]))))=0,"",INDEX(tsk_ActCostInput,(ROW()-ROW(MSPTasks[[#Headers],[ID]]))))))</f>
        <v/>
      </c>
      <c r="U18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2" s="137" t="str">
        <f aca="false">IF(IFERROR(INDEX(tsk_Name,(ROW()-ROW(MSPTasks[[#Headers],[ID]])))="",TRUE()),"",IF(OR(INDEX(tsk_IsSummary,(ROW()-ROW(MSPTasks[[#Headers],[ID]]))),INDEX(tsk_Mode,(ROW()-ROW(MSPTasks[[#Headers],[ID]])))="Manual"),"",IF(N(INDEX(tsk_ConstraintCode,(ROW()-ROW(MSPTasks[[#Headers],[ID]]))))&lt;2,"",INDEX(tsk_Constraint,(ROW()-ROW(MSPTasks[[#Headers],[ID]]))))))</f>
        <v/>
      </c>
      <c r="W182" s="137" t="str">
        <f aca="false">IF(IFERROR(INDEX(tsk_Name,(ROW()-ROW(MSPTasks[[#Headers],[ID]])))="",TRUE()),"",IF(N(INDEX(tsk_Deadline,(ROW()-ROW(MSPTasks[[#Headers],[ID]]))))=0,"",INDEX(tsk_Deadline,(ROW()-ROW(MSPTasks[[#Headers],[ID]])))))</f>
        <v/>
      </c>
      <c r="X182" s="24" t="str">
        <f aca="false">IF(IFERROR(INDEX(tsk_Name,(ROW()-ROW(MSPTasks[[#Headers],[ID]])))="",TRUE()),"",IF(INDEX(tsk_IsSummary,(ROW()-ROW(MSPTasks[[#Headers],[ID]]))),"",INDEX(tsk_Sprint,(ROW()-ROW(MSPTasks[[#Headers],[ID]])))&amp;""))</f>
        <v/>
      </c>
      <c r="Y182" s="24" t="str">
        <f aca="false">IF(IFERROR(INDEX(tsk_Name,(ROW()-ROW(MSPTasks[[#Headers],[ID]])))="",TRUE()),"",IF(INDEX(tsk_IsSummary,(ROW()-ROW(MSPTasks[[#Headers],[ID]]))),"",IF(N(INDEX(tsk_StoryPoints,(ROW()-ROW(MSPTasks[[#Headers],[ID]]))))=0,"",INDEX(tsk_StoryPoints,(ROW()-ROW(MSPTasks[[#Headers],[ID]]))))))</f>
        <v/>
      </c>
      <c r="Z182" s="24" t="str">
        <f aca="false">IF(IFERROR(INDEX(tsk_Name,(ROW()-ROW(MSPTasks[[#Headers],[ID]])))="",TRUE()),"",INDEX(tsk_Notes,(ROW()-ROW(MSPTasks[[#Headers],[ID]])))&amp;"")</f>
        <v/>
      </c>
    </row>
    <row r="183" customFormat="false" ht="15" hidden="false" customHeight="false" outlineLevel="0" collapsed="false">
      <c r="A183" s="24" t="str">
        <f aca="false">IF(IFERROR(INDEX(tsk_Name,(ROW()-ROW(MSPTasks[[#Headers],[ID]])))="",TRUE()),"",INDEX(tsk_ID,(ROW()-ROW(MSPTasks[[#Headers],[ID]]))))</f>
        <v/>
      </c>
      <c r="B183" s="24" t="str">
        <f aca="false">IF(IFERROR(INDEX(tsk_Name,(ROW()-ROW(MSPTasks[[#Headers],[ID]])))="",TRUE()),"",INDEX(tsk_UID,(ROW()-ROW(MSPTasks[[#Headers],[ID]]))))</f>
        <v/>
      </c>
      <c r="C183" s="24" t="str">
        <f aca="false">IF(IFERROR(INDEX(tsk_Name,(ROW()-ROW(MSPTasks[[#Headers],[ID]])))="",TRUE()),"",INDEX(tsk_Name,(ROW()-ROW(MSPTasks[[#Headers],[ID]]))))</f>
        <v/>
      </c>
      <c r="D183" s="24" t="str">
        <f aca="false">IF(IFERROR(INDEX(tsk_Name,(ROW()-ROW(MSPTasks[[#Headers],[ID]])))="",TRUE()),"",INDEX(tsk_Level,(ROW()-ROW(MSPTasks[[#Headers],[ID]]))))</f>
        <v/>
      </c>
      <c r="E183" s="24" t="str">
        <f aca="false">IF(IFERROR(INDEX(tsk_Name,(ROW()-ROW(MSPTasks[[#Headers],[ID]])))="",TRUE()),"",IF(INDEX(tsk_Mode,(ROW()-ROW(MSPTasks[[#Headers],[ID]])))="Manual","Manually Scheduled","Auto Scheduled"))</f>
        <v/>
      </c>
      <c r="F183" s="24" t="str">
        <f aca="false">IF(IFERROR(INDEX(tsk_Name,(ROW()-ROW(MSPTasks[[#Headers],[ID]])))="",TRUE()),"",IF(INDEX(tsk_IsSummary,(ROW()-ROW(MSPTasks[[#Headers],[ID]]))),"",N(INDEX(tsk_Duration,(ROW()-ROW(MSPTasks[[#Headers],[ID]]))))&amp;"d"))</f>
        <v/>
      </c>
      <c r="G183" s="137" t="str">
        <f aca="false">IF(IFERROR(INDEX(tsk_Name,(ROW()-ROW(MSPTasks[[#Headers],[ID]])))="",TRUE()),"",INDEX(tsk_FcStart,(ROW()-ROW(MSPTasks[[#Headers],[ID]]))))</f>
        <v/>
      </c>
      <c r="H183" s="137" t="str">
        <f aca="false">IF(IFERROR(INDEX(tsk_Name,(ROW()-ROW(MSPTasks[[#Headers],[ID]])))="",TRUE()),"",INDEX(tsk_FcFinish,(ROW()-ROW(MSPTasks[[#Headers],[ID]]))))</f>
        <v/>
      </c>
      <c r="I183" s="24" t="str">
        <f aca="false">IF(IFERROR(INDEX(tsk_Name,(ROW()-ROW(MSPTasks[[#Headers],[ID]])))="",TRUE()),"",IF(INDEX(tsk_IsSummary,(ROW()-ROW(MSPTasks[[#Headers],[ID]]))),"",INDEX(tsk_Predecessors,(ROW()-ROW(MSPTasks[[#Headers],[ID]])))))</f>
        <v/>
      </c>
      <c r="J183" s="24" t="str">
        <f aca="false">IF(IFERROR(INDEX(tsk_Name,(ROW()-ROW(MSPTasks[[#Headers],[ID]])))="",TRUE()),"",IF(INDEX(tsk_IsSummary,(ROW()-ROW(MSPTasks[[#Headers],[ID]]))),"",INDEX(tsk_UIDPredecessors,(ROW()-ROW(MSPTasks[[#Headers],[ID]])))))</f>
        <v/>
      </c>
      <c r="K183" s="24" t="str">
        <f aca="false">IF(IFERROR(INDEX(tsk_Name,(ROW()-ROW(MSPTasks[[#Headers],[ID]])))="",TRUE()),"",INDEX(tsk_ResourceNames,(ROW()-ROW(MSPTasks[[#Headers],[ID]])))&amp;"")</f>
        <v/>
      </c>
      <c r="L183" s="24" t="str">
        <f aca="false">IF(IFERROR(INDEX(tsk_Name,(ROW()-ROW(MSPTasks[[#Headers],[ID]])))="",TRUE()),"",IF(INDEX(tsk_IsSummary,(ROW()-ROW(MSPTasks[[#Headers],[ID]]))),"",ROUND(INDEX(tsk_Progress,(ROW()-ROW(MSPTasks[[#Headers],[ID]])))*100,0)))</f>
        <v/>
      </c>
      <c r="M183" s="137" t="str">
        <f aca="false">IF(IFERROR(INDEX(tsk_Name,(ROW()-ROW(MSPTasks[[#Headers],[ID]])))="",TRUE()),"",IF(N(INDEX(tsk_ActStart,(ROW()-ROW(MSPTasks[[#Headers],[ID]]))))=0,"",INDEX(tsk_ActStart,(ROW()-ROW(MSPTasks[[#Headers],[ID]])))))</f>
        <v/>
      </c>
      <c r="N183" s="137" t="str">
        <f aca="false">IF(IFERROR(INDEX(tsk_Name,(ROW()-ROW(MSPTasks[[#Headers],[ID]])))="",TRUE()),"",IF(N(INDEX(tsk_ActFinish,(ROW()-ROW(MSPTasks[[#Headers],[ID]]))))=0,"",INDEX(tsk_ActFinish,(ROW()-ROW(MSPTasks[[#Headers],[ID]])))))</f>
        <v/>
      </c>
      <c r="O183" s="137" t="str">
        <f aca="false">IF(IFERROR(INDEX(tsk_Name,(ROW()-ROW(MSPTasks[[#Headers],[ID]])))="",TRUE()),"",INDEX(tsk_PlanStart,(ROW()-ROW(MSPTasks[[#Headers],[ID]]))))</f>
        <v/>
      </c>
      <c r="P183" s="137" t="str">
        <f aca="false">IF(IFERROR(INDEX(tsk_Name,(ROW()-ROW(MSPTasks[[#Headers],[ID]])))="",TRUE()),"",INDEX(tsk_PlanFinish,(ROW()-ROW(MSPTasks[[#Headers],[ID]]))))</f>
        <v/>
      </c>
      <c r="Q183" s="24" t="str">
        <f aca="false">IF(IFERROR(INDEX(tsk_Name,(ROW()-ROW(MSPTasks[[#Headers],[ID]])))="",TRUE()),"",IF(INDEX(tsk_BaseDuration,(ROW()-ROW(MSPTasks[[#Headers],[ID]])))="","",N(INDEX(tsk_BaseDuration,(ROW()-ROW(MSPTasks[[#Headers],[ID]]))))&amp;"d"))</f>
        <v/>
      </c>
      <c r="R183" s="24" t="str">
        <f aca="false">IF(IFERROR(INDEX(tsk_Name,(ROW()-ROW(MSPTasks[[#Headers],[ID]])))="",TRUE()),"",IF(INDEX(tsk_BaseWork,(ROW()-ROW(MSPTasks[[#Headers],[ID]])))="","",N(INDEX(tsk_BaseWork,(ROW()-ROW(MSPTasks[[#Headers],[ID]]))))&amp;"h"))</f>
        <v/>
      </c>
      <c r="S183" s="24" t="str">
        <f aca="false">IF(IFERROR(INDEX(tsk_Name,(ROW()-ROW(MSPTasks[[#Headers],[ID]])))="",TRUE()),"",IF(INDEX(tsk_BaseCost,(ROW()-ROW(MSPTasks[[#Headers],[ID]])))="","",N(INDEX(tsk_BaseCost,(ROW()-ROW(MSPTasks[[#Headers],[ID]]))))))</f>
        <v/>
      </c>
      <c r="T183" s="24" t="str">
        <f aca="false">IF(IFERROR(INDEX(tsk_Name,(ROW()-ROW(MSPTasks[[#Headers],[ID]])))="",TRUE()),"",IF(INDEX(tsk_IsSummary,(ROW()-ROW(MSPTasks[[#Headers],[ID]]))),"",IF(N(INDEX(tsk_ActCostInput,(ROW()-ROW(MSPTasks[[#Headers],[ID]]))))=0,"",INDEX(tsk_ActCostInput,(ROW()-ROW(MSPTasks[[#Headers],[ID]]))))))</f>
        <v/>
      </c>
      <c r="U18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3" s="137" t="str">
        <f aca="false">IF(IFERROR(INDEX(tsk_Name,(ROW()-ROW(MSPTasks[[#Headers],[ID]])))="",TRUE()),"",IF(OR(INDEX(tsk_IsSummary,(ROW()-ROW(MSPTasks[[#Headers],[ID]]))),INDEX(tsk_Mode,(ROW()-ROW(MSPTasks[[#Headers],[ID]])))="Manual"),"",IF(N(INDEX(tsk_ConstraintCode,(ROW()-ROW(MSPTasks[[#Headers],[ID]]))))&lt;2,"",INDEX(tsk_Constraint,(ROW()-ROW(MSPTasks[[#Headers],[ID]]))))))</f>
        <v/>
      </c>
      <c r="W183" s="137" t="str">
        <f aca="false">IF(IFERROR(INDEX(tsk_Name,(ROW()-ROW(MSPTasks[[#Headers],[ID]])))="",TRUE()),"",IF(N(INDEX(tsk_Deadline,(ROW()-ROW(MSPTasks[[#Headers],[ID]]))))=0,"",INDEX(tsk_Deadline,(ROW()-ROW(MSPTasks[[#Headers],[ID]])))))</f>
        <v/>
      </c>
      <c r="X183" s="24" t="str">
        <f aca="false">IF(IFERROR(INDEX(tsk_Name,(ROW()-ROW(MSPTasks[[#Headers],[ID]])))="",TRUE()),"",IF(INDEX(tsk_IsSummary,(ROW()-ROW(MSPTasks[[#Headers],[ID]]))),"",INDEX(tsk_Sprint,(ROW()-ROW(MSPTasks[[#Headers],[ID]])))&amp;""))</f>
        <v/>
      </c>
      <c r="Y183" s="24" t="str">
        <f aca="false">IF(IFERROR(INDEX(tsk_Name,(ROW()-ROW(MSPTasks[[#Headers],[ID]])))="",TRUE()),"",IF(INDEX(tsk_IsSummary,(ROW()-ROW(MSPTasks[[#Headers],[ID]]))),"",IF(N(INDEX(tsk_StoryPoints,(ROW()-ROW(MSPTasks[[#Headers],[ID]]))))=0,"",INDEX(tsk_StoryPoints,(ROW()-ROW(MSPTasks[[#Headers],[ID]]))))))</f>
        <v/>
      </c>
      <c r="Z183" s="24" t="str">
        <f aca="false">IF(IFERROR(INDEX(tsk_Name,(ROW()-ROW(MSPTasks[[#Headers],[ID]])))="",TRUE()),"",INDEX(tsk_Notes,(ROW()-ROW(MSPTasks[[#Headers],[ID]])))&amp;"")</f>
        <v/>
      </c>
    </row>
    <row r="184" customFormat="false" ht="15" hidden="false" customHeight="false" outlineLevel="0" collapsed="false">
      <c r="A184" s="24" t="str">
        <f aca="false">IF(IFERROR(INDEX(tsk_Name,(ROW()-ROW(MSPTasks[[#Headers],[ID]])))="",TRUE()),"",INDEX(tsk_ID,(ROW()-ROW(MSPTasks[[#Headers],[ID]]))))</f>
        <v/>
      </c>
      <c r="B184" s="24" t="str">
        <f aca="false">IF(IFERROR(INDEX(tsk_Name,(ROW()-ROW(MSPTasks[[#Headers],[ID]])))="",TRUE()),"",INDEX(tsk_UID,(ROW()-ROW(MSPTasks[[#Headers],[ID]]))))</f>
        <v/>
      </c>
      <c r="C184" s="24" t="str">
        <f aca="false">IF(IFERROR(INDEX(tsk_Name,(ROW()-ROW(MSPTasks[[#Headers],[ID]])))="",TRUE()),"",INDEX(tsk_Name,(ROW()-ROW(MSPTasks[[#Headers],[ID]]))))</f>
        <v/>
      </c>
      <c r="D184" s="24" t="str">
        <f aca="false">IF(IFERROR(INDEX(tsk_Name,(ROW()-ROW(MSPTasks[[#Headers],[ID]])))="",TRUE()),"",INDEX(tsk_Level,(ROW()-ROW(MSPTasks[[#Headers],[ID]]))))</f>
        <v/>
      </c>
      <c r="E184" s="24" t="str">
        <f aca="false">IF(IFERROR(INDEX(tsk_Name,(ROW()-ROW(MSPTasks[[#Headers],[ID]])))="",TRUE()),"",IF(INDEX(tsk_Mode,(ROW()-ROW(MSPTasks[[#Headers],[ID]])))="Manual","Manually Scheduled","Auto Scheduled"))</f>
        <v/>
      </c>
      <c r="F184" s="24" t="str">
        <f aca="false">IF(IFERROR(INDEX(tsk_Name,(ROW()-ROW(MSPTasks[[#Headers],[ID]])))="",TRUE()),"",IF(INDEX(tsk_IsSummary,(ROW()-ROW(MSPTasks[[#Headers],[ID]]))),"",N(INDEX(tsk_Duration,(ROW()-ROW(MSPTasks[[#Headers],[ID]]))))&amp;"d"))</f>
        <v/>
      </c>
      <c r="G184" s="137" t="str">
        <f aca="false">IF(IFERROR(INDEX(tsk_Name,(ROW()-ROW(MSPTasks[[#Headers],[ID]])))="",TRUE()),"",INDEX(tsk_FcStart,(ROW()-ROW(MSPTasks[[#Headers],[ID]]))))</f>
        <v/>
      </c>
      <c r="H184" s="137" t="str">
        <f aca="false">IF(IFERROR(INDEX(tsk_Name,(ROW()-ROW(MSPTasks[[#Headers],[ID]])))="",TRUE()),"",INDEX(tsk_FcFinish,(ROW()-ROW(MSPTasks[[#Headers],[ID]]))))</f>
        <v/>
      </c>
      <c r="I184" s="24" t="str">
        <f aca="false">IF(IFERROR(INDEX(tsk_Name,(ROW()-ROW(MSPTasks[[#Headers],[ID]])))="",TRUE()),"",IF(INDEX(tsk_IsSummary,(ROW()-ROW(MSPTasks[[#Headers],[ID]]))),"",INDEX(tsk_Predecessors,(ROW()-ROW(MSPTasks[[#Headers],[ID]])))))</f>
        <v/>
      </c>
      <c r="J184" s="24" t="str">
        <f aca="false">IF(IFERROR(INDEX(tsk_Name,(ROW()-ROW(MSPTasks[[#Headers],[ID]])))="",TRUE()),"",IF(INDEX(tsk_IsSummary,(ROW()-ROW(MSPTasks[[#Headers],[ID]]))),"",INDEX(tsk_UIDPredecessors,(ROW()-ROW(MSPTasks[[#Headers],[ID]])))))</f>
        <v/>
      </c>
      <c r="K184" s="24" t="str">
        <f aca="false">IF(IFERROR(INDEX(tsk_Name,(ROW()-ROW(MSPTasks[[#Headers],[ID]])))="",TRUE()),"",INDEX(tsk_ResourceNames,(ROW()-ROW(MSPTasks[[#Headers],[ID]])))&amp;"")</f>
        <v/>
      </c>
      <c r="L184" s="24" t="str">
        <f aca="false">IF(IFERROR(INDEX(tsk_Name,(ROW()-ROW(MSPTasks[[#Headers],[ID]])))="",TRUE()),"",IF(INDEX(tsk_IsSummary,(ROW()-ROW(MSPTasks[[#Headers],[ID]]))),"",ROUND(INDEX(tsk_Progress,(ROW()-ROW(MSPTasks[[#Headers],[ID]])))*100,0)))</f>
        <v/>
      </c>
      <c r="M184" s="137" t="str">
        <f aca="false">IF(IFERROR(INDEX(tsk_Name,(ROW()-ROW(MSPTasks[[#Headers],[ID]])))="",TRUE()),"",IF(N(INDEX(tsk_ActStart,(ROW()-ROW(MSPTasks[[#Headers],[ID]]))))=0,"",INDEX(tsk_ActStart,(ROW()-ROW(MSPTasks[[#Headers],[ID]])))))</f>
        <v/>
      </c>
      <c r="N184" s="137" t="str">
        <f aca="false">IF(IFERROR(INDEX(tsk_Name,(ROW()-ROW(MSPTasks[[#Headers],[ID]])))="",TRUE()),"",IF(N(INDEX(tsk_ActFinish,(ROW()-ROW(MSPTasks[[#Headers],[ID]]))))=0,"",INDEX(tsk_ActFinish,(ROW()-ROW(MSPTasks[[#Headers],[ID]])))))</f>
        <v/>
      </c>
      <c r="O184" s="137" t="str">
        <f aca="false">IF(IFERROR(INDEX(tsk_Name,(ROW()-ROW(MSPTasks[[#Headers],[ID]])))="",TRUE()),"",INDEX(tsk_PlanStart,(ROW()-ROW(MSPTasks[[#Headers],[ID]]))))</f>
        <v/>
      </c>
      <c r="P184" s="137" t="str">
        <f aca="false">IF(IFERROR(INDEX(tsk_Name,(ROW()-ROW(MSPTasks[[#Headers],[ID]])))="",TRUE()),"",INDEX(tsk_PlanFinish,(ROW()-ROW(MSPTasks[[#Headers],[ID]]))))</f>
        <v/>
      </c>
      <c r="Q184" s="24" t="str">
        <f aca="false">IF(IFERROR(INDEX(tsk_Name,(ROW()-ROW(MSPTasks[[#Headers],[ID]])))="",TRUE()),"",IF(INDEX(tsk_BaseDuration,(ROW()-ROW(MSPTasks[[#Headers],[ID]])))="","",N(INDEX(tsk_BaseDuration,(ROW()-ROW(MSPTasks[[#Headers],[ID]]))))&amp;"d"))</f>
        <v/>
      </c>
      <c r="R184" s="24" t="str">
        <f aca="false">IF(IFERROR(INDEX(tsk_Name,(ROW()-ROW(MSPTasks[[#Headers],[ID]])))="",TRUE()),"",IF(INDEX(tsk_BaseWork,(ROW()-ROW(MSPTasks[[#Headers],[ID]])))="","",N(INDEX(tsk_BaseWork,(ROW()-ROW(MSPTasks[[#Headers],[ID]]))))&amp;"h"))</f>
        <v/>
      </c>
      <c r="S184" s="24" t="str">
        <f aca="false">IF(IFERROR(INDEX(tsk_Name,(ROW()-ROW(MSPTasks[[#Headers],[ID]])))="",TRUE()),"",IF(INDEX(tsk_BaseCost,(ROW()-ROW(MSPTasks[[#Headers],[ID]])))="","",N(INDEX(tsk_BaseCost,(ROW()-ROW(MSPTasks[[#Headers],[ID]]))))))</f>
        <v/>
      </c>
      <c r="T184" s="24" t="str">
        <f aca="false">IF(IFERROR(INDEX(tsk_Name,(ROW()-ROW(MSPTasks[[#Headers],[ID]])))="",TRUE()),"",IF(INDEX(tsk_IsSummary,(ROW()-ROW(MSPTasks[[#Headers],[ID]]))),"",IF(N(INDEX(tsk_ActCostInput,(ROW()-ROW(MSPTasks[[#Headers],[ID]]))))=0,"",INDEX(tsk_ActCostInput,(ROW()-ROW(MSPTasks[[#Headers],[ID]]))))))</f>
        <v/>
      </c>
      <c r="U18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4" s="137" t="str">
        <f aca="false">IF(IFERROR(INDEX(tsk_Name,(ROW()-ROW(MSPTasks[[#Headers],[ID]])))="",TRUE()),"",IF(OR(INDEX(tsk_IsSummary,(ROW()-ROW(MSPTasks[[#Headers],[ID]]))),INDEX(tsk_Mode,(ROW()-ROW(MSPTasks[[#Headers],[ID]])))="Manual"),"",IF(N(INDEX(tsk_ConstraintCode,(ROW()-ROW(MSPTasks[[#Headers],[ID]]))))&lt;2,"",INDEX(tsk_Constraint,(ROW()-ROW(MSPTasks[[#Headers],[ID]]))))))</f>
        <v/>
      </c>
      <c r="W184" s="137" t="str">
        <f aca="false">IF(IFERROR(INDEX(tsk_Name,(ROW()-ROW(MSPTasks[[#Headers],[ID]])))="",TRUE()),"",IF(N(INDEX(tsk_Deadline,(ROW()-ROW(MSPTasks[[#Headers],[ID]]))))=0,"",INDEX(tsk_Deadline,(ROW()-ROW(MSPTasks[[#Headers],[ID]])))))</f>
        <v/>
      </c>
      <c r="X184" s="24" t="str">
        <f aca="false">IF(IFERROR(INDEX(tsk_Name,(ROW()-ROW(MSPTasks[[#Headers],[ID]])))="",TRUE()),"",IF(INDEX(tsk_IsSummary,(ROW()-ROW(MSPTasks[[#Headers],[ID]]))),"",INDEX(tsk_Sprint,(ROW()-ROW(MSPTasks[[#Headers],[ID]])))&amp;""))</f>
        <v/>
      </c>
      <c r="Y184" s="24" t="str">
        <f aca="false">IF(IFERROR(INDEX(tsk_Name,(ROW()-ROW(MSPTasks[[#Headers],[ID]])))="",TRUE()),"",IF(INDEX(tsk_IsSummary,(ROW()-ROW(MSPTasks[[#Headers],[ID]]))),"",IF(N(INDEX(tsk_StoryPoints,(ROW()-ROW(MSPTasks[[#Headers],[ID]]))))=0,"",INDEX(tsk_StoryPoints,(ROW()-ROW(MSPTasks[[#Headers],[ID]]))))))</f>
        <v/>
      </c>
      <c r="Z184" s="24" t="str">
        <f aca="false">IF(IFERROR(INDEX(tsk_Name,(ROW()-ROW(MSPTasks[[#Headers],[ID]])))="",TRUE()),"",INDEX(tsk_Notes,(ROW()-ROW(MSPTasks[[#Headers],[ID]])))&amp;"")</f>
        <v/>
      </c>
    </row>
    <row r="185" customFormat="false" ht="15" hidden="false" customHeight="false" outlineLevel="0" collapsed="false">
      <c r="A185" s="24" t="str">
        <f aca="false">IF(IFERROR(INDEX(tsk_Name,(ROW()-ROW(MSPTasks[[#Headers],[ID]])))="",TRUE()),"",INDEX(tsk_ID,(ROW()-ROW(MSPTasks[[#Headers],[ID]]))))</f>
        <v/>
      </c>
      <c r="B185" s="24" t="str">
        <f aca="false">IF(IFERROR(INDEX(tsk_Name,(ROW()-ROW(MSPTasks[[#Headers],[ID]])))="",TRUE()),"",INDEX(tsk_UID,(ROW()-ROW(MSPTasks[[#Headers],[ID]]))))</f>
        <v/>
      </c>
      <c r="C185" s="24" t="str">
        <f aca="false">IF(IFERROR(INDEX(tsk_Name,(ROW()-ROW(MSPTasks[[#Headers],[ID]])))="",TRUE()),"",INDEX(tsk_Name,(ROW()-ROW(MSPTasks[[#Headers],[ID]]))))</f>
        <v/>
      </c>
      <c r="D185" s="24" t="str">
        <f aca="false">IF(IFERROR(INDEX(tsk_Name,(ROW()-ROW(MSPTasks[[#Headers],[ID]])))="",TRUE()),"",INDEX(tsk_Level,(ROW()-ROW(MSPTasks[[#Headers],[ID]]))))</f>
        <v/>
      </c>
      <c r="E185" s="24" t="str">
        <f aca="false">IF(IFERROR(INDEX(tsk_Name,(ROW()-ROW(MSPTasks[[#Headers],[ID]])))="",TRUE()),"",IF(INDEX(tsk_Mode,(ROW()-ROW(MSPTasks[[#Headers],[ID]])))="Manual","Manually Scheduled","Auto Scheduled"))</f>
        <v/>
      </c>
      <c r="F185" s="24" t="str">
        <f aca="false">IF(IFERROR(INDEX(tsk_Name,(ROW()-ROW(MSPTasks[[#Headers],[ID]])))="",TRUE()),"",IF(INDEX(tsk_IsSummary,(ROW()-ROW(MSPTasks[[#Headers],[ID]]))),"",N(INDEX(tsk_Duration,(ROW()-ROW(MSPTasks[[#Headers],[ID]]))))&amp;"d"))</f>
        <v/>
      </c>
      <c r="G185" s="137" t="str">
        <f aca="false">IF(IFERROR(INDEX(tsk_Name,(ROW()-ROW(MSPTasks[[#Headers],[ID]])))="",TRUE()),"",INDEX(tsk_FcStart,(ROW()-ROW(MSPTasks[[#Headers],[ID]]))))</f>
        <v/>
      </c>
      <c r="H185" s="137" t="str">
        <f aca="false">IF(IFERROR(INDEX(tsk_Name,(ROW()-ROW(MSPTasks[[#Headers],[ID]])))="",TRUE()),"",INDEX(tsk_FcFinish,(ROW()-ROW(MSPTasks[[#Headers],[ID]]))))</f>
        <v/>
      </c>
      <c r="I185" s="24" t="str">
        <f aca="false">IF(IFERROR(INDEX(tsk_Name,(ROW()-ROW(MSPTasks[[#Headers],[ID]])))="",TRUE()),"",IF(INDEX(tsk_IsSummary,(ROW()-ROW(MSPTasks[[#Headers],[ID]]))),"",INDEX(tsk_Predecessors,(ROW()-ROW(MSPTasks[[#Headers],[ID]])))))</f>
        <v/>
      </c>
      <c r="J185" s="24" t="str">
        <f aca="false">IF(IFERROR(INDEX(tsk_Name,(ROW()-ROW(MSPTasks[[#Headers],[ID]])))="",TRUE()),"",IF(INDEX(tsk_IsSummary,(ROW()-ROW(MSPTasks[[#Headers],[ID]]))),"",INDEX(tsk_UIDPredecessors,(ROW()-ROW(MSPTasks[[#Headers],[ID]])))))</f>
        <v/>
      </c>
      <c r="K185" s="24" t="str">
        <f aca="false">IF(IFERROR(INDEX(tsk_Name,(ROW()-ROW(MSPTasks[[#Headers],[ID]])))="",TRUE()),"",INDEX(tsk_ResourceNames,(ROW()-ROW(MSPTasks[[#Headers],[ID]])))&amp;"")</f>
        <v/>
      </c>
      <c r="L185" s="24" t="str">
        <f aca="false">IF(IFERROR(INDEX(tsk_Name,(ROW()-ROW(MSPTasks[[#Headers],[ID]])))="",TRUE()),"",IF(INDEX(tsk_IsSummary,(ROW()-ROW(MSPTasks[[#Headers],[ID]]))),"",ROUND(INDEX(tsk_Progress,(ROW()-ROW(MSPTasks[[#Headers],[ID]])))*100,0)))</f>
        <v/>
      </c>
      <c r="M185" s="137" t="str">
        <f aca="false">IF(IFERROR(INDEX(tsk_Name,(ROW()-ROW(MSPTasks[[#Headers],[ID]])))="",TRUE()),"",IF(N(INDEX(tsk_ActStart,(ROW()-ROW(MSPTasks[[#Headers],[ID]]))))=0,"",INDEX(tsk_ActStart,(ROW()-ROW(MSPTasks[[#Headers],[ID]])))))</f>
        <v/>
      </c>
      <c r="N185" s="137" t="str">
        <f aca="false">IF(IFERROR(INDEX(tsk_Name,(ROW()-ROW(MSPTasks[[#Headers],[ID]])))="",TRUE()),"",IF(N(INDEX(tsk_ActFinish,(ROW()-ROW(MSPTasks[[#Headers],[ID]]))))=0,"",INDEX(tsk_ActFinish,(ROW()-ROW(MSPTasks[[#Headers],[ID]])))))</f>
        <v/>
      </c>
      <c r="O185" s="137" t="str">
        <f aca="false">IF(IFERROR(INDEX(tsk_Name,(ROW()-ROW(MSPTasks[[#Headers],[ID]])))="",TRUE()),"",INDEX(tsk_PlanStart,(ROW()-ROW(MSPTasks[[#Headers],[ID]]))))</f>
        <v/>
      </c>
      <c r="P185" s="137" t="str">
        <f aca="false">IF(IFERROR(INDEX(tsk_Name,(ROW()-ROW(MSPTasks[[#Headers],[ID]])))="",TRUE()),"",INDEX(tsk_PlanFinish,(ROW()-ROW(MSPTasks[[#Headers],[ID]]))))</f>
        <v/>
      </c>
      <c r="Q185" s="24" t="str">
        <f aca="false">IF(IFERROR(INDEX(tsk_Name,(ROW()-ROW(MSPTasks[[#Headers],[ID]])))="",TRUE()),"",IF(INDEX(tsk_BaseDuration,(ROW()-ROW(MSPTasks[[#Headers],[ID]])))="","",N(INDEX(tsk_BaseDuration,(ROW()-ROW(MSPTasks[[#Headers],[ID]]))))&amp;"d"))</f>
        <v/>
      </c>
      <c r="R185" s="24" t="str">
        <f aca="false">IF(IFERROR(INDEX(tsk_Name,(ROW()-ROW(MSPTasks[[#Headers],[ID]])))="",TRUE()),"",IF(INDEX(tsk_BaseWork,(ROW()-ROW(MSPTasks[[#Headers],[ID]])))="","",N(INDEX(tsk_BaseWork,(ROW()-ROW(MSPTasks[[#Headers],[ID]]))))&amp;"h"))</f>
        <v/>
      </c>
      <c r="S185" s="24" t="str">
        <f aca="false">IF(IFERROR(INDEX(tsk_Name,(ROW()-ROW(MSPTasks[[#Headers],[ID]])))="",TRUE()),"",IF(INDEX(tsk_BaseCost,(ROW()-ROW(MSPTasks[[#Headers],[ID]])))="","",N(INDEX(tsk_BaseCost,(ROW()-ROW(MSPTasks[[#Headers],[ID]]))))))</f>
        <v/>
      </c>
      <c r="T185" s="24" t="str">
        <f aca="false">IF(IFERROR(INDEX(tsk_Name,(ROW()-ROW(MSPTasks[[#Headers],[ID]])))="",TRUE()),"",IF(INDEX(tsk_IsSummary,(ROW()-ROW(MSPTasks[[#Headers],[ID]]))),"",IF(N(INDEX(tsk_ActCostInput,(ROW()-ROW(MSPTasks[[#Headers],[ID]]))))=0,"",INDEX(tsk_ActCostInput,(ROW()-ROW(MSPTasks[[#Headers],[ID]]))))))</f>
        <v/>
      </c>
      <c r="U18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5" s="137" t="str">
        <f aca="false">IF(IFERROR(INDEX(tsk_Name,(ROW()-ROW(MSPTasks[[#Headers],[ID]])))="",TRUE()),"",IF(OR(INDEX(tsk_IsSummary,(ROW()-ROW(MSPTasks[[#Headers],[ID]]))),INDEX(tsk_Mode,(ROW()-ROW(MSPTasks[[#Headers],[ID]])))="Manual"),"",IF(N(INDEX(tsk_ConstraintCode,(ROW()-ROW(MSPTasks[[#Headers],[ID]]))))&lt;2,"",INDEX(tsk_Constraint,(ROW()-ROW(MSPTasks[[#Headers],[ID]]))))))</f>
        <v/>
      </c>
      <c r="W185" s="137" t="str">
        <f aca="false">IF(IFERROR(INDEX(tsk_Name,(ROW()-ROW(MSPTasks[[#Headers],[ID]])))="",TRUE()),"",IF(N(INDEX(tsk_Deadline,(ROW()-ROW(MSPTasks[[#Headers],[ID]]))))=0,"",INDEX(tsk_Deadline,(ROW()-ROW(MSPTasks[[#Headers],[ID]])))))</f>
        <v/>
      </c>
      <c r="X185" s="24" t="str">
        <f aca="false">IF(IFERROR(INDEX(tsk_Name,(ROW()-ROW(MSPTasks[[#Headers],[ID]])))="",TRUE()),"",IF(INDEX(tsk_IsSummary,(ROW()-ROW(MSPTasks[[#Headers],[ID]]))),"",INDEX(tsk_Sprint,(ROW()-ROW(MSPTasks[[#Headers],[ID]])))&amp;""))</f>
        <v/>
      </c>
      <c r="Y185" s="24" t="str">
        <f aca="false">IF(IFERROR(INDEX(tsk_Name,(ROW()-ROW(MSPTasks[[#Headers],[ID]])))="",TRUE()),"",IF(INDEX(tsk_IsSummary,(ROW()-ROW(MSPTasks[[#Headers],[ID]]))),"",IF(N(INDEX(tsk_StoryPoints,(ROW()-ROW(MSPTasks[[#Headers],[ID]]))))=0,"",INDEX(tsk_StoryPoints,(ROW()-ROW(MSPTasks[[#Headers],[ID]]))))))</f>
        <v/>
      </c>
      <c r="Z185" s="24" t="str">
        <f aca="false">IF(IFERROR(INDEX(tsk_Name,(ROW()-ROW(MSPTasks[[#Headers],[ID]])))="",TRUE()),"",INDEX(tsk_Notes,(ROW()-ROW(MSPTasks[[#Headers],[ID]])))&amp;"")</f>
        <v/>
      </c>
    </row>
    <row r="186" customFormat="false" ht="15" hidden="false" customHeight="false" outlineLevel="0" collapsed="false">
      <c r="A186" s="24" t="str">
        <f aca="false">IF(IFERROR(INDEX(tsk_Name,(ROW()-ROW(MSPTasks[[#Headers],[ID]])))="",TRUE()),"",INDEX(tsk_ID,(ROW()-ROW(MSPTasks[[#Headers],[ID]]))))</f>
        <v/>
      </c>
      <c r="B186" s="24" t="str">
        <f aca="false">IF(IFERROR(INDEX(tsk_Name,(ROW()-ROW(MSPTasks[[#Headers],[ID]])))="",TRUE()),"",INDEX(tsk_UID,(ROW()-ROW(MSPTasks[[#Headers],[ID]]))))</f>
        <v/>
      </c>
      <c r="C186" s="24" t="str">
        <f aca="false">IF(IFERROR(INDEX(tsk_Name,(ROW()-ROW(MSPTasks[[#Headers],[ID]])))="",TRUE()),"",INDEX(tsk_Name,(ROW()-ROW(MSPTasks[[#Headers],[ID]]))))</f>
        <v/>
      </c>
      <c r="D186" s="24" t="str">
        <f aca="false">IF(IFERROR(INDEX(tsk_Name,(ROW()-ROW(MSPTasks[[#Headers],[ID]])))="",TRUE()),"",INDEX(tsk_Level,(ROW()-ROW(MSPTasks[[#Headers],[ID]]))))</f>
        <v/>
      </c>
      <c r="E186" s="24" t="str">
        <f aca="false">IF(IFERROR(INDEX(tsk_Name,(ROW()-ROW(MSPTasks[[#Headers],[ID]])))="",TRUE()),"",IF(INDEX(tsk_Mode,(ROW()-ROW(MSPTasks[[#Headers],[ID]])))="Manual","Manually Scheduled","Auto Scheduled"))</f>
        <v/>
      </c>
      <c r="F186" s="24" t="str">
        <f aca="false">IF(IFERROR(INDEX(tsk_Name,(ROW()-ROW(MSPTasks[[#Headers],[ID]])))="",TRUE()),"",IF(INDEX(tsk_IsSummary,(ROW()-ROW(MSPTasks[[#Headers],[ID]]))),"",N(INDEX(tsk_Duration,(ROW()-ROW(MSPTasks[[#Headers],[ID]]))))&amp;"d"))</f>
        <v/>
      </c>
      <c r="G186" s="137" t="str">
        <f aca="false">IF(IFERROR(INDEX(tsk_Name,(ROW()-ROW(MSPTasks[[#Headers],[ID]])))="",TRUE()),"",INDEX(tsk_FcStart,(ROW()-ROW(MSPTasks[[#Headers],[ID]]))))</f>
        <v/>
      </c>
      <c r="H186" s="137" t="str">
        <f aca="false">IF(IFERROR(INDEX(tsk_Name,(ROW()-ROW(MSPTasks[[#Headers],[ID]])))="",TRUE()),"",INDEX(tsk_FcFinish,(ROW()-ROW(MSPTasks[[#Headers],[ID]]))))</f>
        <v/>
      </c>
      <c r="I186" s="24" t="str">
        <f aca="false">IF(IFERROR(INDEX(tsk_Name,(ROW()-ROW(MSPTasks[[#Headers],[ID]])))="",TRUE()),"",IF(INDEX(tsk_IsSummary,(ROW()-ROW(MSPTasks[[#Headers],[ID]]))),"",INDEX(tsk_Predecessors,(ROW()-ROW(MSPTasks[[#Headers],[ID]])))))</f>
        <v/>
      </c>
      <c r="J186" s="24" t="str">
        <f aca="false">IF(IFERROR(INDEX(tsk_Name,(ROW()-ROW(MSPTasks[[#Headers],[ID]])))="",TRUE()),"",IF(INDEX(tsk_IsSummary,(ROW()-ROW(MSPTasks[[#Headers],[ID]]))),"",INDEX(tsk_UIDPredecessors,(ROW()-ROW(MSPTasks[[#Headers],[ID]])))))</f>
        <v/>
      </c>
      <c r="K186" s="24" t="str">
        <f aca="false">IF(IFERROR(INDEX(tsk_Name,(ROW()-ROW(MSPTasks[[#Headers],[ID]])))="",TRUE()),"",INDEX(tsk_ResourceNames,(ROW()-ROW(MSPTasks[[#Headers],[ID]])))&amp;"")</f>
        <v/>
      </c>
      <c r="L186" s="24" t="str">
        <f aca="false">IF(IFERROR(INDEX(tsk_Name,(ROW()-ROW(MSPTasks[[#Headers],[ID]])))="",TRUE()),"",IF(INDEX(tsk_IsSummary,(ROW()-ROW(MSPTasks[[#Headers],[ID]]))),"",ROUND(INDEX(tsk_Progress,(ROW()-ROW(MSPTasks[[#Headers],[ID]])))*100,0)))</f>
        <v/>
      </c>
      <c r="M186" s="137" t="str">
        <f aca="false">IF(IFERROR(INDEX(tsk_Name,(ROW()-ROW(MSPTasks[[#Headers],[ID]])))="",TRUE()),"",IF(N(INDEX(tsk_ActStart,(ROW()-ROW(MSPTasks[[#Headers],[ID]]))))=0,"",INDEX(tsk_ActStart,(ROW()-ROW(MSPTasks[[#Headers],[ID]])))))</f>
        <v/>
      </c>
      <c r="N186" s="137" t="str">
        <f aca="false">IF(IFERROR(INDEX(tsk_Name,(ROW()-ROW(MSPTasks[[#Headers],[ID]])))="",TRUE()),"",IF(N(INDEX(tsk_ActFinish,(ROW()-ROW(MSPTasks[[#Headers],[ID]]))))=0,"",INDEX(tsk_ActFinish,(ROW()-ROW(MSPTasks[[#Headers],[ID]])))))</f>
        <v/>
      </c>
      <c r="O186" s="137" t="str">
        <f aca="false">IF(IFERROR(INDEX(tsk_Name,(ROW()-ROW(MSPTasks[[#Headers],[ID]])))="",TRUE()),"",INDEX(tsk_PlanStart,(ROW()-ROW(MSPTasks[[#Headers],[ID]]))))</f>
        <v/>
      </c>
      <c r="P186" s="137" t="str">
        <f aca="false">IF(IFERROR(INDEX(tsk_Name,(ROW()-ROW(MSPTasks[[#Headers],[ID]])))="",TRUE()),"",INDEX(tsk_PlanFinish,(ROW()-ROW(MSPTasks[[#Headers],[ID]]))))</f>
        <v/>
      </c>
      <c r="Q186" s="24" t="str">
        <f aca="false">IF(IFERROR(INDEX(tsk_Name,(ROW()-ROW(MSPTasks[[#Headers],[ID]])))="",TRUE()),"",IF(INDEX(tsk_BaseDuration,(ROW()-ROW(MSPTasks[[#Headers],[ID]])))="","",N(INDEX(tsk_BaseDuration,(ROW()-ROW(MSPTasks[[#Headers],[ID]]))))&amp;"d"))</f>
        <v/>
      </c>
      <c r="R186" s="24" t="str">
        <f aca="false">IF(IFERROR(INDEX(tsk_Name,(ROW()-ROW(MSPTasks[[#Headers],[ID]])))="",TRUE()),"",IF(INDEX(tsk_BaseWork,(ROW()-ROW(MSPTasks[[#Headers],[ID]])))="","",N(INDEX(tsk_BaseWork,(ROW()-ROW(MSPTasks[[#Headers],[ID]]))))&amp;"h"))</f>
        <v/>
      </c>
      <c r="S186" s="24" t="str">
        <f aca="false">IF(IFERROR(INDEX(tsk_Name,(ROW()-ROW(MSPTasks[[#Headers],[ID]])))="",TRUE()),"",IF(INDEX(tsk_BaseCost,(ROW()-ROW(MSPTasks[[#Headers],[ID]])))="","",N(INDEX(tsk_BaseCost,(ROW()-ROW(MSPTasks[[#Headers],[ID]]))))))</f>
        <v/>
      </c>
      <c r="T186" s="24" t="str">
        <f aca="false">IF(IFERROR(INDEX(tsk_Name,(ROW()-ROW(MSPTasks[[#Headers],[ID]])))="",TRUE()),"",IF(INDEX(tsk_IsSummary,(ROW()-ROW(MSPTasks[[#Headers],[ID]]))),"",IF(N(INDEX(tsk_ActCostInput,(ROW()-ROW(MSPTasks[[#Headers],[ID]]))))=0,"",INDEX(tsk_ActCostInput,(ROW()-ROW(MSPTasks[[#Headers],[ID]]))))))</f>
        <v/>
      </c>
      <c r="U18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6" s="137" t="str">
        <f aca="false">IF(IFERROR(INDEX(tsk_Name,(ROW()-ROW(MSPTasks[[#Headers],[ID]])))="",TRUE()),"",IF(OR(INDEX(tsk_IsSummary,(ROW()-ROW(MSPTasks[[#Headers],[ID]]))),INDEX(tsk_Mode,(ROW()-ROW(MSPTasks[[#Headers],[ID]])))="Manual"),"",IF(N(INDEX(tsk_ConstraintCode,(ROW()-ROW(MSPTasks[[#Headers],[ID]]))))&lt;2,"",INDEX(tsk_Constraint,(ROW()-ROW(MSPTasks[[#Headers],[ID]]))))))</f>
        <v/>
      </c>
      <c r="W186" s="137" t="str">
        <f aca="false">IF(IFERROR(INDEX(tsk_Name,(ROW()-ROW(MSPTasks[[#Headers],[ID]])))="",TRUE()),"",IF(N(INDEX(tsk_Deadline,(ROW()-ROW(MSPTasks[[#Headers],[ID]]))))=0,"",INDEX(tsk_Deadline,(ROW()-ROW(MSPTasks[[#Headers],[ID]])))))</f>
        <v/>
      </c>
      <c r="X186" s="24" t="str">
        <f aca="false">IF(IFERROR(INDEX(tsk_Name,(ROW()-ROW(MSPTasks[[#Headers],[ID]])))="",TRUE()),"",IF(INDEX(tsk_IsSummary,(ROW()-ROW(MSPTasks[[#Headers],[ID]]))),"",INDEX(tsk_Sprint,(ROW()-ROW(MSPTasks[[#Headers],[ID]])))&amp;""))</f>
        <v/>
      </c>
      <c r="Y186" s="24" t="str">
        <f aca="false">IF(IFERROR(INDEX(tsk_Name,(ROW()-ROW(MSPTasks[[#Headers],[ID]])))="",TRUE()),"",IF(INDEX(tsk_IsSummary,(ROW()-ROW(MSPTasks[[#Headers],[ID]]))),"",IF(N(INDEX(tsk_StoryPoints,(ROW()-ROW(MSPTasks[[#Headers],[ID]]))))=0,"",INDEX(tsk_StoryPoints,(ROW()-ROW(MSPTasks[[#Headers],[ID]]))))))</f>
        <v/>
      </c>
      <c r="Z186" s="24" t="str">
        <f aca="false">IF(IFERROR(INDEX(tsk_Name,(ROW()-ROW(MSPTasks[[#Headers],[ID]])))="",TRUE()),"",INDEX(tsk_Notes,(ROW()-ROW(MSPTasks[[#Headers],[ID]])))&amp;"")</f>
        <v/>
      </c>
    </row>
    <row r="187" customFormat="false" ht="15" hidden="false" customHeight="false" outlineLevel="0" collapsed="false">
      <c r="A187" s="24" t="str">
        <f aca="false">IF(IFERROR(INDEX(tsk_Name,(ROW()-ROW(MSPTasks[[#Headers],[ID]])))="",TRUE()),"",INDEX(tsk_ID,(ROW()-ROW(MSPTasks[[#Headers],[ID]]))))</f>
        <v/>
      </c>
      <c r="B187" s="24" t="str">
        <f aca="false">IF(IFERROR(INDEX(tsk_Name,(ROW()-ROW(MSPTasks[[#Headers],[ID]])))="",TRUE()),"",INDEX(tsk_UID,(ROW()-ROW(MSPTasks[[#Headers],[ID]]))))</f>
        <v/>
      </c>
      <c r="C187" s="24" t="str">
        <f aca="false">IF(IFERROR(INDEX(tsk_Name,(ROW()-ROW(MSPTasks[[#Headers],[ID]])))="",TRUE()),"",INDEX(tsk_Name,(ROW()-ROW(MSPTasks[[#Headers],[ID]]))))</f>
        <v/>
      </c>
      <c r="D187" s="24" t="str">
        <f aca="false">IF(IFERROR(INDEX(tsk_Name,(ROW()-ROW(MSPTasks[[#Headers],[ID]])))="",TRUE()),"",INDEX(tsk_Level,(ROW()-ROW(MSPTasks[[#Headers],[ID]]))))</f>
        <v/>
      </c>
      <c r="E187" s="24" t="str">
        <f aca="false">IF(IFERROR(INDEX(tsk_Name,(ROW()-ROW(MSPTasks[[#Headers],[ID]])))="",TRUE()),"",IF(INDEX(tsk_Mode,(ROW()-ROW(MSPTasks[[#Headers],[ID]])))="Manual","Manually Scheduled","Auto Scheduled"))</f>
        <v/>
      </c>
      <c r="F187" s="24" t="str">
        <f aca="false">IF(IFERROR(INDEX(tsk_Name,(ROW()-ROW(MSPTasks[[#Headers],[ID]])))="",TRUE()),"",IF(INDEX(tsk_IsSummary,(ROW()-ROW(MSPTasks[[#Headers],[ID]]))),"",N(INDEX(tsk_Duration,(ROW()-ROW(MSPTasks[[#Headers],[ID]]))))&amp;"d"))</f>
        <v/>
      </c>
      <c r="G187" s="137" t="str">
        <f aca="false">IF(IFERROR(INDEX(tsk_Name,(ROW()-ROW(MSPTasks[[#Headers],[ID]])))="",TRUE()),"",INDEX(tsk_FcStart,(ROW()-ROW(MSPTasks[[#Headers],[ID]]))))</f>
        <v/>
      </c>
      <c r="H187" s="137" t="str">
        <f aca="false">IF(IFERROR(INDEX(tsk_Name,(ROW()-ROW(MSPTasks[[#Headers],[ID]])))="",TRUE()),"",INDEX(tsk_FcFinish,(ROW()-ROW(MSPTasks[[#Headers],[ID]]))))</f>
        <v/>
      </c>
      <c r="I187" s="24" t="str">
        <f aca="false">IF(IFERROR(INDEX(tsk_Name,(ROW()-ROW(MSPTasks[[#Headers],[ID]])))="",TRUE()),"",IF(INDEX(tsk_IsSummary,(ROW()-ROW(MSPTasks[[#Headers],[ID]]))),"",INDEX(tsk_Predecessors,(ROW()-ROW(MSPTasks[[#Headers],[ID]])))))</f>
        <v/>
      </c>
      <c r="J187" s="24" t="str">
        <f aca="false">IF(IFERROR(INDEX(tsk_Name,(ROW()-ROW(MSPTasks[[#Headers],[ID]])))="",TRUE()),"",IF(INDEX(tsk_IsSummary,(ROW()-ROW(MSPTasks[[#Headers],[ID]]))),"",INDEX(tsk_UIDPredecessors,(ROW()-ROW(MSPTasks[[#Headers],[ID]])))))</f>
        <v/>
      </c>
      <c r="K187" s="24" t="str">
        <f aca="false">IF(IFERROR(INDEX(tsk_Name,(ROW()-ROW(MSPTasks[[#Headers],[ID]])))="",TRUE()),"",INDEX(tsk_ResourceNames,(ROW()-ROW(MSPTasks[[#Headers],[ID]])))&amp;"")</f>
        <v/>
      </c>
      <c r="L187" s="24" t="str">
        <f aca="false">IF(IFERROR(INDEX(tsk_Name,(ROW()-ROW(MSPTasks[[#Headers],[ID]])))="",TRUE()),"",IF(INDEX(tsk_IsSummary,(ROW()-ROW(MSPTasks[[#Headers],[ID]]))),"",ROUND(INDEX(tsk_Progress,(ROW()-ROW(MSPTasks[[#Headers],[ID]])))*100,0)))</f>
        <v/>
      </c>
      <c r="M187" s="137" t="str">
        <f aca="false">IF(IFERROR(INDEX(tsk_Name,(ROW()-ROW(MSPTasks[[#Headers],[ID]])))="",TRUE()),"",IF(N(INDEX(tsk_ActStart,(ROW()-ROW(MSPTasks[[#Headers],[ID]]))))=0,"",INDEX(tsk_ActStart,(ROW()-ROW(MSPTasks[[#Headers],[ID]])))))</f>
        <v/>
      </c>
      <c r="N187" s="137" t="str">
        <f aca="false">IF(IFERROR(INDEX(tsk_Name,(ROW()-ROW(MSPTasks[[#Headers],[ID]])))="",TRUE()),"",IF(N(INDEX(tsk_ActFinish,(ROW()-ROW(MSPTasks[[#Headers],[ID]]))))=0,"",INDEX(tsk_ActFinish,(ROW()-ROW(MSPTasks[[#Headers],[ID]])))))</f>
        <v/>
      </c>
      <c r="O187" s="137" t="str">
        <f aca="false">IF(IFERROR(INDEX(tsk_Name,(ROW()-ROW(MSPTasks[[#Headers],[ID]])))="",TRUE()),"",INDEX(tsk_PlanStart,(ROW()-ROW(MSPTasks[[#Headers],[ID]]))))</f>
        <v/>
      </c>
      <c r="P187" s="137" t="str">
        <f aca="false">IF(IFERROR(INDEX(tsk_Name,(ROW()-ROW(MSPTasks[[#Headers],[ID]])))="",TRUE()),"",INDEX(tsk_PlanFinish,(ROW()-ROW(MSPTasks[[#Headers],[ID]]))))</f>
        <v/>
      </c>
      <c r="Q187" s="24" t="str">
        <f aca="false">IF(IFERROR(INDEX(tsk_Name,(ROW()-ROW(MSPTasks[[#Headers],[ID]])))="",TRUE()),"",IF(INDEX(tsk_BaseDuration,(ROW()-ROW(MSPTasks[[#Headers],[ID]])))="","",N(INDEX(tsk_BaseDuration,(ROW()-ROW(MSPTasks[[#Headers],[ID]]))))&amp;"d"))</f>
        <v/>
      </c>
      <c r="R187" s="24" t="str">
        <f aca="false">IF(IFERROR(INDEX(tsk_Name,(ROW()-ROW(MSPTasks[[#Headers],[ID]])))="",TRUE()),"",IF(INDEX(tsk_BaseWork,(ROW()-ROW(MSPTasks[[#Headers],[ID]])))="","",N(INDEX(tsk_BaseWork,(ROW()-ROW(MSPTasks[[#Headers],[ID]]))))&amp;"h"))</f>
        <v/>
      </c>
      <c r="S187" s="24" t="str">
        <f aca="false">IF(IFERROR(INDEX(tsk_Name,(ROW()-ROW(MSPTasks[[#Headers],[ID]])))="",TRUE()),"",IF(INDEX(tsk_BaseCost,(ROW()-ROW(MSPTasks[[#Headers],[ID]])))="","",N(INDEX(tsk_BaseCost,(ROW()-ROW(MSPTasks[[#Headers],[ID]]))))))</f>
        <v/>
      </c>
      <c r="T187" s="24" t="str">
        <f aca="false">IF(IFERROR(INDEX(tsk_Name,(ROW()-ROW(MSPTasks[[#Headers],[ID]])))="",TRUE()),"",IF(INDEX(tsk_IsSummary,(ROW()-ROW(MSPTasks[[#Headers],[ID]]))),"",IF(N(INDEX(tsk_ActCostInput,(ROW()-ROW(MSPTasks[[#Headers],[ID]]))))=0,"",INDEX(tsk_ActCostInput,(ROW()-ROW(MSPTasks[[#Headers],[ID]]))))))</f>
        <v/>
      </c>
      <c r="U18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7" s="137" t="str">
        <f aca="false">IF(IFERROR(INDEX(tsk_Name,(ROW()-ROW(MSPTasks[[#Headers],[ID]])))="",TRUE()),"",IF(OR(INDEX(tsk_IsSummary,(ROW()-ROW(MSPTasks[[#Headers],[ID]]))),INDEX(tsk_Mode,(ROW()-ROW(MSPTasks[[#Headers],[ID]])))="Manual"),"",IF(N(INDEX(tsk_ConstraintCode,(ROW()-ROW(MSPTasks[[#Headers],[ID]]))))&lt;2,"",INDEX(tsk_Constraint,(ROW()-ROW(MSPTasks[[#Headers],[ID]]))))))</f>
        <v/>
      </c>
      <c r="W187" s="137" t="str">
        <f aca="false">IF(IFERROR(INDEX(tsk_Name,(ROW()-ROW(MSPTasks[[#Headers],[ID]])))="",TRUE()),"",IF(N(INDEX(tsk_Deadline,(ROW()-ROW(MSPTasks[[#Headers],[ID]]))))=0,"",INDEX(tsk_Deadline,(ROW()-ROW(MSPTasks[[#Headers],[ID]])))))</f>
        <v/>
      </c>
      <c r="X187" s="24" t="str">
        <f aca="false">IF(IFERROR(INDEX(tsk_Name,(ROW()-ROW(MSPTasks[[#Headers],[ID]])))="",TRUE()),"",IF(INDEX(tsk_IsSummary,(ROW()-ROW(MSPTasks[[#Headers],[ID]]))),"",INDEX(tsk_Sprint,(ROW()-ROW(MSPTasks[[#Headers],[ID]])))&amp;""))</f>
        <v/>
      </c>
      <c r="Y187" s="24" t="str">
        <f aca="false">IF(IFERROR(INDEX(tsk_Name,(ROW()-ROW(MSPTasks[[#Headers],[ID]])))="",TRUE()),"",IF(INDEX(tsk_IsSummary,(ROW()-ROW(MSPTasks[[#Headers],[ID]]))),"",IF(N(INDEX(tsk_StoryPoints,(ROW()-ROW(MSPTasks[[#Headers],[ID]]))))=0,"",INDEX(tsk_StoryPoints,(ROW()-ROW(MSPTasks[[#Headers],[ID]]))))))</f>
        <v/>
      </c>
      <c r="Z187" s="24" t="str">
        <f aca="false">IF(IFERROR(INDEX(tsk_Name,(ROW()-ROW(MSPTasks[[#Headers],[ID]])))="",TRUE()),"",INDEX(tsk_Notes,(ROW()-ROW(MSPTasks[[#Headers],[ID]])))&amp;"")</f>
        <v/>
      </c>
    </row>
    <row r="188" customFormat="false" ht="15" hidden="false" customHeight="false" outlineLevel="0" collapsed="false">
      <c r="A188" s="24" t="str">
        <f aca="false">IF(IFERROR(INDEX(tsk_Name,(ROW()-ROW(MSPTasks[[#Headers],[ID]])))="",TRUE()),"",INDEX(tsk_ID,(ROW()-ROW(MSPTasks[[#Headers],[ID]]))))</f>
        <v/>
      </c>
      <c r="B188" s="24" t="str">
        <f aca="false">IF(IFERROR(INDEX(tsk_Name,(ROW()-ROW(MSPTasks[[#Headers],[ID]])))="",TRUE()),"",INDEX(tsk_UID,(ROW()-ROW(MSPTasks[[#Headers],[ID]]))))</f>
        <v/>
      </c>
      <c r="C188" s="24" t="str">
        <f aca="false">IF(IFERROR(INDEX(tsk_Name,(ROW()-ROW(MSPTasks[[#Headers],[ID]])))="",TRUE()),"",INDEX(tsk_Name,(ROW()-ROW(MSPTasks[[#Headers],[ID]]))))</f>
        <v/>
      </c>
      <c r="D188" s="24" t="str">
        <f aca="false">IF(IFERROR(INDEX(tsk_Name,(ROW()-ROW(MSPTasks[[#Headers],[ID]])))="",TRUE()),"",INDEX(tsk_Level,(ROW()-ROW(MSPTasks[[#Headers],[ID]]))))</f>
        <v/>
      </c>
      <c r="E188" s="24" t="str">
        <f aca="false">IF(IFERROR(INDEX(tsk_Name,(ROW()-ROW(MSPTasks[[#Headers],[ID]])))="",TRUE()),"",IF(INDEX(tsk_Mode,(ROW()-ROW(MSPTasks[[#Headers],[ID]])))="Manual","Manually Scheduled","Auto Scheduled"))</f>
        <v/>
      </c>
      <c r="F188" s="24" t="str">
        <f aca="false">IF(IFERROR(INDEX(tsk_Name,(ROW()-ROW(MSPTasks[[#Headers],[ID]])))="",TRUE()),"",IF(INDEX(tsk_IsSummary,(ROW()-ROW(MSPTasks[[#Headers],[ID]]))),"",N(INDEX(tsk_Duration,(ROW()-ROW(MSPTasks[[#Headers],[ID]]))))&amp;"d"))</f>
        <v/>
      </c>
      <c r="G188" s="137" t="str">
        <f aca="false">IF(IFERROR(INDEX(tsk_Name,(ROW()-ROW(MSPTasks[[#Headers],[ID]])))="",TRUE()),"",INDEX(tsk_FcStart,(ROW()-ROW(MSPTasks[[#Headers],[ID]]))))</f>
        <v/>
      </c>
      <c r="H188" s="137" t="str">
        <f aca="false">IF(IFERROR(INDEX(tsk_Name,(ROW()-ROW(MSPTasks[[#Headers],[ID]])))="",TRUE()),"",INDEX(tsk_FcFinish,(ROW()-ROW(MSPTasks[[#Headers],[ID]]))))</f>
        <v/>
      </c>
      <c r="I188" s="24" t="str">
        <f aca="false">IF(IFERROR(INDEX(tsk_Name,(ROW()-ROW(MSPTasks[[#Headers],[ID]])))="",TRUE()),"",IF(INDEX(tsk_IsSummary,(ROW()-ROW(MSPTasks[[#Headers],[ID]]))),"",INDEX(tsk_Predecessors,(ROW()-ROW(MSPTasks[[#Headers],[ID]])))))</f>
        <v/>
      </c>
      <c r="J188" s="24" t="str">
        <f aca="false">IF(IFERROR(INDEX(tsk_Name,(ROW()-ROW(MSPTasks[[#Headers],[ID]])))="",TRUE()),"",IF(INDEX(tsk_IsSummary,(ROW()-ROW(MSPTasks[[#Headers],[ID]]))),"",INDEX(tsk_UIDPredecessors,(ROW()-ROW(MSPTasks[[#Headers],[ID]])))))</f>
        <v/>
      </c>
      <c r="K188" s="24" t="str">
        <f aca="false">IF(IFERROR(INDEX(tsk_Name,(ROW()-ROW(MSPTasks[[#Headers],[ID]])))="",TRUE()),"",INDEX(tsk_ResourceNames,(ROW()-ROW(MSPTasks[[#Headers],[ID]])))&amp;"")</f>
        <v/>
      </c>
      <c r="L188" s="24" t="str">
        <f aca="false">IF(IFERROR(INDEX(tsk_Name,(ROW()-ROW(MSPTasks[[#Headers],[ID]])))="",TRUE()),"",IF(INDEX(tsk_IsSummary,(ROW()-ROW(MSPTasks[[#Headers],[ID]]))),"",ROUND(INDEX(tsk_Progress,(ROW()-ROW(MSPTasks[[#Headers],[ID]])))*100,0)))</f>
        <v/>
      </c>
      <c r="M188" s="137" t="str">
        <f aca="false">IF(IFERROR(INDEX(tsk_Name,(ROW()-ROW(MSPTasks[[#Headers],[ID]])))="",TRUE()),"",IF(N(INDEX(tsk_ActStart,(ROW()-ROW(MSPTasks[[#Headers],[ID]]))))=0,"",INDEX(tsk_ActStart,(ROW()-ROW(MSPTasks[[#Headers],[ID]])))))</f>
        <v/>
      </c>
      <c r="N188" s="137" t="str">
        <f aca="false">IF(IFERROR(INDEX(tsk_Name,(ROW()-ROW(MSPTasks[[#Headers],[ID]])))="",TRUE()),"",IF(N(INDEX(tsk_ActFinish,(ROW()-ROW(MSPTasks[[#Headers],[ID]]))))=0,"",INDEX(tsk_ActFinish,(ROW()-ROW(MSPTasks[[#Headers],[ID]])))))</f>
        <v/>
      </c>
      <c r="O188" s="137" t="str">
        <f aca="false">IF(IFERROR(INDEX(tsk_Name,(ROW()-ROW(MSPTasks[[#Headers],[ID]])))="",TRUE()),"",INDEX(tsk_PlanStart,(ROW()-ROW(MSPTasks[[#Headers],[ID]]))))</f>
        <v/>
      </c>
      <c r="P188" s="137" t="str">
        <f aca="false">IF(IFERROR(INDEX(tsk_Name,(ROW()-ROW(MSPTasks[[#Headers],[ID]])))="",TRUE()),"",INDEX(tsk_PlanFinish,(ROW()-ROW(MSPTasks[[#Headers],[ID]]))))</f>
        <v/>
      </c>
      <c r="Q188" s="24" t="str">
        <f aca="false">IF(IFERROR(INDEX(tsk_Name,(ROW()-ROW(MSPTasks[[#Headers],[ID]])))="",TRUE()),"",IF(INDEX(tsk_BaseDuration,(ROW()-ROW(MSPTasks[[#Headers],[ID]])))="","",N(INDEX(tsk_BaseDuration,(ROW()-ROW(MSPTasks[[#Headers],[ID]]))))&amp;"d"))</f>
        <v/>
      </c>
      <c r="R188" s="24" t="str">
        <f aca="false">IF(IFERROR(INDEX(tsk_Name,(ROW()-ROW(MSPTasks[[#Headers],[ID]])))="",TRUE()),"",IF(INDEX(tsk_BaseWork,(ROW()-ROW(MSPTasks[[#Headers],[ID]])))="","",N(INDEX(tsk_BaseWork,(ROW()-ROW(MSPTasks[[#Headers],[ID]]))))&amp;"h"))</f>
        <v/>
      </c>
      <c r="S188" s="24" t="str">
        <f aca="false">IF(IFERROR(INDEX(tsk_Name,(ROW()-ROW(MSPTasks[[#Headers],[ID]])))="",TRUE()),"",IF(INDEX(tsk_BaseCost,(ROW()-ROW(MSPTasks[[#Headers],[ID]])))="","",N(INDEX(tsk_BaseCost,(ROW()-ROW(MSPTasks[[#Headers],[ID]]))))))</f>
        <v/>
      </c>
      <c r="T188" s="24" t="str">
        <f aca="false">IF(IFERROR(INDEX(tsk_Name,(ROW()-ROW(MSPTasks[[#Headers],[ID]])))="",TRUE()),"",IF(INDEX(tsk_IsSummary,(ROW()-ROW(MSPTasks[[#Headers],[ID]]))),"",IF(N(INDEX(tsk_ActCostInput,(ROW()-ROW(MSPTasks[[#Headers],[ID]]))))=0,"",INDEX(tsk_ActCostInput,(ROW()-ROW(MSPTasks[[#Headers],[ID]]))))))</f>
        <v/>
      </c>
      <c r="U18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8" s="137" t="str">
        <f aca="false">IF(IFERROR(INDEX(tsk_Name,(ROW()-ROW(MSPTasks[[#Headers],[ID]])))="",TRUE()),"",IF(OR(INDEX(tsk_IsSummary,(ROW()-ROW(MSPTasks[[#Headers],[ID]]))),INDEX(tsk_Mode,(ROW()-ROW(MSPTasks[[#Headers],[ID]])))="Manual"),"",IF(N(INDEX(tsk_ConstraintCode,(ROW()-ROW(MSPTasks[[#Headers],[ID]]))))&lt;2,"",INDEX(tsk_Constraint,(ROW()-ROW(MSPTasks[[#Headers],[ID]]))))))</f>
        <v/>
      </c>
      <c r="W188" s="137" t="str">
        <f aca="false">IF(IFERROR(INDEX(tsk_Name,(ROW()-ROW(MSPTasks[[#Headers],[ID]])))="",TRUE()),"",IF(N(INDEX(tsk_Deadline,(ROW()-ROW(MSPTasks[[#Headers],[ID]]))))=0,"",INDEX(tsk_Deadline,(ROW()-ROW(MSPTasks[[#Headers],[ID]])))))</f>
        <v/>
      </c>
      <c r="X188" s="24" t="str">
        <f aca="false">IF(IFERROR(INDEX(tsk_Name,(ROW()-ROW(MSPTasks[[#Headers],[ID]])))="",TRUE()),"",IF(INDEX(tsk_IsSummary,(ROW()-ROW(MSPTasks[[#Headers],[ID]]))),"",INDEX(tsk_Sprint,(ROW()-ROW(MSPTasks[[#Headers],[ID]])))&amp;""))</f>
        <v/>
      </c>
      <c r="Y188" s="24" t="str">
        <f aca="false">IF(IFERROR(INDEX(tsk_Name,(ROW()-ROW(MSPTasks[[#Headers],[ID]])))="",TRUE()),"",IF(INDEX(tsk_IsSummary,(ROW()-ROW(MSPTasks[[#Headers],[ID]]))),"",IF(N(INDEX(tsk_StoryPoints,(ROW()-ROW(MSPTasks[[#Headers],[ID]]))))=0,"",INDEX(tsk_StoryPoints,(ROW()-ROW(MSPTasks[[#Headers],[ID]]))))))</f>
        <v/>
      </c>
      <c r="Z188" s="24" t="str">
        <f aca="false">IF(IFERROR(INDEX(tsk_Name,(ROW()-ROW(MSPTasks[[#Headers],[ID]])))="",TRUE()),"",INDEX(tsk_Notes,(ROW()-ROW(MSPTasks[[#Headers],[ID]])))&amp;"")</f>
        <v/>
      </c>
    </row>
    <row r="189" customFormat="false" ht="15" hidden="false" customHeight="false" outlineLevel="0" collapsed="false">
      <c r="A189" s="24" t="str">
        <f aca="false">IF(IFERROR(INDEX(tsk_Name,(ROW()-ROW(MSPTasks[[#Headers],[ID]])))="",TRUE()),"",INDEX(tsk_ID,(ROW()-ROW(MSPTasks[[#Headers],[ID]]))))</f>
        <v/>
      </c>
      <c r="B189" s="24" t="str">
        <f aca="false">IF(IFERROR(INDEX(tsk_Name,(ROW()-ROW(MSPTasks[[#Headers],[ID]])))="",TRUE()),"",INDEX(tsk_UID,(ROW()-ROW(MSPTasks[[#Headers],[ID]]))))</f>
        <v/>
      </c>
      <c r="C189" s="24" t="str">
        <f aca="false">IF(IFERROR(INDEX(tsk_Name,(ROW()-ROW(MSPTasks[[#Headers],[ID]])))="",TRUE()),"",INDEX(tsk_Name,(ROW()-ROW(MSPTasks[[#Headers],[ID]]))))</f>
        <v/>
      </c>
      <c r="D189" s="24" t="str">
        <f aca="false">IF(IFERROR(INDEX(tsk_Name,(ROW()-ROW(MSPTasks[[#Headers],[ID]])))="",TRUE()),"",INDEX(tsk_Level,(ROW()-ROW(MSPTasks[[#Headers],[ID]]))))</f>
        <v/>
      </c>
      <c r="E189" s="24" t="str">
        <f aca="false">IF(IFERROR(INDEX(tsk_Name,(ROW()-ROW(MSPTasks[[#Headers],[ID]])))="",TRUE()),"",IF(INDEX(tsk_Mode,(ROW()-ROW(MSPTasks[[#Headers],[ID]])))="Manual","Manually Scheduled","Auto Scheduled"))</f>
        <v/>
      </c>
      <c r="F189" s="24" t="str">
        <f aca="false">IF(IFERROR(INDEX(tsk_Name,(ROW()-ROW(MSPTasks[[#Headers],[ID]])))="",TRUE()),"",IF(INDEX(tsk_IsSummary,(ROW()-ROW(MSPTasks[[#Headers],[ID]]))),"",N(INDEX(tsk_Duration,(ROW()-ROW(MSPTasks[[#Headers],[ID]]))))&amp;"d"))</f>
        <v/>
      </c>
      <c r="G189" s="137" t="str">
        <f aca="false">IF(IFERROR(INDEX(tsk_Name,(ROW()-ROW(MSPTasks[[#Headers],[ID]])))="",TRUE()),"",INDEX(tsk_FcStart,(ROW()-ROW(MSPTasks[[#Headers],[ID]]))))</f>
        <v/>
      </c>
      <c r="H189" s="137" t="str">
        <f aca="false">IF(IFERROR(INDEX(tsk_Name,(ROW()-ROW(MSPTasks[[#Headers],[ID]])))="",TRUE()),"",INDEX(tsk_FcFinish,(ROW()-ROW(MSPTasks[[#Headers],[ID]]))))</f>
        <v/>
      </c>
      <c r="I189" s="24" t="str">
        <f aca="false">IF(IFERROR(INDEX(tsk_Name,(ROW()-ROW(MSPTasks[[#Headers],[ID]])))="",TRUE()),"",IF(INDEX(tsk_IsSummary,(ROW()-ROW(MSPTasks[[#Headers],[ID]]))),"",INDEX(tsk_Predecessors,(ROW()-ROW(MSPTasks[[#Headers],[ID]])))))</f>
        <v/>
      </c>
      <c r="J189" s="24" t="str">
        <f aca="false">IF(IFERROR(INDEX(tsk_Name,(ROW()-ROW(MSPTasks[[#Headers],[ID]])))="",TRUE()),"",IF(INDEX(tsk_IsSummary,(ROW()-ROW(MSPTasks[[#Headers],[ID]]))),"",INDEX(tsk_UIDPredecessors,(ROW()-ROW(MSPTasks[[#Headers],[ID]])))))</f>
        <v/>
      </c>
      <c r="K189" s="24" t="str">
        <f aca="false">IF(IFERROR(INDEX(tsk_Name,(ROW()-ROW(MSPTasks[[#Headers],[ID]])))="",TRUE()),"",INDEX(tsk_ResourceNames,(ROW()-ROW(MSPTasks[[#Headers],[ID]])))&amp;"")</f>
        <v/>
      </c>
      <c r="L189" s="24" t="str">
        <f aca="false">IF(IFERROR(INDEX(tsk_Name,(ROW()-ROW(MSPTasks[[#Headers],[ID]])))="",TRUE()),"",IF(INDEX(tsk_IsSummary,(ROW()-ROW(MSPTasks[[#Headers],[ID]]))),"",ROUND(INDEX(tsk_Progress,(ROW()-ROW(MSPTasks[[#Headers],[ID]])))*100,0)))</f>
        <v/>
      </c>
      <c r="M189" s="137" t="str">
        <f aca="false">IF(IFERROR(INDEX(tsk_Name,(ROW()-ROW(MSPTasks[[#Headers],[ID]])))="",TRUE()),"",IF(N(INDEX(tsk_ActStart,(ROW()-ROW(MSPTasks[[#Headers],[ID]]))))=0,"",INDEX(tsk_ActStart,(ROW()-ROW(MSPTasks[[#Headers],[ID]])))))</f>
        <v/>
      </c>
      <c r="N189" s="137" t="str">
        <f aca="false">IF(IFERROR(INDEX(tsk_Name,(ROW()-ROW(MSPTasks[[#Headers],[ID]])))="",TRUE()),"",IF(N(INDEX(tsk_ActFinish,(ROW()-ROW(MSPTasks[[#Headers],[ID]]))))=0,"",INDEX(tsk_ActFinish,(ROW()-ROW(MSPTasks[[#Headers],[ID]])))))</f>
        <v/>
      </c>
      <c r="O189" s="137" t="str">
        <f aca="false">IF(IFERROR(INDEX(tsk_Name,(ROW()-ROW(MSPTasks[[#Headers],[ID]])))="",TRUE()),"",INDEX(tsk_PlanStart,(ROW()-ROW(MSPTasks[[#Headers],[ID]]))))</f>
        <v/>
      </c>
      <c r="P189" s="137" t="str">
        <f aca="false">IF(IFERROR(INDEX(tsk_Name,(ROW()-ROW(MSPTasks[[#Headers],[ID]])))="",TRUE()),"",INDEX(tsk_PlanFinish,(ROW()-ROW(MSPTasks[[#Headers],[ID]]))))</f>
        <v/>
      </c>
      <c r="Q189" s="24" t="str">
        <f aca="false">IF(IFERROR(INDEX(tsk_Name,(ROW()-ROW(MSPTasks[[#Headers],[ID]])))="",TRUE()),"",IF(INDEX(tsk_BaseDuration,(ROW()-ROW(MSPTasks[[#Headers],[ID]])))="","",N(INDEX(tsk_BaseDuration,(ROW()-ROW(MSPTasks[[#Headers],[ID]]))))&amp;"d"))</f>
        <v/>
      </c>
      <c r="R189" s="24" t="str">
        <f aca="false">IF(IFERROR(INDEX(tsk_Name,(ROW()-ROW(MSPTasks[[#Headers],[ID]])))="",TRUE()),"",IF(INDEX(tsk_BaseWork,(ROW()-ROW(MSPTasks[[#Headers],[ID]])))="","",N(INDEX(tsk_BaseWork,(ROW()-ROW(MSPTasks[[#Headers],[ID]]))))&amp;"h"))</f>
        <v/>
      </c>
      <c r="S189" s="24" t="str">
        <f aca="false">IF(IFERROR(INDEX(tsk_Name,(ROW()-ROW(MSPTasks[[#Headers],[ID]])))="",TRUE()),"",IF(INDEX(tsk_BaseCost,(ROW()-ROW(MSPTasks[[#Headers],[ID]])))="","",N(INDEX(tsk_BaseCost,(ROW()-ROW(MSPTasks[[#Headers],[ID]]))))))</f>
        <v/>
      </c>
      <c r="T189" s="24" t="str">
        <f aca="false">IF(IFERROR(INDEX(tsk_Name,(ROW()-ROW(MSPTasks[[#Headers],[ID]])))="",TRUE()),"",IF(INDEX(tsk_IsSummary,(ROW()-ROW(MSPTasks[[#Headers],[ID]]))),"",IF(N(INDEX(tsk_ActCostInput,(ROW()-ROW(MSPTasks[[#Headers],[ID]]))))=0,"",INDEX(tsk_ActCostInput,(ROW()-ROW(MSPTasks[[#Headers],[ID]]))))))</f>
        <v/>
      </c>
      <c r="U18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89" s="137" t="str">
        <f aca="false">IF(IFERROR(INDEX(tsk_Name,(ROW()-ROW(MSPTasks[[#Headers],[ID]])))="",TRUE()),"",IF(OR(INDEX(tsk_IsSummary,(ROW()-ROW(MSPTasks[[#Headers],[ID]]))),INDEX(tsk_Mode,(ROW()-ROW(MSPTasks[[#Headers],[ID]])))="Manual"),"",IF(N(INDEX(tsk_ConstraintCode,(ROW()-ROW(MSPTasks[[#Headers],[ID]]))))&lt;2,"",INDEX(tsk_Constraint,(ROW()-ROW(MSPTasks[[#Headers],[ID]]))))))</f>
        <v/>
      </c>
      <c r="W189" s="137" t="str">
        <f aca="false">IF(IFERROR(INDEX(tsk_Name,(ROW()-ROW(MSPTasks[[#Headers],[ID]])))="",TRUE()),"",IF(N(INDEX(tsk_Deadline,(ROW()-ROW(MSPTasks[[#Headers],[ID]]))))=0,"",INDEX(tsk_Deadline,(ROW()-ROW(MSPTasks[[#Headers],[ID]])))))</f>
        <v/>
      </c>
      <c r="X189" s="24" t="str">
        <f aca="false">IF(IFERROR(INDEX(tsk_Name,(ROW()-ROW(MSPTasks[[#Headers],[ID]])))="",TRUE()),"",IF(INDEX(tsk_IsSummary,(ROW()-ROW(MSPTasks[[#Headers],[ID]]))),"",INDEX(tsk_Sprint,(ROW()-ROW(MSPTasks[[#Headers],[ID]])))&amp;""))</f>
        <v/>
      </c>
      <c r="Y189" s="24" t="str">
        <f aca="false">IF(IFERROR(INDEX(tsk_Name,(ROW()-ROW(MSPTasks[[#Headers],[ID]])))="",TRUE()),"",IF(INDEX(tsk_IsSummary,(ROW()-ROW(MSPTasks[[#Headers],[ID]]))),"",IF(N(INDEX(tsk_StoryPoints,(ROW()-ROW(MSPTasks[[#Headers],[ID]]))))=0,"",INDEX(tsk_StoryPoints,(ROW()-ROW(MSPTasks[[#Headers],[ID]]))))))</f>
        <v/>
      </c>
      <c r="Z189" s="24" t="str">
        <f aca="false">IF(IFERROR(INDEX(tsk_Name,(ROW()-ROW(MSPTasks[[#Headers],[ID]])))="",TRUE()),"",INDEX(tsk_Notes,(ROW()-ROW(MSPTasks[[#Headers],[ID]])))&amp;"")</f>
        <v/>
      </c>
    </row>
    <row r="190" customFormat="false" ht="15" hidden="false" customHeight="false" outlineLevel="0" collapsed="false">
      <c r="A190" s="24" t="str">
        <f aca="false">IF(IFERROR(INDEX(tsk_Name,(ROW()-ROW(MSPTasks[[#Headers],[ID]])))="",TRUE()),"",INDEX(tsk_ID,(ROW()-ROW(MSPTasks[[#Headers],[ID]]))))</f>
        <v/>
      </c>
      <c r="B190" s="24" t="str">
        <f aca="false">IF(IFERROR(INDEX(tsk_Name,(ROW()-ROW(MSPTasks[[#Headers],[ID]])))="",TRUE()),"",INDEX(tsk_UID,(ROW()-ROW(MSPTasks[[#Headers],[ID]]))))</f>
        <v/>
      </c>
      <c r="C190" s="24" t="str">
        <f aca="false">IF(IFERROR(INDEX(tsk_Name,(ROW()-ROW(MSPTasks[[#Headers],[ID]])))="",TRUE()),"",INDEX(tsk_Name,(ROW()-ROW(MSPTasks[[#Headers],[ID]]))))</f>
        <v/>
      </c>
      <c r="D190" s="24" t="str">
        <f aca="false">IF(IFERROR(INDEX(tsk_Name,(ROW()-ROW(MSPTasks[[#Headers],[ID]])))="",TRUE()),"",INDEX(tsk_Level,(ROW()-ROW(MSPTasks[[#Headers],[ID]]))))</f>
        <v/>
      </c>
      <c r="E190" s="24" t="str">
        <f aca="false">IF(IFERROR(INDEX(tsk_Name,(ROW()-ROW(MSPTasks[[#Headers],[ID]])))="",TRUE()),"",IF(INDEX(tsk_Mode,(ROW()-ROW(MSPTasks[[#Headers],[ID]])))="Manual","Manually Scheduled","Auto Scheduled"))</f>
        <v/>
      </c>
      <c r="F190" s="24" t="str">
        <f aca="false">IF(IFERROR(INDEX(tsk_Name,(ROW()-ROW(MSPTasks[[#Headers],[ID]])))="",TRUE()),"",IF(INDEX(tsk_IsSummary,(ROW()-ROW(MSPTasks[[#Headers],[ID]]))),"",N(INDEX(tsk_Duration,(ROW()-ROW(MSPTasks[[#Headers],[ID]]))))&amp;"d"))</f>
        <v/>
      </c>
      <c r="G190" s="137" t="str">
        <f aca="false">IF(IFERROR(INDEX(tsk_Name,(ROW()-ROW(MSPTasks[[#Headers],[ID]])))="",TRUE()),"",INDEX(tsk_FcStart,(ROW()-ROW(MSPTasks[[#Headers],[ID]]))))</f>
        <v/>
      </c>
      <c r="H190" s="137" t="str">
        <f aca="false">IF(IFERROR(INDEX(tsk_Name,(ROW()-ROW(MSPTasks[[#Headers],[ID]])))="",TRUE()),"",INDEX(tsk_FcFinish,(ROW()-ROW(MSPTasks[[#Headers],[ID]]))))</f>
        <v/>
      </c>
      <c r="I190" s="24" t="str">
        <f aca="false">IF(IFERROR(INDEX(tsk_Name,(ROW()-ROW(MSPTasks[[#Headers],[ID]])))="",TRUE()),"",IF(INDEX(tsk_IsSummary,(ROW()-ROW(MSPTasks[[#Headers],[ID]]))),"",INDEX(tsk_Predecessors,(ROW()-ROW(MSPTasks[[#Headers],[ID]])))))</f>
        <v/>
      </c>
      <c r="J190" s="24" t="str">
        <f aca="false">IF(IFERROR(INDEX(tsk_Name,(ROW()-ROW(MSPTasks[[#Headers],[ID]])))="",TRUE()),"",IF(INDEX(tsk_IsSummary,(ROW()-ROW(MSPTasks[[#Headers],[ID]]))),"",INDEX(tsk_UIDPredecessors,(ROW()-ROW(MSPTasks[[#Headers],[ID]])))))</f>
        <v/>
      </c>
      <c r="K190" s="24" t="str">
        <f aca="false">IF(IFERROR(INDEX(tsk_Name,(ROW()-ROW(MSPTasks[[#Headers],[ID]])))="",TRUE()),"",INDEX(tsk_ResourceNames,(ROW()-ROW(MSPTasks[[#Headers],[ID]])))&amp;"")</f>
        <v/>
      </c>
      <c r="L190" s="24" t="str">
        <f aca="false">IF(IFERROR(INDEX(tsk_Name,(ROW()-ROW(MSPTasks[[#Headers],[ID]])))="",TRUE()),"",IF(INDEX(tsk_IsSummary,(ROW()-ROW(MSPTasks[[#Headers],[ID]]))),"",ROUND(INDEX(tsk_Progress,(ROW()-ROW(MSPTasks[[#Headers],[ID]])))*100,0)))</f>
        <v/>
      </c>
      <c r="M190" s="137" t="str">
        <f aca="false">IF(IFERROR(INDEX(tsk_Name,(ROW()-ROW(MSPTasks[[#Headers],[ID]])))="",TRUE()),"",IF(N(INDEX(tsk_ActStart,(ROW()-ROW(MSPTasks[[#Headers],[ID]]))))=0,"",INDEX(tsk_ActStart,(ROW()-ROW(MSPTasks[[#Headers],[ID]])))))</f>
        <v/>
      </c>
      <c r="N190" s="137" t="str">
        <f aca="false">IF(IFERROR(INDEX(tsk_Name,(ROW()-ROW(MSPTasks[[#Headers],[ID]])))="",TRUE()),"",IF(N(INDEX(tsk_ActFinish,(ROW()-ROW(MSPTasks[[#Headers],[ID]]))))=0,"",INDEX(tsk_ActFinish,(ROW()-ROW(MSPTasks[[#Headers],[ID]])))))</f>
        <v/>
      </c>
      <c r="O190" s="137" t="str">
        <f aca="false">IF(IFERROR(INDEX(tsk_Name,(ROW()-ROW(MSPTasks[[#Headers],[ID]])))="",TRUE()),"",INDEX(tsk_PlanStart,(ROW()-ROW(MSPTasks[[#Headers],[ID]]))))</f>
        <v/>
      </c>
      <c r="P190" s="137" t="str">
        <f aca="false">IF(IFERROR(INDEX(tsk_Name,(ROW()-ROW(MSPTasks[[#Headers],[ID]])))="",TRUE()),"",INDEX(tsk_PlanFinish,(ROW()-ROW(MSPTasks[[#Headers],[ID]]))))</f>
        <v/>
      </c>
      <c r="Q190" s="24" t="str">
        <f aca="false">IF(IFERROR(INDEX(tsk_Name,(ROW()-ROW(MSPTasks[[#Headers],[ID]])))="",TRUE()),"",IF(INDEX(tsk_BaseDuration,(ROW()-ROW(MSPTasks[[#Headers],[ID]])))="","",N(INDEX(tsk_BaseDuration,(ROW()-ROW(MSPTasks[[#Headers],[ID]]))))&amp;"d"))</f>
        <v/>
      </c>
      <c r="R190" s="24" t="str">
        <f aca="false">IF(IFERROR(INDEX(tsk_Name,(ROW()-ROW(MSPTasks[[#Headers],[ID]])))="",TRUE()),"",IF(INDEX(tsk_BaseWork,(ROW()-ROW(MSPTasks[[#Headers],[ID]])))="","",N(INDEX(tsk_BaseWork,(ROW()-ROW(MSPTasks[[#Headers],[ID]]))))&amp;"h"))</f>
        <v/>
      </c>
      <c r="S190" s="24" t="str">
        <f aca="false">IF(IFERROR(INDEX(tsk_Name,(ROW()-ROW(MSPTasks[[#Headers],[ID]])))="",TRUE()),"",IF(INDEX(tsk_BaseCost,(ROW()-ROW(MSPTasks[[#Headers],[ID]])))="","",N(INDEX(tsk_BaseCost,(ROW()-ROW(MSPTasks[[#Headers],[ID]]))))))</f>
        <v/>
      </c>
      <c r="T190" s="24" t="str">
        <f aca="false">IF(IFERROR(INDEX(tsk_Name,(ROW()-ROW(MSPTasks[[#Headers],[ID]])))="",TRUE()),"",IF(INDEX(tsk_IsSummary,(ROW()-ROW(MSPTasks[[#Headers],[ID]]))),"",IF(N(INDEX(tsk_ActCostInput,(ROW()-ROW(MSPTasks[[#Headers],[ID]]))))=0,"",INDEX(tsk_ActCostInput,(ROW()-ROW(MSPTasks[[#Headers],[ID]]))))))</f>
        <v/>
      </c>
      <c r="U19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0" s="137" t="str">
        <f aca="false">IF(IFERROR(INDEX(tsk_Name,(ROW()-ROW(MSPTasks[[#Headers],[ID]])))="",TRUE()),"",IF(OR(INDEX(tsk_IsSummary,(ROW()-ROW(MSPTasks[[#Headers],[ID]]))),INDEX(tsk_Mode,(ROW()-ROW(MSPTasks[[#Headers],[ID]])))="Manual"),"",IF(N(INDEX(tsk_ConstraintCode,(ROW()-ROW(MSPTasks[[#Headers],[ID]]))))&lt;2,"",INDEX(tsk_Constraint,(ROW()-ROW(MSPTasks[[#Headers],[ID]]))))))</f>
        <v/>
      </c>
      <c r="W190" s="137" t="str">
        <f aca="false">IF(IFERROR(INDEX(tsk_Name,(ROW()-ROW(MSPTasks[[#Headers],[ID]])))="",TRUE()),"",IF(N(INDEX(tsk_Deadline,(ROW()-ROW(MSPTasks[[#Headers],[ID]]))))=0,"",INDEX(tsk_Deadline,(ROW()-ROW(MSPTasks[[#Headers],[ID]])))))</f>
        <v/>
      </c>
      <c r="X190" s="24" t="str">
        <f aca="false">IF(IFERROR(INDEX(tsk_Name,(ROW()-ROW(MSPTasks[[#Headers],[ID]])))="",TRUE()),"",IF(INDEX(tsk_IsSummary,(ROW()-ROW(MSPTasks[[#Headers],[ID]]))),"",INDEX(tsk_Sprint,(ROW()-ROW(MSPTasks[[#Headers],[ID]])))&amp;""))</f>
        <v/>
      </c>
      <c r="Y190" s="24" t="str">
        <f aca="false">IF(IFERROR(INDEX(tsk_Name,(ROW()-ROW(MSPTasks[[#Headers],[ID]])))="",TRUE()),"",IF(INDEX(tsk_IsSummary,(ROW()-ROW(MSPTasks[[#Headers],[ID]]))),"",IF(N(INDEX(tsk_StoryPoints,(ROW()-ROW(MSPTasks[[#Headers],[ID]]))))=0,"",INDEX(tsk_StoryPoints,(ROW()-ROW(MSPTasks[[#Headers],[ID]]))))))</f>
        <v/>
      </c>
      <c r="Z190" s="24" t="str">
        <f aca="false">IF(IFERROR(INDEX(tsk_Name,(ROW()-ROW(MSPTasks[[#Headers],[ID]])))="",TRUE()),"",INDEX(tsk_Notes,(ROW()-ROW(MSPTasks[[#Headers],[ID]])))&amp;"")</f>
        <v/>
      </c>
    </row>
    <row r="191" customFormat="false" ht="15" hidden="false" customHeight="false" outlineLevel="0" collapsed="false">
      <c r="A191" s="24" t="str">
        <f aca="false">IF(IFERROR(INDEX(tsk_Name,(ROW()-ROW(MSPTasks[[#Headers],[ID]])))="",TRUE()),"",INDEX(tsk_ID,(ROW()-ROW(MSPTasks[[#Headers],[ID]]))))</f>
        <v/>
      </c>
      <c r="B191" s="24" t="str">
        <f aca="false">IF(IFERROR(INDEX(tsk_Name,(ROW()-ROW(MSPTasks[[#Headers],[ID]])))="",TRUE()),"",INDEX(tsk_UID,(ROW()-ROW(MSPTasks[[#Headers],[ID]]))))</f>
        <v/>
      </c>
      <c r="C191" s="24" t="str">
        <f aca="false">IF(IFERROR(INDEX(tsk_Name,(ROW()-ROW(MSPTasks[[#Headers],[ID]])))="",TRUE()),"",INDEX(tsk_Name,(ROW()-ROW(MSPTasks[[#Headers],[ID]]))))</f>
        <v/>
      </c>
      <c r="D191" s="24" t="str">
        <f aca="false">IF(IFERROR(INDEX(tsk_Name,(ROW()-ROW(MSPTasks[[#Headers],[ID]])))="",TRUE()),"",INDEX(tsk_Level,(ROW()-ROW(MSPTasks[[#Headers],[ID]]))))</f>
        <v/>
      </c>
      <c r="E191" s="24" t="str">
        <f aca="false">IF(IFERROR(INDEX(tsk_Name,(ROW()-ROW(MSPTasks[[#Headers],[ID]])))="",TRUE()),"",IF(INDEX(tsk_Mode,(ROW()-ROW(MSPTasks[[#Headers],[ID]])))="Manual","Manually Scheduled","Auto Scheduled"))</f>
        <v/>
      </c>
      <c r="F191" s="24" t="str">
        <f aca="false">IF(IFERROR(INDEX(tsk_Name,(ROW()-ROW(MSPTasks[[#Headers],[ID]])))="",TRUE()),"",IF(INDEX(tsk_IsSummary,(ROW()-ROW(MSPTasks[[#Headers],[ID]]))),"",N(INDEX(tsk_Duration,(ROW()-ROW(MSPTasks[[#Headers],[ID]]))))&amp;"d"))</f>
        <v/>
      </c>
      <c r="G191" s="137" t="str">
        <f aca="false">IF(IFERROR(INDEX(tsk_Name,(ROW()-ROW(MSPTasks[[#Headers],[ID]])))="",TRUE()),"",INDEX(tsk_FcStart,(ROW()-ROW(MSPTasks[[#Headers],[ID]]))))</f>
        <v/>
      </c>
      <c r="H191" s="137" t="str">
        <f aca="false">IF(IFERROR(INDEX(tsk_Name,(ROW()-ROW(MSPTasks[[#Headers],[ID]])))="",TRUE()),"",INDEX(tsk_FcFinish,(ROW()-ROW(MSPTasks[[#Headers],[ID]]))))</f>
        <v/>
      </c>
      <c r="I191" s="24" t="str">
        <f aca="false">IF(IFERROR(INDEX(tsk_Name,(ROW()-ROW(MSPTasks[[#Headers],[ID]])))="",TRUE()),"",IF(INDEX(tsk_IsSummary,(ROW()-ROW(MSPTasks[[#Headers],[ID]]))),"",INDEX(tsk_Predecessors,(ROW()-ROW(MSPTasks[[#Headers],[ID]])))))</f>
        <v/>
      </c>
      <c r="J191" s="24" t="str">
        <f aca="false">IF(IFERROR(INDEX(tsk_Name,(ROW()-ROW(MSPTasks[[#Headers],[ID]])))="",TRUE()),"",IF(INDEX(tsk_IsSummary,(ROW()-ROW(MSPTasks[[#Headers],[ID]]))),"",INDEX(tsk_UIDPredecessors,(ROW()-ROW(MSPTasks[[#Headers],[ID]])))))</f>
        <v/>
      </c>
      <c r="K191" s="24" t="str">
        <f aca="false">IF(IFERROR(INDEX(tsk_Name,(ROW()-ROW(MSPTasks[[#Headers],[ID]])))="",TRUE()),"",INDEX(tsk_ResourceNames,(ROW()-ROW(MSPTasks[[#Headers],[ID]])))&amp;"")</f>
        <v/>
      </c>
      <c r="L191" s="24" t="str">
        <f aca="false">IF(IFERROR(INDEX(tsk_Name,(ROW()-ROW(MSPTasks[[#Headers],[ID]])))="",TRUE()),"",IF(INDEX(tsk_IsSummary,(ROW()-ROW(MSPTasks[[#Headers],[ID]]))),"",ROUND(INDEX(tsk_Progress,(ROW()-ROW(MSPTasks[[#Headers],[ID]])))*100,0)))</f>
        <v/>
      </c>
      <c r="M191" s="137" t="str">
        <f aca="false">IF(IFERROR(INDEX(tsk_Name,(ROW()-ROW(MSPTasks[[#Headers],[ID]])))="",TRUE()),"",IF(N(INDEX(tsk_ActStart,(ROW()-ROW(MSPTasks[[#Headers],[ID]]))))=0,"",INDEX(tsk_ActStart,(ROW()-ROW(MSPTasks[[#Headers],[ID]])))))</f>
        <v/>
      </c>
      <c r="N191" s="137" t="str">
        <f aca="false">IF(IFERROR(INDEX(tsk_Name,(ROW()-ROW(MSPTasks[[#Headers],[ID]])))="",TRUE()),"",IF(N(INDEX(tsk_ActFinish,(ROW()-ROW(MSPTasks[[#Headers],[ID]]))))=0,"",INDEX(tsk_ActFinish,(ROW()-ROW(MSPTasks[[#Headers],[ID]])))))</f>
        <v/>
      </c>
      <c r="O191" s="137" t="str">
        <f aca="false">IF(IFERROR(INDEX(tsk_Name,(ROW()-ROW(MSPTasks[[#Headers],[ID]])))="",TRUE()),"",INDEX(tsk_PlanStart,(ROW()-ROW(MSPTasks[[#Headers],[ID]]))))</f>
        <v/>
      </c>
      <c r="P191" s="137" t="str">
        <f aca="false">IF(IFERROR(INDEX(tsk_Name,(ROW()-ROW(MSPTasks[[#Headers],[ID]])))="",TRUE()),"",INDEX(tsk_PlanFinish,(ROW()-ROW(MSPTasks[[#Headers],[ID]]))))</f>
        <v/>
      </c>
      <c r="Q191" s="24" t="str">
        <f aca="false">IF(IFERROR(INDEX(tsk_Name,(ROW()-ROW(MSPTasks[[#Headers],[ID]])))="",TRUE()),"",IF(INDEX(tsk_BaseDuration,(ROW()-ROW(MSPTasks[[#Headers],[ID]])))="","",N(INDEX(tsk_BaseDuration,(ROW()-ROW(MSPTasks[[#Headers],[ID]]))))&amp;"d"))</f>
        <v/>
      </c>
      <c r="R191" s="24" t="str">
        <f aca="false">IF(IFERROR(INDEX(tsk_Name,(ROW()-ROW(MSPTasks[[#Headers],[ID]])))="",TRUE()),"",IF(INDEX(tsk_BaseWork,(ROW()-ROW(MSPTasks[[#Headers],[ID]])))="","",N(INDEX(tsk_BaseWork,(ROW()-ROW(MSPTasks[[#Headers],[ID]]))))&amp;"h"))</f>
        <v/>
      </c>
      <c r="S191" s="24" t="str">
        <f aca="false">IF(IFERROR(INDEX(tsk_Name,(ROW()-ROW(MSPTasks[[#Headers],[ID]])))="",TRUE()),"",IF(INDEX(tsk_BaseCost,(ROW()-ROW(MSPTasks[[#Headers],[ID]])))="","",N(INDEX(tsk_BaseCost,(ROW()-ROW(MSPTasks[[#Headers],[ID]]))))))</f>
        <v/>
      </c>
      <c r="T191" s="24" t="str">
        <f aca="false">IF(IFERROR(INDEX(tsk_Name,(ROW()-ROW(MSPTasks[[#Headers],[ID]])))="",TRUE()),"",IF(INDEX(tsk_IsSummary,(ROW()-ROW(MSPTasks[[#Headers],[ID]]))),"",IF(N(INDEX(tsk_ActCostInput,(ROW()-ROW(MSPTasks[[#Headers],[ID]]))))=0,"",INDEX(tsk_ActCostInput,(ROW()-ROW(MSPTasks[[#Headers],[ID]]))))))</f>
        <v/>
      </c>
      <c r="U19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1" s="137" t="str">
        <f aca="false">IF(IFERROR(INDEX(tsk_Name,(ROW()-ROW(MSPTasks[[#Headers],[ID]])))="",TRUE()),"",IF(OR(INDEX(tsk_IsSummary,(ROW()-ROW(MSPTasks[[#Headers],[ID]]))),INDEX(tsk_Mode,(ROW()-ROW(MSPTasks[[#Headers],[ID]])))="Manual"),"",IF(N(INDEX(tsk_ConstraintCode,(ROW()-ROW(MSPTasks[[#Headers],[ID]]))))&lt;2,"",INDEX(tsk_Constraint,(ROW()-ROW(MSPTasks[[#Headers],[ID]]))))))</f>
        <v/>
      </c>
      <c r="W191" s="137" t="str">
        <f aca="false">IF(IFERROR(INDEX(tsk_Name,(ROW()-ROW(MSPTasks[[#Headers],[ID]])))="",TRUE()),"",IF(N(INDEX(tsk_Deadline,(ROW()-ROW(MSPTasks[[#Headers],[ID]]))))=0,"",INDEX(tsk_Deadline,(ROW()-ROW(MSPTasks[[#Headers],[ID]])))))</f>
        <v/>
      </c>
      <c r="X191" s="24" t="str">
        <f aca="false">IF(IFERROR(INDEX(tsk_Name,(ROW()-ROW(MSPTasks[[#Headers],[ID]])))="",TRUE()),"",IF(INDEX(tsk_IsSummary,(ROW()-ROW(MSPTasks[[#Headers],[ID]]))),"",INDEX(tsk_Sprint,(ROW()-ROW(MSPTasks[[#Headers],[ID]])))&amp;""))</f>
        <v/>
      </c>
      <c r="Y191" s="24" t="str">
        <f aca="false">IF(IFERROR(INDEX(tsk_Name,(ROW()-ROW(MSPTasks[[#Headers],[ID]])))="",TRUE()),"",IF(INDEX(tsk_IsSummary,(ROW()-ROW(MSPTasks[[#Headers],[ID]]))),"",IF(N(INDEX(tsk_StoryPoints,(ROW()-ROW(MSPTasks[[#Headers],[ID]]))))=0,"",INDEX(tsk_StoryPoints,(ROW()-ROW(MSPTasks[[#Headers],[ID]]))))))</f>
        <v/>
      </c>
      <c r="Z191" s="24" t="str">
        <f aca="false">IF(IFERROR(INDEX(tsk_Name,(ROW()-ROW(MSPTasks[[#Headers],[ID]])))="",TRUE()),"",INDEX(tsk_Notes,(ROW()-ROW(MSPTasks[[#Headers],[ID]])))&amp;"")</f>
        <v/>
      </c>
    </row>
    <row r="192" customFormat="false" ht="15" hidden="false" customHeight="false" outlineLevel="0" collapsed="false">
      <c r="A192" s="24" t="str">
        <f aca="false">IF(IFERROR(INDEX(tsk_Name,(ROW()-ROW(MSPTasks[[#Headers],[ID]])))="",TRUE()),"",INDEX(tsk_ID,(ROW()-ROW(MSPTasks[[#Headers],[ID]]))))</f>
        <v/>
      </c>
      <c r="B192" s="24" t="str">
        <f aca="false">IF(IFERROR(INDEX(tsk_Name,(ROW()-ROW(MSPTasks[[#Headers],[ID]])))="",TRUE()),"",INDEX(tsk_UID,(ROW()-ROW(MSPTasks[[#Headers],[ID]]))))</f>
        <v/>
      </c>
      <c r="C192" s="24" t="str">
        <f aca="false">IF(IFERROR(INDEX(tsk_Name,(ROW()-ROW(MSPTasks[[#Headers],[ID]])))="",TRUE()),"",INDEX(tsk_Name,(ROW()-ROW(MSPTasks[[#Headers],[ID]]))))</f>
        <v/>
      </c>
      <c r="D192" s="24" t="str">
        <f aca="false">IF(IFERROR(INDEX(tsk_Name,(ROW()-ROW(MSPTasks[[#Headers],[ID]])))="",TRUE()),"",INDEX(tsk_Level,(ROW()-ROW(MSPTasks[[#Headers],[ID]]))))</f>
        <v/>
      </c>
      <c r="E192" s="24" t="str">
        <f aca="false">IF(IFERROR(INDEX(tsk_Name,(ROW()-ROW(MSPTasks[[#Headers],[ID]])))="",TRUE()),"",IF(INDEX(tsk_Mode,(ROW()-ROW(MSPTasks[[#Headers],[ID]])))="Manual","Manually Scheduled","Auto Scheduled"))</f>
        <v/>
      </c>
      <c r="F192" s="24" t="str">
        <f aca="false">IF(IFERROR(INDEX(tsk_Name,(ROW()-ROW(MSPTasks[[#Headers],[ID]])))="",TRUE()),"",IF(INDEX(tsk_IsSummary,(ROW()-ROW(MSPTasks[[#Headers],[ID]]))),"",N(INDEX(tsk_Duration,(ROW()-ROW(MSPTasks[[#Headers],[ID]]))))&amp;"d"))</f>
        <v/>
      </c>
      <c r="G192" s="137" t="str">
        <f aca="false">IF(IFERROR(INDEX(tsk_Name,(ROW()-ROW(MSPTasks[[#Headers],[ID]])))="",TRUE()),"",INDEX(tsk_FcStart,(ROW()-ROW(MSPTasks[[#Headers],[ID]]))))</f>
        <v/>
      </c>
      <c r="H192" s="137" t="str">
        <f aca="false">IF(IFERROR(INDEX(tsk_Name,(ROW()-ROW(MSPTasks[[#Headers],[ID]])))="",TRUE()),"",INDEX(tsk_FcFinish,(ROW()-ROW(MSPTasks[[#Headers],[ID]]))))</f>
        <v/>
      </c>
      <c r="I192" s="24" t="str">
        <f aca="false">IF(IFERROR(INDEX(tsk_Name,(ROW()-ROW(MSPTasks[[#Headers],[ID]])))="",TRUE()),"",IF(INDEX(tsk_IsSummary,(ROW()-ROW(MSPTasks[[#Headers],[ID]]))),"",INDEX(tsk_Predecessors,(ROW()-ROW(MSPTasks[[#Headers],[ID]])))))</f>
        <v/>
      </c>
      <c r="J192" s="24" t="str">
        <f aca="false">IF(IFERROR(INDEX(tsk_Name,(ROW()-ROW(MSPTasks[[#Headers],[ID]])))="",TRUE()),"",IF(INDEX(tsk_IsSummary,(ROW()-ROW(MSPTasks[[#Headers],[ID]]))),"",INDEX(tsk_UIDPredecessors,(ROW()-ROW(MSPTasks[[#Headers],[ID]])))))</f>
        <v/>
      </c>
      <c r="K192" s="24" t="str">
        <f aca="false">IF(IFERROR(INDEX(tsk_Name,(ROW()-ROW(MSPTasks[[#Headers],[ID]])))="",TRUE()),"",INDEX(tsk_ResourceNames,(ROW()-ROW(MSPTasks[[#Headers],[ID]])))&amp;"")</f>
        <v/>
      </c>
      <c r="L192" s="24" t="str">
        <f aca="false">IF(IFERROR(INDEX(tsk_Name,(ROW()-ROW(MSPTasks[[#Headers],[ID]])))="",TRUE()),"",IF(INDEX(tsk_IsSummary,(ROW()-ROW(MSPTasks[[#Headers],[ID]]))),"",ROUND(INDEX(tsk_Progress,(ROW()-ROW(MSPTasks[[#Headers],[ID]])))*100,0)))</f>
        <v/>
      </c>
      <c r="M192" s="137" t="str">
        <f aca="false">IF(IFERROR(INDEX(tsk_Name,(ROW()-ROW(MSPTasks[[#Headers],[ID]])))="",TRUE()),"",IF(N(INDEX(tsk_ActStart,(ROW()-ROW(MSPTasks[[#Headers],[ID]]))))=0,"",INDEX(tsk_ActStart,(ROW()-ROW(MSPTasks[[#Headers],[ID]])))))</f>
        <v/>
      </c>
      <c r="N192" s="137" t="str">
        <f aca="false">IF(IFERROR(INDEX(tsk_Name,(ROW()-ROW(MSPTasks[[#Headers],[ID]])))="",TRUE()),"",IF(N(INDEX(tsk_ActFinish,(ROW()-ROW(MSPTasks[[#Headers],[ID]]))))=0,"",INDEX(tsk_ActFinish,(ROW()-ROW(MSPTasks[[#Headers],[ID]])))))</f>
        <v/>
      </c>
      <c r="O192" s="137" t="str">
        <f aca="false">IF(IFERROR(INDEX(tsk_Name,(ROW()-ROW(MSPTasks[[#Headers],[ID]])))="",TRUE()),"",INDEX(tsk_PlanStart,(ROW()-ROW(MSPTasks[[#Headers],[ID]]))))</f>
        <v/>
      </c>
      <c r="P192" s="137" t="str">
        <f aca="false">IF(IFERROR(INDEX(tsk_Name,(ROW()-ROW(MSPTasks[[#Headers],[ID]])))="",TRUE()),"",INDEX(tsk_PlanFinish,(ROW()-ROW(MSPTasks[[#Headers],[ID]]))))</f>
        <v/>
      </c>
      <c r="Q192" s="24" t="str">
        <f aca="false">IF(IFERROR(INDEX(tsk_Name,(ROW()-ROW(MSPTasks[[#Headers],[ID]])))="",TRUE()),"",IF(INDEX(tsk_BaseDuration,(ROW()-ROW(MSPTasks[[#Headers],[ID]])))="","",N(INDEX(tsk_BaseDuration,(ROW()-ROW(MSPTasks[[#Headers],[ID]]))))&amp;"d"))</f>
        <v/>
      </c>
      <c r="R192" s="24" t="str">
        <f aca="false">IF(IFERROR(INDEX(tsk_Name,(ROW()-ROW(MSPTasks[[#Headers],[ID]])))="",TRUE()),"",IF(INDEX(tsk_BaseWork,(ROW()-ROW(MSPTasks[[#Headers],[ID]])))="","",N(INDEX(tsk_BaseWork,(ROW()-ROW(MSPTasks[[#Headers],[ID]]))))&amp;"h"))</f>
        <v/>
      </c>
      <c r="S192" s="24" t="str">
        <f aca="false">IF(IFERROR(INDEX(tsk_Name,(ROW()-ROW(MSPTasks[[#Headers],[ID]])))="",TRUE()),"",IF(INDEX(tsk_BaseCost,(ROW()-ROW(MSPTasks[[#Headers],[ID]])))="","",N(INDEX(tsk_BaseCost,(ROW()-ROW(MSPTasks[[#Headers],[ID]]))))))</f>
        <v/>
      </c>
      <c r="T192" s="24" t="str">
        <f aca="false">IF(IFERROR(INDEX(tsk_Name,(ROW()-ROW(MSPTasks[[#Headers],[ID]])))="",TRUE()),"",IF(INDEX(tsk_IsSummary,(ROW()-ROW(MSPTasks[[#Headers],[ID]]))),"",IF(N(INDEX(tsk_ActCostInput,(ROW()-ROW(MSPTasks[[#Headers],[ID]]))))=0,"",INDEX(tsk_ActCostInput,(ROW()-ROW(MSPTasks[[#Headers],[ID]]))))))</f>
        <v/>
      </c>
      <c r="U192"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2" s="137" t="str">
        <f aca="false">IF(IFERROR(INDEX(tsk_Name,(ROW()-ROW(MSPTasks[[#Headers],[ID]])))="",TRUE()),"",IF(OR(INDEX(tsk_IsSummary,(ROW()-ROW(MSPTasks[[#Headers],[ID]]))),INDEX(tsk_Mode,(ROW()-ROW(MSPTasks[[#Headers],[ID]])))="Manual"),"",IF(N(INDEX(tsk_ConstraintCode,(ROW()-ROW(MSPTasks[[#Headers],[ID]]))))&lt;2,"",INDEX(tsk_Constraint,(ROW()-ROW(MSPTasks[[#Headers],[ID]]))))))</f>
        <v/>
      </c>
      <c r="W192" s="137" t="str">
        <f aca="false">IF(IFERROR(INDEX(tsk_Name,(ROW()-ROW(MSPTasks[[#Headers],[ID]])))="",TRUE()),"",IF(N(INDEX(tsk_Deadline,(ROW()-ROW(MSPTasks[[#Headers],[ID]]))))=0,"",INDEX(tsk_Deadline,(ROW()-ROW(MSPTasks[[#Headers],[ID]])))))</f>
        <v/>
      </c>
      <c r="X192" s="24" t="str">
        <f aca="false">IF(IFERROR(INDEX(tsk_Name,(ROW()-ROW(MSPTasks[[#Headers],[ID]])))="",TRUE()),"",IF(INDEX(tsk_IsSummary,(ROW()-ROW(MSPTasks[[#Headers],[ID]]))),"",INDEX(tsk_Sprint,(ROW()-ROW(MSPTasks[[#Headers],[ID]])))&amp;""))</f>
        <v/>
      </c>
      <c r="Y192" s="24" t="str">
        <f aca="false">IF(IFERROR(INDEX(tsk_Name,(ROW()-ROW(MSPTasks[[#Headers],[ID]])))="",TRUE()),"",IF(INDEX(tsk_IsSummary,(ROW()-ROW(MSPTasks[[#Headers],[ID]]))),"",IF(N(INDEX(tsk_StoryPoints,(ROW()-ROW(MSPTasks[[#Headers],[ID]]))))=0,"",INDEX(tsk_StoryPoints,(ROW()-ROW(MSPTasks[[#Headers],[ID]]))))))</f>
        <v/>
      </c>
      <c r="Z192" s="24" t="str">
        <f aca="false">IF(IFERROR(INDEX(tsk_Name,(ROW()-ROW(MSPTasks[[#Headers],[ID]])))="",TRUE()),"",INDEX(tsk_Notes,(ROW()-ROW(MSPTasks[[#Headers],[ID]])))&amp;"")</f>
        <v/>
      </c>
    </row>
    <row r="193" customFormat="false" ht="15" hidden="false" customHeight="false" outlineLevel="0" collapsed="false">
      <c r="A193" s="24" t="str">
        <f aca="false">IF(IFERROR(INDEX(tsk_Name,(ROW()-ROW(MSPTasks[[#Headers],[ID]])))="",TRUE()),"",INDEX(tsk_ID,(ROW()-ROW(MSPTasks[[#Headers],[ID]]))))</f>
        <v/>
      </c>
      <c r="B193" s="24" t="str">
        <f aca="false">IF(IFERROR(INDEX(tsk_Name,(ROW()-ROW(MSPTasks[[#Headers],[ID]])))="",TRUE()),"",INDEX(tsk_UID,(ROW()-ROW(MSPTasks[[#Headers],[ID]]))))</f>
        <v/>
      </c>
      <c r="C193" s="24" t="str">
        <f aca="false">IF(IFERROR(INDEX(tsk_Name,(ROW()-ROW(MSPTasks[[#Headers],[ID]])))="",TRUE()),"",INDEX(tsk_Name,(ROW()-ROW(MSPTasks[[#Headers],[ID]]))))</f>
        <v/>
      </c>
      <c r="D193" s="24" t="str">
        <f aca="false">IF(IFERROR(INDEX(tsk_Name,(ROW()-ROW(MSPTasks[[#Headers],[ID]])))="",TRUE()),"",INDEX(tsk_Level,(ROW()-ROW(MSPTasks[[#Headers],[ID]]))))</f>
        <v/>
      </c>
      <c r="E193" s="24" t="str">
        <f aca="false">IF(IFERROR(INDEX(tsk_Name,(ROW()-ROW(MSPTasks[[#Headers],[ID]])))="",TRUE()),"",IF(INDEX(tsk_Mode,(ROW()-ROW(MSPTasks[[#Headers],[ID]])))="Manual","Manually Scheduled","Auto Scheduled"))</f>
        <v/>
      </c>
      <c r="F193" s="24" t="str">
        <f aca="false">IF(IFERROR(INDEX(tsk_Name,(ROW()-ROW(MSPTasks[[#Headers],[ID]])))="",TRUE()),"",IF(INDEX(tsk_IsSummary,(ROW()-ROW(MSPTasks[[#Headers],[ID]]))),"",N(INDEX(tsk_Duration,(ROW()-ROW(MSPTasks[[#Headers],[ID]]))))&amp;"d"))</f>
        <v/>
      </c>
      <c r="G193" s="137" t="str">
        <f aca="false">IF(IFERROR(INDEX(tsk_Name,(ROW()-ROW(MSPTasks[[#Headers],[ID]])))="",TRUE()),"",INDEX(tsk_FcStart,(ROW()-ROW(MSPTasks[[#Headers],[ID]]))))</f>
        <v/>
      </c>
      <c r="H193" s="137" t="str">
        <f aca="false">IF(IFERROR(INDEX(tsk_Name,(ROW()-ROW(MSPTasks[[#Headers],[ID]])))="",TRUE()),"",INDEX(tsk_FcFinish,(ROW()-ROW(MSPTasks[[#Headers],[ID]]))))</f>
        <v/>
      </c>
      <c r="I193" s="24" t="str">
        <f aca="false">IF(IFERROR(INDEX(tsk_Name,(ROW()-ROW(MSPTasks[[#Headers],[ID]])))="",TRUE()),"",IF(INDEX(tsk_IsSummary,(ROW()-ROW(MSPTasks[[#Headers],[ID]]))),"",INDEX(tsk_Predecessors,(ROW()-ROW(MSPTasks[[#Headers],[ID]])))))</f>
        <v/>
      </c>
      <c r="J193" s="24" t="str">
        <f aca="false">IF(IFERROR(INDEX(tsk_Name,(ROW()-ROW(MSPTasks[[#Headers],[ID]])))="",TRUE()),"",IF(INDEX(tsk_IsSummary,(ROW()-ROW(MSPTasks[[#Headers],[ID]]))),"",INDEX(tsk_UIDPredecessors,(ROW()-ROW(MSPTasks[[#Headers],[ID]])))))</f>
        <v/>
      </c>
      <c r="K193" s="24" t="str">
        <f aca="false">IF(IFERROR(INDEX(tsk_Name,(ROW()-ROW(MSPTasks[[#Headers],[ID]])))="",TRUE()),"",INDEX(tsk_ResourceNames,(ROW()-ROW(MSPTasks[[#Headers],[ID]])))&amp;"")</f>
        <v/>
      </c>
      <c r="L193" s="24" t="str">
        <f aca="false">IF(IFERROR(INDEX(tsk_Name,(ROW()-ROW(MSPTasks[[#Headers],[ID]])))="",TRUE()),"",IF(INDEX(tsk_IsSummary,(ROW()-ROW(MSPTasks[[#Headers],[ID]]))),"",ROUND(INDEX(tsk_Progress,(ROW()-ROW(MSPTasks[[#Headers],[ID]])))*100,0)))</f>
        <v/>
      </c>
      <c r="M193" s="137" t="str">
        <f aca="false">IF(IFERROR(INDEX(tsk_Name,(ROW()-ROW(MSPTasks[[#Headers],[ID]])))="",TRUE()),"",IF(N(INDEX(tsk_ActStart,(ROW()-ROW(MSPTasks[[#Headers],[ID]]))))=0,"",INDEX(tsk_ActStart,(ROW()-ROW(MSPTasks[[#Headers],[ID]])))))</f>
        <v/>
      </c>
      <c r="N193" s="137" t="str">
        <f aca="false">IF(IFERROR(INDEX(tsk_Name,(ROW()-ROW(MSPTasks[[#Headers],[ID]])))="",TRUE()),"",IF(N(INDEX(tsk_ActFinish,(ROW()-ROW(MSPTasks[[#Headers],[ID]]))))=0,"",INDEX(tsk_ActFinish,(ROW()-ROW(MSPTasks[[#Headers],[ID]])))))</f>
        <v/>
      </c>
      <c r="O193" s="137" t="str">
        <f aca="false">IF(IFERROR(INDEX(tsk_Name,(ROW()-ROW(MSPTasks[[#Headers],[ID]])))="",TRUE()),"",INDEX(tsk_PlanStart,(ROW()-ROW(MSPTasks[[#Headers],[ID]]))))</f>
        <v/>
      </c>
      <c r="P193" s="137" t="str">
        <f aca="false">IF(IFERROR(INDEX(tsk_Name,(ROW()-ROW(MSPTasks[[#Headers],[ID]])))="",TRUE()),"",INDEX(tsk_PlanFinish,(ROW()-ROW(MSPTasks[[#Headers],[ID]]))))</f>
        <v/>
      </c>
      <c r="Q193" s="24" t="str">
        <f aca="false">IF(IFERROR(INDEX(tsk_Name,(ROW()-ROW(MSPTasks[[#Headers],[ID]])))="",TRUE()),"",IF(INDEX(tsk_BaseDuration,(ROW()-ROW(MSPTasks[[#Headers],[ID]])))="","",N(INDEX(tsk_BaseDuration,(ROW()-ROW(MSPTasks[[#Headers],[ID]]))))&amp;"d"))</f>
        <v/>
      </c>
      <c r="R193" s="24" t="str">
        <f aca="false">IF(IFERROR(INDEX(tsk_Name,(ROW()-ROW(MSPTasks[[#Headers],[ID]])))="",TRUE()),"",IF(INDEX(tsk_BaseWork,(ROW()-ROW(MSPTasks[[#Headers],[ID]])))="","",N(INDEX(tsk_BaseWork,(ROW()-ROW(MSPTasks[[#Headers],[ID]]))))&amp;"h"))</f>
        <v/>
      </c>
      <c r="S193" s="24" t="str">
        <f aca="false">IF(IFERROR(INDEX(tsk_Name,(ROW()-ROW(MSPTasks[[#Headers],[ID]])))="",TRUE()),"",IF(INDEX(tsk_BaseCost,(ROW()-ROW(MSPTasks[[#Headers],[ID]])))="","",N(INDEX(tsk_BaseCost,(ROW()-ROW(MSPTasks[[#Headers],[ID]]))))))</f>
        <v/>
      </c>
      <c r="T193" s="24" t="str">
        <f aca="false">IF(IFERROR(INDEX(tsk_Name,(ROW()-ROW(MSPTasks[[#Headers],[ID]])))="",TRUE()),"",IF(INDEX(tsk_IsSummary,(ROW()-ROW(MSPTasks[[#Headers],[ID]]))),"",IF(N(INDEX(tsk_ActCostInput,(ROW()-ROW(MSPTasks[[#Headers],[ID]]))))=0,"",INDEX(tsk_ActCostInput,(ROW()-ROW(MSPTasks[[#Headers],[ID]]))))))</f>
        <v/>
      </c>
      <c r="U193"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3" s="137" t="str">
        <f aca="false">IF(IFERROR(INDEX(tsk_Name,(ROW()-ROW(MSPTasks[[#Headers],[ID]])))="",TRUE()),"",IF(OR(INDEX(tsk_IsSummary,(ROW()-ROW(MSPTasks[[#Headers],[ID]]))),INDEX(tsk_Mode,(ROW()-ROW(MSPTasks[[#Headers],[ID]])))="Manual"),"",IF(N(INDEX(tsk_ConstraintCode,(ROW()-ROW(MSPTasks[[#Headers],[ID]]))))&lt;2,"",INDEX(tsk_Constraint,(ROW()-ROW(MSPTasks[[#Headers],[ID]]))))))</f>
        <v/>
      </c>
      <c r="W193" s="137" t="str">
        <f aca="false">IF(IFERROR(INDEX(tsk_Name,(ROW()-ROW(MSPTasks[[#Headers],[ID]])))="",TRUE()),"",IF(N(INDEX(tsk_Deadline,(ROW()-ROW(MSPTasks[[#Headers],[ID]]))))=0,"",INDEX(tsk_Deadline,(ROW()-ROW(MSPTasks[[#Headers],[ID]])))))</f>
        <v/>
      </c>
      <c r="X193" s="24" t="str">
        <f aca="false">IF(IFERROR(INDEX(tsk_Name,(ROW()-ROW(MSPTasks[[#Headers],[ID]])))="",TRUE()),"",IF(INDEX(tsk_IsSummary,(ROW()-ROW(MSPTasks[[#Headers],[ID]]))),"",INDEX(tsk_Sprint,(ROW()-ROW(MSPTasks[[#Headers],[ID]])))&amp;""))</f>
        <v/>
      </c>
      <c r="Y193" s="24" t="str">
        <f aca="false">IF(IFERROR(INDEX(tsk_Name,(ROW()-ROW(MSPTasks[[#Headers],[ID]])))="",TRUE()),"",IF(INDEX(tsk_IsSummary,(ROW()-ROW(MSPTasks[[#Headers],[ID]]))),"",IF(N(INDEX(tsk_StoryPoints,(ROW()-ROW(MSPTasks[[#Headers],[ID]]))))=0,"",INDEX(tsk_StoryPoints,(ROW()-ROW(MSPTasks[[#Headers],[ID]]))))))</f>
        <v/>
      </c>
      <c r="Z193" s="24" t="str">
        <f aca="false">IF(IFERROR(INDEX(tsk_Name,(ROW()-ROW(MSPTasks[[#Headers],[ID]])))="",TRUE()),"",INDEX(tsk_Notes,(ROW()-ROW(MSPTasks[[#Headers],[ID]])))&amp;"")</f>
        <v/>
      </c>
    </row>
    <row r="194" customFormat="false" ht="15" hidden="false" customHeight="false" outlineLevel="0" collapsed="false">
      <c r="A194" s="24" t="str">
        <f aca="false">IF(IFERROR(INDEX(tsk_Name,(ROW()-ROW(MSPTasks[[#Headers],[ID]])))="",TRUE()),"",INDEX(tsk_ID,(ROW()-ROW(MSPTasks[[#Headers],[ID]]))))</f>
        <v/>
      </c>
      <c r="B194" s="24" t="str">
        <f aca="false">IF(IFERROR(INDEX(tsk_Name,(ROW()-ROW(MSPTasks[[#Headers],[ID]])))="",TRUE()),"",INDEX(tsk_UID,(ROW()-ROW(MSPTasks[[#Headers],[ID]]))))</f>
        <v/>
      </c>
      <c r="C194" s="24" t="str">
        <f aca="false">IF(IFERROR(INDEX(tsk_Name,(ROW()-ROW(MSPTasks[[#Headers],[ID]])))="",TRUE()),"",INDEX(tsk_Name,(ROW()-ROW(MSPTasks[[#Headers],[ID]]))))</f>
        <v/>
      </c>
      <c r="D194" s="24" t="str">
        <f aca="false">IF(IFERROR(INDEX(tsk_Name,(ROW()-ROW(MSPTasks[[#Headers],[ID]])))="",TRUE()),"",INDEX(tsk_Level,(ROW()-ROW(MSPTasks[[#Headers],[ID]]))))</f>
        <v/>
      </c>
      <c r="E194" s="24" t="str">
        <f aca="false">IF(IFERROR(INDEX(tsk_Name,(ROW()-ROW(MSPTasks[[#Headers],[ID]])))="",TRUE()),"",IF(INDEX(tsk_Mode,(ROW()-ROW(MSPTasks[[#Headers],[ID]])))="Manual","Manually Scheduled","Auto Scheduled"))</f>
        <v/>
      </c>
      <c r="F194" s="24" t="str">
        <f aca="false">IF(IFERROR(INDEX(tsk_Name,(ROW()-ROW(MSPTasks[[#Headers],[ID]])))="",TRUE()),"",IF(INDEX(tsk_IsSummary,(ROW()-ROW(MSPTasks[[#Headers],[ID]]))),"",N(INDEX(tsk_Duration,(ROW()-ROW(MSPTasks[[#Headers],[ID]]))))&amp;"d"))</f>
        <v/>
      </c>
      <c r="G194" s="137" t="str">
        <f aca="false">IF(IFERROR(INDEX(tsk_Name,(ROW()-ROW(MSPTasks[[#Headers],[ID]])))="",TRUE()),"",INDEX(tsk_FcStart,(ROW()-ROW(MSPTasks[[#Headers],[ID]]))))</f>
        <v/>
      </c>
      <c r="H194" s="137" t="str">
        <f aca="false">IF(IFERROR(INDEX(tsk_Name,(ROW()-ROW(MSPTasks[[#Headers],[ID]])))="",TRUE()),"",INDEX(tsk_FcFinish,(ROW()-ROW(MSPTasks[[#Headers],[ID]]))))</f>
        <v/>
      </c>
      <c r="I194" s="24" t="str">
        <f aca="false">IF(IFERROR(INDEX(tsk_Name,(ROW()-ROW(MSPTasks[[#Headers],[ID]])))="",TRUE()),"",IF(INDEX(tsk_IsSummary,(ROW()-ROW(MSPTasks[[#Headers],[ID]]))),"",INDEX(tsk_Predecessors,(ROW()-ROW(MSPTasks[[#Headers],[ID]])))))</f>
        <v/>
      </c>
      <c r="J194" s="24" t="str">
        <f aca="false">IF(IFERROR(INDEX(tsk_Name,(ROW()-ROW(MSPTasks[[#Headers],[ID]])))="",TRUE()),"",IF(INDEX(tsk_IsSummary,(ROW()-ROW(MSPTasks[[#Headers],[ID]]))),"",INDEX(tsk_UIDPredecessors,(ROW()-ROW(MSPTasks[[#Headers],[ID]])))))</f>
        <v/>
      </c>
      <c r="K194" s="24" t="str">
        <f aca="false">IF(IFERROR(INDEX(tsk_Name,(ROW()-ROW(MSPTasks[[#Headers],[ID]])))="",TRUE()),"",INDEX(tsk_ResourceNames,(ROW()-ROW(MSPTasks[[#Headers],[ID]])))&amp;"")</f>
        <v/>
      </c>
      <c r="L194" s="24" t="str">
        <f aca="false">IF(IFERROR(INDEX(tsk_Name,(ROW()-ROW(MSPTasks[[#Headers],[ID]])))="",TRUE()),"",IF(INDEX(tsk_IsSummary,(ROW()-ROW(MSPTasks[[#Headers],[ID]]))),"",ROUND(INDEX(tsk_Progress,(ROW()-ROW(MSPTasks[[#Headers],[ID]])))*100,0)))</f>
        <v/>
      </c>
      <c r="M194" s="137" t="str">
        <f aca="false">IF(IFERROR(INDEX(tsk_Name,(ROW()-ROW(MSPTasks[[#Headers],[ID]])))="",TRUE()),"",IF(N(INDEX(tsk_ActStart,(ROW()-ROW(MSPTasks[[#Headers],[ID]]))))=0,"",INDEX(tsk_ActStart,(ROW()-ROW(MSPTasks[[#Headers],[ID]])))))</f>
        <v/>
      </c>
      <c r="N194" s="137" t="str">
        <f aca="false">IF(IFERROR(INDEX(tsk_Name,(ROW()-ROW(MSPTasks[[#Headers],[ID]])))="",TRUE()),"",IF(N(INDEX(tsk_ActFinish,(ROW()-ROW(MSPTasks[[#Headers],[ID]]))))=0,"",INDEX(tsk_ActFinish,(ROW()-ROW(MSPTasks[[#Headers],[ID]])))))</f>
        <v/>
      </c>
      <c r="O194" s="137" t="str">
        <f aca="false">IF(IFERROR(INDEX(tsk_Name,(ROW()-ROW(MSPTasks[[#Headers],[ID]])))="",TRUE()),"",INDEX(tsk_PlanStart,(ROW()-ROW(MSPTasks[[#Headers],[ID]]))))</f>
        <v/>
      </c>
      <c r="P194" s="137" t="str">
        <f aca="false">IF(IFERROR(INDEX(tsk_Name,(ROW()-ROW(MSPTasks[[#Headers],[ID]])))="",TRUE()),"",INDEX(tsk_PlanFinish,(ROW()-ROW(MSPTasks[[#Headers],[ID]]))))</f>
        <v/>
      </c>
      <c r="Q194" s="24" t="str">
        <f aca="false">IF(IFERROR(INDEX(tsk_Name,(ROW()-ROW(MSPTasks[[#Headers],[ID]])))="",TRUE()),"",IF(INDEX(tsk_BaseDuration,(ROW()-ROW(MSPTasks[[#Headers],[ID]])))="","",N(INDEX(tsk_BaseDuration,(ROW()-ROW(MSPTasks[[#Headers],[ID]]))))&amp;"d"))</f>
        <v/>
      </c>
      <c r="R194" s="24" t="str">
        <f aca="false">IF(IFERROR(INDEX(tsk_Name,(ROW()-ROW(MSPTasks[[#Headers],[ID]])))="",TRUE()),"",IF(INDEX(tsk_BaseWork,(ROW()-ROW(MSPTasks[[#Headers],[ID]])))="","",N(INDEX(tsk_BaseWork,(ROW()-ROW(MSPTasks[[#Headers],[ID]]))))&amp;"h"))</f>
        <v/>
      </c>
      <c r="S194" s="24" t="str">
        <f aca="false">IF(IFERROR(INDEX(tsk_Name,(ROW()-ROW(MSPTasks[[#Headers],[ID]])))="",TRUE()),"",IF(INDEX(tsk_BaseCost,(ROW()-ROW(MSPTasks[[#Headers],[ID]])))="","",N(INDEX(tsk_BaseCost,(ROW()-ROW(MSPTasks[[#Headers],[ID]]))))))</f>
        <v/>
      </c>
      <c r="T194" s="24" t="str">
        <f aca="false">IF(IFERROR(INDEX(tsk_Name,(ROW()-ROW(MSPTasks[[#Headers],[ID]])))="",TRUE()),"",IF(INDEX(tsk_IsSummary,(ROW()-ROW(MSPTasks[[#Headers],[ID]]))),"",IF(N(INDEX(tsk_ActCostInput,(ROW()-ROW(MSPTasks[[#Headers],[ID]]))))=0,"",INDEX(tsk_ActCostInput,(ROW()-ROW(MSPTasks[[#Headers],[ID]]))))))</f>
        <v/>
      </c>
      <c r="U194"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4" s="137" t="str">
        <f aca="false">IF(IFERROR(INDEX(tsk_Name,(ROW()-ROW(MSPTasks[[#Headers],[ID]])))="",TRUE()),"",IF(OR(INDEX(tsk_IsSummary,(ROW()-ROW(MSPTasks[[#Headers],[ID]]))),INDEX(tsk_Mode,(ROW()-ROW(MSPTasks[[#Headers],[ID]])))="Manual"),"",IF(N(INDEX(tsk_ConstraintCode,(ROW()-ROW(MSPTasks[[#Headers],[ID]]))))&lt;2,"",INDEX(tsk_Constraint,(ROW()-ROW(MSPTasks[[#Headers],[ID]]))))))</f>
        <v/>
      </c>
      <c r="W194" s="137" t="str">
        <f aca="false">IF(IFERROR(INDEX(tsk_Name,(ROW()-ROW(MSPTasks[[#Headers],[ID]])))="",TRUE()),"",IF(N(INDEX(tsk_Deadline,(ROW()-ROW(MSPTasks[[#Headers],[ID]]))))=0,"",INDEX(tsk_Deadline,(ROW()-ROW(MSPTasks[[#Headers],[ID]])))))</f>
        <v/>
      </c>
      <c r="X194" s="24" t="str">
        <f aca="false">IF(IFERROR(INDEX(tsk_Name,(ROW()-ROW(MSPTasks[[#Headers],[ID]])))="",TRUE()),"",IF(INDEX(tsk_IsSummary,(ROW()-ROW(MSPTasks[[#Headers],[ID]]))),"",INDEX(tsk_Sprint,(ROW()-ROW(MSPTasks[[#Headers],[ID]])))&amp;""))</f>
        <v/>
      </c>
      <c r="Y194" s="24" t="str">
        <f aca="false">IF(IFERROR(INDEX(tsk_Name,(ROW()-ROW(MSPTasks[[#Headers],[ID]])))="",TRUE()),"",IF(INDEX(tsk_IsSummary,(ROW()-ROW(MSPTasks[[#Headers],[ID]]))),"",IF(N(INDEX(tsk_StoryPoints,(ROW()-ROW(MSPTasks[[#Headers],[ID]]))))=0,"",INDEX(tsk_StoryPoints,(ROW()-ROW(MSPTasks[[#Headers],[ID]]))))))</f>
        <v/>
      </c>
      <c r="Z194" s="24" t="str">
        <f aca="false">IF(IFERROR(INDEX(tsk_Name,(ROW()-ROW(MSPTasks[[#Headers],[ID]])))="",TRUE()),"",INDEX(tsk_Notes,(ROW()-ROW(MSPTasks[[#Headers],[ID]])))&amp;"")</f>
        <v/>
      </c>
    </row>
    <row r="195" customFormat="false" ht="15" hidden="false" customHeight="false" outlineLevel="0" collapsed="false">
      <c r="A195" s="24" t="str">
        <f aca="false">IF(IFERROR(INDEX(tsk_Name,(ROW()-ROW(MSPTasks[[#Headers],[ID]])))="",TRUE()),"",INDEX(tsk_ID,(ROW()-ROW(MSPTasks[[#Headers],[ID]]))))</f>
        <v/>
      </c>
      <c r="B195" s="24" t="str">
        <f aca="false">IF(IFERROR(INDEX(tsk_Name,(ROW()-ROW(MSPTasks[[#Headers],[ID]])))="",TRUE()),"",INDEX(tsk_UID,(ROW()-ROW(MSPTasks[[#Headers],[ID]]))))</f>
        <v/>
      </c>
      <c r="C195" s="24" t="str">
        <f aca="false">IF(IFERROR(INDEX(tsk_Name,(ROW()-ROW(MSPTasks[[#Headers],[ID]])))="",TRUE()),"",INDEX(tsk_Name,(ROW()-ROW(MSPTasks[[#Headers],[ID]]))))</f>
        <v/>
      </c>
      <c r="D195" s="24" t="str">
        <f aca="false">IF(IFERROR(INDEX(tsk_Name,(ROW()-ROW(MSPTasks[[#Headers],[ID]])))="",TRUE()),"",INDEX(tsk_Level,(ROW()-ROW(MSPTasks[[#Headers],[ID]]))))</f>
        <v/>
      </c>
      <c r="E195" s="24" t="str">
        <f aca="false">IF(IFERROR(INDEX(tsk_Name,(ROW()-ROW(MSPTasks[[#Headers],[ID]])))="",TRUE()),"",IF(INDEX(tsk_Mode,(ROW()-ROW(MSPTasks[[#Headers],[ID]])))="Manual","Manually Scheduled","Auto Scheduled"))</f>
        <v/>
      </c>
      <c r="F195" s="24" t="str">
        <f aca="false">IF(IFERROR(INDEX(tsk_Name,(ROW()-ROW(MSPTasks[[#Headers],[ID]])))="",TRUE()),"",IF(INDEX(tsk_IsSummary,(ROW()-ROW(MSPTasks[[#Headers],[ID]]))),"",N(INDEX(tsk_Duration,(ROW()-ROW(MSPTasks[[#Headers],[ID]]))))&amp;"d"))</f>
        <v/>
      </c>
      <c r="G195" s="137" t="str">
        <f aca="false">IF(IFERROR(INDEX(tsk_Name,(ROW()-ROW(MSPTasks[[#Headers],[ID]])))="",TRUE()),"",INDEX(tsk_FcStart,(ROW()-ROW(MSPTasks[[#Headers],[ID]]))))</f>
        <v/>
      </c>
      <c r="H195" s="137" t="str">
        <f aca="false">IF(IFERROR(INDEX(tsk_Name,(ROW()-ROW(MSPTasks[[#Headers],[ID]])))="",TRUE()),"",INDEX(tsk_FcFinish,(ROW()-ROW(MSPTasks[[#Headers],[ID]]))))</f>
        <v/>
      </c>
      <c r="I195" s="24" t="str">
        <f aca="false">IF(IFERROR(INDEX(tsk_Name,(ROW()-ROW(MSPTasks[[#Headers],[ID]])))="",TRUE()),"",IF(INDEX(tsk_IsSummary,(ROW()-ROW(MSPTasks[[#Headers],[ID]]))),"",INDEX(tsk_Predecessors,(ROW()-ROW(MSPTasks[[#Headers],[ID]])))))</f>
        <v/>
      </c>
      <c r="J195" s="24" t="str">
        <f aca="false">IF(IFERROR(INDEX(tsk_Name,(ROW()-ROW(MSPTasks[[#Headers],[ID]])))="",TRUE()),"",IF(INDEX(tsk_IsSummary,(ROW()-ROW(MSPTasks[[#Headers],[ID]]))),"",INDEX(tsk_UIDPredecessors,(ROW()-ROW(MSPTasks[[#Headers],[ID]])))))</f>
        <v/>
      </c>
      <c r="K195" s="24" t="str">
        <f aca="false">IF(IFERROR(INDEX(tsk_Name,(ROW()-ROW(MSPTasks[[#Headers],[ID]])))="",TRUE()),"",INDEX(tsk_ResourceNames,(ROW()-ROW(MSPTasks[[#Headers],[ID]])))&amp;"")</f>
        <v/>
      </c>
      <c r="L195" s="24" t="str">
        <f aca="false">IF(IFERROR(INDEX(tsk_Name,(ROW()-ROW(MSPTasks[[#Headers],[ID]])))="",TRUE()),"",IF(INDEX(tsk_IsSummary,(ROW()-ROW(MSPTasks[[#Headers],[ID]]))),"",ROUND(INDEX(tsk_Progress,(ROW()-ROW(MSPTasks[[#Headers],[ID]])))*100,0)))</f>
        <v/>
      </c>
      <c r="M195" s="137" t="str">
        <f aca="false">IF(IFERROR(INDEX(tsk_Name,(ROW()-ROW(MSPTasks[[#Headers],[ID]])))="",TRUE()),"",IF(N(INDEX(tsk_ActStart,(ROW()-ROW(MSPTasks[[#Headers],[ID]]))))=0,"",INDEX(tsk_ActStart,(ROW()-ROW(MSPTasks[[#Headers],[ID]])))))</f>
        <v/>
      </c>
      <c r="N195" s="137" t="str">
        <f aca="false">IF(IFERROR(INDEX(tsk_Name,(ROW()-ROW(MSPTasks[[#Headers],[ID]])))="",TRUE()),"",IF(N(INDEX(tsk_ActFinish,(ROW()-ROW(MSPTasks[[#Headers],[ID]]))))=0,"",INDEX(tsk_ActFinish,(ROW()-ROW(MSPTasks[[#Headers],[ID]])))))</f>
        <v/>
      </c>
      <c r="O195" s="137" t="str">
        <f aca="false">IF(IFERROR(INDEX(tsk_Name,(ROW()-ROW(MSPTasks[[#Headers],[ID]])))="",TRUE()),"",INDEX(tsk_PlanStart,(ROW()-ROW(MSPTasks[[#Headers],[ID]]))))</f>
        <v/>
      </c>
      <c r="P195" s="137" t="str">
        <f aca="false">IF(IFERROR(INDEX(tsk_Name,(ROW()-ROW(MSPTasks[[#Headers],[ID]])))="",TRUE()),"",INDEX(tsk_PlanFinish,(ROW()-ROW(MSPTasks[[#Headers],[ID]]))))</f>
        <v/>
      </c>
      <c r="Q195" s="24" t="str">
        <f aca="false">IF(IFERROR(INDEX(tsk_Name,(ROW()-ROW(MSPTasks[[#Headers],[ID]])))="",TRUE()),"",IF(INDEX(tsk_BaseDuration,(ROW()-ROW(MSPTasks[[#Headers],[ID]])))="","",N(INDEX(tsk_BaseDuration,(ROW()-ROW(MSPTasks[[#Headers],[ID]]))))&amp;"d"))</f>
        <v/>
      </c>
      <c r="R195" s="24" t="str">
        <f aca="false">IF(IFERROR(INDEX(tsk_Name,(ROW()-ROW(MSPTasks[[#Headers],[ID]])))="",TRUE()),"",IF(INDEX(tsk_BaseWork,(ROW()-ROW(MSPTasks[[#Headers],[ID]])))="","",N(INDEX(tsk_BaseWork,(ROW()-ROW(MSPTasks[[#Headers],[ID]]))))&amp;"h"))</f>
        <v/>
      </c>
      <c r="S195" s="24" t="str">
        <f aca="false">IF(IFERROR(INDEX(tsk_Name,(ROW()-ROW(MSPTasks[[#Headers],[ID]])))="",TRUE()),"",IF(INDEX(tsk_BaseCost,(ROW()-ROW(MSPTasks[[#Headers],[ID]])))="","",N(INDEX(tsk_BaseCost,(ROW()-ROW(MSPTasks[[#Headers],[ID]]))))))</f>
        <v/>
      </c>
      <c r="T195" s="24" t="str">
        <f aca="false">IF(IFERROR(INDEX(tsk_Name,(ROW()-ROW(MSPTasks[[#Headers],[ID]])))="",TRUE()),"",IF(INDEX(tsk_IsSummary,(ROW()-ROW(MSPTasks[[#Headers],[ID]]))),"",IF(N(INDEX(tsk_ActCostInput,(ROW()-ROW(MSPTasks[[#Headers],[ID]]))))=0,"",INDEX(tsk_ActCostInput,(ROW()-ROW(MSPTasks[[#Headers],[ID]]))))))</f>
        <v/>
      </c>
      <c r="U195"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5" s="137" t="str">
        <f aca="false">IF(IFERROR(INDEX(tsk_Name,(ROW()-ROW(MSPTasks[[#Headers],[ID]])))="",TRUE()),"",IF(OR(INDEX(tsk_IsSummary,(ROW()-ROW(MSPTasks[[#Headers],[ID]]))),INDEX(tsk_Mode,(ROW()-ROW(MSPTasks[[#Headers],[ID]])))="Manual"),"",IF(N(INDEX(tsk_ConstraintCode,(ROW()-ROW(MSPTasks[[#Headers],[ID]]))))&lt;2,"",INDEX(tsk_Constraint,(ROW()-ROW(MSPTasks[[#Headers],[ID]]))))))</f>
        <v/>
      </c>
      <c r="W195" s="137" t="str">
        <f aca="false">IF(IFERROR(INDEX(tsk_Name,(ROW()-ROW(MSPTasks[[#Headers],[ID]])))="",TRUE()),"",IF(N(INDEX(tsk_Deadline,(ROW()-ROW(MSPTasks[[#Headers],[ID]]))))=0,"",INDEX(tsk_Deadline,(ROW()-ROW(MSPTasks[[#Headers],[ID]])))))</f>
        <v/>
      </c>
      <c r="X195" s="24" t="str">
        <f aca="false">IF(IFERROR(INDEX(tsk_Name,(ROW()-ROW(MSPTasks[[#Headers],[ID]])))="",TRUE()),"",IF(INDEX(tsk_IsSummary,(ROW()-ROW(MSPTasks[[#Headers],[ID]]))),"",INDEX(tsk_Sprint,(ROW()-ROW(MSPTasks[[#Headers],[ID]])))&amp;""))</f>
        <v/>
      </c>
      <c r="Y195" s="24" t="str">
        <f aca="false">IF(IFERROR(INDEX(tsk_Name,(ROW()-ROW(MSPTasks[[#Headers],[ID]])))="",TRUE()),"",IF(INDEX(tsk_IsSummary,(ROW()-ROW(MSPTasks[[#Headers],[ID]]))),"",IF(N(INDEX(tsk_StoryPoints,(ROW()-ROW(MSPTasks[[#Headers],[ID]]))))=0,"",INDEX(tsk_StoryPoints,(ROW()-ROW(MSPTasks[[#Headers],[ID]]))))))</f>
        <v/>
      </c>
      <c r="Z195" s="24" t="str">
        <f aca="false">IF(IFERROR(INDEX(tsk_Name,(ROW()-ROW(MSPTasks[[#Headers],[ID]])))="",TRUE()),"",INDEX(tsk_Notes,(ROW()-ROW(MSPTasks[[#Headers],[ID]])))&amp;"")</f>
        <v/>
      </c>
    </row>
    <row r="196" customFormat="false" ht="15" hidden="false" customHeight="false" outlineLevel="0" collapsed="false">
      <c r="A196" s="24" t="str">
        <f aca="false">IF(IFERROR(INDEX(tsk_Name,(ROW()-ROW(MSPTasks[[#Headers],[ID]])))="",TRUE()),"",INDEX(tsk_ID,(ROW()-ROW(MSPTasks[[#Headers],[ID]]))))</f>
        <v/>
      </c>
      <c r="B196" s="24" t="str">
        <f aca="false">IF(IFERROR(INDEX(tsk_Name,(ROW()-ROW(MSPTasks[[#Headers],[ID]])))="",TRUE()),"",INDEX(tsk_UID,(ROW()-ROW(MSPTasks[[#Headers],[ID]]))))</f>
        <v/>
      </c>
      <c r="C196" s="24" t="str">
        <f aca="false">IF(IFERROR(INDEX(tsk_Name,(ROW()-ROW(MSPTasks[[#Headers],[ID]])))="",TRUE()),"",INDEX(tsk_Name,(ROW()-ROW(MSPTasks[[#Headers],[ID]]))))</f>
        <v/>
      </c>
      <c r="D196" s="24" t="str">
        <f aca="false">IF(IFERROR(INDEX(tsk_Name,(ROW()-ROW(MSPTasks[[#Headers],[ID]])))="",TRUE()),"",INDEX(tsk_Level,(ROW()-ROW(MSPTasks[[#Headers],[ID]]))))</f>
        <v/>
      </c>
      <c r="E196" s="24" t="str">
        <f aca="false">IF(IFERROR(INDEX(tsk_Name,(ROW()-ROW(MSPTasks[[#Headers],[ID]])))="",TRUE()),"",IF(INDEX(tsk_Mode,(ROW()-ROW(MSPTasks[[#Headers],[ID]])))="Manual","Manually Scheduled","Auto Scheduled"))</f>
        <v/>
      </c>
      <c r="F196" s="24" t="str">
        <f aca="false">IF(IFERROR(INDEX(tsk_Name,(ROW()-ROW(MSPTasks[[#Headers],[ID]])))="",TRUE()),"",IF(INDEX(tsk_IsSummary,(ROW()-ROW(MSPTasks[[#Headers],[ID]]))),"",N(INDEX(tsk_Duration,(ROW()-ROW(MSPTasks[[#Headers],[ID]]))))&amp;"d"))</f>
        <v/>
      </c>
      <c r="G196" s="137" t="str">
        <f aca="false">IF(IFERROR(INDEX(tsk_Name,(ROW()-ROW(MSPTasks[[#Headers],[ID]])))="",TRUE()),"",INDEX(tsk_FcStart,(ROW()-ROW(MSPTasks[[#Headers],[ID]]))))</f>
        <v/>
      </c>
      <c r="H196" s="137" t="str">
        <f aca="false">IF(IFERROR(INDEX(tsk_Name,(ROW()-ROW(MSPTasks[[#Headers],[ID]])))="",TRUE()),"",INDEX(tsk_FcFinish,(ROW()-ROW(MSPTasks[[#Headers],[ID]]))))</f>
        <v/>
      </c>
      <c r="I196" s="24" t="str">
        <f aca="false">IF(IFERROR(INDEX(tsk_Name,(ROW()-ROW(MSPTasks[[#Headers],[ID]])))="",TRUE()),"",IF(INDEX(tsk_IsSummary,(ROW()-ROW(MSPTasks[[#Headers],[ID]]))),"",INDEX(tsk_Predecessors,(ROW()-ROW(MSPTasks[[#Headers],[ID]])))))</f>
        <v/>
      </c>
      <c r="J196" s="24" t="str">
        <f aca="false">IF(IFERROR(INDEX(tsk_Name,(ROW()-ROW(MSPTasks[[#Headers],[ID]])))="",TRUE()),"",IF(INDEX(tsk_IsSummary,(ROW()-ROW(MSPTasks[[#Headers],[ID]]))),"",INDEX(tsk_UIDPredecessors,(ROW()-ROW(MSPTasks[[#Headers],[ID]])))))</f>
        <v/>
      </c>
      <c r="K196" s="24" t="str">
        <f aca="false">IF(IFERROR(INDEX(tsk_Name,(ROW()-ROW(MSPTasks[[#Headers],[ID]])))="",TRUE()),"",INDEX(tsk_ResourceNames,(ROW()-ROW(MSPTasks[[#Headers],[ID]])))&amp;"")</f>
        <v/>
      </c>
      <c r="L196" s="24" t="str">
        <f aca="false">IF(IFERROR(INDEX(tsk_Name,(ROW()-ROW(MSPTasks[[#Headers],[ID]])))="",TRUE()),"",IF(INDEX(tsk_IsSummary,(ROW()-ROW(MSPTasks[[#Headers],[ID]]))),"",ROUND(INDEX(tsk_Progress,(ROW()-ROW(MSPTasks[[#Headers],[ID]])))*100,0)))</f>
        <v/>
      </c>
      <c r="M196" s="137" t="str">
        <f aca="false">IF(IFERROR(INDEX(tsk_Name,(ROW()-ROW(MSPTasks[[#Headers],[ID]])))="",TRUE()),"",IF(N(INDEX(tsk_ActStart,(ROW()-ROW(MSPTasks[[#Headers],[ID]]))))=0,"",INDEX(tsk_ActStart,(ROW()-ROW(MSPTasks[[#Headers],[ID]])))))</f>
        <v/>
      </c>
      <c r="N196" s="137" t="str">
        <f aca="false">IF(IFERROR(INDEX(tsk_Name,(ROW()-ROW(MSPTasks[[#Headers],[ID]])))="",TRUE()),"",IF(N(INDEX(tsk_ActFinish,(ROW()-ROW(MSPTasks[[#Headers],[ID]]))))=0,"",INDEX(tsk_ActFinish,(ROW()-ROW(MSPTasks[[#Headers],[ID]])))))</f>
        <v/>
      </c>
      <c r="O196" s="137" t="str">
        <f aca="false">IF(IFERROR(INDEX(tsk_Name,(ROW()-ROW(MSPTasks[[#Headers],[ID]])))="",TRUE()),"",INDEX(tsk_PlanStart,(ROW()-ROW(MSPTasks[[#Headers],[ID]]))))</f>
        <v/>
      </c>
      <c r="P196" s="137" t="str">
        <f aca="false">IF(IFERROR(INDEX(tsk_Name,(ROW()-ROW(MSPTasks[[#Headers],[ID]])))="",TRUE()),"",INDEX(tsk_PlanFinish,(ROW()-ROW(MSPTasks[[#Headers],[ID]]))))</f>
        <v/>
      </c>
      <c r="Q196" s="24" t="str">
        <f aca="false">IF(IFERROR(INDEX(tsk_Name,(ROW()-ROW(MSPTasks[[#Headers],[ID]])))="",TRUE()),"",IF(INDEX(tsk_BaseDuration,(ROW()-ROW(MSPTasks[[#Headers],[ID]])))="","",N(INDEX(tsk_BaseDuration,(ROW()-ROW(MSPTasks[[#Headers],[ID]]))))&amp;"d"))</f>
        <v/>
      </c>
      <c r="R196" s="24" t="str">
        <f aca="false">IF(IFERROR(INDEX(tsk_Name,(ROW()-ROW(MSPTasks[[#Headers],[ID]])))="",TRUE()),"",IF(INDEX(tsk_BaseWork,(ROW()-ROW(MSPTasks[[#Headers],[ID]])))="","",N(INDEX(tsk_BaseWork,(ROW()-ROW(MSPTasks[[#Headers],[ID]]))))&amp;"h"))</f>
        <v/>
      </c>
      <c r="S196" s="24" t="str">
        <f aca="false">IF(IFERROR(INDEX(tsk_Name,(ROW()-ROW(MSPTasks[[#Headers],[ID]])))="",TRUE()),"",IF(INDEX(tsk_BaseCost,(ROW()-ROW(MSPTasks[[#Headers],[ID]])))="","",N(INDEX(tsk_BaseCost,(ROW()-ROW(MSPTasks[[#Headers],[ID]]))))))</f>
        <v/>
      </c>
      <c r="T196" s="24" t="str">
        <f aca="false">IF(IFERROR(INDEX(tsk_Name,(ROW()-ROW(MSPTasks[[#Headers],[ID]])))="",TRUE()),"",IF(INDEX(tsk_IsSummary,(ROW()-ROW(MSPTasks[[#Headers],[ID]]))),"",IF(N(INDEX(tsk_ActCostInput,(ROW()-ROW(MSPTasks[[#Headers],[ID]]))))=0,"",INDEX(tsk_ActCostInput,(ROW()-ROW(MSPTasks[[#Headers],[ID]]))))))</f>
        <v/>
      </c>
      <c r="U196"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6" s="137" t="str">
        <f aca="false">IF(IFERROR(INDEX(tsk_Name,(ROW()-ROW(MSPTasks[[#Headers],[ID]])))="",TRUE()),"",IF(OR(INDEX(tsk_IsSummary,(ROW()-ROW(MSPTasks[[#Headers],[ID]]))),INDEX(tsk_Mode,(ROW()-ROW(MSPTasks[[#Headers],[ID]])))="Manual"),"",IF(N(INDEX(tsk_ConstraintCode,(ROW()-ROW(MSPTasks[[#Headers],[ID]]))))&lt;2,"",INDEX(tsk_Constraint,(ROW()-ROW(MSPTasks[[#Headers],[ID]]))))))</f>
        <v/>
      </c>
      <c r="W196" s="137" t="str">
        <f aca="false">IF(IFERROR(INDEX(tsk_Name,(ROW()-ROW(MSPTasks[[#Headers],[ID]])))="",TRUE()),"",IF(N(INDEX(tsk_Deadline,(ROW()-ROW(MSPTasks[[#Headers],[ID]]))))=0,"",INDEX(tsk_Deadline,(ROW()-ROW(MSPTasks[[#Headers],[ID]])))))</f>
        <v/>
      </c>
      <c r="X196" s="24" t="str">
        <f aca="false">IF(IFERROR(INDEX(tsk_Name,(ROW()-ROW(MSPTasks[[#Headers],[ID]])))="",TRUE()),"",IF(INDEX(tsk_IsSummary,(ROW()-ROW(MSPTasks[[#Headers],[ID]]))),"",INDEX(tsk_Sprint,(ROW()-ROW(MSPTasks[[#Headers],[ID]])))&amp;""))</f>
        <v/>
      </c>
      <c r="Y196" s="24" t="str">
        <f aca="false">IF(IFERROR(INDEX(tsk_Name,(ROW()-ROW(MSPTasks[[#Headers],[ID]])))="",TRUE()),"",IF(INDEX(tsk_IsSummary,(ROW()-ROW(MSPTasks[[#Headers],[ID]]))),"",IF(N(INDEX(tsk_StoryPoints,(ROW()-ROW(MSPTasks[[#Headers],[ID]]))))=0,"",INDEX(tsk_StoryPoints,(ROW()-ROW(MSPTasks[[#Headers],[ID]]))))))</f>
        <v/>
      </c>
      <c r="Z196" s="24" t="str">
        <f aca="false">IF(IFERROR(INDEX(tsk_Name,(ROW()-ROW(MSPTasks[[#Headers],[ID]])))="",TRUE()),"",INDEX(tsk_Notes,(ROW()-ROW(MSPTasks[[#Headers],[ID]])))&amp;"")</f>
        <v/>
      </c>
    </row>
    <row r="197" customFormat="false" ht="15" hidden="false" customHeight="false" outlineLevel="0" collapsed="false">
      <c r="A197" s="24" t="str">
        <f aca="false">IF(IFERROR(INDEX(tsk_Name,(ROW()-ROW(MSPTasks[[#Headers],[ID]])))="",TRUE()),"",INDEX(tsk_ID,(ROW()-ROW(MSPTasks[[#Headers],[ID]]))))</f>
        <v/>
      </c>
      <c r="B197" s="24" t="str">
        <f aca="false">IF(IFERROR(INDEX(tsk_Name,(ROW()-ROW(MSPTasks[[#Headers],[ID]])))="",TRUE()),"",INDEX(tsk_UID,(ROW()-ROW(MSPTasks[[#Headers],[ID]]))))</f>
        <v/>
      </c>
      <c r="C197" s="24" t="str">
        <f aca="false">IF(IFERROR(INDEX(tsk_Name,(ROW()-ROW(MSPTasks[[#Headers],[ID]])))="",TRUE()),"",INDEX(tsk_Name,(ROW()-ROW(MSPTasks[[#Headers],[ID]]))))</f>
        <v/>
      </c>
      <c r="D197" s="24" t="str">
        <f aca="false">IF(IFERROR(INDEX(tsk_Name,(ROW()-ROW(MSPTasks[[#Headers],[ID]])))="",TRUE()),"",INDEX(tsk_Level,(ROW()-ROW(MSPTasks[[#Headers],[ID]]))))</f>
        <v/>
      </c>
      <c r="E197" s="24" t="str">
        <f aca="false">IF(IFERROR(INDEX(tsk_Name,(ROW()-ROW(MSPTasks[[#Headers],[ID]])))="",TRUE()),"",IF(INDEX(tsk_Mode,(ROW()-ROW(MSPTasks[[#Headers],[ID]])))="Manual","Manually Scheduled","Auto Scheduled"))</f>
        <v/>
      </c>
      <c r="F197" s="24" t="str">
        <f aca="false">IF(IFERROR(INDEX(tsk_Name,(ROW()-ROW(MSPTasks[[#Headers],[ID]])))="",TRUE()),"",IF(INDEX(tsk_IsSummary,(ROW()-ROW(MSPTasks[[#Headers],[ID]]))),"",N(INDEX(tsk_Duration,(ROW()-ROW(MSPTasks[[#Headers],[ID]]))))&amp;"d"))</f>
        <v/>
      </c>
      <c r="G197" s="137" t="str">
        <f aca="false">IF(IFERROR(INDEX(tsk_Name,(ROW()-ROW(MSPTasks[[#Headers],[ID]])))="",TRUE()),"",INDEX(tsk_FcStart,(ROW()-ROW(MSPTasks[[#Headers],[ID]]))))</f>
        <v/>
      </c>
      <c r="H197" s="137" t="str">
        <f aca="false">IF(IFERROR(INDEX(tsk_Name,(ROW()-ROW(MSPTasks[[#Headers],[ID]])))="",TRUE()),"",INDEX(tsk_FcFinish,(ROW()-ROW(MSPTasks[[#Headers],[ID]]))))</f>
        <v/>
      </c>
      <c r="I197" s="24" t="str">
        <f aca="false">IF(IFERROR(INDEX(tsk_Name,(ROW()-ROW(MSPTasks[[#Headers],[ID]])))="",TRUE()),"",IF(INDEX(tsk_IsSummary,(ROW()-ROW(MSPTasks[[#Headers],[ID]]))),"",INDEX(tsk_Predecessors,(ROW()-ROW(MSPTasks[[#Headers],[ID]])))))</f>
        <v/>
      </c>
      <c r="J197" s="24" t="str">
        <f aca="false">IF(IFERROR(INDEX(tsk_Name,(ROW()-ROW(MSPTasks[[#Headers],[ID]])))="",TRUE()),"",IF(INDEX(tsk_IsSummary,(ROW()-ROW(MSPTasks[[#Headers],[ID]]))),"",INDEX(tsk_UIDPredecessors,(ROW()-ROW(MSPTasks[[#Headers],[ID]])))))</f>
        <v/>
      </c>
      <c r="K197" s="24" t="str">
        <f aca="false">IF(IFERROR(INDEX(tsk_Name,(ROW()-ROW(MSPTasks[[#Headers],[ID]])))="",TRUE()),"",INDEX(tsk_ResourceNames,(ROW()-ROW(MSPTasks[[#Headers],[ID]])))&amp;"")</f>
        <v/>
      </c>
      <c r="L197" s="24" t="str">
        <f aca="false">IF(IFERROR(INDEX(tsk_Name,(ROW()-ROW(MSPTasks[[#Headers],[ID]])))="",TRUE()),"",IF(INDEX(tsk_IsSummary,(ROW()-ROW(MSPTasks[[#Headers],[ID]]))),"",ROUND(INDEX(tsk_Progress,(ROW()-ROW(MSPTasks[[#Headers],[ID]])))*100,0)))</f>
        <v/>
      </c>
      <c r="M197" s="137" t="str">
        <f aca="false">IF(IFERROR(INDEX(tsk_Name,(ROW()-ROW(MSPTasks[[#Headers],[ID]])))="",TRUE()),"",IF(N(INDEX(tsk_ActStart,(ROW()-ROW(MSPTasks[[#Headers],[ID]]))))=0,"",INDEX(tsk_ActStart,(ROW()-ROW(MSPTasks[[#Headers],[ID]])))))</f>
        <v/>
      </c>
      <c r="N197" s="137" t="str">
        <f aca="false">IF(IFERROR(INDEX(tsk_Name,(ROW()-ROW(MSPTasks[[#Headers],[ID]])))="",TRUE()),"",IF(N(INDEX(tsk_ActFinish,(ROW()-ROW(MSPTasks[[#Headers],[ID]]))))=0,"",INDEX(tsk_ActFinish,(ROW()-ROW(MSPTasks[[#Headers],[ID]])))))</f>
        <v/>
      </c>
      <c r="O197" s="137" t="str">
        <f aca="false">IF(IFERROR(INDEX(tsk_Name,(ROW()-ROW(MSPTasks[[#Headers],[ID]])))="",TRUE()),"",INDEX(tsk_PlanStart,(ROW()-ROW(MSPTasks[[#Headers],[ID]]))))</f>
        <v/>
      </c>
      <c r="P197" s="137" t="str">
        <f aca="false">IF(IFERROR(INDEX(tsk_Name,(ROW()-ROW(MSPTasks[[#Headers],[ID]])))="",TRUE()),"",INDEX(tsk_PlanFinish,(ROW()-ROW(MSPTasks[[#Headers],[ID]]))))</f>
        <v/>
      </c>
      <c r="Q197" s="24" t="str">
        <f aca="false">IF(IFERROR(INDEX(tsk_Name,(ROW()-ROW(MSPTasks[[#Headers],[ID]])))="",TRUE()),"",IF(INDEX(tsk_BaseDuration,(ROW()-ROW(MSPTasks[[#Headers],[ID]])))="","",N(INDEX(tsk_BaseDuration,(ROW()-ROW(MSPTasks[[#Headers],[ID]]))))&amp;"d"))</f>
        <v/>
      </c>
      <c r="R197" s="24" t="str">
        <f aca="false">IF(IFERROR(INDEX(tsk_Name,(ROW()-ROW(MSPTasks[[#Headers],[ID]])))="",TRUE()),"",IF(INDEX(tsk_BaseWork,(ROW()-ROW(MSPTasks[[#Headers],[ID]])))="","",N(INDEX(tsk_BaseWork,(ROW()-ROW(MSPTasks[[#Headers],[ID]]))))&amp;"h"))</f>
        <v/>
      </c>
      <c r="S197" s="24" t="str">
        <f aca="false">IF(IFERROR(INDEX(tsk_Name,(ROW()-ROW(MSPTasks[[#Headers],[ID]])))="",TRUE()),"",IF(INDEX(tsk_BaseCost,(ROW()-ROW(MSPTasks[[#Headers],[ID]])))="","",N(INDEX(tsk_BaseCost,(ROW()-ROW(MSPTasks[[#Headers],[ID]]))))))</f>
        <v/>
      </c>
      <c r="T197" s="24" t="str">
        <f aca="false">IF(IFERROR(INDEX(tsk_Name,(ROW()-ROW(MSPTasks[[#Headers],[ID]])))="",TRUE()),"",IF(INDEX(tsk_IsSummary,(ROW()-ROW(MSPTasks[[#Headers],[ID]]))),"",IF(N(INDEX(tsk_ActCostInput,(ROW()-ROW(MSPTasks[[#Headers],[ID]]))))=0,"",INDEX(tsk_ActCostInput,(ROW()-ROW(MSPTasks[[#Headers],[ID]]))))))</f>
        <v/>
      </c>
      <c r="U197"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7" s="137" t="str">
        <f aca="false">IF(IFERROR(INDEX(tsk_Name,(ROW()-ROW(MSPTasks[[#Headers],[ID]])))="",TRUE()),"",IF(OR(INDEX(tsk_IsSummary,(ROW()-ROW(MSPTasks[[#Headers],[ID]]))),INDEX(tsk_Mode,(ROW()-ROW(MSPTasks[[#Headers],[ID]])))="Manual"),"",IF(N(INDEX(tsk_ConstraintCode,(ROW()-ROW(MSPTasks[[#Headers],[ID]]))))&lt;2,"",INDEX(tsk_Constraint,(ROW()-ROW(MSPTasks[[#Headers],[ID]]))))))</f>
        <v/>
      </c>
      <c r="W197" s="137" t="str">
        <f aca="false">IF(IFERROR(INDEX(tsk_Name,(ROW()-ROW(MSPTasks[[#Headers],[ID]])))="",TRUE()),"",IF(N(INDEX(tsk_Deadline,(ROW()-ROW(MSPTasks[[#Headers],[ID]]))))=0,"",INDEX(tsk_Deadline,(ROW()-ROW(MSPTasks[[#Headers],[ID]])))))</f>
        <v/>
      </c>
      <c r="X197" s="24" t="str">
        <f aca="false">IF(IFERROR(INDEX(tsk_Name,(ROW()-ROW(MSPTasks[[#Headers],[ID]])))="",TRUE()),"",IF(INDEX(tsk_IsSummary,(ROW()-ROW(MSPTasks[[#Headers],[ID]]))),"",INDEX(tsk_Sprint,(ROW()-ROW(MSPTasks[[#Headers],[ID]])))&amp;""))</f>
        <v/>
      </c>
      <c r="Y197" s="24" t="str">
        <f aca="false">IF(IFERROR(INDEX(tsk_Name,(ROW()-ROW(MSPTasks[[#Headers],[ID]])))="",TRUE()),"",IF(INDEX(tsk_IsSummary,(ROW()-ROW(MSPTasks[[#Headers],[ID]]))),"",IF(N(INDEX(tsk_StoryPoints,(ROW()-ROW(MSPTasks[[#Headers],[ID]]))))=0,"",INDEX(tsk_StoryPoints,(ROW()-ROW(MSPTasks[[#Headers],[ID]]))))))</f>
        <v/>
      </c>
      <c r="Z197" s="24" t="str">
        <f aca="false">IF(IFERROR(INDEX(tsk_Name,(ROW()-ROW(MSPTasks[[#Headers],[ID]])))="",TRUE()),"",INDEX(tsk_Notes,(ROW()-ROW(MSPTasks[[#Headers],[ID]])))&amp;"")</f>
        <v/>
      </c>
    </row>
    <row r="198" customFormat="false" ht="15" hidden="false" customHeight="false" outlineLevel="0" collapsed="false">
      <c r="A198" s="24" t="str">
        <f aca="false">IF(IFERROR(INDEX(tsk_Name,(ROW()-ROW(MSPTasks[[#Headers],[ID]])))="",TRUE()),"",INDEX(tsk_ID,(ROW()-ROW(MSPTasks[[#Headers],[ID]]))))</f>
        <v/>
      </c>
      <c r="B198" s="24" t="str">
        <f aca="false">IF(IFERROR(INDEX(tsk_Name,(ROW()-ROW(MSPTasks[[#Headers],[ID]])))="",TRUE()),"",INDEX(tsk_UID,(ROW()-ROW(MSPTasks[[#Headers],[ID]]))))</f>
        <v/>
      </c>
      <c r="C198" s="24" t="str">
        <f aca="false">IF(IFERROR(INDEX(tsk_Name,(ROW()-ROW(MSPTasks[[#Headers],[ID]])))="",TRUE()),"",INDEX(tsk_Name,(ROW()-ROW(MSPTasks[[#Headers],[ID]]))))</f>
        <v/>
      </c>
      <c r="D198" s="24" t="str">
        <f aca="false">IF(IFERROR(INDEX(tsk_Name,(ROW()-ROW(MSPTasks[[#Headers],[ID]])))="",TRUE()),"",INDEX(tsk_Level,(ROW()-ROW(MSPTasks[[#Headers],[ID]]))))</f>
        <v/>
      </c>
      <c r="E198" s="24" t="str">
        <f aca="false">IF(IFERROR(INDEX(tsk_Name,(ROW()-ROW(MSPTasks[[#Headers],[ID]])))="",TRUE()),"",IF(INDEX(tsk_Mode,(ROW()-ROW(MSPTasks[[#Headers],[ID]])))="Manual","Manually Scheduled","Auto Scheduled"))</f>
        <v/>
      </c>
      <c r="F198" s="24" t="str">
        <f aca="false">IF(IFERROR(INDEX(tsk_Name,(ROW()-ROW(MSPTasks[[#Headers],[ID]])))="",TRUE()),"",IF(INDEX(tsk_IsSummary,(ROW()-ROW(MSPTasks[[#Headers],[ID]]))),"",N(INDEX(tsk_Duration,(ROW()-ROW(MSPTasks[[#Headers],[ID]]))))&amp;"d"))</f>
        <v/>
      </c>
      <c r="G198" s="137" t="str">
        <f aca="false">IF(IFERROR(INDEX(tsk_Name,(ROW()-ROW(MSPTasks[[#Headers],[ID]])))="",TRUE()),"",INDEX(tsk_FcStart,(ROW()-ROW(MSPTasks[[#Headers],[ID]]))))</f>
        <v/>
      </c>
      <c r="H198" s="137" t="str">
        <f aca="false">IF(IFERROR(INDEX(tsk_Name,(ROW()-ROW(MSPTasks[[#Headers],[ID]])))="",TRUE()),"",INDEX(tsk_FcFinish,(ROW()-ROW(MSPTasks[[#Headers],[ID]]))))</f>
        <v/>
      </c>
      <c r="I198" s="24" t="str">
        <f aca="false">IF(IFERROR(INDEX(tsk_Name,(ROW()-ROW(MSPTasks[[#Headers],[ID]])))="",TRUE()),"",IF(INDEX(tsk_IsSummary,(ROW()-ROW(MSPTasks[[#Headers],[ID]]))),"",INDEX(tsk_Predecessors,(ROW()-ROW(MSPTasks[[#Headers],[ID]])))))</f>
        <v/>
      </c>
      <c r="J198" s="24" t="str">
        <f aca="false">IF(IFERROR(INDEX(tsk_Name,(ROW()-ROW(MSPTasks[[#Headers],[ID]])))="",TRUE()),"",IF(INDEX(tsk_IsSummary,(ROW()-ROW(MSPTasks[[#Headers],[ID]]))),"",INDEX(tsk_UIDPredecessors,(ROW()-ROW(MSPTasks[[#Headers],[ID]])))))</f>
        <v/>
      </c>
      <c r="K198" s="24" t="str">
        <f aca="false">IF(IFERROR(INDEX(tsk_Name,(ROW()-ROW(MSPTasks[[#Headers],[ID]])))="",TRUE()),"",INDEX(tsk_ResourceNames,(ROW()-ROW(MSPTasks[[#Headers],[ID]])))&amp;"")</f>
        <v/>
      </c>
      <c r="L198" s="24" t="str">
        <f aca="false">IF(IFERROR(INDEX(tsk_Name,(ROW()-ROW(MSPTasks[[#Headers],[ID]])))="",TRUE()),"",IF(INDEX(tsk_IsSummary,(ROW()-ROW(MSPTasks[[#Headers],[ID]]))),"",ROUND(INDEX(tsk_Progress,(ROW()-ROW(MSPTasks[[#Headers],[ID]])))*100,0)))</f>
        <v/>
      </c>
      <c r="M198" s="137" t="str">
        <f aca="false">IF(IFERROR(INDEX(tsk_Name,(ROW()-ROW(MSPTasks[[#Headers],[ID]])))="",TRUE()),"",IF(N(INDEX(tsk_ActStart,(ROW()-ROW(MSPTasks[[#Headers],[ID]]))))=0,"",INDEX(tsk_ActStart,(ROW()-ROW(MSPTasks[[#Headers],[ID]])))))</f>
        <v/>
      </c>
      <c r="N198" s="137" t="str">
        <f aca="false">IF(IFERROR(INDEX(tsk_Name,(ROW()-ROW(MSPTasks[[#Headers],[ID]])))="",TRUE()),"",IF(N(INDEX(tsk_ActFinish,(ROW()-ROW(MSPTasks[[#Headers],[ID]]))))=0,"",INDEX(tsk_ActFinish,(ROW()-ROW(MSPTasks[[#Headers],[ID]])))))</f>
        <v/>
      </c>
      <c r="O198" s="137" t="str">
        <f aca="false">IF(IFERROR(INDEX(tsk_Name,(ROW()-ROW(MSPTasks[[#Headers],[ID]])))="",TRUE()),"",INDEX(tsk_PlanStart,(ROW()-ROW(MSPTasks[[#Headers],[ID]]))))</f>
        <v/>
      </c>
      <c r="P198" s="137" t="str">
        <f aca="false">IF(IFERROR(INDEX(tsk_Name,(ROW()-ROW(MSPTasks[[#Headers],[ID]])))="",TRUE()),"",INDEX(tsk_PlanFinish,(ROW()-ROW(MSPTasks[[#Headers],[ID]]))))</f>
        <v/>
      </c>
      <c r="Q198" s="24" t="str">
        <f aca="false">IF(IFERROR(INDEX(tsk_Name,(ROW()-ROW(MSPTasks[[#Headers],[ID]])))="",TRUE()),"",IF(INDEX(tsk_BaseDuration,(ROW()-ROW(MSPTasks[[#Headers],[ID]])))="","",N(INDEX(tsk_BaseDuration,(ROW()-ROW(MSPTasks[[#Headers],[ID]]))))&amp;"d"))</f>
        <v/>
      </c>
      <c r="R198" s="24" t="str">
        <f aca="false">IF(IFERROR(INDEX(tsk_Name,(ROW()-ROW(MSPTasks[[#Headers],[ID]])))="",TRUE()),"",IF(INDEX(tsk_BaseWork,(ROW()-ROW(MSPTasks[[#Headers],[ID]])))="","",N(INDEX(tsk_BaseWork,(ROW()-ROW(MSPTasks[[#Headers],[ID]]))))&amp;"h"))</f>
        <v/>
      </c>
      <c r="S198" s="24" t="str">
        <f aca="false">IF(IFERROR(INDEX(tsk_Name,(ROW()-ROW(MSPTasks[[#Headers],[ID]])))="",TRUE()),"",IF(INDEX(tsk_BaseCost,(ROW()-ROW(MSPTasks[[#Headers],[ID]])))="","",N(INDEX(tsk_BaseCost,(ROW()-ROW(MSPTasks[[#Headers],[ID]]))))))</f>
        <v/>
      </c>
      <c r="T198" s="24" t="str">
        <f aca="false">IF(IFERROR(INDEX(tsk_Name,(ROW()-ROW(MSPTasks[[#Headers],[ID]])))="",TRUE()),"",IF(INDEX(tsk_IsSummary,(ROW()-ROW(MSPTasks[[#Headers],[ID]]))),"",IF(N(INDEX(tsk_ActCostInput,(ROW()-ROW(MSPTasks[[#Headers],[ID]]))))=0,"",INDEX(tsk_ActCostInput,(ROW()-ROW(MSPTasks[[#Headers],[ID]]))))))</f>
        <v/>
      </c>
      <c r="U198"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8" s="137" t="str">
        <f aca="false">IF(IFERROR(INDEX(tsk_Name,(ROW()-ROW(MSPTasks[[#Headers],[ID]])))="",TRUE()),"",IF(OR(INDEX(tsk_IsSummary,(ROW()-ROW(MSPTasks[[#Headers],[ID]]))),INDEX(tsk_Mode,(ROW()-ROW(MSPTasks[[#Headers],[ID]])))="Manual"),"",IF(N(INDEX(tsk_ConstraintCode,(ROW()-ROW(MSPTasks[[#Headers],[ID]]))))&lt;2,"",INDEX(tsk_Constraint,(ROW()-ROW(MSPTasks[[#Headers],[ID]]))))))</f>
        <v/>
      </c>
      <c r="W198" s="137" t="str">
        <f aca="false">IF(IFERROR(INDEX(tsk_Name,(ROW()-ROW(MSPTasks[[#Headers],[ID]])))="",TRUE()),"",IF(N(INDEX(tsk_Deadline,(ROW()-ROW(MSPTasks[[#Headers],[ID]]))))=0,"",INDEX(tsk_Deadline,(ROW()-ROW(MSPTasks[[#Headers],[ID]])))))</f>
        <v/>
      </c>
      <c r="X198" s="24" t="str">
        <f aca="false">IF(IFERROR(INDEX(tsk_Name,(ROW()-ROW(MSPTasks[[#Headers],[ID]])))="",TRUE()),"",IF(INDEX(tsk_IsSummary,(ROW()-ROW(MSPTasks[[#Headers],[ID]]))),"",INDEX(tsk_Sprint,(ROW()-ROW(MSPTasks[[#Headers],[ID]])))&amp;""))</f>
        <v/>
      </c>
      <c r="Y198" s="24" t="str">
        <f aca="false">IF(IFERROR(INDEX(tsk_Name,(ROW()-ROW(MSPTasks[[#Headers],[ID]])))="",TRUE()),"",IF(INDEX(tsk_IsSummary,(ROW()-ROW(MSPTasks[[#Headers],[ID]]))),"",IF(N(INDEX(tsk_StoryPoints,(ROW()-ROW(MSPTasks[[#Headers],[ID]]))))=0,"",INDEX(tsk_StoryPoints,(ROW()-ROW(MSPTasks[[#Headers],[ID]]))))))</f>
        <v/>
      </c>
      <c r="Z198" s="24" t="str">
        <f aca="false">IF(IFERROR(INDEX(tsk_Name,(ROW()-ROW(MSPTasks[[#Headers],[ID]])))="",TRUE()),"",INDEX(tsk_Notes,(ROW()-ROW(MSPTasks[[#Headers],[ID]])))&amp;"")</f>
        <v/>
      </c>
    </row>
    <row r="199" customFormat="false" ht="15" hidden="false" customHeight="false" outlineLevel="0" collapsed="false">
      <c r="A199" s="24" t="str">
        <f aca="false">IF(IFERROR(INDEX(tsk_Name,(ROW()-ROW(MSPTasks[[#Headers],[ID]])))="",TRUE()),"",INDEX(tsk_ID,(ROW()-ROW(MSPTasks[[#Headers],[ID]]))))</f>
        <v/>
      </c>
      <c r="B199" s="24" t="str">
        <f aca="false">IF(IFERROR(INDEX(tsk_Name,(ROW()-ROW(MSPTasks[[#Headers],[ID]])))="",TRUE()),"",INDEX(tsk_UID,(ROW()-ROW(MSPTasks[[#Headers],[ID]]))))</f>
        <v/>
      </c>
      <c r="C199" s="24" t="str">
        <f aca="false">IF(IFERROR(INDEX(tsk_Name,(ROW()-ROW(MSPTasks[[#Headers],[ID]])))="",TRUE()),"",INDEX(tsk_Name,(ROW()-ROW(MSPTasks[[#Headers],[ID]]))))</f>
        <v/>
      </c>
      <c r="D199" s="24" t="str">
        <f aca="false">IF(IFERROR(INDEX(tsk_Name,(ROW()-ROW(MSPTasks[[#Headers],[ID]])))="",TRUE()),"",INDEX(tsk_Level,(ROW()-ROW(MSPTasks[[#Headers],[ID]]))))</f>
        <v/>
      </c>
      <c r="E199" s="24" t="str">
        <f aca="false">IF(IFERROR(INDEX(tsk_Name,(ROW()-ROW(MSPTasks[[#Headers],[ID]])))="",TRUE()),"",IF(INDEX(tsk_Mode,(ROW()-ROW(MSPTasks[[#Headers],[ID]])))="Manual","Manually Scheduled","Auto Scheduled"))</f>
        <v/>
      </c>
      <c r="F199" s="24" t="str">
        <f aca="false">IF(IFERROR(INDEX(tsk_Name,(ROW()-ROW(MSPTasks[[#Headers],[ID]])))="",TRUE()),"",IF(INDEX(tsk_IsSummary,(ROW()-ROW(MSPTasks[[#Headers],[ID]]))),"",N(INDEX(tsk_Duration,(ROW()-ROW(MSPTasks[[#Headers],[ID]]))))&amp;"d"))</f>
        <v/>
      </c>
      <c r="G199" s="137" t="str">
        <f aca="false">IF(IFERROR(INDEX(tsk_Name,(ROW()-ROW(MSPTasks[[#Headers],[ID]])))="",TRUE()),"",INDEX(tsk_FcStart,(ROW()-ROW(MSPTasks[[#Headers],[ID]]))))</f>
        <v/>
      </c>
      <c r="H199" s="137" t="str">
        <f aca="false">IF(IFERROR(INDEX(tsk_Name,(ROW()-ROW(MSPTasks[[#Headers],[ID]])))="",TRUE()),"",INDEX(tsk_FcFinish,(ROW()-ROW(MSPTasks[[#Headers],[ID]]))))</f>
        <v/>
      </c>
      <c r="I199" s="24" t="str">
        <f aca="false">IF(IFERROR(INDEX(tsk_Name,(ROW()-ROW(MSPTasks[[#Headers],[ID]])))="",TRUE()),"",IF(INDEX(tsk_IsSummary,(ROW()-ROW(MSPTasks[[#Headers],[ID]]))),"",INDEX(tsk_Predecessors,(ROW()-ROW(MSPTasks[[#Headers],[ID]])))))</f>
        <v/>
      </c>
      <c r="J199" s="24" t="str">
        <f aca="false">IF(IFERROR(INDEX(tsk_Name,(ROW()-ROW(MSPTasks[[#Headers],[ID]])))="",TRUE()),"",IF(INDEX(tsk_IsSummary,(ROW()-ROW(MSPTasks[[#Headers],[ID]]))),"",INDEX(tsk_UIDPredecessors,(ROW()-ROW(MSPTasks[[#Headers],[ID]])))))</f>
        <v/>
      </c>
      <c r="K199" s="24" t="str">
        <f aca="false">IF(IFERROR(INDEX(tsk_Name,(ROW()-ROW(MSPTasks[[#Headers],[ID]])))="",TRUE()),"",INDEX(tsk_ResourceNames,(ROW()-ROW(MSPTasks[[#Headers],[ID]])))&amp;"")</f>
        <v/>
      </c>
      <c r="L199" s="24" t="str">
        <f aca="false">IF(IFERROR(INDEX(tsk_Name,(ROW()-ROW(MSPTasks[[#Headers],[ID]])))="",TRUE()),"",IF(INDEX(tsk_IsSummary,(ROW()-ROW(MSPTasks[[#Headers],[ID]]))),"",ROUND(INDEX(tsk_Progress,(ROW()-ROW(MSPTasks[[#Headers],[ID]])))*100,0)))</f>
        <v/>
      </c>
      <c r="M199" s="137" t="str">
        <f aca="false">IF(IFERROR(INDEX(tsk_Name,(ROW()-ROW(MSPTasks[[#Headers],[ID]])))="",TRUE()),"",IF(N(INDEX(tsk_ActStart,(ROW()-ROW(MSPTasks[[#Headers],[ID]]))))=0,"",INDEX(tsk_ActStart,(ROW()-ROW(MSPTasks[[#Headers],[ID]])))))</f>
        <v/>
      </c>
      <c r="N199" s="137" t="str">
        <f aca="false">IF(IFERROR(INDEX(tsk_Name,(ROW()-ROW(MSPTasks[[#Headers],[ID]])))="",TRUE()),"",IF(N(INDEX(tsk_ActFinish,(ROW()-ROW(MSPTasks[[#Headers],[ID]]))))=0,"",INDEX(tsk_ActFinish,(ROW()-ROW(MSPTasks[[#Headers],[ID]])))))</f>
        <v/>
      </c>
      <c r="O199" s="137" t="str">
        <f aca="false">IF(IFERROR(INDEX(tsk_Name,(ROW()-ROW(MSPTasks[[#Headers],[ID]])))="",TRUE()),"",INDEX(tsk_PlanStart,(ROW()-ROW(MSPTasks[[#Headers],[ID]]))))</f>
        <v/>
      </c>
      <c r="P199" s="137" t="str">
        <f aca="false">IF(IFERROR(INDEX(tsk_Name,(ROW()-ROW(MSPTasks[[#Headers],[ID]])))="",TRUE()),"",INDEX(tsk_PlanFinish,(ROW()-ROW(MSPTasks[[#Headers],[ID]]))))</f>
        <v/>
      </c>
      <c r="Q199" s="24" t="str">
        <f aca="false">IF(IFERROR(INDEX(tsk_Name,(ROW()-ROW(MSPTasks[[#Headers],[ID]])))="",TRUE()),"",IF(INDEX(tsk_BaseDuration,(ROW()-ROW(MSPTasks[[#Headers],[ID]])))="","",N(INDEX(tsk_BaseDuration,(ROW()-ROW(MSPTasks[[#Headers],[ID]]))))&amp;"d"))</f>
        <v/>
      </c>
      <c r="R199" s="24" t="str">
        <f aca="false">IF(IFERROR(INDEX(tsk_Name,(ROW()-ROW(MSPTasks[[#Headers],[ID]])))="",TRUE()),"",IF(INDEX(tsk_BaseWork,(ROW()-ROW(MSPTasks[[#Headers],[ID]])))="","",N(INDEX(tsk_BaseWork,(ROW()-ROW(MSPTasks[[#Headers],[ID]]))))&amp;"h"))</f>
        <v/>
      </c>
      <c r="S199" s="24" t="str">
        <f aca="false">IF(IFERROR(INDEX(tsk_Name,(ROW()-ROW(MSPTasks[[#Headers],[ID]])))="",TRUE()),"",IF(INDEX(tsk_BaseCost,(ROW()-ROW(MSPTasks[[#Headers],[ID]])))="","",N(INDEX(tsk_BaseCost,(ROW()-ROW(MSPTasks[[#Headers],[ID]]))))))</f>
        <v/>
      </c>
      <c r="T199" s="24" t="str">
        <f aca="false">IF(IFERROR(INDEX(tsk_Name,(ROW()-ROW(MSPTasks[[#Headers],[ID]])))="",TRUE()),"",IF(INDEX(tsk_IsSummary,(ROW()-ROW(MSPTasks[[#Headers],[ID]]))),"",IF(N(INDEX(tsk_ActCostInput,(ROW()-ROW(MSPTasks[[#Headers],[ID]]))))=0,"",INDEX(tsk_ActCostInput,(ROW()-ROW(MSPTasks[[#Headers],[ID]]))))))</f>
        <v/>
      </c>
      <c r="U199"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199" s="137" t="str">
        <f aca="false">IF(IFERROR(INDEX(tsk_Name,(ROW()-ROW(MSPTasks[[#Headers],[ID]])))="",TRUE()),"",IF(OR(INDEX(tsk_IsSummary,(ROW()-ROW(MSPTasks[[#Headers],[ID]]))),INDEX(tsk_Mode,(ROW()-ROW(MSPTasks[[#Headers],[ID]])))="Manual"),"",IF(N(INDEX(tsk_ConstraintCode,(ROW()-ROW(MSPTasks[[#Headers],[ID]]))))&lt;2,"",INDEX(tsk_Constraint,(ROW()-ROW(MSPTasks[[#Headers],[ID]]))))))</f>
        <v/>
      </c>
      <c r="W199" s="137" t="str">
        <f aca="false">IF(IFERROR(INDEX(tsk_Name,(ROW()-ROW(MSPTasks[[#Headers],[ID]])))="",TRUE()),"",IF(N(INDEX(tsk_Deadline,(ROW()-ROW(MSPTasks[[#Headers],[ID]]))))=0,"",INDEX(tsk_Deadline,(ROW()-ROW(MSPTasks[[#Headers],[ID]])))))</f>
        <v/>
      </c>
      <c r="X199" s="24" t="str">
        <f aca="false">IF(IFERROR(INDEX(tsk_Name,(ROW()-ROW(MSPTasks[[#Headers],[ID]])))="",TRUE()),"",IF(INDEX(tsk_IsSummary,(ROW()-ROW(MSPTasks[[#Headers],[ID]]))),"",INDEX(tsk_Sprint,(ROW()-ROW(MSPTasks[[#Headers],[ID]])))&amp;""))</f>
        <v/>
      </c>
      <c r="Y199" s="24" t="str">
        <f aca="false">IF(IFERROR(INDEX(tsk_Name,(ROW()-ROW(MSPTasks[[#Headers],[ID]])))="",TRUE()),"",IF(INDEX(tsk_IsSummary,(ROW()-ROW(MSPTasks[[#Headers],[ID]]))),"",IF(N(INDEX(tsk_StoryPoints,(ROW()-ROW(MSPTasks[[#Headers],[ID]]))))=0,"",INDEX(tsk_StoryPoints,(ROW()-ROW(MSPTasks[[#Headers],[ID]]))))))</f>
        <v/>
      </c>
      <c r="Z199" s="24" t="str">
        <f aca="false">IF(IFERROR(INDEX(tsk_Name,(ROW()-ROW(MSPTasks[[#Headers],[ID]])))="",TRUE()),"",INDEX(tsk_Notes,(ROW()-ROW(MSPTasks[[#Headers],[ID]])))&amp;"")</f>
        <v/>
      </c>
    </row>
    <row r="200" customFormat="false" ht="15" hidden="false" customHeight="false" outlineLevel="0" collapsed="false">
      <c r="A200" s="24" t="str">
        <f aca="false">IF(IFERROR(INDEX(tsk_Name,(ROW()-ROW(MSPTasks[[#Headers],[ID]])))="",TRUE()),"",INDEX(tsk_ID,(ROW()-ROW(MSPTasks[[#Headers],[ID]]))))</f>
        <v/>
      </c>
      <c r="B200" s="24" t="str">
        <f aca="false">IF(IFERROR(INDEX(tsk_Name,(ROW()-ROW(MSPTasks[[#Headers],[ID]])))="",TRUE()),"",INDEX(tsk_UID,(ROW()-ROW(MSPTasks[[#Headers],[ID]]))))</f>
        <v/>
      </c>
      <c r="C200" s="24" t="str">
        <f aca="false">IF(IFERROR(INDEX(tsk_Name,(ROW()-ROW(MSPTasks[[#Headers],[ID]])))="",TRUE()),"",INDEX(tsk_Name,(ROW()-ROW(MSPTasks[[#Headers],[ID]]))))</f>
        <v/>
      </c>
      <c r="D200" s="24" t="str">
        <f aca="false">IF(IFERROR(INDEX(tsk_Name,(ROW()-ROW(MSPTasks[[#Headers],[ID]])))="",TRUE()),"",INDEX(tsk_Level,(ROW()-ROW(MSPTasks[[#Headers],[ID]]))))</f>
        <v/>
      </c>
      <c r="E200" s="24" t="str">
        <f aca="false">IF(IFERROR(INDEX(tsk_Name,(ROW()-ROW(MSPTasks[[#Headers],[ID]])))="",TRUE()),"",IF(INDEX(tsk_Mode,(ROW()-ROW(MSPTasks[[#Headers],[ID]])))="Manual","Manually Scheduled","Auto Scheduled"))</f>
        <v/>
      </c>
      <c r="F200" s="24" t="str">
        <f aca="false">IF(IFERROR(INDEX(tsk_Name,(ROW()-ROW(MSPTasks[[#Headers],[ID]])))="",TRUE()),"",IF(INDEX(tsk_IsSummary,(ROW()-ROW(MSPTasks[[#Headers],[ID]]))),"",N(INDEX(tsk_Duration,(ROW()-ROW(MSPTasks[[#Headers],[ID]]))))&amp;"d"))</f>
        <v/>
      </c>
      <c r="G200" s="137" t="str">
        <f aca="false">IF(IFERROR(INDEX(tsk_Name,(ROW()-ROW(MSPTasks[[#Headers],[ID]])))="",TRUE()),"",INDEX(tsk_FcStart,(ROW()-ROW(MSPTasks[[#Headers],[ID]]))))</f>
        <v/>
      </c>
      <c r="H200" s="137" t="str">
        <f aca="false">IF(IFERROR(INDEX(tsk_Name,(ROW()-ROW(MSPTasks[[#Headers],[ID]])))="",TRUE()),"",INDEX(tsk_FcFinish,(ROW()-ROW(MSPTasks[[#Headers],[ID]]))))</f>
        <v/>
      </c>
      <c r="I200" s="24" t="str">
        <f aca="false">IF(IFERROR(INDEX(tsk_Name,(ROW()-ROW(MSPTasks[[#Headers],[ID]])))="",TRUE()),"",IF(INDEX(tsk_IsSummary,(ROW()-ROW(MSPTasks[[#Headers],[ID]]))),"",INDEX(tsk_Predecessors,(ROW()-ROW(MSPTasks[[#Headers],[ID]])))))</f>
        <v/>
      </c>
      <c r="J200" s="24" t="str">
        <f aca="false">IF(IFERROR(INDEX(tsk_Name,(ROW()-ROW(MSPTasks[[#Headers],[ID]])))="",TRUE()),"",IF(INDEX(tsk_IsSummary,(ROW()-ROW(MSPTasks[[#Headers],[ID]]))),"",INDEX(tsk_UIDPredecessors,(ROW()-ROW(MSPTasks[[#Headers],[ID]])))))</f>
        <v/>
      </c>
      <c r="K200" s="24" t="str">
        <f aca="false">IF(IFERROR(INDEX(tsk_Name,(ROW()-ROW(MSPTasks[[#Headers],[ID]])))="",TRUE()),"",INDEX(tsk_ResourceNames,(ROW()-ROW(MSPTasks[[#Headers],[ID]])))&amp;"")</f>
        <v/>
      </c>
      <c r="L200" s="24" t="str">
        <f aca="false">IF(IFERROR(INDEX(tsk_Name,(ROW()-ROW(MSPTasks[[#Headers],[ID]])))="",TRUE()),"",IF(INDEX(tsk_IsSummary,(ROW()-ROW(MSPTasks[[#Headers],[ID]]))),"",ROUND(INDEX(tsk_Progress,(ROW()-ROW(MSPTasks[[#Headers],[ID]])))*100,0)))</f>
        <v/>
      </c>
      <c r="M200" s="137" t="str">
        <f aca="false">IF(IFERROR(INDEX(tsk_Name,(ROW()-ROW(MSPTasks[[#Headers],[ID]])))="",TRUE()),"",IF(N(INDEX(tsk_ActStart,(ROW()-ROW(MSPTasks[[#Headers],[ID]]))))=0,"",INDEX(tsk_ActStart,(ROW()-ROW(MSPTasks[[#Headers],[ID]])))))</f>
        <v/>
      </c>
      <c r="N200" s="137" t="str">
        <f aca="false">IF(IFERROR(INDEX(tsk_Name,(ROW()-ROW(MSPTasks[[#Headers],[ID]])))="",TRUE()),"",IF(N(INDEX(tsk_ActFinish,(ROW()-ROW(MSPTasks[[#Headers],[ID]]))))=0,"",INDEX(tsk_ActFinish,(ROW()-ROW(MSPTasks[[#Headers],[ID]])))))</f>
        <v/>
      </c>
      <c r="O200" s="137" t="str">
        <f aca="false">IF(IFERROR(INDEX(tsk_Name,(ROW()-ROW(MSPTasks[[#Headers],[ID]])))="",TRUE()),"",INDEX(tsk_PlanStart,(ROW()-ROW(MSPTasks[[#Headers],[ID]]))))</f>
        <v/>
      </c>
      <c r="P200" s="137" t="str">
        <f aca="false">IF(IFERROR(INDEX(tsk_Name,(ROW()-ROW(MSPTasks[[#Headers],[ID]])))="",TRUE()),"",INDEX(tsk_PlanFinish,(ROW()-ROW(MSPTasks[[#Headers],[ID]]))))</f>
        <v/>
      </c>
      <c r="Q200" s="24" t="str">
        <f aca="false">IF(IFERROR(INDEX(tsk_Name,(ROW()-ROW(MSPTasks[[#Headers],[ID]])))="",TRUE()),"",IF(INDEX(tsk_BaseDuration,(ROW()-ROW(MSPTasks[[#Headers],[ID]])))="","",N(INDEX(tsk_BaseDuration,(ROW()-ROW(MSPTasks[[#Headers],[ID]]))))&amp;"d"))</f>
        <v/>
      </c>
      <c r="R200" s="24" t="str">
        <f aca="false">IF(IFERROR(INDEX(tsk_Name,(ROW()-ROW(MSPTasks[[#Headers],[ID]])))="",TRUE()),"",IF(INDEX(tsk_BaseWork,(ROW()-ROW(MSPTasks[[#Headers],[ID]])))="","",N(INDEX(tsk_BaseWork,(ROW()-ROW(MSPTasks[[#Headers],[ID]]))))&amp;"h"))</f>
        <v/>
      </c>
      <c r="S200" s="24" t="str">
        <f aca="false">IF(IFERROR(INDEX(tsk_Name,(ROW()-ROW(MSPTasks[[#Headers],[ID]])))="",TRUE()),"",IF(INDEX(tsk_BaseCost,(ROW()-ROW(MSPTasks[[#Headers],[ID]])))="","",N(INDEX(tsk_BaseCost,(ROW()-ROW(MSPTasks[[#Headers],[ID]]))))))</f>
        <v/>
      </c>
      <c r="T200" s="24" t="str">
        <f aca="false">IF(IFERROR(INDEX(tsk_Name,(ROW()-ROW(MSPTasks[[#Headers],[ID]])))="",TRUE()),"",IF(INDEX(tsk_IsSummary,(ROW()-ROW(MSPTasks[[#Headers],[ID]]))),"",IF(N(INDEX(tsk_ActCostInput,(ROW()-ROW(MSPTasks[[#Headers],[ID]]))))=0,"",INDEX(tsk_ActCostInput,(ROW()-ROW(MSPTasks[[#Headers],[ID]]))))))</f>
        <v/>
      </c>
      <c r="U200"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200" s="137" t="str">
        <f aca="false">IF(IFERROR(INDEX(tsk_Name,(ROW()-ROW(MSPTasks[[#Headers],[ID]])))="",TRUE()),"",IF(OR(INDEX(tsk_IsSummary,(ROW()-ROW(MSPTasks[[#Headers],[ID]]))),INDEX(tsk_Mode,(ROW()-ROW(MSPTasks[[#Headers],[ID]])))="Manual"),"",IF(N(INDEX(tsk_ConstraintCode,(ROW()-ROW(MSPTasks[[#Headers],[ID]]))))&lt;2,"",INDEX(tsk_Constraint,(ROW()-ROW(MSPTasks[[#Headers],[ID]]))))))</f>
        <v/>
      </c>
      <c r="W200" s="137" t="str">
        <f aca="false">IF(IFERROR(INDEX(tsk_Name,(ROW()-ROW(MSPTasks[[#Headers],[ID]])))="",TRUE()),"",IF(N(INDEX(tsk_Deadline,(ROW()-ROW(MSPTasks[[#Headers],[ID]]))))=0,"",INDEX(tsk_Deadline,(ROW()-ROW(MSPTasks[[#Headers],[ID]])))))</f>
        <v/>
      </c>
      <c r="X200" s="24" t="str">
        <f aca="false">IF(IFERROR(INDEX(tsk_Name,(ROW()-ROW(MSPTasks[[#Headers],[ID]])))="",TRUE()),"",IF(INDEX(tsk_IsSummary,(ROW()-ROW(MSPTasks[[#Headers],[ID]]))),"",INDEX(tsk_Sprint,(ROW()-ROW(MSPTasks[[#Headers],[ID]])))&amp;""))</f>
        <v/>
      </c>
      <c r="Y200" s="24" t="str">
        <f aca="false">IF(IFERROR(INDEX(tsk_Name,(ROW()-ROW(MSPTasks[[#Headers],[ID]])))="",TRUE()),"",IF(INDEX(tsk_IsSummary,(ROW()-ROW(MSPTasks[[#Headers],[ID]]))),"",IF(N(INDEX(tsk_StoryPoints,(ROW()-ROW(MSPTasks[[#Headers],[ID]]))))=0,"",INDEX(tsk_StoryPoints,(ROW()-ROW(MSPTasks[[#Headers],[ID]]))))))</f>
        <v/>
      </c>
      <c r="Z200" s="24" t="str">
        <f aca="false">IF(IFERROR(INDEX(tsk_Name,(ROW()-ROW(MSPTasks[[#Headers],[ID]])))="",TRUE()),"",INDEX(tsk_Notes,(ROW()-ROW(MSPTasks[[#Headers],[ID]])))&amp;"")</f>
        <v/>
      </c>
    </row>
    <row r="201" customFormat="false" ht="15" hidden="false" customHeight="false" outlineLevel="0" collapsed="false">
      <c r="A201" s="24" t="str">
        <f aca="false">IF(IFERROR(INDEX(tsk_Name,(ROW()-ROW(MSPTasks[[#Headers],[ID]])))="",TRUE()),"",INDEX(tsk_ID,(ROW()-ROW(MSPTasks[[#Headers],[ID]]))))</f>
        <v/>
      </c>
      <c r="B201" s="24" t="str">
        <f aca="false">IF(IFERROR(INDEX(tsk_Name,(ROW()-ROW(MSPTasks[[#Headers],[ID]])))="",TRUE()),"",INDEX(tsk_UID,(ROW()-ROW(MSPTasks[[#Headers],[ID]]))))</f>
        <v/>
      </c>
      <c r="C201" s="24" t="str">
        <f aca="false">IF(IFERROR(INDEX(tsk_Name,(ROW()-ROW(MSPTasks[[#Headers],[ID]])))="",TRUE()),"",INDEX(tsk_Name,(ROW()-ROW(MSPTasks[[#Headers],[ID]]))))</f>
        <v/>
      </c>
      <c r="D201" s="24" t="str">
        <f aca="false">IF(IFERROR(INDEX(tsk_Name,(ROW()-ROW(MSPTasks[[#Headers],[ID]])))="",TRUE()),"",INDEX(tsk_Level,(ROW()-ROW(MSPTasks[[#Headers],[ID]]))))</f>
        <v/>
      </c>
      <c r="E201" s="24" t="str">
        <f aca="false">IF(IFERROR(INDEX(tsk_Name,(ROW()-ROW(MSPTasks[[#Headers],[ID]])))="",TRUE()),"",IF(INDEX(tsk_Mode,(ROW()-ROW(MSPTasks[[#Headers],[ID]])))="Manual","Manually Scheduled","Auto Scheduled"))</f>
        <v/>
      </c>
      <c r="F201" s="24" t="str">
        <f aca="false">IF(IFERROR(INDEX(tsk_Name,(ROW()-ROW(MSPTasks[[#Headers],[ID]])))="",TRUE()),"",IF(INDEX(tsk_IsSummary,(ROW()-ROW(MSPTasks[[#Headers],[ID]]))),"",N(INDEX(tsk_Duration,(ROW()-ROW(MSPTasks[[#Headers],[ID]]))))&amp;"d"))</f>
        <v/>
      </c>
      <c r="G201" s="137" t="str">
        <f aca="false">IF(IFERROR(INDEX(tsk_Name,(ROW()-ROW(MSPTasks[[#Headers],[ID]])))="",TRUE()),"",INDEX(tsk_FcStart,(ROW()-ROW(MSPTasks[[#Headers],[ID]]))))</f>
        <v/>
      </c>
      <c r="H201" s="137" t="str">
        <f aca="false">IF(IFERROR(INDEX(tsk_Name,(ROW()-ROW(MSPTasks[[#Headers],[ID]])))="",TRUE()),"",INDEX(tsk_FcFinish,(ROW()-ROW(MSPTasks[[#Headers],[ID]]))))</f>
        <v/>
      </c>
      <c r="I201" s="24" t="str">
        <f aca="false">IF(IFERROR(INDEX(tsk_Name,(ROW()-ROW(MSPTasks[[#Headers],[ID]])))="",TRUE()),"",IF(INDEX(tsk_IsSummary,(ROW()-ROW(MSPTasks[[#Headers],[ID]]))),"",INDEX(tsk_Predecessors,(ROW()-ROW(MSPTasks[[#Headers],[ID]])))))</f>
        <v/>
      </c>
      <c r="J201" s="24" t="str">
        <f aca="false">IF(IFERROR(INDEX(tsk_Name,(ROW()-ROW(MSPTasks[[#Headers],[ID]])))="",TRUE()),"",IF(INDEX(tsk_IsSummary,(ROW()-ROW(MSPTasks[[#Headers],[ID]]))),"",INDEX(tsk_UIDPredecessors,(ROW()-ROW(MSPTasks[[#Headers],[ID]])))))</f>
        <v/>
      </c>
      <c r="K201" s="24" t="str">
        <f aca="false">IF(IFERROR(INDEX(tsk_Name,(ROW()-ROW(MSPTasks[[#Headers],[ID]])))="",TRUE()),"",INDEX(tsk_ResourceNames,(ROW()-ROW(MSPTasks[[#Headers],[ID]])))&amp;"")</f>
        <v/>
      </c>
      <c r="L201" s="24" t="str">
        <f aca="false">IF(IFERROR(INDEX(tsk_Name,(ROW()-ROW(MSPTasks[[#Headers],[ID]])))="",TRUE()),"",IF(INDEX(tsk_IsSummary,(ROW()-ROW(MSPTasks[[#Headers],[ID]]))),"",ROUND(INDEX(tsk_Progress,(ROW()-ROW(MSPTasks[[#Headers],[ID]])))*100,0)))</f>
        <v/>
      </c>
      <c r="M201" s="137" t="str">
        <f aca="false">IF(IFERROR(INDEX(tsk_Name,(ROW()-ROW(MSPTasks[[#Headers],[ID]])))="",TRUE()),"",IF(N(INDEX(tsk_ActStart,(ROW()-ROW(MSPTasks[[#Headers],[ID]]))))=0,"",INDEX(tsk_ActStart,(ROW()-ROW(MSPTasks[[#Headers],[ID]])))))</f>
        <v/>
      </c>
      <c r="N201" s="137" t="str">
        <f aca="false">IF(IFERROR(INDEX(tsk_Name,(ROW()-ROW(MSPTasks[[#Headers],[ID]])))="",TRUE()),"",IF(N(INDEX(tsk_ActFinish,(ROW()-ROW(MSPTasks[[#Headers],[ID]]))))=0,"",INDEX(tsk_ActFinish,(ROW()-ROW(MSPTasks[[#Headers],[ID]])))))</f>
        <v/>
      </c>
      <c r="O201" s="137" t="str">
        <f aca="false">IF(IFERROR(INDEX(tsk_Name,(ROW()-ROW(MSPTasks[[#Headers],[ID]])))="",TRUE()),"",INDEX(tsk_PlanStart,(ROW()-ROW(MSPTasks[[#Headers],[ID]]))))</f>
        <v/>
      </c>
      <c r="P201" s="137" t="str">
        <f aca="false">IF(IFERROR(INDEX(tsk_Name,(ROW()-ROW(MSPTasks[[#Headers],[ID]])))="",TRUE()),"",INDEX(tsk_PlanFinish,(ROW()-ROW(MSPTasks[[#Headers],[ID]]))))</f>
        <v/>
      </c>
      <c r="Q201" s="24" t="str">
        <f aca="false">IF(IFERROR(INDEX(tsk_Name,(ROW()-ROW(MSPTasks[[#Headers],[ID]])))="",TRUE()),"",IF(INDEX(tsk_BaseDuration,(ROW()-ROW(MSPTasks[[#Headers],[ID]])))="","",N(INDEX(tsk_BaseDuration,(ROW()-ROW(MSPTasks[[#Headers],[ID]]))))&amp;"d"))</f>
        <v/>
      </c>
      <c r="R201" s="24" t="str">
        <f aca="false">IF(IFERROR(INDEX(tsk_Name,(ROW()-ROW(MSPTasks[[#Headers],[ID]])))="",TRUE()),"",IF(INDEX(tsk_BaseWork,(ROW()-ROW(MSPTasks[[#Headers],[ID]])))="","",N(INDEX(tsk_BaseWork,(ROW()-ROW(MSPTasks[[#Headers],[ID]]))))&amp;"h"))</f>
        <v/>
      </c>
      <c r="S201" s="24" t="str">
        <f aca="false">IF(IFERROR(INDEX(tsk_Name,(ROW()-ROW(MSPTasks[[#Headers],[ID]])))="",TRUE()),"",IF(INDEX(tsk_BaseCost,(ROW()-ROW(MSPTasks[[#Headers],[ID]])))="","",N(INDEX(tsk_BaseCost,(ROW()-ROW(MSPTasks[[#Headers],[ID]]))))))</f>
        <v/>
      </c>
      <c r="T201" s="24" t="str">
        <f aca="false">IF(IFERROR(INDEX(tsk_Name,(ROW()-ROW(MSPTasks[[#Headers],[ID]])))="",TRUE()),"",IF(INDEX(tsk_IsSummary,(ROW()-ROW(MSPTasks[[#Headers],[ID]]))),"",IF(N(INDEX(tsk_ActCostInput,(ROW()-ROW(MSPTasks[[#Headers],[ID]]))))=0,"",INDEX(tsk_ActCostInput,(ROW()-ROW(MSPTasks[[#Headers],[ID]]))))))</f>
        <v/>
      </c>
      <c r="U201" s="24" t="str">
        <f aca="false">IF(IFERROR(INDEX(tsk_Name,(ROW()-ROW(MSPTasks[[#Headers],[ID]])))="",TRUE()),"",IF(INDEX(tsk_IsSummary,(ROW()-ROW(MSPTasks[[#Headers],[ID]]))),"",IF(INDEX(tsk_Mode,(ROW()-ROW(MSPTasks[[#Headers],[ID]])))="Manual","As Soon As Possible",CHOOSE(INDEX(tsk_ConstraintCode,(ROW()-ROW(MSPTasks[[#Headers],[ID]])))+1,"As Soon As Possible","As Late As Possible","Must Start On","Must Finish On","Start No Earlier Than","Start No Later Than","Finish No Earlier Than","Finish No Later Than"))))</f>
        <v/>
      </c>
      <c r="V201" s="137" t="str">
        <f aca="false">IF(IFERROR(INDEX(tsk_Name,(ROW()-ROW(MSPTasks[[#Headers],[ID]])))="",TRUE()),"",IF(OR(INDEX(tsk_IsSummary,(ROW()-ROW(MSPTasks[[#Headers],[ID]]))),INDEX(tsk_Mode,(ROW()-ROW(MSPTasks[[#Headers],[ID]])))="Manual"),"",IF(N(INDEX(tsk_ConstraintCode,(ROW()-ROW(MSPTasks[[#Headers],[ID]]))))&lt;2,"",INDEX(tsk_Constraint,(ROW()-ROW(MSPTasks[[#Headers],[ID]]))))))</f>
        <v/>
      </c>
      <c r="W201" s="137" t="str">
        <f aca="false">IF(IFERROR(INDEX(tsk_Name,(ROW()-ROW(MSPTasks[[#Headers],[ID]])))="",TRUE()),"",IF(N(INDEX(tsk_Deadline,(ROW()-ROW(MSPTasks[[#Headers],[ID]]))))=0,"",INDEX(tsk_Deadline,(ROW()-ROW(MSPTasks[[#Headers],[ID]])))))</f>
        <v/>
      </c>
      <c r="X201" s="24" t="str">
        <f aca="false">IF(IFERROR(INDEX(tsk_Name,(ROW()-ROW(MSPTasks[[#Headers],[ID]])))="",TRUE()),"",IF(INDEX(tsk_IsSummary,(ROW()-ROW(MSPTasks[[#Headers],[ID]]))),"",INDEX(tsk_Sprint,(ROW()-ROW(MSPTasks[[#Headers],[ID]])))&amp;""))</f>
        <v/>
      </c>
      <c r="Y201" s="24" t="str">
        <f aca="false">IF(IFERROR(INDEX(tsk_Name,(ROW()-ROW(MSPTasks[[#Headers],[ID]])))="",TRUE()),"",IF(INDEX(tsk_IsSummary,(ROW()-ROW(MSPTasks[[#Headers],[ID]]))),"",IF(N(INDEX(tsk_StoryPoints,(ROW()-ROW(MSPTasks[[#Headers],[ID]]))))=0,"",INDEX(tsk_StoryPoints,(ROW()-ROW(MSPTasks[[#Headers],[ID]]))))))</f>
        <v/>
      </c>
      <c r="Z201" s="24" t="str">
        <f aca="false">IF(IFERROR(INDEX(tsk_Name,(ROW()-ROW(MSPTasks[[#Headers],[ID]])))="",TRUE()),"",INDEX(tsk_Notes,(ROW()-ROW(MSPTasks[[#Headers],[ID]])))&amp;"")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0"/>
    <col collapsed="false" customWidth="true" hidden="false" outlineLevel="0" max="5" min="4" style="0" width="10"/>
    <col collapsed="false" customWidth="true" hidden="false" outlineLevel="0" max="6" min="6" style="0" width="12"/>
    <col collapsed="false" customWidth="true" hidden="false" outlineLevel="0" max="7" min="7" style="0" width="26"/>
  </cols>
  <sheetData>
    <row r="1" customFormat="false" ht="23.85" hidden="false" customHeight="false" outlineLevel="0" collapsed="false">
      <c r="A1" s="9" t="s">
        <v>833</v>
      </c>
      <c r="B1" s="9" t="s">
        <v>713</v>
      </c>
      <c r="C1" s="9" t="s">
        <v>714</v>
      </c>
      <c r="D1" s="9" t="s">
        <v>286</v>
      </c>
      <c r="E1" s="9" t="s">
        <v>242</v>
      </c>
      <c r="F1" s="9" t="s">
        <v>840</v>
      </c>
      <c r="G1" s="9" t="s">
        <v>841</v>
      </c>
    </row>
    <row r="2" customFormat="false" ht="15" hidden="false" customHeight="false" outlineLevel="0" collapsed="false">
      <c r="A2" s="24" t="str">
        <f aca="false">IF(IFERROR(INDEX(res_Name,(ROW()-ROW(MSPResources[[#Headers],[Name]])))="",TRUE()),"",INDEX(res_Name,(ROW()-ROW(MSPResources[[#Headers],[Name]])))&amp;"")</f>
        <v>Priya Sharma</v>
      </c>
      <c r="B2" s="24" t="str">
        <f aca="false">IF(IFERROR(INDEX(res_Name,(ROW()-ROW(MSPResources[[#Headers],[Name]])))="",TRUE()),"",INDEX(res_Initials,(ROW()-ROW(MSPResources[[#Headers],[Name]])))&amp;"")</f>
        <v>PS</v>
      </c>
      <c r="C2" s="24" t="str">
        <f aca="false">IF(IFERROR(INDEX(res_Name,(ROW()-ROW(MSPResources[[#Headers],[Name]])))="",TRUE()),"",INDEX(res_Group,(ROW()-ROW(MSPResources[[#Headers],[Name]])))&amp;"")</f>
        <v>Project Manager</v>
      </c>
      <c r="D2" s="24" t="str">
        <f aca="false">IF(IFERROR(INDEX(res_Name,(ROW()-ROW(MSPResources[[#Headers],[Name]])))="",TRUE()),"",INDEX(res_Type,(ROW()-ROW(MSPResources[[#Headers],[Name]])))&amp;"")</f>
        <v>Work</v>
      </c>
      <c r="E2" s="24" t="str">
        <f aca="false">IF(IFERROR(INDEX(res_Name,(ROW()-ROW(MSPResources[[#Headers],[Name]])))="",TRUE()),"",ROUND(INDEX(res_MaxUnits,(ROW()-ROW(MSPResources[[#Headers],[Name]])))*100,0)&amp;"%")</f>
        <v>50%</v>
      </c>
      <c r="F2" s="24" t="str">
        <f aca="false">IF(IFERROR(INDEX(res_Name,(ROW()-ROW(MSPResources[[#Headers],[Name]])))="",TRUE()),"",INDEX(res_Rate,(ROW()-ROW(MSPResources[[#Headers],[Name]])))&amp;"/h")</f>
        <v>95/h</v>
      </c>
      <c r="G2" s="24" t="str">
        <f aca="false">IF(IFERROR(INDEX(res_Name,(ROW()-ROW(MSPResources[[#Headers],[Name]])))="",TRUE()),"",INDEX(res_Email,(ROW()-ROW(MSPResources[[#Headers],[Name]])))&amp;"")</f>
        <v>priya@example.com</v>
      </c>
    </row>
    <row r="3" customFormat="false" ht="15" hidden="false" customHeight="false" outlineLevel="0" collapsed="false">
      <c r="A3" s="24" t="str">
        <f aca="false">IF(IFERROR(INDEX(res_Name,(ROW()-ROW(MSPResources[[#Headers],[Name]])))="",TRUE()),"",INDEX(res_Name,(ROW()-ROW(MSPResources[[#Headers],[Name]])))&amp;"")</f>
        <v>Morgan Patel</v>
      </c>
      <c r="B3" s="24" t="str">
        <f aca="false">IF(IFERROR(INDEX(res_Name,(ROW()-ROW(MSPResources[[#Headers],[Name]])))="",TRUE()),"",INDEX(res_Initials,(ROW()-ROW(MSPResources[[#Headers],[Name]])))&amp;"")</f>
        <v>MP</v>
      </c>
      <c r="C3" s="24" t="str">
        <f aca="false">IF(IFERROR(INDEX(res_Name,(ROW()-ROW(MSPResources[[#Headers],[Name]])))="",TRUE()),"",INDEX(res_Group,(ROW()-ROW(MSPResources[[#Headers],[Name]])))&amp;"")</f>
        <v>Business Analyst</v>
      </c>
      <c r="D3" s="24" t="str">
        <f aca="false">IF(IFERROR(INDEX(res_Name,(ROW()-ROW(MSPResources[[#Headers],[Name]])))="",TRUE()),"",INDEX(res_Type,(ROW()-ROW(MSPResources[[#Headers],[Name]])))&amp;"")</f>
        <v>Work</v>
      </c>
      <c r="E3" s="24" t="str">
        <f aca="false">IF(IFERROR(INDEX(res_Name,(ROW()-ROW(MSPResources[[#Headers],[Name]])))="",TRUE()),"",ROUND(INDEX(res_MaxUnits,(ROW()-ROW(MSPResources[[#Headers],[Name]])))*100,0)&amp;"%")</f>
        <v>100%</v>
      </c>
      <c r="F3" s="24" t="str">
        <f aca="false">IF(IFERROR(INDEX(res_Name,(ROW()-ROW(MSPResources[[#Headers],[Name]])))="",TRUE()),"",INDEX(res_Rate,(ROW()-ROW(MSPResources[[#Headers],[Name]])))&amp;"/h")</f>
        <v>70/h</v>
      </c>
      <c r="G3" s="24" t="str">
        <f aca="false">IF(IFERROR(INDEX(res_Name,(ROW()-ROW(MSPResources[[#Headers],[Name]])))="",TRUE()),"",INDEX(res_Email,(ROW()-ROW(MSPResources[[#Headers],[Name]])))&amp;"")</f>
        <v>morgan@example.com</v>
      </c>
    </row>
    <row r="4" customFormat="false" ht="15" hidden="false" customHeight="false" outlineLevel="0" collapsed="false">
      <c r="A4" s="24" t="str">
        <f aca="false">IF(IFERROR(INDEX(res_Name,(ROW()-ROW(MSPResources[[#Headers],[Name]])))="",TRUE()),"",INDEX(res_Name,(ROW()-ROW(MSPResources[[#Headers],[Name]])))&amp;"")</f>
        <v>Alex Chen</v>
      </c>
      <c r="B4" s="24" t="str">
        <f aca="false">IF(IFERROR(INDEX(res_Name,(ROW()-ROW(MSPResources[[#Headers],[Name]])))="",TRUE()),"",INDEX(res_Initials,(ROW()-ROW(MSPResources[[#Headers],[Name]])))&amp;"")</f>
        <v>AC</v>
      </c>
      <c r="C4" s="24" t="str">
        <f aca="false">IF(IFERROR(INDEX(res_Name,(ROW()-ROW(MSPResources[[#Headers],[Name]])))="",TRUE()),"",INDEX(res_Group,(ROW()-ROW(MSPResources[[#Headers],[Name]])))&amp;"")</f>
        <v>Solution Architect</v>
      </c>
      <c r="D4" s="24" t="str">
        <f aca="false">IF(IFERROR(INDEX(res_Name,(ROW()-ROW(MSPResources[[#Headers],[Name]])))="",TRUE()),"",INDEX(res_Type,(ROW()-ROW(MSPResources[[#Headers],[Name]])))&amp;"")</f>
        <v>Work</v>
      </c>
      <c r="E4" s="24" t="str">
        <f aca="false">IF(IFERROR(INDEX(res_Name,(ROW()-ROW(MSPResources[[#Headers],[Name]])))="",TRUE()),"",ROUND(INDEX(res_MaxUnits,(ROW()-ROW(MSPResources[[#Headers],[Name]])))*100,0)&amp;"%")</f>
        <v>50%</v>
      </c>
      <c r="F4" s="24" t="str">
        <f aca="false">IF(IFERROR(INDEX(res_Name,(ROW()-ROW(MSPResources[[#Headers],[Name]])))="",TRUE()),"",INDEX(res_Rate,(ROW()-ROW(MSPResources[[#Headers],[Name]])))&amp;"/h")</f>
        <v>110/h</v>
      </c>
      <c r="G4" s="24" t="str">
        <f aca="false">IF(IFERROR(INDEX(res_Name,(ROW()-ROW(MSPResources[[#Headers],[Name]])))="",TRUE()),"",INDEX(res_Email,(ROW()-ROW(MSPResources[[#Headers],[Name]])))&amp;"")</f>
        <v>alex@example.com</v>
      </c>
    </row>
    <row r="5" customFormat="false" ht="15" hidden="false" customHeight="false" outlineLevel="0" collapsed="false">
      <c r="A5" s="24" t="str">
        <f aca="false">IF(IFERROR(INDEX(res_Name,(ROW()-ROW(MSPResources[[#Headers],[Name]])))="",TRUE()),"",INDEX(res_Name,(ROW()-ROW(MSPResources[[#Headers],[Name]])))&amp;"")</f>
        <v>Casey Kim</v>
      </c>
      <c r="B5" s="24" t="str">
        <f aca="false">IF(IFERROR(INDEX(res_Name,(ROW()-ROW(MSPResources[[#Headers],[Name]])))="",TRUE()),"",INDEX(res_Initials,(ROW()-ROW(MSPResources[[#Headers],[Name]])))&amp;"")</f>
        <v>CK</v>
      </c>
      <c r="C5" s="24" t="str">
        <f aca="false">IF(IFERROR(INDEX(res_Name,(ROW()-ROW(MSPResources[[#Headers],[Name]])))="",TRUE()),"",INDEX(res_Group,(ROW()-ROW(MSPResources[[#Headers],[Name]])))&amp;"")</f>
        <v>UX Designer</v>
      </c>
      <c r="D5" s="24" t="str">
        <f aca="false">IF(IFERROR(INDEX(res_Name,(ROW()-ROW(MSPResources[[#Headers],[Name]])))="",TRUE()),"",INDEX(res_Type,(ROW()-ROW(MSPResources[[#Headers],[Name]])))&amp;"")</f>
        <v>Work</v>
      </c>
      <c r="E5" s="24" t="str">
        <f aca="false">IF(IFERROR(INDEX(res_Name,(ROW()-ROW(MSPResources[[#Headers],[Name]])))="",TRUE()),"",ROUND(INDEX(res_MaxUnits,(ROW()-ROW(MSPResources[[#Headers],[Name]])))*100,0)&amp;"%")</f>
        <v>100%</v>
      </c>
      <c r="F5" s="24" t="str">
        <f aca="false">IF(IFERROR(INDEX(res_Name,(ROW()-ROW(MSPResources[[#Headers],[Name]])))="",TRUE()),"",INDEX(res_Rate,(ROW()-ROW(MSPResources[[#Headers],[Name]])))&amp;"/h")</f>
        <v>75/h</v>
      </c>
      <c r="G5" s="24" t="str">
        <f aca="false">IF(IFERROR(INDEX(res_Name,(ROW()-ROW(MSPResources[[#Headers],[Name]])))="",TRUE()),"",INDEX(res_Email,(ROW()-ROW(MSPResources[[#Headers],[Name]])))&amp;"")</f>
        <v>casey@example.com</v>
      </c>
    </row>
    <row r="6" customFormat="false" ht="15" hidden="false" customHeight="false" outlineLevel="0" collapsed="false">
      <c r="A6" s="24" t="str">
        <f aca="false">IF(IFERROR(INDEX(res_Name,(ROW()-ROW(MSPResources[[#Headers],[Name]])))="",TRUE()),"",INDEX(res_Name,(ROW()-ROW(MSPResources[[#Headers],[Name]])))&amp;"")</f>
        <v>Jordan Lee</v>
      </c>
      <c r="B6" s="24" t="str">
        <f aca="false">IF(IFERROR(INDEX(res_Name,(ROW()-ROW(MSPResources[[#Headers],[Name]])))="",TRUE()),"",INDEX(res_Initials,(ROW()-ROW(MSPResources[[#Headers],[Name]])))&amp;"")</f>
        <v>JL</v>
      </c>
      <c r="C6" s="24" t="str">
        <f aca="false">IF(IFERROR(INDEX(res_Name,(ROW()-ROW(MSPResources[[#Headers],[Name]])))="",TRUE()),"",INDEX(res_Group,(ROW()-ROW(MSPResources[[#Headers],[Name]])))&amp;"")</f>
        <v>Backend Developer</v>
      </c>
      <c r="D6" s="24" t="str">
        <f aca="false">IF(IFERROR(INDEX(res_Name,(ROW()-ROW(MSPResources[[#Headers],[Name]])))="",TRUE()),"",INDEX(res_Type,(ROW()-ROW(MSPResources[[#Headers],[Name]])))&amp;"")</f>
        <v>Work</v>
      </c>
      <c r="E6" s="24" t="str">
        <f aca="false">IF(IFERROR(INDEX(res_Name,(ROW()-ROW(MSPResources[[#Headers],[Name]])))="",TRUE()),"",ROUND(INDEX(res_MaxUnits,(ROW()-ROW(MSPResources[[#Headers],[Name]])))*100,0)&amp;"%")</f>
        <v>100%</v>
      </c>
      <c r="F6" s="24" t="str">
        <f aca="false">IF(IFERROR(INDEX(res_Name,(ROW()-ROW(MSPResources[[#Headers],[Name]])))="",TRUE()),"",INDEX(res_Rate,(ROW()-ROW(MSPResources[[#Headers],[Name]])))&amp;"/h")</f>
        <v>85/h</v>
      </c>
      <c r="G6" s="24" t="str">
        <f aca="false">IF(IFERROR(INDEX(res_Name,(ROW()-ROW(MSPResources[[#Headers],[Name]])))="",TRUE()),"",INDEX(res_Email,(ROW()-ROW(MSPResources[[#Headers],[Name]])))&amp;"")</f>
        <v>jordan@example.com</v>
      </c>
    </row>
    <row r="7" customFormat="false" ht="15" hidden="false" customHeight="false" outlineLevel="0" collapsed="false">
      <c r="A7" s="24" t="str">
        <f aca="false">IF(IFERROR(INDEX(res_Name,(ROW()-ROW(MSPResources[[#Headers],[Name]])))="",TRUE()),"",INDEX(res_Name,(ROW()-ROW(MSPResources[[#Headers],[Name]])))&amp;"")</f>
        <v>Sam Rivera</v>
      </c>
      <c r="B7" s="24" t="str">
        <f aca="false">IF(IFERROR(INDEX(res_Name,(ROW()-ROW(MSPResources[[#Headers],[Name]])))="",TRUE()),"",INDEX(res_Initials,(ROW()-ROW(MSPResources[[#Headers],[Name]])))&amp;"")</f>
        <v>SR</v>
      </c>
      <c r="C7" s="24" t="str">
        <f aca="false">IF(IFERROR(INDEX(res_Name,(ROW()-ROW(MSPResources[[#Headers],[Name]])))="",TRUE()),"",INDEX(res_Group,(ROW()-ROW(MSPResources[[#Headers],[Name]])))&amp;"")</f>
        <v>Frontend Developer</v>
      </c>
      <c r="D7" s="24" t="str">
        <f aca="false">IF(IFERROR(INDEX(res_Name,(ROW()-ROW(MSPResources[[#Headers],[Name]])))="",TRUE()),"",INDEX(res_Type,(ROW()-ROW(MSPResources[[#Headers],[Name]])))&amp;"")</f>
        <v>Work</v>
      </c>
      <c r="E7" s="24" t="str">
        <f aca="false">IF(IFERROR(INDEX(res_Name,(ROW()-ROW(MSPResources[[#Headers],[Name]])))="",TRUE()),"",ROUND(INDEX(res_MaxUnits,(ROW()-ROW(MSPResources[[#Headers],[Name]])))*100,0)&amp;"%")</f>
        <v>100%</v>
      </c>
      <c r="F7" s="24" t="str">
        <f aca="false">IF(IFERROR(INDEX(res_Name,(ROW()-ROW(MSPResources[[#Headers],[Name]])))="",TRUE()),"",INDEX(res_Rate,(ROW()-ROW(MSPResources[[#Headers],[Name]])))&amp;"/h")</f>
        <v>80/h</v>
      </c>
      <c r="G7" s="24" t="str">
        <f aca="false">IF(IFERROR(INDEX(res_Name,(ROW()-ROW(MSPResources[[#Headers],[Name]])))="",TRUE()),"",INDEX(res_Email,(ROW()-ROW(MSPResources[[#Headers],[Name]])))&amp;"")</f>
        <v>sam@example.com</v>
      </c>
    </row>
    <row r="8" customFormat="false" ht="15" hidden="false" customHeight="false" outlineLevel="0" collapsed="false">
      <c r="A8" s="24" t="str">
        <f aca="false">IF(IFERROR(INDEX(res_Name,(ROW()-ROW(MSPResources[[#Headers],[Name]])))="",TRUE()),"",INDEX(res_Name,(ROW()-ROW(MSPResources[[#Headers],[Name]])))&amp;"")</f>
        <v>Taylor Morgan</v>
      </c>
      <c r="B8" s="24" t="str">
        <f aca="false">IF(IFERROR(INDEX(res_Name,(ROW()-ROW(MSPResources[[#Headers],[Name]])))="",TRUE()),"",INDEX(res_Initials,(ROW()-ROW(MSPResources[[#Headers],[Name]])))&amp;"")</f>
        <v>TM</v>
      </c>
      <c r="C8" s="24" t="str">
        <f aca="false">IF(IFERROR(INDEX(res_Name,(ROW()-ROW(MSPResources[[#Headers],[Name]])))="",TRUE()),"",INDEX(res_Group,(ROW()-ROW(MSPResources[[#Headers],[Name]])))&amp;"")</f>
        <v>QA Engineer</v>
      </c>
      <c r="D8" s="24" t="str">
        <f aca="false">IF(IFERROR(INDEX(res_Name,(ROW()-ROW(MSPResources[[#Headers],[Name]])))="",TRUE()),"",INDEX(res_Type,(ROW()-ROW(MSPResources[[#Headers],[Name]])))&amp;"")</f>
        <v>Work</v>
      </c>
      <c r="E8" s="24" t="str">
        <f aca="false">IF(IFERROR(INDEX(res_Name,(ROW()-ROW(MSPResources[[#Headers],[Name]])))="",TRUE()),"",ROUND(INDEX(res_MaxUnits,(ROW()-ROW(MSPResources[[#Headers],[Name]])))*100,0)&amp;"%")</f>
        <v>100%</v>
      </c>
      <c r="F8" s="24" t="str">
        <f aca="false">IF(IFERROR(INDEX(res_Name,(ROW()-ROW(MSPResources[[#Headers],[Name]])))="",TRUE()),"",INDEX(res_Rate,(ROW()-ROW(MSPResources[[#Headers],[Name]])))&amp;"/h")</f>
        <v>65/h</v>
      </c>
      <c r="G8" s="24" t="str">
        <f aca="false">IF(IFERROR(INDEX(res_Name,(ROW()-ROW(MSPResources[[#Headers],[Name]])))="",TRUE()),"",INDEX(res_Email,(ROW()-ROW(MSPResources[[#Headers],[Name]])))&amp;"")</f>
        <v>taylor@example.com</v>
      </c>
    </row>
    <row r="9" customFormat="false" ht="15" hidden="false" customHeight="false" outlineLevel="0" collapsed="false">
      <c r="A9" s="24" t="str">
        <f aca="false">IF(IFERROR(INDEX(res_Name,(ROW()-ROW(MSPResources[[#Headers],[Name]])))="",TRUE()),"",INDEX(res_Name,(ROW()-ROW(MSPResources[[#Headers],[Name]])))&amp;"")</f>
        <v/>
      </c>
      <c r="B9" s="24" t="str">
        <f aca="false">IF(IFERROR(INDEX(res_Name,(ROW()-ROW(MSPResources[[#Headers],[Name]])))="",TRUE()),"",INDEX(res_Initials,(ROW()-ROW(MSPResources[[#Headers],[Name]])))&amp;"")</f>
        <v/>
      </c>
      <c r="C9" s="24" t="str">
        <f aca="false">IF(IFERROR(INDEX(res_Name,(ROW()-ROW(MSPResources[[#Headers],[Name]])))="",TRUE()),"",INDEX(res_Group,(ROW()-ROW(MSPResources[[#Headers],[Name]])))&amp;"")</f>
        <v/>
      </c>
      <c r="D9" s="24" t="str">
        <f aca="false">IF(IFERROR(INDEX(res_Name,(ROW()-ROW(MSPResources[[#Headers],[Name]])))="",TRUE()),"",INDEX(res_Type,(ROW()-ROW(MSPResources[[#Headers],[Name]])))&amp;"")</f>
        <v/>
      </c>
      <c r="E9" s="24" t="str">
        <f aca="false">IF(IFERROR(INDEX(res_Name,(ROW()-ROW(MSPResources[[#Headers],[Name]])))="",TRUE()),"",ROUND(INDEX(res_MaxUnits,(ROW()-ROW(MSPResources[[#Headers],[Name]])))*100,0)&amp;"%")</f>
        <v/>
      </c>
      <c r="F9" s="24" t="str">
        <f aca="false">IF(IFERROR(INDEX(res_Name,(ROW()-ROW(MSPResources[[#Headers],[Name]])))="",TRUE()),"",INDEX(res_Rate,(ROW()-ROW(MSPResources[[#Headers],[Name]])))&amp;"/h")</f>
        <v/>
      </c>
      <c r="G9" s="24" t="str">
        <f aca="false">IF(IFERROR(INDEX(res_Name,(ROW()-ROW(MSPResources[[#Headers],[Name]])))="",TRUE()),"",INDEX(res_Email,(ROW()-ROW(MSPResources[[#Headers],[Name]])))&amp;"")</f>
        <v/>
      </c>
    </row>
    <row r="10" customFormat="false" ht="15" hidden="false" customHeight="false" outlineLevel="0" collapsed="false">
      <c r="A10" s="24" t="str">
        <f aca="false">IF(IFERROR(INDEX(res_Name,(ROW()-ROW(MSPResources[[#Headers],[Name]])))="",TRUE()),"",INDEX(res_Name,(ROW()-ROW(MSPResources[[#Headers],[Name]])))&amp;"")</f>
        <v/>
      </c>
      <c r="B10" s="24" t="str">
        <f aca="false">IF(IFERROR(INDEX(res_Name,(ROW()-ROW(MSPResources[[#Headers],[Name]])))="",TRUE()),"",INDEX(res_Initials,(ROW()-ROW(MSPResources[[#Headers],[Name]])))&amp;"")</f>
        <v/>
      </c>
      <c r="C10" s="24" t="str">
        <f aca="false">IF(IFERROR(INDEX(res_Name,(ROW()-ROW(MSPResources[[#Headers],[Name]])))="",TRUE()),"",INDEX(res_Group,(ROW()-ROW(MSPResources[[#Headers],[Name]])))&amp;"")</f>
        <v/>
      </c>
      <c r="D10" s="24" t="str">
        <f aca="false">IF(IFERROR(INDEX(res_Name,(ROW()-ROW(MSPResources[[#Headers],[Name]])))="",TRUE()),"",INDEX(res_Type,(ROW()-ROW(MSPResources[[#Headers],[Name]])))&amp;"")</f>
        <v/>
      </c>
      <c r="E10" s="24" t="str">
        <f aca="false">IF(IFERROR(INDEX(res_Name,(ROW()-ROW(MSPResources[[#Headers],[Name]])))="",TRUE()),"",ROUND(INDEX(res_MaxUnits,(ROW()-ROW(MSPResources[[#Headers],[Name]])))*100,0)&amp;"%")</f>
        <v/>
      </c>
      <c r="F10" s="24" t="str">
        <f aca="false">IF(IFERROR(INDEX(res_Name,(ROW()-ROW(MSPResources[[#Headers],[Name]])))="",TRUE()),"",INDEX(res_Rate,(ROW()-ROW(MSPResources[[#Headers],[Name]])))&amp;"/h")</f>
        <v/>
      </c>
      <c r="G10" s="24" t="str">
        <f aca="false">IF(IFERROR(INDEX(res_Name,(ROW()-ROW(MSPResources[[#Headers],[Name]])))="",TRUE()),"",INDEX(res_Email,(ROW()-ROW(MSPResources[[#Headers],[Name]])))&amp;"")</f>
        <v/>
      </c>
    </row>
    <row r="11" customFormat="false" ht="15" hidden="false" customHeight="false" outlineLevel="0" collapsed="false">
      <c r="A11" s="24" t="str">
        <f aca="false">IF(IFERROR(INDEX(res_Name,(ROW()-ROW(MSPResources[[#Headers],[Name]])))="",TRUE()),"",INDEX(res_Name,(ROW()-ROW(MSPResources[[#Headers],[Name]])))&amp;"")</f>
        <v/>
      </c>
      <c r="B11" s="24" t="str">
        <f aca="false">IF(IFERROR(INDEX(res_Name,(ROW()-ROW(MSPResources[[#Headers],[Name]])))="",TRUE()),"",INDEX(res_Initials,(ROW()-ROW(MSPResources[[#Headers],[Name]])))&amp;"")</f>
        <v/>
      </c>
      <c r="C11" s="24" t="str">
        <f aca="false">IF(IFERROR(INDEX(res_Name,(ROW()-ROW(MSPResources[[#Headers],[Name]])))="",TRUE()),"",INDEX(res_Group,(ROW()-ROW(MSPResources[[#Headers],[Name]])))&amp;"")</f>
        <v/>
      </c>
      <c r="D11" s="24" t="str">
        <f aca="false">IF(IFERROR(INDEX(res_Name,(ROW()-ROW(MSPResources[[#Headers],[Name]])))="",TRUE()),"",INDEX(res_Type,(ROW()-ROW(MSPResources[[#Headers],[Name]])))&amp;"")</f>
        <v/>
      </c>
      <c r="E11" s="24" t="str">
        <f aca="false">IF(IFERROR(INDEX(res_Name,(ROW()-ROW(MSPResources[[#Headers],[Name]])))="",TRUE()),"",ROUND(INDEX(res_MaxUnits,(ROW()-ROW(MSPResources[[#Headers],[Name]])))*100,0)&amp;"%")</f>
        <v/>
      </c>
      <c r="F11" s="24" t="str">
        <f aca="false">IF(IFERROR(INDEX(res_Name,(ROW()-ROW(MSPResources[[#Headers],[Name]])))="",TRUE()),"",INDEX(res_Rate,(ROW()-ROW(MSPResources[[#Headers],[Name]])))&amp;"/h")</f>
        <v/>
      </c>
      <c r="G11" s="24" t="str">
        <f aca="false">IF(IFERROR(INDEX(res_Name,(ROW()-ROW(MSPResources[[#Headers],[Name]])))="",TRUE()),"",INDEX(res_Email,(ROW()-ROW(MSPResources[[#Headers],[Name]])))&amp;"")</f>
        <v/>
      </c>
    </row>
    <row r="12" customFormat="false" ht="15" hidden="false" customHeight="false" outlineLevel="0" collapsed="false">
      <c r="A12" s="24" t="str">
        <f aca="false">IF(IFERROR(INDEX(res_Name,(ROW()-ROW(MSPResources[[#Headers],[Name]])))="",TRUE()),"",INDEX(res_Name,(ROW()-ROW(MSPResources[[#Headers],[Name]])))&amp;"")</f>
        <v/>
      </c>
      <c r="B12" s="24" t="str">
        <f aca="false">IF(IFERROR(INDEX(res_Name,(ROW()-ROW(MSPResources[[#Headers],[Name]])))="",TRUE()),"",INDEX(res_Initials,(ROW()-ROW(MSPResources[[#Headers],[Name]])))&amp;"")</f>
        <v/>
      </c>
      <c r="C12" s="24" t="str">
        <f aca="false">IF(IFERROR(INDEX(res_Name,(ROW()-ROW(MSPResources[[#Headers],[Name]])))="",TRUE()),"",INDEX(res_Group,(ROW()-ROW(MSPResources[[#Headers],[Name]])))&amp;"")</f>
        <v/>
      </c>
      <c r="D12" s="24" t="str">
        <f aca="false">IF(IFERROR(INDEX(res_Name,(ROW()-ROW(MSPResources[[#Headers],[Name]])))="",TRUE()),"",INDEX(res_Type,(ROW()-ROW(MSPResources[[#Headers],[Name]])))&amp;"")</f>
        <v/>
      </c>
      <c r="E12" s="24" t="str">
        <f aca="false">IF(IFERROR(INDEX(res_Name,(ROW()-ROW(MSPResources[[#Headers],[Name]])))="",TRUE()),"",ROUND(INDEX(res_MaxUnits,(ROW()-ROW(MSPResources[[#Headers],[Name]])))*100,0)&amp;"%")</f>
        <v/>
      </c>
      <c r="F12" s="24" t="str">
        <f aca="false">IF(IFERROR(INDEX(res_Name,(ROW()-ROW(MSPResources[[#Headers],[Name]])))="",TRUE()),"",INDEX(res_Rate,(ROW()-ROW(MSPResources[[#Headers],[Name]])))&amp;"/h")</f>
        <v/>
      </c>
      <c r="G12" s="24" t="str">
        <f aca="false">IF(IFERROR(INDEX(res_Name,(ROW()-ROW(MSPResources[[#Headers],[Name]])))="",TRUE()),"",INDEX(res_Email,(ROW()-ROW(MSPResources[[#Headers],[Name]])))&amp;"")</f>
        <v/>
      </c>
    </row>
    <row r="13" customFormat="false" ht="15" hidden="false" customHeight="false" outlineLevel="0" collapsed="false">
      <c r="A13" s="24" t="str">
        <f aca="false">IF(IFERROR(INDEX(res_Name,(ROW()-ROW(MSPResources[[#Headers],[Name]])))="",TRUE()),"",INDEX(res_Name,(ROW()-ROW(MSPResources[[#Headers],[Name]])))&amp;"")</f>
        <v/>
      </c>
      <c r="B13" s="24" t="str">
        <f aca="false">IF(IFERROR(INDEX(res_Name,(ROW()-ROW(MSPResources[[#Headers],[Name]])))="",TRUE()),"",INDEX(res_Initials,(ROW()-ROW(MSPResources[[#Headers],[Name]])))&amp;"")</f>
        <v/>
      </c>
      <c r="C13" s="24" t="str">
        <f aca="false">IF(IFERROR(INDEX(res_Name,(ROW()-ROW(MSPResources[[#Headers],[Name]])))="",TRUE()),"",INDEX(res_Group,(ROW()-ROW(MSPResources[[#Headers],[Name]])))&amp;"")</f>
        <v/>
      </c>
      <c r="D13" s="24" t="str">
        <f aca="false">IF(IFERROR(INDEX(res_Name,(ROW()-ROW(MSPResources[[#Headers],[Name]])))="",TRUE()),"",INDEX(res_Type,(ROW()-ROW(MSPResources[[#Headers],[Name]])))&amp;"")</f>
        <v/>
      </c>
      <c r="E13" s="24" t="str">
        <f aca="false">IF(IFERROR(INDEX(res_Name,(ROW()-ROW(MSPResources[[#Headers],[Name]])))="",TRUE()),"",ROUND(INDEX(res_MaxUnits,(ROW()-ROW(MSPResources[[#Headers],[Name]])))*100,0)&amp;"%")</f>
        <v/>
      </c>
      <c r="F13" s="24" t="str">
        <f aca="false">IF(IFERROR(INDEX(res_Name,(ROW()-ROW(MSPResources[[#Headers],[Name]])))="",TRUE()),"",INDEX(res_Rate,(ROW()-ROW(MSPResources[[#Headers],[Name]])))&amp;"/h")</f>
        <v/>
      </c>
      <c r="G13" s="24" t="str">
        <f aca="false">IF(IFERROR(INDEX(res_Name,(ROW()-ROW(MSPResources[[#Headers],[Name]])))="",TRUE()),"",INDEX(res_Email,(ROW()-ROW(MSPResources[[#Headers],[Name]])))&amp;"")</f>
        <v/>
      </c>
    </row>
    <row r="14" customFormat="false" ht="15" hidden="false" customHeight="false" outlineLevel="0" collapsed="false">
      <c r="A14" s="24" t="str">
        <f aca="false">IF(IFERROR(INDEX(res_Name,(ROW()-ROW(MSPResources[[#Headers],[Name]])))="",TRUE()),"",INDEX(res_Name,(ROW()-ROW(MSPResources[[#Headers],[Name]])))&amp;"")</f>
        <v/>
      </c>
      <c r="B14" s="24" t="str">
        <f aca="false">IF(IFERROR(INDEX(res_Name,(ROW()-ROW(MSPResources[[#Headers],[Name]])))="",TRUE()),"",INDEX(res_Initials,(ROW()-ROW(MSPResources[[#Headers],[Name]])))&amp;"")</f>
        <v/>
      </c>
      <c r="C14" s="24" t="str">
        <f aca="false">IF(IFERROR(INDEX(res_Name,(ROW()-ROW(MSPResources[[#Headers],[Name]])))="",TRUE()),"",INDEX(res_Group,(ROW()-ROW(MSPResources[[#Headers],[Name]])))&amp;"")</f>
        <v/>
      </c>
      <c r="D14" s="24" t="str">
        <f aca="false">IF(IFERROR(INDEX(res_Name,(ROW()-ROW(MSPResources[[#Headers],[Name]])))="",TRUE()),"",INDEX(res_Type,(ROW()-ROW(MSPResources[[#Headers],[Name]])))&amp;"")</f>
        <v/>
      </c>
      <c r="E14" s="24" t="str">
        <f aca="false">IF(IFERROR(INDEX(res_Name,(ROW()-ROW(MSPResources[[#Headers],[Name]])))="",TRUE()),"",ROUND(INDEX(res_MaxUnits,(ROW()-ROW(MSPResources[[#Headers],[Name]])))*100,0)&amp;"%")</f>
        <v/>
      </c>
      <c r="F14" s="24" t="str">
        <f aca="false">IF(IFERROR(INDEX(res_Name,(ROW()-ROW(MSPResources[[#Headers],[Name]])))="",TRUE()),"",INDEX(res_Rate,(ROW()-ROW(MSPResources[[#Headers],[Name]])))&amp;"/h")</f>
        <v/>
      </c>
      <c r="G14" s="24" t="str">
        <f aca="false">IF(IFERROR(INDEX(res_Name,(ROW()-ROW(MSPResources[[#Headers],[Name]])))="",TRUE()),"",INDEX(res_Email,(ROW()-ROW(MSPResources[[#Headers],[Name]])))&amp;"")</f>
        <v/>
      </c>
    </row>
    <row r="15" customFormat="false" ht="15" hidden="false" customHeight="false" outlineLevel="0" collapsed="false">
      <c r="A15" s="24" t="str">
        <f aca="false">IF(IFERROR(INDEX(res_Name,(ROW()-ROW(MSPResources[[#Headers],[Name]])))="",TRUE()),"",INDEX(res_Name,(ROW()-ROW(MSPResources[[#Headers],[Name]])))&amp;"")</f>
        <v/>
      </c>
      <c r="B15" s="24" t="str">
        <f aca="false">IF(IFERROR(INDEX(res_Name,(ROW()-ROW(MSPResources[[#Headers],[Name]])))="",TRUE()),"",INDEX(res_Initials,(ROW()-ROW(MSPResources[[#Headers],[Name]])))&amp;"")</f>
        <v/>
      </c>
      <c r="C15" s="24" t="str">
        <f aca="false">IF(IFERROR(INDEX(res_Name,(ROW()-ROW(MSPResources[[#Headers],[Name]])))="",TRUE()),"",INDEX(res_Group,(ROW()-ROW(MSPResources[[#Headers],[Name]])))&amp;"")</f>
        <v/>
      </c>
      <c r="D15" s="24" t="str">
        <f aca="false">IF(IFERROR(INDEX(res_Name,(ROW()-ROW(MSPResources[[#Headers],[Name]])))="",TRUE()),"",INDEX(res_Type,(ROW()-ROW(MSPResources[[#Headers],[Name]])))&amp;"")</f>
        <v/>
      </c>
      <c r="E15" s="24" t="str">
        <f aca="false">IF(IFERROR(INDEX(res_Name,(ROW()-ROW(MSPResources[[#Headers],[Name]])))="",TRUE()),"",ROUND(INDEX(res_MaxUnits,(ROW()-ROW(MSPResources[[#Headers],[Name]])))*100,0)&amp;"%")</f>
        <v/>
      </c>
      <c r="F15" s="24" t="str">
        <f aca="false">IF(IFERROR(INDEX(res_Name,(ROW()-ROW(MSPResources[[#Headers],[Name]])))="",TRUE()),"",INDEX(res_Rate,(ROW()-ROW(MSPResources[[#Headers],[Name]])))&amp;"/h")</f>
        <v/>
      </c>
      <c r="G15" s="24" t="str">
        <f aca="false">IF(IFERROR(INDEX(res_Name,(ROW()-ROW(MSPResources[[#Headers],[Name]])))="",TRUE()),"",INDEX(res_Email,(ROW()-ROW(MSPResources[[#Headers],[Name]])))&amp;"")</f>
        <v/>
      </c>
    </row>
    <row r="16" customFormat="false" ht="15" hidden="false" customHeight="false" outlineLevel="0" collapsed="false">
      <c r="A16" s="24" t="str">
        <f aca="false">IF(IFERROR(INDEX(res_Name,(ROW()-ROW(MSPResources[[#Headers],[Name]])))="",TRUE()),"",INDEX(res_Name,(ROW()-ROW(MSPResources[[#Headers],[Name]])))&amp;"")</f>
        <v/>
      </c>
      <c r="B16" s="24" t="str">
        <f aca="false">IF(IFERROR(INDEX(res_Name,(ROW()-ROW(MSPResources[[#Headers],[Name]])))="",TRUE()),"",INDEX(res_Initials,(ROW()-ROW(MSPResources[[#Headers],[Name]])))&amp;"")</f>
        <v/>
      </c>
      <c r="C16" s="24" t="str">
        <f aca="false">IF(IFERROR(INDEX(res_Name,(ROW()-ROW(MSPResources[[#Headers],[Name]])))="",TRUE()),"",INDEX(res_Group,(ROW()-ROW(MSPResources[[#Headers],[Name]])))&amp;"")</f>
        <v/>
      </c>
      <c r="D16" s="24" t="str">
        <f aca="false">IF(IFERROR(INDEX(res_Name,(ROW()-ROW(MSPResources[[#Headers],[Name]])))="",TRUE()),"",INDEX(res_Type,(ROW()-ROW(MSPResources[[#Headers],[Name]])))&amp;"")</f>
        <v/>
      </c>
      <c r="E16" s="24" t="str">
        <f aca="false">IF(IFERROR(INDEX(res_Name,(ROW()-ROW(MSPResources[[#Headers],[Name]])))="",TRUE()),"",ROUND(INDEX(res_MaxUnits,(ROW()-ROW(MSPResources[[#Headers],[Name]])))*100,0)&amp;"%")</f>
        <v/>
      </c>
      <c r="F16" s="24" t="str">
        <f aca="false">IF(IFERROR(INDEX(res_Name,(ROW()-ROW(MSPResources[[#Headers],[Name]])))="",TRUE()),"",INDEX(res_Rate,(ROW()-ROW(MSPResources[[#Headers],[Name]])))&amp;"/h")</f>
        <v/>
      </c>
      <c r="G16" s="24" t="str">
        <f aca="false">IF(IFERROR(INDEX(res_Name,(ROW()-ROW(MSPResources[[#Headers],[Name]])))="",TRUE()),"",INDEX(res_Email,(ROW()-ROW(MSPResources[[#Headers],[Name]])))&amp;"")</f>
        <v/>
      </c>
    </row>
    <row r="17" customFormat="false" ht="15" hidden="false" customHeight="false" outlineLevel="0" collapsed="false">
      <c r="A17" s="24" t="str">
        <f aca="false">IF(IFERROR(INDEX(res_Name,(ROW()-ROW(MSPResources[[#Headers],[Name]])))="",TRUE()),"",INDEX(res_Name,(ROW()-ROW(MSPResources[[#Headers],[Name]])))&amp;"")</f>
        <v/>
      </c>
      <c r="B17" s="24" t="str">
        <f aca="false">IF(IFERROR(INDEX(res_Name,(ROW()-ROW(MSPResources[[#Headers],[Name]])))="",TRUE()),"",INDEX(res_Initials,(ROW()-ROW(MSPResources[[#Headers],[Name]])))&amp;"")</f>
        <v/>
      </c>
      <c r="C17" s="24" t="str">
        <f aca="false">IF(IFERROR(INDEX(res_Name,(ROW()-ROW(MSPResources[[#Headers],[Name]])))="",TRUE()),"",INDEX(res_Group,(ROW()-ROW(MSPResources[[#Headers],[Name]])))&amp;"")</f>
        <v/>
      </c>
      <c r="D17" s="24" t="str">
        <f aca="false">IF(IFERROR(INDEX(res_Name,(ROW()-ROW(MSPResources[[#Headers],[Name]])))="",TRUE()),"",INDEX(res_Type,(ROW()-ROW(MSPResources[[#Headers],[Name]])))&amp;"")</f>
        <v/>
      </c>
      <c r="E17" s="24" t="str">
        <f aca="false">IF(IFERROR(INDEX(res_Name,(ROW()-ROW(MSPResources[[#Headers],[Name]])))="",TRUE()),"",ROUND(INDEX(res_MaxUnits,(ROW()-ROW(MSPResources[[#Headers],[Name]])))*100,0)&amp;"%")</f>
        <v/>
      </c>
      <c r="F17" s="24" t="str">
        <f aca="false">IF(IFERROR(INDEX(res_Name,(ROW()-ROW(MSPResources[[#Headers],[Name]])))="",TRUE()),"",INDEX(res_Rate,(ROW()-ROW(MSPResources[[#Headers],[Name]])))&amp;"/h")</f>
        <v/>
      </c>
      <c r="G17" s="24" t="str">
        <f aca="false">IF(IFERROR(INDEX(res_Name,(ROW()-ROW(MSPResources[[#Headers],[Name]])))="",TRUE()),"",INDEX(res_Email,(ROW()-ROW(MSPResources[[#Headers],[Name]])))&amp;"")</f>
        <v/>
      </c>
    </row>
    <row r="18" customFormat="false" ht="15" hidden="false" customHeight="false" outlineLevel="0" collapsed="false">
      <c r="A18" s="24" t="str">
        <f aca="false">IF(IFERROR(INDEX(res_Name,(ROW()-ROW(MSPResources[[#Headers],[Name]])))="",TRUE()),"",INDEX(res_Name,(ROW()-ROW(MSPResources[[#Headers],[Name]])))&amp;"")</f>
        <v/>
      </c>
      <c r="B18" s="24" t="str">
        <f aca="false">IF(IFERROR(INDEX(res_Name,(ROW()-ROW(MSPResources[[#Headers],[Name]])))="",TRUE()),"",INDEX(res_Initials,(ROW()-ROW(MSPResources[[#Headers],[Name]])))&amp;"")</f>
        <v/>
      </c>
      <c r="C18" s="24" t="str">
        <f aca="false">IF(IFERROR(INDEX(res_Name,(ROW()-ROW(MSPResources[[#Headers],[Name]])))="",TRUE()),"",INDEX(res_Group,(ROW()-ROW(MSPResources[[#Headers],[Name]])))&amp;"")</f>
        <v/>
      </c>
      <c r="D18" s="24" t="str">
        <f aca="false">IF(IFERROR(INDEX(res_Name,(ROW()-ROW(MSPResources[[#Headers],[Name]])))="",TRUE()),"",INDEX(res_Type,(ROW()-ROW(MSPResources[[#Headers],[Name]])))&amp;"")</f>
        <v/>
      </c>
      <c r="E18" s="24" t="str">
        <f aca="false">IF(IFERROR(INDEX(res_Name,(ROW()-ROW(MSPResources[[#Headers],[Name]])))="",TRUE()),"",ROUND(INDEX(res_MaxUnits,(ROW()-ROW(MSPResources[[#Headers],[Name]])))*100,0)&amp;"%")</f>
        <v/>
      </c>
      <c r="F18" s="24" t="str">
        <f aca="false">IF(IFERROR(INDEX(res_Name,(ROW()-ROW(MSPResources[[#Headers],[Name]])))="",TRUE()),"",INDEX(res_Rate,(ROW()-ROW(MSPResources[[#Headers],[Name]])))&amp;"/h")</f>
        <v/>
      </c>
      <c r="G18" s="24" t="str">
        <f aca="false">IF(IFERROR(INDEX(res_Name,(ROW()-ROW(MSPResources[[#Headers],[Name]])))="",TRUE()),"",INDEX(res_Email,(ROW()-ROW(MSPResources[[#Headers],[Name]])))&amp;"")</f>
        <v/>
      </c>
    </row>
    <row r="19" customFormat="false" ht="15" hidden="false" customHeight="false" outlineLevel="0" collapsed="false">
      <c r="A19" s="24" t="str">
        <f aca="false">IF(IFERROR(INDEX(res_Name,(ROW()-ROW(MSPResources[[#Headers],[Name]])))="",TRUE()),"",INDEX(res_Name,(ROW()-ROW(MSPResources[[#Headers],[Name]])))&amp;"")</f>
        <v/>
      </c>
      <c r="B19" s="24" t="str">
        <f aca="false">IF(IFERROR(INDEX(res_Name,(ROW()-ROW(MSPResources[[#Headers],[Name]])))="",TRUE()),"",INDEX(res_Initials,(ROW()-ROW(MSPResources[[#Headers],[Name]])))&amp;"")</f>
        <v/>
      </c>
      <c r="C19" s="24" t="str">
        <f aca="false">IF(IFERROR(INDEX(res_Name,(ROW()-ROW(MSPResources[[#Headers],[Name]])))="",TRUE()),"",INDEX(res_Group,(ROW()-ROW(MSPResources[[#Headers],[Name]])))&amp;"")</f>
        <v/>
      </c>
      <c r="D19" s="24" t="str">
        <f aca="false">IF(IFERROR(INDEX(res_Name,(ROW()-ROW(MSPResources[[#Headers],[Name]])))="",TRUE()),"",INDEX(res_Type,(ROW()-ROW(MSPResources[[#Headers],[Name]])))&amp;"")</f>
        <v/>
      </c>
      <c r="E19" s="24" t="str">
        <f aca="false">IF(IFERROR(INDEX(res_Name,(ROW()-ROW(MSPResources[[#Headers],[Name]])))="",TRUE()),"",ROUND(INDEX(res_MaxUnits,(ROW()-ROW(MSPResources[[#Headers],[Name]])))*100,0)&amp;"%")</f>
        <v/>
      </c>
      <c r="F19" s="24" t="str">
        <f aca="false">IF(IFERROR(INDEX(res_Name,(ROW()-ROW(MSPResources[[#Headers],[Name]])))="",TRUE()),"",INDEX(res_Rate,(ROW()-ROW(MSPResources[[#Headers],[Name]])))&amp;"/h")</f>
        <v/>
      </c>
      <c r="G19" s="24" t="str">
        <f aca="false">IF(IFERROR(INDEX(res_Name,(ROW()-ROW(MSPResources[[#Headers],[Name]])))="",TRUE()),"",INDEX(res_Email,(ROW()-ROW(MSPResources[[#Headers],[Name]])))&amp;"")</f>
        <v/>
      </c>
    </row>
    <row r="20" customFormat="false" ht="15" hidden="false" customHeight="false" outlineLevel="0" collapsed="false">
      <c r="A20" s="24" t="str">
        <f aca="false">IF(IFERROR(INDEX(res_Name,(ROW()-ROW(MSPResources[[#Headers],[Name]])))="",TRUE()),"",INDEX(res_Name,(ROW()-ROW(MSPResources[[#Headers],[Name]])))&amp;"")</f>
        <v/>
      </c>
      <c r="B20" s="24" t="str">
        <f aca="false">IF(IFERROR(INDEX(res_Name,(ROW()-ROW(MSPResources[[#Headers],[Name]])))="",TRUE()),"",INDEX(res_Initials,(ROW()-ROW(MSPResources[[#Headers],[Name]])))&amp;"")</f>
        <v/>
      </c>
      <c r="C20" s="24" t="str">
        <f aca="false">IF(IFERROR(INDEX(res_Name,(ROW()-ROW(MSPResources[[#Headers],[Name]])))="",TRUE()),"",INDEX(res_Group,(ROW()-ROW(MSPResources[[#Headers],[Name]])))&amp;"")</f>
        <v/>
      </c>
      <c r="D20" s="24" t="str">
        <f aca="false">IF(IFERROR(INDEX(res_Name,(ROW()-ROW(MSPResources[[#Headers],[Name]])))="",TRUE()),"",INDEX(res_Type,(ROW()-ROW(MSPResources[[#Headers],[Name]])))&amp;"")</f>
        <v/>
      </c>
      <c r="E20" s="24" t="str">
        <f aca="false">IF(IFERROR(INDEX(res_Name,(ROW()-ROW(MSPResources[[#Headers],[Name]])))="",TRUE()),"",ROUND(INDEX(res_MaxUnits,(ROW()-ROW(MSPResources[[#Headers],[Name]])))*100,0)&amp;"%")</f>
        <v/>
      </c>
      <c r="F20" s="24" t="str">
        <f aca="false">IF(IFERROR(INDEX(res_Name,(ROW()-ROW(MSPResources[[#Headers],[Name]])))="",TRUE()),"",INDEX(res_Rate,(ROW()-ROW(MSPResources[[#Headers],[Name]])))&amp;"/h")</f>
        <v/>
      </c>
      <c r="G20" s="24" t="str">
        <f aca="false">IF(IFERROR(INDEX(res_Name,(ROW()-ROW(MSPResources[[#Headers],[Name]])))="",TRUE()),"",INDEX(res_Email,(ROW()-ROW(MSPResources[[#Headers],[Name]])))&amp;"")</f>
        <v/>
      </c>
    </row>
    <row r="21" customFormat="false" ht="15" hidden="false" customHeight="false" outlineLevel="0" collapsed="false">
      <c r="A21" s="24" t="str">
        <f aca="false">IF(IFERROR(INDEX(res_Name,(ROW()-ROW(MSPResources[[#Headers],[Name]])))="",TRUE()),"",INDEX(res_Name,(ROW()-ROW(MSPResources[[#Headers],[Name]])))&amp;"")</f>
        <v/>
      </c>
      <c r="B21" s="24" t="str">
        <f aca="false">IF(IFERROR(INDEX(res_Name,(ROW()-ROW(MSPResources[[#Headers],[Name]])))="",TRUE()),"",INDEX(res_Initials,(ROW()-ROW(MSPResources[[#Headers],[Name]])))&amp;"")</f>
        <v/>
      </c>
      <c r="C21" s="24" t="str">
        <f aca="false">IF(IFERROR(INDEX(res_Name,(ROW()-ROW(MSPResources[[#Headers],[Name]])))="",TRUE()),"",INDEX(res_Group,(ROW()-ROW(MSPResources[[#Headers],[Name]])))&amp;"")</f>
        <v/>
      </c>
      <c r="D21" s="24" t="str">
        <f aca="false">IF(IFERROR(INDEX(res_Name,(ROW()-ROW(MSPResources[[#Headers],[Name]])))="",TRUE()),"",INDEX(res_Type,(ROW()-ROW(MSPResources[[#Headers],[Name]])))&amp;"")</f>
        <v/>
      </c>
      <c r="E21" s="24" t="str">
        <f aca="false">IF(IFERROR(INDEX(res_Name,(ROW()-ROW(MSPResources[[#Headers],[Name]])))="",TRUE()),"",ROUND(INDEX(res_MaxUnits,(ROW()-ROW(MSPResources[[#Headers],[Name]])))*100,0)&amp;"%")</f>
        <v/>
      </c>
      <c r="F21" s="24" t="str">
        <f aca="false">IF(IFERROR(INDEX(res_Name,(ROW()-ROW(MSPResources[[#Headers],[Name]])))="",TRUE()),"",INDEX(res_Rate,(ROW()-ROW(MSPResources[[#Headers],[Name]])))&amp;"/h")</f>
        <v/>
      </c>
      <c r="G21" s="24" t="str">
        <f aca="false">IF(IFERROR(INDEX(res_Name,(ROW()-ROW(MSPResources[[#Headers],[Name]])))="",TRUE()),"",INDEX(res_Email,(ROW()-ROW(MSPResources[[#Headers],[Name]])))&amp;"")</f>
        <v/>
      </c>
    </row>
    <row r="22" customFormat="false" ht="15" hidden="false" customHeight="false" outlineLevel="0" collapsed="false">
      <c r="A22" s="24" t="str">
        <f aca="false">IF(IFERROR(INDEX(res_Name,(ROW()-ROW(MSPResources[[#Headers],[Name]])))="",TRUE()),"",INDEX(res_Name,(ROW()-ROW(MSPResources[[#Headers],[Name]])))&amp;"")</f>
        <v/>
      </c>
      <c r="B22" s="24" t="str">
        <f aca="false">IF(IFERROR(INDEX(res_Name,(ROW()-ROW(MSPResources[[#Headers],[Name]])))="",TRUE()),"",INDEX(res_Initials,(ROW()-ROW(MSPResources[[#Headers],[Name]])))&amp;"")</f>
        <v/>
      </c>
      <c r="C22" s="24" t="str">
        <f aca="false">IF(IFERROR(INDEX(res_Name,(ROW()-ROW(MSPResources[[#Headers],[Name]])))="",TRUE()),"",INDEX(res_Group,(ROW()-ROW(MSPResources[[#Headers],[Name]])))&amp;"")</f>
        <v/>
      </c>
      <c r="D22" s="24" t="str">
        <f aca="false">IF(IFERROR(INDEX(res_Name,(ROW()-ROW(MSPResources[[#Headers],[Name]])))="",TRUE()),"",INDEX(res_Type,(ROW()-ROW(MSPResources[[#Headers],[Name]])))&amp;"")</f>
        <v/>
      </c>
      <c r="E22" s="24" t="str">
        <f aca="false">IF(IFERROR(INDEX(res_Name,(ROW()-ROW(MSPResources[[#Headers],[Name]])))="",TRUE()),"",ROUND(INDEX(res_MaxUnits,(ROW()-ROW(MSPResources[[#Headers],[Name]])))*100,0)&amp;"%")</f>
        <v/>
      </c>
      <c r="F22" s="24" t="str">
        <f aca="false">IF(IFERROR(INDEX(res_Name,(ROW()-ROW(MSPResources[[#Headers],[Name]])))="",TRUE()),"",INDEX(res_Rate,(ROW()-ROW(MSPResources[[#Headers],[Name]])))&amp;"/h")</f>
        <v/>
      </c>
      <c r="G22" s="24" t="str">
        <f aca="false">IF(IFERROR(INDEX(res_Name,(ROW()-ROW(MSPResources[[#Headers],[Name]])))="",TRUE()),"",INDEX(res_Email,(ROW()-ROW(MSPResources[[#Headers],[Name]])))&amp;"")</f>
        <v/>
      </c>
    </row>
    <row r="23" customFormat="false" ht="15" hidden="false" customHeight="false" outlineLevel="0" collapsed="false">
      <c r="A23" s="24" t="str">
        <f aca="false">IF(IFERROR(INDEX(res_Name,(ROW()-ROW(MSPResources[[#Headers],[Name]])))="",TRUE()),"",INDEX(res_Name,(ROW()-ROW(MSPResources[[#Headers],[Name]])))&amp;"")</f>
        <v/>
      </c>
      <c r="B23" s="24" t="str">
        <f aca="false">IF(IFERROR(INDEX(res_Name,(ROW()-ROW(MSPResources[[#Headers],[Name]])))="",TRUE()),"",INDEX(res_Initials,(ROW()-ROW(MSPResources[[#Headers],[Name]])))&amp;"")</f>
        <v/>
      </c>
      <c r="C23" s="24" t="str">
        <f aca="false">IF(IFERROR(INDEX(res_Name,(ROW()-ROW(MSPResources[[#Headers],[Name]])))="",TRUE()),"",INDEX(res_Group,(ROW()-ROW(MSPResources[[#Headers],[Name]])))&amp;"")</f>
        <v/>
      </c>
      <c r="D23" s="24" t="str">
        <f aca="false">IF(IFERROR(INDEX(res_Name,(ROW()-ROW(MSPResources[[#Headers],[Name]])))="",TRUE()),"",INDEX(res_Type,(ROW()-ROW(MSPResources[[#Headers],[Name]])))&amp;"")</f>
        <v/>
      </c>
      <c r="E23" s="24" t="str">
        <f aca="false">IF(IFERROR(INDEX(res_Name,(ROW()-ROW(MSPResources[[#Headers],[Name]])))="",TRUE()),"",ROUND(INDEX(res_MaxUnits,(ROW()-ROW(MSPResources[[#Headers],[Name]])))*100,0)&amp;"%")</f>
        <v/>
      </c>
      <c r="F23" s="24" t="str">
        <f aca="false">IF(IFERROR(INDEX(res_Name,(ROW()-ROW(MSPResources[[#Headers],[Name]])))="",TRUE()),"",INDEX(res_Rate,(ROW()-ROW(MSPResources[[#Headers],[Name]])))&amp;"/h")</f>
        <v/>
      </c>
      <c r="G23" s="24" t="str">
        <f aca="false">IF(IFERROR(INDEX(res_Name,(ROW()-ROW(MSPResources[[#Headers],[Name]])))="",TRUE()),"",INDEX(res_Email,(ROW()-ROW(MSPResources[[#Headers],[Name]])))&amp;"")</f>
        <v/>
      </c>
    </row>
    <row r="24" customFormat="false" ht="15" hidden="false" customHeight="false" outlineLevel="0" collapsed="false">
      <c r="A24" s="24" t="str">
        <f aca="false">IF(IFERROR(INDEX(res_Name,(ROW()-ROW(MSPResources[[#Headers],[Name]])))="",TRUE()),"",INDEX(res_Name,(ROW()-ROW(MSPResources[[#Headers],[Name]])))&amp;"")</f>
        <v/>
      </c>
      <c r="B24" s="24" t="str">
        <f aca="false">IF(IFERROR(INDEX(res_Name,(ROW()-ROW(MSPResources[[#Headers],[Name]])))="",TRUE()),"",INDEX(res_Initials,(ROW()-ROW(MSPResources[[#Headers],[Name]])))&amp;"")</f>
        <v/>
      </c>
      <c r="C24" s="24" t="str">
        <f aca="false">IF(IFERROR(INDEX(res_Name,(ROW()-ROW(MSPResources[[#Headers],[Name]])))="",TRUE()),"",INDEX(res_Group,(ROW()-ROW(MSPResources[[#Headers],[Name]])))&amp;"")</f>
        <v/>
      </c>
      <c r="D24" s="24" t="str">
        <f aca="false">IF(IFERROR(INDEX(res_Name,(ROW()-ROW(MSPResources[[#Headers],[Name]])))="",TRUE()),"",INDEX(res_Type,(ROW()-ROW(MSPResources[[#Headers],[Name]])))&amp;"")</f>
        <v/>
      </c>
      <c r="E24" s="24" t="str">
        <f aca="false">IF(IFERROR(INDEX(res_Name,(ROW()-ROW(MSPResources[[#Headers],[Name]])))="",TRUE()),"",ROUND(INDEX(res_MaxUnits,(ROW()-ROW(MSPResources[[#Headers],[Name]])))*100,0)&amp;"%")</f>
        <v/>
      </c>
      <c r="F24" s="24" t="str">
        <f aca="false">IF(IFERROR(INDEX(res_Name,(ROW()-ROW(MSPResources[[#Headers],[Name]])))="",TRUE()),"",INDEX(res_Rate,(ROW()-ROW(MSPResources[[#Headers],[Name]])))&amp;"/h")</f>
        <v/>
      </c>
      <c r="G24" s="24" t="str">
        <f aca="false">IF(IFERROR(INDEX(res_Name,(ROW()-ROW(MSPResources[[#Headers],[Name]])))="",TRUE()),"",INDEX(res_Email,(ROW()-ROW(MSPResources[[#Headers],[Name]])))&amp;"")</f>
        <v/>
      </c>
    </row>
    <row r="25" customFormat="false" ht="15" hidden="false" customHeight="false" outlineLevel="0" collapsed="false">
      <c r="A25" s="24" t="str">
        <f aca="false">IF(IFERROR(INDEX(res_Name,(ROW()-ROW(MSPResources[[#Headers],[Name]])))="",TRUE()),"",INDEX(res_Name,(ROW()-ROW(MSPResources[[#Headers],[Name]])))&amp;"")</f>
        <v/>
      </c>
      <c r="B25" s="24" t="str">
        <f aca="false">IF(IFERROR(INDEX(res_Name,(ROW()-ROW(MSPResources[[#Headers],[Name]])))="",TRUE()),"",INDEX(res_Initials,(ROW()-ROW(MSPResources[[#Headers],[Name]])))&amp;"")</f>
        <v/>
      </c>
      <c r="C25" s="24" t="str">
        <f aca="false">IF(IFERROR(INDEX(res_Name,(ROW()-ROW(MSPResources[[#Headers],[Name]])))="",TRUE()),"",INDEX(res_Group,(ROW()-ROW(MSPResources[[#Headers],[Name]])))&amp;"")</f>
        <v/>
      </c>
      <c r="D25" s="24" t="str">
        <f aca="false">IF(IFERROR(INDEX(res_Name,(ROW()-ROW(MSPResources[[#Headers],[Name]])))="",TRUE()),"",INDEX(res_Type,(ROW()-ROW(MSPResources[[#Headers],[Name]])))&amp;"")</f>
        <v/>
      </c>
      <c r="E25" s="24" t="str">
        <f aca="false">IF(IFERROR(INDEX(res_Name,(ROW()-ROW(MSPResources[[#Headers],[Name]])))="",TRUE()),"",ROUND(INDEX(res_MaxUnits,(ROW()-ROW(MSPResources[[#Headers],[Name]])))*100,0)&amp;"%")</f>
        <v/>
      </c>
      <c r="F25" s="24" t="str">
        <f aca="false">IF(IFERROR(INDEX(res_Name,(ROW()-ROW(MSPResources[[#Headers],[Name]])))="",TRUE()),"",INDEX(res_Rate,(ROW()-ROW(MSPResources[[#Headers],[Name]])))&amp;"/h")</f>
        <v/>
      </c>
      <c r="G25" s="24" t="str">
        <f aca="false">IF(IFERROR(INDEX(res_Name,(ROW()-ROW(MSPResources[[#Headers],[Name]])))="",TRUE()),"",INDEX(res_Email,(ROW()-ROW(MSPResources[[#Headers],[Name]])))&amp;"")</f>
        <v/>
      </c>
    </row>
    <row r="26" customFormat="false" ht="15" hidden="false" customHeight="false" outlineLevel="0" collapsed="false">
      <c r="A26" s="24" t="str">
        <f aca="false">IF(IFERROR(INDEX(res_Name,(ROW()-ROW(MSPResources[[#Headers],[Name]])))="",TRUE()),"",INDEX(res_Name,(ROW()-ROW(MSPResources[[#Headers],[Name]])))&amp;"")</f>
        <v/>
      </c>
      <c r="B26" s="24" t="str">
        <f aca="false">IF(IFERROR(INDEX(res_Name,(ROW()-ROW(MSPResources[[#Headers],[Name]])))="",TRUE()),"",INDEX(res_Initials,(ROW()-ROW(MSPResources[[#Headers],[Name]])))&amp;"")</f>
        <v/>
      </c>
      <c r="C26" s="24" t="str">
        <f aca="false">IF(IFERROR(INDEX(res_Name,(ROW()-ROW(MSPResources[[#Headers],[Name]])))="",TRUE()),"",INDEX(res_Group,(ROW()-ROW(MSPResources[[#Headers],[Name]])))&amp;"")</f>
        <v/>
      </c>
      <c r="D26" s="24" t="str">
        <f aca="false">IF(IFERROR(INDEX(res_Name,(ROW()-ROW(MSPResources[[#Headers],[Name]])))="",TRUE()),"",INDEX(res_Type,(ROW()-ROW(MSPResources[[#Headers],[Name]])))&amp;"")</f>
        <v/>
      </c>
      <c r="E26" s="24" t="str">
        <f aca="false">IF(IFERROR(INDEX(res_Name,(ROW()-ROW(MSPResources[[#Headers],[Name]])))="",TRUE()),"",ROUND(INDEX(res_MaxUnits,(ROW()-ROW(MSPResources[[#Headers],[Name]])))*100,0)&amp;"%")</f>
        <v/>
      </c>
      <c r="F26" s="24" t="str">
        <f aca="false">IF(IFERROR(INDEX(res_Name,(ROW()-ROW(MSPResources[[#Headers],[Name]])))="",TRUE()),"",INDEX(res_Rate,(ROW()-ROW(MSPResources[[#Headers],[Name]])))&amp;"/h")</f>
        <v/>
      </c>
      <c r="G26" s="24" t="str">
        <f aca="false">IF(IFERROR(INDEX(res_Name,(ROW()-ROW(MSPResources[[#Headers],[Name]])))="",TRUE()),"",INDEX(res_Email,(ROW()-ROW(MSPResources[[#Headers],[Name]])))&amp;"")</f>
        <v/>
      </c>
    </row>
    <row r="27" customFormat="false" ht="15" hidden="false" customHeight="false" outlineLevel="0" collapsed="false">
      <c r="A27" s="24" t="str">
        <f aca="false">IF(IFERROR(INDEX(res_Name,(ROW()-ROW(MSPResources[[#Headers],[Name]])))="",TRUE()),"",INDEX(res_Name,(ROW()-ROW(MSPResources[[#Headers],[Name]])))&amp;"")</f>
        <v/>
      </c>
      <c r="B27" s="24" t="str">
        <f aca="false">IF(IFERROR(INDEX(res_Name,(ROW()-ROW(MSPResources[[#Headers],[Name]])))="",TRUE()),"",INDEX(res_Initials,(ROW()-ROW(MSPResources[[#Headers],[Name]])))&amp;"")</f>
        <v/>
      </c>
      <c r="C27" s="24" t="str">
        <f aca="false">IF(IFERROR(INDEX(res_Name,(ROW()-ROW(MSPResources[[#Headers],[Name]])))="",TRUE()),"",INDEX(res_Group,(ROW()-ROW(MSPResources[[#Headers],[Name]])))&amp;"")</f>
        <v/>
      </c>
      <c r="D27" s="24" t="str">
        <f aca="false">IF(IFERROR(INDEX(res_Name,(ROW()-ROW(MSPResources[[#Headers],[Name]])))="",TRUE()),"",INDEX(res_Type,(ROW()-ROW(MSPResources[[#Headers],[Name]])))&amp;"")</f>
        <v/>
      </c>
      <c r="E27" s="24" t="str">
        <f aca="false">IF(IFERROR(INDEX(res_Name,(ROW()-ROW(MSPResources[[#Headers],[Name]])))="",TRUE()),"",ROUND(INDEX(res_MaxUnits,(ROW()-ROW(MSPResources[[#Headers],[Name]])))*100,0)&amp;"%")</f>
        <v/>
      </c>
      <c r="F27" s="24" t="str">
        <f aca="false">IF(IFERROR(INDEX(res_Name,(ROW()-ROW(MSPResources[[#Headers],[Name]])))="",TRUE()),"",INDEX(res_Rate,(ROW()-ROW(MSPResources[[#Headers],[Name]])))&amp;"/h")</f>
        <v/>
      </c>
      <c r="G27" s="24" t="str">
        <f aca="false">IF(IFERROR(INDEX(res_Name,(ROW()-ROW(MSPResources[[#Headers],[Name]])))="",TRUE()),"",INDEX(res_Email,(ROW()-ROW(MSPResources[[#Headers],[Name]])))&amp;"")</f>
        <v/>
      </c>
    </row>
    <row r="28" customFormat="false" ht="15" hidden="false" customHeight="false" outlineLevel="0" collapsed="false">
      <c r="A28" s="24" t="str">
        <f aca="false">IF(IFERROR(INDEX(res_Name,(ROW()-ROW(MSPResources[[#Headers],[Name]])))="",TRUE()),"",INDEX(res_Name,(ROW()-ROW(MSPResources[[#Headers],[Name]])))&amp;"")</f>
        <v/>
      </c>
      <c r="B28" s="24" t="str">
        <f aca="false">IF(IFERROR(INDEX(res_Name,(ROW()-ROW(MSPResources[[#Headers],[Name]])))="",TRUE()),"",INDEX(res_Initials,(ROW()-ROW(MSPResources[[#Headers],[Name]])))&amp;"")</f>
        <v/>
      </c>
      <c r="C28" s="24" t="str">
        <f aca="false">IF(IFERROR(INDEX(res_Name,(ROW()-ROW(MSPResources[[#Headers],[Name]])))="",TRUE()),"",INDEX(res_Group,(ROW()-ROW(MSPResources[[#Headers],[Name]])))&amp;"")</f>
        <v/>
      </c>
      <c r="D28" s="24" t="str">
        <f aca="false">IF(IFERROR(INDEX(res_Name,(ROW()-ROW(MSPResources[[#Headers],[Name]])))="",TRUE()),"",INDEX(res_Type,(ROW()-ROW(MSPResources[[#Headers],[Name]])))&amp;"")</f>
        <v/>
      </c>
      <c r="E28" s="24" t="str">
        <f aca="false">IF(IFERROR(INDEX(res_Name,(ROW()-ROW(MSPResources[[#Headers],[Name]])))="",TRUE()),"",ROUND(INDEX(res_MaxUnits,(ROW()-ROW(MSPResources[[#Headers],[Name]])))*100,0)&amp;"%")</f>
        <v/>
      </c>
      <c r="F28" s="24" t="str">
        <f aca="false">IF(IFERROR(INDEX(res_Name,(ROW()-ROW(MSPResources[[#Headers],[Name]])))="",TRUE()),"",INDEX(res_Rate,(ROW()-ROW(MSPResources[[#Headers],[Name]])))&amp;"/h")</f>
        <v/>
      </c>
      <c r="G28" s="24" t="str">
        <f aca="false">IF(IFERROR(INDEX(res_Name,(ROW()-ROW(MSPResources[[#Headers],[Name]])))="",TRUE()),"",INDEX(res_Email,(ROW()-ROW(MSPResources[[#Headers],[Name]])))&amp;"")</f>
        <v/>
      </c>
    </row>
    <row r="29" customFormat="false" ht="15" hidden="false" customHeight="false" outlineLevel="0" collapsed="false">
      <c r="A29" s="24" t="str">
        <f aca="false">IF(IFERROR(INDEX(res_Name,(ROW()-ROW(MSPResources[[#Headers],[Name]])))="",TRUE()),"",INDEX(res_Name,(ROW()-ROW(MSPResources[[#Headers],[Name]])))&amp;"")</f>
        <v/>
      </c>
      <c r="B29" s="24" t="str">
        <f aca="false">IF(IFERROR(INDEX(res_Name,(ROW()-ROW(MSPResources[[#Headers],[Name]])))="",TRUE()),"",INDEX(res_Initials,(ROW()-ROW(MSPResources[[#Headers],[Name]])))&amp;"")</f>
        <v/>
      </c>
      <c r="C29" s="24" t="str">
        <f aca="false">IF(IFERROR(INDEX(res_Name,(ROW()-ROW(MSPResources[[#Headers],[Name]])))="",TRUE()),"",INDEX(res_Group,(ROW()-ROW(MSPResources[[#Headers],[Name]])))&amp;"")</f>
        <v/>
      </c>
      <c r="D29" s="24" t="str">
        <f aca="false">IF(IFERROR(INDEX(res_Name,(ROW()-ROW(MSPResources[[#Headers],[Name]])))="",TRUE()),"",INDEX(res_Type,(ROW()-ROW(MSPResources[[#Headers],[Name]])))&amp;"")</f>
        <v/>
      </c>
      <c r="E29" s="24" t="str">
        <f aca="false">IF(IFERROR(INDEX(res_Name,(ROW()-ROW(MSPResources[[#Headers],[Name]])))="",TRUE()),"",ROUND(INDEX(res_MaxUnits,(ROW()-ROW(MSPResources[[#Headers],[Name]])))*100,0)&amp;"%")</f>
        <v/>
      </c>
      <c r="F29" s="24" t="str">
        <f aca="false">IF(IFERROR(INDEX(res_Name,(ROW()-ROW(MSPResources[[#Headers],[Name]])))="",TRUE()),"",INDEX(res_Rate,(ROW()-ROW(MSPResources[[#Headers],[Name]])))&amp;"/h")</f>
        <v/>
      </c>
      <c r="G29" s="24" t="str">
        <f aca="false">IF(IFERROR(INDEX(res_Name,(ROW()-ROW(MSPResources[[#Headers],[Name]])))="",TRUE()),"",INDEX(res_Email,(ROW()-ROW(MSPResources[[#Headers],[Name]])))&amp;"")</f>
        <v/>
      </c>
    </row>
    <row r="30" customFormat="false" ht="15" hidden="false" customHeight="false" outlineLevel="0" collapsed="false">
      <c r="A30" s="24" t="str">
        <f aca="false">IF(IFERROR(INDEX(res_Name,(ROW()-ROW(MSPResources[[#Headers],[Name]])))="",TRUE()),"",INDEX(res_Name,(ROW()-ROW(MSPResources[[#Headers],[Name]])))&amp;"")</f>
        <v/>
      </c>
      <c r="B30" s="24" t="str">
        <f aca="false">IF(IFERROR(INDEX(res_Name,(ROW()-ROW(MSPResources[[#Headers],[Name]])))="",TRUE()),"",INDEX(res_Initials,(ROW()-ROW(MSPResources[[#Headers],[Name]])))&amp;"")</f>
        <v/>
      </c>
      <c r="C30" s="24" t="str">
        <f aca="false">IF(IFERROR(INDEX(res_Name,(ROW()-ROW(MSPResources[[#Headers],[Name]])))="",TRUE()),"",INDEX(res_Group,(ROW()-ROW(MSPResources[[#Headers],[Name]])))&amp;"")</f>
        <v/>
      </c>
      <c r="D30" s="24" t="str">
        <f aca="false">IF(IFERROR(INDEX(res_Name,(ROW()-ROW(MSPResources[[#Headers],[Name]])))="",TRUE()),"",INDEX(res_Type,(ROW()-ROW(MSPResources[[#Headers],[Name]])))&amp;"")</f>
        <v/>
      </c>
      <c r="E30" s="24" t="str">
        <f aca="false">IF(IFERROR(INDEX(res_Name,(ROW()-ROW(MSPResources[[#Headers],[Name]])))="",TRUE()),"",ROUND(INDEX(res_MaxUnits,(ROW()-ROW(MSPResources[[#Headers],[Name]])))*100,0)&amp;"%")</f>
        <v/>
      </c>
      <c r="F30" s="24" t="str">
        <f aca="false">IF(IFERROR(INDEX(res_Name,(ROW()-ROW(MSPResources[[#Headers],[Name]])))="",TRUE()),"",INDEX(res_Rate,(ROW()-ROW(MSPResources[[#Headers],[Name]])))&amp;"/h")</f>
        <v/>
      </c>
      <c r="G30" s="24" t="str">
        <f aca="false">IF(IFERROR(INDEX(res_Name,(ROW()-ROW(MSPResources[[#Headers],[Name]])))="",TRUE()),"",INDEX(res_Email,(ROW()-ROW(MSPResources[[#Headers],[Name]])))&amp;"")</f>
        <v/>
      </c>
    </row>
    <row r="31" customFormat="false" ht="15" hidden="false" customHeight="false" outlineLevel="0" collapsed="false">
      <c r="A31" s="24" t="str">
        <f aca="false">IF(IFERROR(INDEX(res_Name,(ROW()-ROW(MSPResources[[#Headers],[Name]])))="",TRUE()),"",INDEX(res_Name,(ROW()-ROW(MSPResources[[#Headers],[Name]])))&amp;"")</f>
        <v/>
      </c>
      <c r="B31" s="24" t="str">
        <f aca="false">IF(IFERROR(INDEX(res_Name,(ROW()-ROW(MSPResources[[#Headers],[Name]])))="",TRUE()),"",INDEX(res_Initials,(ROW()-ROW(MSPResources[[#Headers],[Name]])))&amp;"")</f>
        <v/>
      </c>
      <c r="C31" s="24" t="str">
        <f aca="false">IF(IFERROR(INDEX(res_Name,(ROW()-ROW(MSPResources[[#Headers],[Name]])))="",TRUE()),"",INDEX(res_Group,(ROW()-ROW(MSPResources[[#Headers],[Name]])))&amp;"")</f>
        <v/>
      </c>
      <c r="D31" s="24" t="str">
        <f aca="false">IF(IFERROR(INDEX(res_Name,(ROW()-ROW(MSPResources[[#Headers],[Name]])))="",TRUE()),"",INDEX(res_Type,(ROW()-ROW(MSPResources[[#Headers],[Name]])))&amp;"")</f>
        <v/>
      </c>
      <c r="E31" s="24" t="str">
        <f aca="false">IF(IFERROR(INDEX(res_Name,(ROW()-ROW(MSPResources[[#Headers],[Name]])))="",TRUE()),"",ROUND(INDEX(res_MaxUnits,(ROW()-ROW(MSPResources[[#Headers],[Name]])))*100,0)&amp;"%")</f>
        <v/>
      </c>
      <c r="F31" s="24" t="str">
        <f aca="false">IF(IFERROR(INDEX(res_Name,(ROW()-ROW(MSPResources[[#Headers],[Name]])))="",TRUE()),"",INDEX(res_Rate,(ROW()-ROW(MSPResources[[#Headers],[Name]])))&amp;"/h")</f>
        <v/>
      </c>
      <c r="G31" s="24" t="str">
        <f aca="false">IF(IFERROR(INDEX(res_Name,(ROW()-ROW(MSPResources[[#Headers],[Name]])))="",TRUE()),"",INDEX(res_Email,(ROW()-ROW(MSPResources[[#Headers],[Name]])))&amp;"")</f>
        <v/>
      </c>
    </row>
    <row r="32" customFormat="false" ht="15" hidden="false" customHeight="false" outlineLevel="0" collapsed="false">
      <c r="A32" s="24" t="str">
        <f aca="false">IF(IFERROR(INDEX(res_Name,(ROW()-ROW(MSPResources[[#Headers],[Name]])))="",TRUE()),"",INDEX(res_Name,(ROW()-ROW(MSPResources[[#Headers],[Name]])))&amp;"")</f>
        <v/>
      </c>
      <c r="B32" s="24" t="str">
        <f aca="false">IF(IFERROR(INDEX(res_Name,(ROW()-ROW(MSPResources[[#Headers],[Name]])))="",TRUE()),"",INDEX(res_Initials,(ROW()-ROW(MSPResources[[#Headers],[Name]])))&amp;"")</f>
        <v/>
      </c>
      <c r="C32" s="24" t="str">
        <f aca="false">IF(IFERROR(INDEX(res_Name,(ROW()-ROW(MSPResources[[#Headers],[Name]])))="",TRUE()),"",INDEX(res_Group,(ROW()-ROW(MSPResources[[#Headers],[Name]])))&amp;"")</f>
        <v/>
      </c>
      <c r="D32" s="24" t="str">
        <f aca="false">IF(IFERROR(INDEX(res_Name,(ROW()-ROW(MSPResources[[#Headers],[Name]])))="",TRUE()),"",INDEX(res_Type,(ROW()-ROW(MSPResources[[#Headers],[Name]])))&amp;"")</f>
        <v/>
      </c>
      <c r="E32" s="24" t="str">
        <f aca="false">IF(IFERROR(INDEX(res_Name,(ROW()-ROW(MSPResources[[#Headers],[Name]])))="",TRUE()),"",ROUND(INDEX(res_MaxUnits,(ROW()-ROW(MSPResources[[#Headers],[Name]])))*100,0)&amp;"%")</f>
        <v/>
      </c>
      <c r="F32" s="24" t="str">
        <f aca="false">IF(IFERROR(INDEX(res_Name,(ROW()-ROW(MSPResources[[#Headers],[Name]])))="",TRUE()),"",INDEX(res_Rate,(ROW()-ROW(MSPResources[[#Headers],[Name]])))&amp;"/h")</f>
        <v/>
      </c>
      <c r="G32" s="24" t="str">
        <f aca="false">IF(IFERROR(INDEX(res_Name,(ROW()-ROW(MSPResources[[#Headers],[Name]])))="",TRUE()),"",INDEX(res_Email,(ROW()-ROW(MSPResources[[#Headers],[Name]])))&amp;"")</f>
        <v/>
      </c>
    </row>
    <row r="33" customFormat="false" ht="15" hidden="false" customHeight="false" outlineLevel="0" collapsed="false">
      <c r="A33" s="24" t="str">
        <f aca="false">IF(IFERROR(INDEX(res_Name,(ROW()-ROW(MSPResources[[#Headers],[Name]])))="",TRUE()),"",INDEX(res_Name,(ROW()-ROW(MSPResources[[#Headers],[Name]])))&amp;"")</f>
        <v/>
      </c>
      <c r="B33" s="24" t="str">
        <f aca="false">IF(IFERROR(INDEX(res_Name,(ROW()-ROW(MSPResources[[#Headers],[Name]])))="",TRUE()),"",INDEX(res_Initials,(ROW()-ROW(MSPResources[[#Headers],[Name]])))&amp;"")</f>
        <v/>
      </c>
      <c r="C33" s="24" t="str">
        <f aca="false">IF(IFERROR(INDEX(res_Name,(ROW()-ROW(MSPResources[[#Headers],[Name]])))="",TRUE()),"",INDEX(res_Group,(ROW()-ROW(MSPResources[[#Headers],[Name]])))&amp;"")</f>
        <v/>
      </c>
      <c r="D33" s="24" t="str">
        <f aca="false">IF(IFERROR(INDEX(res_Name,(ROW()-ROW(MSPResources[[#Headers],[Name]])))="",TRUE()),"",INDEX(res_Type,(ROW()-ROW(MSPResources[[#Headers],[Name]])))&amp;"")</f>
        <v/>
      </c>
      <c r="E33" s="24" t="str">
        <f aca="false">IF(IFERROR(INDEX(res_Name,(ROW()-ROW(MSPResources[[#Headers],[Name]])))="",TRUE()),"",ROUND(INDEX(res_MaxUnits,(ROW()-ROW(MSPResources[[#Headers],[Name]])))*100,0)&amp;"%")</f>
        <v/>
      </c>
      <c r="F33" s="24" t="str">
        <f aca="false">IF(IFERROR(INDEX(res_Name,(ROW()-ROW(MSPResources[[#Headers],[Name]])))="",TRUE()),"",INDEX(res_Rate,(ROW()-ROW(MSPResources[[#Headers],[Name]])))&amp;"/h")</f>
        <v/>
      </c>
      <c r="G33" s="24" t="str">
        <f aca="false">IF(IFERROR(INDEX(res_Name,(ROW()-ROW(MSPResources[[#Headers],[Name]])))="",TRUE()),"",INDEX(res_Email,(ROW()-ROW(MSPResources[[#Headers],[Name]])))&amp;"")</f>
        <v/>
      </c>
    </row>
    <row r="34" customFormat="false" ht="15" hidden="false" customHeight="false" outlineLevel="0" collapsed="false">
      <c r="A34" s="24" t="str">
        <f aca="false">IF(IFERROR(INDEX(res_Name,(ROW()-ROW(MSPResources[[#Headers],[Name]])))="",TRUE()),"",INDEX(res_Name,(ROW()-ROW(MSPResources[[#Headers],[Name]])))&amp;"")</f>
        <v/>
      </c>
      <c r="B34" s="24" t="str">
        <f aca="false">IF(IFERROR(INDEX(res_Name,(ROW()-ROW(MSPResources[[#Headers],[Name]])))="",TRUE()),"",INDEX(res_Initials,(ROW()-ROW(MSPResources[[#Headers],[Name]])))&amp;"")</f>
        <v/>
      </c>
      <c r="C34" s="24" t="str">
        <f aca="false">IF(IFERROR(INDEX(res_Name,(ROW()-ROW(MSPResources[[#Headers],[Name]])))="",TRUE()),"",INDEX(res_Group,(ROW()-ROW(MSPResources[[#Headers],[Name]])))&amp;"")</f>
        <v/>
      </c>
      <c r="D34" s="24" t="str">
        <f aca="false">IF(IFERROR(INDEX(res_Name,(ROW()-ROW(MSPResources[[#Headers],[Name]])))="",TRUE()),"",INDEX(res_Type,(ROW()-ROW(MSPResources[[#Headers],[Name]])))&amp;"")</f>
        <v/>
      </c>
      <c r="E34" s="24" t="str">
        <f aca="false">IF(IFERROR(INDEX(res_Name,(ROW()-ROW(MSPResources[[#Headers],[Name]])))="",TRUE()),"",ROUND(INDEX(res_MaxUnits,(ROW()-ROW(MSPResources[[#Headers],[Name]])))*100,0)&amp;"%")</f>
        <v/>
      </c>
      <c r="F34" s="24" t="str">
        <f aca="false">IF(IFERROR(INDEX(res_Name,(ROW()-ROW(MSPResources[[#Headers],[Name]])))="",TRUE()),"",INDEX(res_Rate,(ROW()-ROW(MSPResources[[#Headers],[Name]])))&amp;"/h")</f>
        <v/>
      </c>
      <c r="G34" s="24" t="str">
        <f aca="false">IF(IFERROR(INDEX(res_Name,(ROW()-ROW(MSPResources[[#Headers],[Name]])))="",TRUE()),"",INDEX(res_Email,(ROW()-ROW(MSPResources[[#Headers],[Name]])))&amp;"")</f>
        <v/>
      </c>
    </row>
    <row r="35" customFormat="false" ht="15" hidden="false" customHeight="false" outlineLevel="0" collapsed="false">
      <c r="A35" s="24" t="str">
        <f aca="false">IF(IFERROR(INDEX(res_Name,(ROW()-ROW(MSPResources[[#Headers],[Name]])))="",TRUE()),"",INDEX(res_Name,(ROW()-ROW(MSPResources[[#Headers],[Name]])))&amp;"")</f>
        <v/>
      </c>
      <c r="B35" s="24" t="str">
        <f aca="false">IF(IFERROR(INDEX(res_Name,(ROW()-ROW(MSPResources[[#Headers],[Name]])))="",TRUE()),"",INDEX(res_Initials,(ROW()-ROW(MSPResources[[#Headers],[Name]])))&amp;"")</f>
        <v/>
      </c>
      <c r="C35" s="24" t="str">
        <f aca="false">IF(IFERROR(INDEX(res_Name,(ROW()-ROW(MSPResources[[#Headers],[Name]])))="",TRUE()),"",INDEX(res_Group,(ROW()-ROW(MSPResources[[#Headers],[Name]])))&amp;"")</f>
        <v/>
      </c>
      <c r="D35" s="24" t="str">
        <f aca="false">IF(IFERROR(INDEX(res_Name,(ROW()-ROW(MSPResources[[#Headers],[Name]])))="",TRUE()),"",INDEX(res_Type,(ROW()-ROW(MSPResources[[#Headers],[Name]])))&amp;"")</f>
        <v/>
      </c>
      <c r="E35" s="24" t="str">
        <f aca="false">IF(IFERROR(INDEX(res_Name,(ROW()-ROW(MSPResources[[#Headers],[Name]])))="",TRUE()),"",ROUND(INDEX(res_MaxUnits,(ROW()-ROW(MSPResources[[#Headers],[Name]])))*100,0)&amp;"%")</f>
        <v/>
      </c>
      <c r="F35" s="24" t="str">
        <f aca="false">IF(IFERROR(INDEX(res_Name,(ROW()-ROW(MSPResources[[#Headers],[Name]])))="",TRUE()),"",INDEX(res_Rate,(ROW()-ROW(MSPResources[[#Headers],[Name]])))&amp;"/h")</f>
        <v/>
      </c>
      <c r="G35" s="24" t="str">
        <f aca="false">IF(IFERROR(INDEX(res_Name,(ROW()-ROW(MSPResources[[#Headers],[Name]])))="",TRUE()),"",INDEX(res_Email,(ROW()-ROW(MSPResources[[#Headers],[Name]])))&amp;"")</f>
        <v/>
      </c>
    </row>
    <row r="36" customFormat="false" ht="15" hidden="false" customHeight="false" outlineLevel="0" collapsed="false">
      <c r="A36" s="24" t="str">
        <f aca="false">IF(IFERROR(INDEX(res_Name,(ROW()-ROW(MSPResources[[#Headers],[Name]])))="",TRUE()),"",INDEX(res_Name,(ROW()-ROW(MSPResources[[#Headers],[Name]])))&amp;"")</f>
        <v/>
      </c>
      <c r="B36" s="24" t="str">
        <f aca="false">IF(IFERROR(INDEX(res_Name,(ROW()-ROW(MSPResources[[#Headers],[Name]])))="",TRUE()),"",INDEX(res_Initials,(ROW()-ROW(MSPResources[[#Headers],[Name]])))&amp;"")</f>
        <v/>
      </c>
      <c r="C36" s="24" t="str">
        <f aca="false">IF(IFERROR(INDEX(res_Name,(ROW()-ROW(MSPResources[[#Headers],[Name]])))="",TRUE()),"",INDEX(res_Group,(ROW()-ROW(MSPResources[[#Headers],[Name]])))&amp;"")</f>
        <v/>
      </c>
      <c r="D36" s="24" t="str">
        <f aca="false">IF(IFERROR(INDEX(res_Name,(ROW()-ROW(MSPResources[[#Headers],[Name]])))="",TRUE()),"",INDEX(res_Type,(ROW()-ROW(MSPResources[[#Headers],[Name]])))&amp;"")</f>
        <v/>
      </c>
      <c r="E36" s="24" t="str">
        <f aca="false">IF(IFERROR(INDEX(res_Name,(ROW()-ROW(MSPResources[[#Headers],[Name]])))="",TRUE()),"",ROUND(INDEX(res_MaxUnits,(ROW()-ROW(MSPResources[[#Headers],[Name]])))*100,0)&amp;"%")</f>
        <v/>
      </c>
      <c r="F36" s="24" t="str">
        <f aca="false">IF(IFERROR(INDEX(res_Name,(ROW()-ROW(MSPResources[[#Headers],[Name]])))="",TRUE()),"",INDEX(res_Rate,(ROW()-ROW(MSPResources[[#Headers],[Name]])))&amp;"/h")</f>
        <v/>
      </c>
      <c r="G36" s="24" t="str">
        <f aca="false">IF(IFERROR(INDEX(res_Name,(ROW()-ROW(MSPResources[[#Headers],[Name]])))="",TRUE()),"",INDEX(res_Email,(ROW()-ROW(MSPResources[[#Headers],[Name]])))&amp;"")</f>
        <v/>
      </c>
    </row>
    <row r="37" customFormat="false" ht="15" hidden="false" customHeight="false" outlineLevel="0" collapsed="false">
      <c r="A37" s="24" t="str">
        <f aca="false">IF(IFERROR(INDEX(res_Name,(ROW()-ROW(MSPResources[[#Headers],[Name]])))="",TRUE()),"",INDEX(res_Name,(ROW()-ROW(MSPResources[[#Headers],[Name]])))&amp;"")</f>
        <v/>
      </c>
      <c r="B37" s="24" t="str">
        <f aca="false">IF(IFERROR(INDEX(res_Name,(ROW()-ROW(MSPResources[[#Headers],[Name]])))="",TRUE()),"",INDEX(res_Initials,(ROW()-ROW(MSPResources[[#Headers],[Name]])))&amp;"")</f>
        <v/>
      </c>
      <c r="C37" s="24" t="str">
        <f aca="false">IF(IFERROR(INDEX(res_Name,(ROW()-ROW(MSPResources[[#Headers],[Name]])))="",TRUE()),"",INDEX(res_Group,(ROW()-ROW(MSPResources[[#Headers],[Name]])))&amp;"")</f>
        <v/>
      </c>
      <c r="D37" s="24" t="str">
        <f aca="false">IF(IFERROR(INDEX(res_Name,(ROW()-ROW(MSPResources[[#Headers],[Name]])))="",TRUE()),"",INDEX(res_Type,(ROW()-ROW(MSPResources[[#Headers],[Name]])))&amp;"")</f>
        <v/>
      </c>
      <c r="E37" s="24" t="str">
        <f aca="false">IF(IFERROR(INDEX(res_Name,(ROW()-ROW(MSPResources[[#Headers],[Name]])))="",TRUE()),"",ROUND(INDEX(res_MaxUnits,(ROW()-ROW(MSPResources[[#Headers],[Name]])))*100,0)&amp;"%")</f>
        <v/>
      </c>
      <c r="F37" s="24" t="str">
        <f aca="false">IF(IFERROR(INDEX(res_Name,(ROW()-ROW(MSPResources[[#Headers],[Name]])))="",TRUE()),"",INDEX(res_Rate,(ROW()-ROW(MSPResources[[#Headers],[Name]])))&amp;"/h")</f>
        <v/>
      </c>
      <c r="G37" s="24" t="str">
        <f aca="false">IF(IFERROR(INDEX(res_Name,(ROW()-ROW(MSPResources[[#Headers],[Name]])))="",TRUE()),"",INDEX(res_Email,(ROW()-ROW(MSPResources[[#Headers],[Name]])))&amp;"")</f>
        <v/>
      </c>
    </row>
    <row r="38" customFormat="false" ht="15" hidden="false" customHeight="false" outlineLevel="0" collapsed="false">
      <c r="A38" s="24" t="str">
        <f aca="false">IF(IFERROR(INDEX(res_Name,(ROW()-ROW(MSPResources[[#Headers],[Name]])))="",TRUE()),"",INDEX(res_Name,(ROW()-ROW(MSPResources[[#Headers],[Name]])))&amp;"")</f>
        <v/>
      </c>
      <c r="B38" s="24" t="str">
        <f aca="false">IF(IFERROR(INDEX(res_Name,(ROW()-ROW(MSPResources[[#Headers],[Name]])))="",TRUE()),"",INDEX(res_Initials,(ROW()-ROW(MSPResources[[#Headers],[Name]])))&amp;"")</f>
        <v/>
      </c>
      <c r="C38" s="24" t="str">
        <f aca="false">IF(IFERROR(INDEX(res_Name,(ROW()-ROW(MSPResources[[#Headers],[Name]])))="",TRUE()),"",INDEX(res_Group,(ROW()-ROW(MSPResources[[#Headers],[Name]])))&amp;"")</f>
        <v/>
      </c>
      <c r="D38" s="24" t="str">
        <f aca="false">IF(IFERROR(INDEX(res_Name,(ROW()-ROW(MSPResources[[#Headers],[Name]])))="",TRUE()),"",INDEX(res_Type,(ROW()-ROW(MSPResources[[#Headers],[Name]])))&amp;"")</f>
        <v/>
      </c>
      <c r="E38" s="24" t="str">
        <f aca="false">IF(IFERROR(INDEX(res_Name,(ROW()-ROW(MSPResources[[#Headers],[Name]])))="",TRUE()),"",ROUND(INDEX(res_MaxUnits,(ROW()-ROW(MSPResources[[#Headers],[Name]])))*100,0)&amp;"%")</f>
        <v/>
      </c>
      <c r="F38" s="24" t="str">
        <f aca="false">IF(IFERROR(INDEX(res_Name,(ROW()-ROW(MSPResources[[#Headers],[Name]])))="",TRUE()),"",INDEX(res_Rate,(ROW()-ROW(MSPResources[[#Headers],[Name]])))&amp;"/h")</f>
        <v/>
      </c>
      <c r="G38" s="24" t="str">
        <f aca="false">IF(IFERROR(INDEX(res_Name,(ROW()-ROW(MSPResources[[#Headers],[Name]])))="",TRUE()),"",INDEX(res_Email,(ROW()-ROW(MSPResources[[#Headers],[Name]])))&amp;"")</f>
        <v/>
      </c>
    </row>
    <row r="39" customFormat="false" ht="15" hidden="false" customHeight="false" outlineLevel="0" collapsed="false">
      <c r="A39" s="24" t="str">
        <f aca="false">IF(IFERROR(INDEX(res_Name,(ROW()-ROW(MSPResources[[#Headers],[Name]])))="",TRUE()),"",INDEX(res_Name,(ROW()-ROW(MSPResources[[#Headers],[Name]])))&amp;"")</f>
        <v/>
      </c>
      <c r="B39" s="24" t="str">
        <f aca="false">IF(IFERROR(INDEX(res_Name,(ROW()-ROW(MSPResources[[#Headers],[Name]])))="",TRUE()),"",INDEX(res_Initials,(ROW()-ROW(MSPResources[[#Headers],[Name]])))&amp;"")</f>
        <v/>
      </c>
      <c r="C39" s="24" t="str">
        <f aca="false">IF(IFERROR(INDEX(res_Name,(ROW()-ROW(MSPResources[[#Headers],[Name]])))="",TRUE()),"",INDEX(res_Group,(ROW()-ROW(MSPResources[[#Headers],[Name]])))&amp;"")</f>
        <v/>
      </c>
      <c r="D39" s="24" t="str">
        <f aca="false">IF(IFERROR(INDEX(res_Name,(ROW()-ROW(MSPResources[[#Headers],[Name]])))="",TRUE()),"",INDEX(res_Type,(ROW()-ROW(MSPResources[[#Headers],[Name]])))&amp;"")</f>
        <v/>
      </c>
      <c r="E39" s="24" t="str">
        <f aca="false">IF(IFERROR(INDEX(res_Name,(ROW()-ROW(MSPResources[[#Headers],[Name]])))="",TRUE()),"",ROUND(INDEX(res_MaxUnits,(ROW()-ROW(MSPResources[[#Headers],[Name]])))*100,0)&amp;"%")</f>
        <v/>
      </c>
      <c r="F39" s="24" t="str">
        <f aca="false">IF(IFERROR(INDEX(res_Name,(ROW()-ROW(MSPResources[[#Headers],[Name]])))="",TRUE()),"",INDEX(res_Rate,(ROW()-ROW(MSPResources[[#Headers],[Name]])))&amp;"/h")</f>
        <v/>
      </c>
      <c r="G39" s="24" t="str">
        <f aca="false">IF(IFERROR(INDEX(res_Name,(ROW()-ROW(MSPResources[[#Headers],[Name]])))="",TRUE()),"",INDEX(res_Email,(ROW()-ROW(MSPResources[[#Headers],[Name]])))&amp;"")</f>
        <v/>
      </c>
    </row>
    <row r="40" customFormat="false" ht="15" hidden="false" customHeight="false" outlineLevel="0" collapsed="false">
      <c r="A40" s="24" t="str">
        <f aca="false">IF(IFERROR(INDEX(res_Name,(ROW()-ROW(MSPResources[[#Headers],[Name]])))="",TRUE()),"",INDEX(res_Name,(ROW()-ROW(MSPResources[[#Headers],[Name]])))&amp;"")</f>
        <v/>
      </c>
      <c r="B40" s="24" t="str">
        <f aca="false">IF(IFERROR(INDEX(res_Name,(ROW()-ROW(MSPResources[[#Headers],[Name]])))="",TRUE()),"",INDEX(res_Initials,(ROW()-ROW(MSPResources[[#Headers],[Name]])))&amp;"")</f>
        <v/>
      </c>
      <c r="C40" s="24" t="str">
        <f aca="false">IF(IFERROR(INDEX(res_Name,(ROW()-ROW(MSPResources[[#Headers],[Name]])))="",TRUE()),"",INDEX(res_Group,(ROW()-ROW(MSPResources[[#Headers],[Name]])))&amp;"")</f>
        <v/>
      </c>
      <c r="D40" s="24" t="str">
        <f aca="false">IF(IFERROR(INDEX(res_Name,(ROW()-ROW(MSPResources[[#Headers],[Name]])))="",TRUE()),"",INDEX(res_Type,(ROW()-ROW(MSPResources[[#Headers],[Name]])))&amp;"")</f>
        <v/>
      </c>
      <c r="E40" s="24" t="str">
        <f aca="false">IF(IFERROR(INDEX(res_Name,(ROW()-ROW(MSPResources[[#Headers],[Name]])))="",TRUE()),"",ROUND(INDEX(res_MaxUnits,(ROW()-ROW(MSPResources[[#Headers],[Name]])))*100,0)&amp;"%")</f>
        <v/>
      </c>
      <c r="F40" s="24" t="str">
        <f aca="false">IF(IFERROR(INDEX(res_Name,(ROW()-ROW(MSPResources[[#Headers],[Name]])))="",TRUE()),"",INDEX(res_Rate,(ROW()-ROW(MSPResources[[#Headers],[Name]])))&amp;"/h")</f>
        <v/>
      </c>
      <c r="G40" s="24" t="str">
        <f aca="false">IF(IFERROR(INDEX(res_Name,(ROW()-ROW(MSPResources[[#Headers],[Name]])))="",TRUE()),"",INDEX(res_Email,(ROW()-ROW(MSPResources[[#Headers],[Name]])))&amp;"")</f>
        <v/>
      </c>
    </row>
    <row r="41" customFormat="false" ht="15" hidden="false" customHeight="false" outlineLevel="0" collapsed="false">
      <c r="A41" s="24" t="str">
        <f aca="false">IF(IFERROR(INDEX(res_Name,(ROW()-ROW(MSPResources[[#Headers],[Name]])))="",TRUE()),"",INDEX(res_Name,(ROW()-ROW(MSPResources[[#Headers],[Name]])))&amp;"")</f>
        <v/>
      </c>
      <c r="B41" s="24" t="str">
        <f aca="false">IF(IFERROR(INDEX(res_Name,(ROW()-ROW(MSPResources[[#Headers],[Name]])))="",TRUE()),"",INDEX(res_Initials,(ROW()-ROW(MSPResources[[#Headers],[Name]])))&amp;"")</f>
        <v/>
      </c>
      <c r="C41" s="24" t="str">
        <f aca="false">IF(IFERROR(INDEX(res_Name,(ROW()-ROW(MSPResources[[#Headers],[Name]])))="",TRUE()),"",INDEX(res_Group,(ROW()-ROW(MSPResources[[#Headers],[Name]])))&amp;"")</f>
        <v/>
      </c>
      <c r="D41" s="24" t="str">
        <f aca="false">IF(IFERROR(INDEX(res_Name,(ROW()-ROW(MSPResources[[#Headers],[Name]])))="",TRUE()),"",INDEX(res_Type,(ROW()-ROW(MSPResources[[#Headers],[Name]])))&amp;"")</f>
        <v/>
      </c>
      <c r="E41" s="24" t="str">
        <f aca="false">IF(IFERROR(INDEX(res_Name,(ROW()-ROW(MSPResources[[#Headers],[Name]])))="",TRUE()),"",ROUND(INDEX(res_MaxUnits,(ROW()-ROW(MSPResources[[#Headers],[Name]])))*100,0)&amp;"%")</f>
        <v/>
      </c>
      <c r="F41" s="24" t="str">
        <f aca="false">IF(IFERROR(INDEX(res_Name,(ROW()-ROW(MSPResources[[#Headers],[Name]])))="",TRUE()),"",INDEX(res_Rate,(ROW()-ROW(MSPResources[[#Headers],[Name]])))&amp;"/h")</f>
        <v/>
      </c>
      <c r="G41" s="24" t="str">
        <f aca="false">IF(IFERROR(INDEX(res_Name,(ROW()-ROW(MSPResources[[#Headers],[Name]])))="",TRUE()),"",INDEX(res_Email,(ROW()-ROW(MSPResources[[#Headers],[Name]])))&amp;"")</f>
        <v/>
      </c>
    </row>
    <row r="42" customFormat="false" ht="15" hidden="false" customHeight="false" outlineLevel="0" collapsed="false">
      <c r="A42" s="24" t="str">
        <f aca="false">IF(IFERROR(INDEX(res_Name,(ROW()-ROW(MSPResources[[#Headers],[Name]])))="",TRUE()),"",INDEX(res_Name,(ROW()-ROW(MSPResources[[#Headers],[Name]])))&amp;"")</f>
        <v/>
      </c>
      <c r="B42" s="24" t="str">
        <f aca="false">IF(IFERROR(INDEX(res_Name,(ROW()-ROW(MSPResources[[#Headers],[Name]])))="",TRUE()),"",INDEX(res_Initials,(ROW()-ROW(MSPResources[[#Headers],[Name]])))&amp;"")</f>
        <v/>
      </c>
      <c r="C42" s="24" t="str">
        <f aca="false">IF(IFERROR(INDEX(res_Name,(ROW()-ROW(MSPResources[[#Headers],[Name]])))="",TRUE()),"",INDEX(res_Group,(ROW()-ROW(MSPResources[[#Headers],[Name]])))&amp;"")</f>
        <v/>
      </c>
      <c r="D42" s="24" t="str">
        <f aca="false">IF(IFERROR(INDEX(res_Name,(ROW()-ROW(MSPResources[[#Headers],[Name]])))="",TRUE()),"",INDEX(res_Type,(ROW()-ROW(MSPResources[[#Headers],[Name]])))&amp;"")</f>
        <v/>
      </c>
      <c r="E42" s="24" t="str">
        <f aca="false">IF(IFERROR(INDEX(res_Name,(ROW()-ROW(MSPResources[[#Headers],[Name]])))="",TRUE()),"",ROUND(INDEX(res_MaxUnits,(ROW()-ROW(MSPResources[[#Headers],[Name]])))*100,0)&amp;"%")</f>
        <v/>
      </c>
      <c r="F42" s="24" t="str">
        <f aca="false">IF(IFERROR(INDEX(res_Name,(ROW()-ROW(MSPResources[[#Headers],[Name]])))="",TRUE()),"",INDEX(res_Rate,(ROW()-ROW(MSPResources[[#Headers],[Name]])))&amp;"/h")</f>
        <v/>
      </c>
      <c r="G42" s="24" t="str">
        <f aca="false">IF(IFERROR(INDEX(res_Name,(ROW()-ROW(MSPResources[[#Headers],[Name]])))="",TRUE()),"",INDEX(res_Email,(ROW()-ROW(MSPResources[[#Headers],[Name]])))&amp;"")</f>
        <v/>
      </c>
    </row>
    <row r="43" customFormat="false" ht="15" hidden="false" customHeight="false" outlineLevel="0" collapsed="false">
      <c r="A43" s="24" t="str">
        <f aca="false">IF(IFERROR(INDEX(res_Name,(ROW()-ROW(MSPResources[[#Headers],[Name]])))="",TRUE()),"",INDEX(res_Name,(ROW()-ROW(MSPResources[[#Headers],[Name]])))&amp;"")</f>
        <v/>
      </c>
      <c r="B43" s="24" t="str">
        <f aca="false">IF(IFERROR(INDEX(res_Name,(ROW()-ROW(MSPResources[[#Headers],[Name]])))="",TRUE()),"",INDEX(res_Initials,(ROW()-ROW(MSPResources[[#Headers],[Name]])))&amp;"")</f>
        <v/>
      </c>
      <c r="C43" s="24" t="str">
        <f aca="false">IF(IFERROR(INDEX(res_Name,(ROW()-ROW(MSPResources[[#Headers],[Name]])))="",TRUE()),"",INDEX(res_Group,(ROW()-ROW(MSPResources[[#Headers],[Name]])))&amp;"")</f>
        <v/>
      </c>
      <c r="D43" s="24" t="str">
        <f aca="false">IF(IFERROR(INDEX(res_Name,(ROW()-ROW(MSPResources[[#Headers],[Name]])))="",TRUE()),"",INDEX(res_Type,(ROW()-ROW(MSPResources[[#Headers],[Name]])))&amp;"")</f>
        <v/>
      </c>
      <c r="E43" s="24" t="str">
        <f aca="false">IF(IFERROR(INDEX(res_Name,(ROW()-ROW(MSPResources[[#Headers],[Name]])))="",TRUE()),"",ROUND(INDEX(res_MaxUnits,(ROW()-ROW(MSPResources[[#Headers],[Name]])))*100,0)&amp;"%")</f>
        <v/>
      </c>
      <c r="F43" s="24" t="str">
        <f aca="false">IF(IFERROR(INDEX(res_Name,(ROW()-ROW(MSPResources[[#Headers],[Name]])))="",TRUE()),"",INDEX(res_Rate,(ROW()-ROW(MSPResources[[#Headers],[Name]])))&amp;"/h")</f>
        <v/>
      </c>
      <c r="G43" s="24" t="str">
        <f aca="false">IF(IFERROR(INDEX(res_Name,(ROW()-ROW(MSPResources[[#Headers],[Name]])))="",TRUE()),"",INDEX(res_Email,(ROW()-ROW(MSPResources[[#Headers],[Name]])))&amp;"")</f>
        <v/>
      </c>
    </row>
    <row r="44" customFormat="false" ht="15" hidden="false" customHeight="false" outlineLevel="0" collapsed="false">
      <c r="A44" s="24" t="str">
        <f aca="false">IF(IFERROR(INDEX(res_Name,(ROW()-ROW(MSPResources[[#Headers],[Name]])))="",TRUE()),"",INDEX(res_Name,(ROW()-ROW(MSPResources[[#Headers],[Name]])))&amp;"")</f>
        <v/>
      </c>
      <c r="B44" s="24" t="str">
        <f aca="false">IF(IFERROR(INDEX(res_Name,(ROW()-ROW(MSPResources[[#Headers],[Name]])))="",TRUE()),"",INDEX(res_Initials,(ROW()-ROW(MSPResources[[#Headers],[Name]])))&amp;"")</f>
        <v/>
      </c>
      <c r="C44" s="24" t="str">
        <f aca="false">IF(IFERROR(INDEX(res_Name,(ROW()-ROW(MSPResources[[#Headers],[Name]])))="",TRUE()),"",INDEX(res_Group,(ROW()-ROW(MSPResources[[#Headers],[Name]])))&amp;"")</f>
        <v/>
      </c>
      <c r="D44" s="24" t="str">
        <f aca="false">IF(IFERROR(INDEX(res_Name,(ROW()-ROW(MSPResources[[#Headers],[Name]])))="",TRUE()),"",INDEX(res_Type,(ROW()-ROW(MSPResources[[#Headers],[Name]])))&amp;"")</f>
        <v/>
      </c>
      <c r="E44" s="24" t="str">
        <f aca="false">IF(IFERROR(INDEX(res_Name,(ROW()-ROW(MSPResources[[#Headers],[Name]])))="",TRUE()),"",ROUND(INDEX(res_MaxUnits,(ROW()-ROW(MSPResources[[#Headers],[Name]])))*100,0)&amp;"%")</f>
        <v/>
      </c>
      <c r="F44" s="24" t="str">
        <f aca="false">IF(IFERROR(INDEX(res_Name,(ROW()-ROW(MSPResources[[#Headers],[Name]])))="",TRUE()),"",INDEX(res_Rate,(ROW()-ROW(MSPResources[[#Headers],[Name]])))&amp;"/h")</f>
        <v/>
      </c>
      <c r="G44" s="24" t="str">
        <f aca="false">IF(IFERROR(INDEX(res_Name,(ROW()-ROW(MSPResources[[#Headers],[Name]])))="",TRUE()),"",INDEX(res_Email,(ROW()-ROW(MSPResources[[#Headers],[Name]])))&amp;"")</f>
        <v/>
      </c>
    </row>
    <row r="45" customFormat="false" ht="15" hidden="false" customHeight="false" outlineLevel="0" collapsed="false">
      <c r="A45" s="24" t="str">
        <f aca="false">IF(IFERROR(INDEX(res_Name,(ROW()-ROW(MSPResources[[#Headers],[Name]])))="",TRUE()),"",INDEX(res_Name,(ROW()-ROW(MSPResources[[#Headers],[Name]])))&amp;"")</f>
        <v/>
      </c>
      <c r="B45" s="24" t="str">
        <f aca="false">IF(IFERROR(INDEX(res_Name,(ROW()-ROW(MSPResources[[#Headers],[Name]])))="",TRUE()),"",INDEX(res_Initials,(ROW()-ROW(MSPResources[[#Headers],[Name]])))&amp;"")</f>
        <v/>
      </c>
      <c r="C45" s="24" t="str">
        <f aca="false">IF(IFERROR(INDEX(res_Name,(ROW()-ROW(MSPResources[[#Headers],[Name]])))="",TRUE()),"",INDEX(res_Group,(ROW()-ROW(MSPResources[[#Headers],[Name]])))&amp;"")</f>
        <v/>
      </c>
      <c r="D45" s="24" t="str">
        <f aca="false">IF(IFERROR(INDEX(res_Name,(ROW()-ROW(MSPResources[[#Headers],[Name]])))="",TRUE()),"",INDEX(res_Type,(ROW()-ROW(MSPResources[[#Headers],[Name]])))&amp;"")</f>
        <v/>
      </c>
      <c r="E45" s="24" t="str">
        <f aca="false">IF(IFERROR(INDEX(res_Name,(ROW()-ROW(MSPResources[[#Headers],[Name]])))="",TRUE()),"",ROUND(INDEX(res_MaxUnits,(ROW()-ROW(MSPResources[[#Headers],[Name]])))*100,0)&amp;"%")</f>
        <v/>
      </c>
      <c r="F45" s="24" t="str">
        <f aca="false">IF(IFERROR(INDEX(res_Name,(ROW()-ROW(MSPResources[[#Headers],[Name]])))="",TRUE()),"",INDEX(res_Rate,(ROW()-ROW(MSPResources[[#Headers],[Name]])))&amp;"/h")</f>
        <v/>
      </c>
      <c r="G45" s="24" t="str">
        <f aca="false">IF(IFERROR(INDEX(res_Name,(ROW()-ROW(MSPResources[[#Headers],[Name]])))="",TRUE()),"",INDEX(res_Email,(ROW()-ROW(MSPResources[[#Headers],[Name]])))&amp;"")</f>
        <v/>
      </c>
    </row>
    <row r="46" customFormat="false" ht="15" hidden="false" customHeight="false" outlineLevel="0" collapsed="false">
      <c r="A46" s="24" t="str">
        <f aca="false">IF(IFERROR(INDEX(res_Name,(ROW()-ROW(MSPResources[[#Headers],[Name]])))="",TRUE()),"",INDEX(res_Name,(ROW()-ROW(MSPResources[[#Headers],[Name]])))&amp;"")</f>
        <v/>
      </c>
      <c r="B46" s="24" t="str">
        <f aca="false">IF(IFERROR(INDEX(res_Name,(ROW()-ROW(MSPResources[[#Headers],[Name]])))="",TRUE()),"",INDEX(res_Initials,(ROW()-ROW(MSPResources[[#Headers],[Name]])))&amp;"")</f>
        <v/>
      </c>
      <c r="C46" s="24" t="str">
        <f aca="false">IF(IFERROR(INDEX(res_Name,(ROW()-ROW(MSPResources[[#Headers],[Name]])))="",TRUE()),"",INDEX(res_Group,(ROW()-ROW(MSPResources[[#Headers],[Name]])))&amp;"")</f>
        <v/>
      </c>
      <c r="D46" s="24" t="str">
        <f aca="false">IF(IFERROR(INDEX(res_Name,(ROW()-ROW(MSPResources[[#Headers],[Name]])))="",TRUE()),"",INDEX(res_Type,(ROW()-ROW(MSPResources[[#Headers],[Name]])))&amp;"")</f>
        <v/>
      </c>
      <c r="E46" s="24" t="str">
        <f aca="false">IF(IFERROR(INDEX(res_Name,(ROW()-ROW(MSPResources[[#Headers],[Name]])))="",TRUE()),"",ROUND(INDEX(res_MaxUnits,(ROW()-ROW(MSPResources[[#Headers],[Name]])))*100,0)&amp;"%")</f>
        <v/>
      </c>
      <c r="F46" s="24" t="str">
        <f aca="false">IF(IFERROR(INDEX(res_Name,(ROW()-ROW(MSPResources[[#Headers],[Name]])))="",TRUE()),"",INDEX(res_Rate,(ROW()-ROW(MSPResources[[#Headers],[Name]])))&amp;"/h")</f>
        <v/>
      </c>
      <c r="G46" s="24" t="str">
        <f aca="false">IF(IFERROR(INDEX(res_Name,(ROW()-ROW(MSPResources[[#Headers],[Name]])))="",TRUE()),"",INDEX(res_Email,(ROW()-ROW(MSPResources[[#Headers],[Name]])))&amp;"")</f>
        <v/>
      </c>
    </row>
    <row r="47" customFormat="false" ht="15" hidden="false" customHeight="false" outlineLevel="0" collapsed="false">
      <c r="A47" s="24" t="str">
        <f aca="false">IF(IFERROR(INDEX(res_Name,(ROW()-ROW(MSPResources[[#Headers],[Name]])))="",TRUE()),"",INDEX(res_Name,(ROW()-ROW(MSPResources[[#Headers],[Name]])))&amp;"")</f>
        <v/>
      </c>
      <c r="B47" s="24" t="str">
        <f aca="false">IF(IFERROR(INDEX(res_Name,(ROW()-ROW(MSPResources[[#Headers],[Name]])))="",TRUE()),"",INDEX(res_Initials,(ROW()-ROW(MSPResources[[#Headers],[Name]])))&amp;"")</f>
        <v/>
      </c>
      <c r="C47" s="24" t="str">
        <f aca="false">IF(IFERROR(INDEX(res_Name,(ROW()-ROW(MSPResources[[#Headers],[Name]])))="",TRUE()),"",INDEX(res_Group,(ROW()-ROW(MSPResources[[#Headers],[Name]])))&amp;"")</f>
        <v/>
      </c>
      <c r="D47" s="24" t="str">
        <f aca="false">IF(IFERROR(INDEX(res_Name,(ROW()-ROW(MSPResources[[#Headers],[Name]])))="",TRUE()),"",INDEX(res_Type,(ROW()-ROW(MSPResources[[#Headers],[Name]])))&amp;"")</f>
        <v/>
      </c>
      <c r="E47" s="24" t="str">
        <f aca="false">IF(IFERROR(INDEX(res_Name,(ROW()-ROW(MSPResources[[#Headers],[Name]])))="",TRUE()),"",ROUND(INDEX(res_MaxUnits,(ROW()-ROW(MSPResources[[#Headers],[Name]])))*100,0)&amp;"%")</f>
        <v/>
      </c>
      <c r="F47" s="24" t="str">
        <f aca="false">IF(IFERROR(INDEX(res_Name,(ROW()-ROW(MSPResources[[#Headers],[Name]])))="",TRUE()),"",INDEX(res_Rate,(ROW()-ROW(MSPResources[[#Headers],[Name]])))&amp;"/h")</f>
        <v/>
      </c>
      <c r="G47" s="24" t="str">
        <f aca="false">IF(IFERROR(INDEX(res_Name,(ROW()-ROW(MSPResources[[#Headers],[Name]])))="",TRUE()),"",INDEX(res_Email,(ROW()-ROW(MSPResources[[#Headers],[Name]])))&amp;"")</f>
        <v/>
      </c>
    </row>
    <row r="48" customFormat="false" ht="15" hidden="false" customHeight="false" outlineLevel="0" collapsed="false">
      <c r="A48" s="24" t="str">
        <f aca="false">IF(IFERROR(INDEX(res_Name,(ROW()-ROW(MSPResources[[#Headers],[Name]])))="",TRUE()),"",INDEX(res_Name,(ROW()-ROW(MSPResources[[#Headers],[Name]])))&amp;"")</f>
        <v/>
      </c>
      <c r="B48" s="24" t="str">
        <f aca="false">IF(IFERROR(INDEX(res_Name,(ROW()-ROW(MSPResources[[#Headers],[Name]])))="",TRUE()),"",INDEX(res_Initials,(ROW()-ROW(MSPResources[[#Headers],[Name]])))&amp;"")</f>
        <v/>
      </c>
      <c r="C48" s="24" t="str">
        <f aca="false">IF(IFERROR(INDEX(res_Name,(ROW()-ROW(MSPResources[[#Headers],[Name]])))="",TRUE()),"",INDEX(res_Group,(ROW()-ROW(MSPResources[[#Headers],[Name]])))&amp;"")</f>
        <v/>
      </c>
      <c r="D48" s="24" t="str">
        <f aca="false">IF(IFERROR(INDEX(res_Name,(ROW()-ROW(MSPResources[[#Headers],[Name]])))="",TRUE()),"",INDEX(res_Type,(ROW()-ROW(MSPResources[[#Headers],[Name]])))&amp;"")</f>
        <v/>
      </c>
      <c r="E48" s="24" t="str">
        <f aca="false">IF(IFERROR(INDEX(res_Name,(ROW()-ROW(MSPResources[[#Headers],[Name]])))="",TRUE()),"",ROUND(INDEX(res_MaxUnits,(ROW()-ROW(MSPResources[[#Headers],[Name]])))*100,0)&amp;"%")</f>
        <v/>
      </c>
      <c r="F48" s="24" t="str">
        <f aca="false">IF(IFERROR(INDEX(res_Name,(ROW()-ROW(MSPResources[[#Headers],[Name]])))="",TRUE()),"",INDEX(res_Rate,(ROW()-ROW(MSPResources[[#Headers],[Name]])))&amp;"/h")</f>
        <v/>
      </c>
      <c r="G48" s="24" t="str">
        <f aca="false">IF(IFERROR(INDEX(res_Name,(ROW()-ROW(MSPResources[[#Headers],[Name]])))="",TRUE()),"",INDEX(res_Email,(ROW()-ROW(MSPResources[[#Headers],[Name]])))&amp;"")</f>
        <v/>
      </c>
    </row>
    <row r="49" customFormat="false" ht="15" hidden="false" customHeight="false" outlineLevel="0" collapsed="false">
      <c r="A49" s="24" t="str">
        <f aca="false">IF(IFERROR(INDEX(res_Name,(ROW()-ROW(MSPResources[[#Headers],[Name]])))="",TRUE()),"",INDEX(res_Name,(ROW()-ROW(MSPResources[[#Headers],[Name]])))&amp;"")</f>
        <v/>
      </c>
      <c r="B49" s="24" t="str">
        <f aca="false">IF(IFERROR(INDEX(res_Name,(ROW()-ROW(MSPResources[[#Headers],[Name]])))="",TRUE()),"",INDEX(res_Initials,(ROW()-ROW(MSPResources[[#Headers],[Name]])))&amp;"")</f>
        <v/>
      </c>
      <c r="C49" s="24" t="str">
        <f aca="false">IF(IFERROR(INDEX(res_Name,(ROW()-ROW(MSPResources[[#Headers],[Name]])))="",TRUE()),"",INDEX(res_Group,(ROW()-ROW(MSPResources[[#Headers],[Name]])))&amp;"")</f>
        <v/>
      </c>
      <c r="D49" s="24" t="str">
        <f aca="false">IF(IFERROR(INDEX(res_Name,(ROW()-ROW(MSPResources[[#Headers],[Name]])))="",TRUE()),"",INDEX(res_Type,(ROW()-ROW(MSPResources[[#Headers],[Name]])))&amp;"")</f>
        <v/>
      </c>
      <c r="E49" s="24" t="str">
        <f aca="false">IF(IFERROR(INDEX(res_Name,(ROW()-ROW(MSPResources[[#Headers],[Name]])))="",TRUE()),"",ROUND(INDEX(res_MaxUnits,(ROW()-ROW(MSPResources[[#Headers],[Name]])))*100,0)&amp;"%")</f>
        <v/>
      </c>
      <c r="F49" s="24" t="str">
        <f aca="false">IF(IFERROR(INDEX(res_Name,(ROW()-ROW(MSPResources[[#Headers],[Name]])))="",TRUE()),"",INDEX(res_Rate,(ROW()-ROW(MSPResources[[#Headers],[Name]])))&amp;"/h")</f>
        <v/>
      </c>
      <c r="G49" s="24" t="str">
        <f aca="false">IF(IFERROR(INDEX(res_Name,(ROW()-ROW(MSPResources[[#Headers],[Name]])))="",TRUE()),"",INDEX(res_Email,(ROW()-ROW(MSPResources[[#Headers],[Name]])))&amp;"")</f>
        <v/>
      </c>
    </row>
    <row r="50" customFormat="false" ht="15" hidden="false" customHeight="false" outlineLevel="0" collapsed="false">
      <c r="A50" s="24" t="str">
        <f aca="false">IF(IFERROR(INDEX(res_Name,(ROW()-ROW(MSPResources[[#Headers],[Name]])))="",TRUE()),"",INDEX(res_Name,(ROW()-ROW(MSPResources[[#Headers],[Name]])))&amp;"")</f>
        <v/>
      </c>
      <c r="B50" s="24" t="str">
        <f aca="false">IF(IFERROR(INDEX(res_Name,(ROW()-ROW(MSPResources[[#Headers],[Name]])))="",TRUE()),"",INDEX(res_Initials,(ROW()-ROW(MSPResources[[#Headers],[Name]])))&amp;"")</f>
        <v/>
      </c>
      <c r="C50" s="24" t="str">
        <f aca="false">IF(IFERROR(INDEX(res_Name,(ROW()-ROW(MSPResources[[#Headers],[Name]])))="",TRUE()),"",INDEX(res_Group,(ROW()-ROW(MSPResources[[#Headers],[Name]])))&amp;"")</f>
        <v/>
      </c>
      <c r="D50" s="24" t="str">
        <f aca="false">IF(IFERROR(INDEX(res_Name,(ROW()-ROW(MSPResources[[#Headers],[Name]])))="",TRUE()),"",INDEX(res_Type,(ROW()-ROW(MSPResources[[#Headers],[Name]])))&amp;"")</f>
        <v/>
      </c>
      <c r="E50" s="24" t="str">
        <f aca="false">IF(IFERROR(INDEX(res_Name,(ROW()-ROW(MSPResources[[#Headers],[Name]])))="",TRUE()),"",ROUND(INDEX(res_MaxUnits,(ROW()-ROW(MSPResources[[#Headers],[Name]])))*100,0)&amp;"%")</f>
        <v/>
      </c>
      <c r="F50" s="24" t="str">
        <f aca="false">IF(IFERROR(INDEX(res_Name,(ROW()-ROW(MSPResources[[#Headers],[Name]])))="",TRUE()),"",INDEX(res_Rate,(ROW()-ROW(MSPResources[[#Headers],[Name]])))&amp;"/h")</f>
        <v/>
      </c>
      <c r="G50" s="24" t="str">
        <f aca="false">IF(IFERROR(INDEX(res_Name,(ROW()-ROW(MSPResources[[#Headers],[Name]])))="",TRUE()),"",INDEX(res_Email,(ROW()-ROW(MSPResources[[#Headers],[Name]])))&amp;"")</f>
        <v/>
      </c>
    </row>
    <row r="51" customFormat="false" ht="15" hidden="false" customHeight="false" outlineLevel="0" collapsed="false">
      <c r="A51" s="24" t="str">
        <f aca="false">IF(IFERROR(INDEX(res_Name,(ROW()-ROW(MSPResources[[#Headers],[Name]])))="",TRUE()),"",INDEX(res_Name,(ROW()-ROW(MSPResources[[#Headers],[Name]])))&amp;"")</f>
        <v/>
      </c>
      <c r="B51" s="24" t="str">
        <f aca="false">IF(IFERROR(INDEX(res_Name,(ROW()-ROW(MSPResources[[#Headers],[Name]])))="",TRUE()),"",INDEX(res_Initials,(ROW()-ROW(MSPResources[[#Headers],[Name]])))&amp;"")</f>
        <v/>
      </c>
      <c r="C51" s="24" t="str">
        <f aca="false">IF(IFERROR(INDEX(res_Name,(ROW()-ROW(MSPResources[[#Headers],[Name]])))="",TRUE()),"",INDEX(res_Group,(ROW()-ROW(MSPResources[[#Headers],[Name]])))&amp;"")</f>
        <v/>
      </c>
      <c r="D51" s="24" t="str">
        <f aca="false">IF(IFERROR(INDEX(res_Name,(ROW()-ROW(MSPResources[[#Headers],[Name]])))="",TRUE()),"",INDEX(res_Type,(ROW()-ROW(MSPResources[[#Headers],[Name]])))&amp;"")</f>
        <v/>
      </c>
      <c r="E51" s="24" t="str">
        <f aca="false">IF(IFERROR(INDEX(res_Name,(ROW()-ROW(MSPResources[[#Headers],[Name]])))="",TRUE()),"",ROUND(INDEX(res_MaxUnits,(ROW()-ROW(MSPResources[[#Headers],[Name]])))*100,0)&amp;"%")</f>
        <v/>
      </c>
      <c r="F51" s="24" t="str">
        <f aca="false">IF(IFERROR(INDEX(res_Name,(ROW()-ROW(MSPResources[[#Headers],[Name]])))="",TRUE()),"",INDEX(res_Rate,(ROW()-ROW(MSPResources[[#Headers],[Name]])))&amp;"/h")</f>
        <v/>
      </c>
      <c r="G51" s="24" t="str">
        <f aca="false">IF(IFERROR(INDEX(res_Name,(ROW()-ROW(MSPResources[[#Headers],[Name]])))="",TRUE()),"",INDEX(res_Email,(ROW()-ROW(MSPResources[[#Headers],[Name]])))&amp;"")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3" style="0" width="16"/>
    <col collapsed="false" customWidth="true" hidden="false" outlineLevel="0" max="5" min="5" style="0" width="16"/>
    <col collapsed="false" customWidth="true" hidden="false" outlineLevel="0" max="7" min="7" style="0" width="16"/>
    <col collapsed="false" customWidth="true" hidden="false" outlineLevel="0" max="9" min="9" style="0" width="16"/>
    <col collapsed="false" customWidth="true" hidden="false" outlineLevel="0" max="11" min="11" style="0" width="16"/>
    <col collapsed="false" customWidth="true" hidden="false" outlineLevel="0" max="13" min="13" style="0" width="16"/>
    <col collapsed="false" customWidth="true" hidden="false" outlineLevel="0" max="15" min="15" style="0" width="16"/>
    <col collapsed="false" customWidth="true" hidden="false" outlineLevel="0" max="17" min="17" style="0" width="16"/>
    <col collapsed="false" customWidth="true" hidden="false" outlineLevel="0" max="19" min="19" style="0" width="16"/>
    <col collapsed="false" customWidth="true" hidden="false" outlineLevel="0" max="21" min="21" style="0" width="16"/>
  </cols>
  <sheetData>
    <row r="1" customFormat="false" ht="23.85" hidden="false" customHeight="false" outlineLevel="0" collapsed="false">
      <c r="A1" s="44" t="s">
        <v>842</v>
      </c>
      <c r="C1" s="44" t="s">
        <v>835</v>
      </c>
      <c r="E1" s="44" t="s">
        <v>532</v>
      </c>
      <c r="G1" s="44" t="s">
        <v>843</v>
      </c>
      <c r="I1" s="44" t="s">
        <v>844</v>
      </c>
      <c r="K1" s="44" t="s">
        <v>845</v>
      </c>
      <c r="M1" s="44" t="s">
        <v>155</v>
      </c>
      <c r="O1" s="44" t="s">
        <v>846</v>
      </c>
      <c r="Q1" s="44" t="s">
        <v>847</v>
      </c>
      <c r="S1" s="44" t="s">
        <v>848</v>
      </c>
      <c r="U1" s="44" t="s">
        <v>849</v>
      </c>
    </row>
    <row r="2" customFormat="false" ht="15" hidden="false" customHeight="false" outlineLevel="0" collapsed="false">
      <c r="A2" s="47" t="s">
        <v>647</v>
      </c>
      <c r="C2" s="47" t="s">
        <v>642</v>
      </c>
      <c r="E2" s="47" t="s">
        <v>850</v>
      </c>
      <c r="G2" s="47" t="s">
        <v>399</v>
      </c>
      <c r="I2" s="47" t="s">
        <v>244</v>
      </c>
      <c r="K2" s="47" t="n">
        <v>1</v>
      </c>
      <c r="M2" s="47" t="s">
        <v>372</v>
      </c>
      <c r="O2" s="47" t="s">
        <v>297</v>
      </c>
      <c r="Q2" s="47" t="s">
        <v>300</v>
      </c>
      <c r="S2" s="47" t="s">
        <v>341</v>
      </c>
      <c r="U2" s="47" t="s">
        <v>851</v>
      </c>
    </row>
    <row r="3" customFormat="false" ht="15" hidden="false" customHeight="false" outlineLevel="0" collapsed="false">
      <c r="A3" s="47" t="s">
        <v>653</v>
      </c>
      <c r="C3" s="47" t="s">
        <v>688</v>
      </c>
      <c r="E3" s="47" t="s">
        <v>852</v>
      </c>
      <c r="G3" s="47" t="s">
        <v>420</v>
      </c>
      <c r="I3" s="47" t="s">
        <v>853</v>
      </c>
      <c r="K3" s="47" t="n">
        <v>7</v>
      </c>
      <c r="M3" s="47" t="s">
        <v>373</v>
      </c>
      <c r="O3" s="47" t="s">
        <v>311</v>
      </c>
      <c r="Q3" s="47" t="s">
        <v>104</v>
      </c>
      <c r="S3" s="47" t="s">
        <v>335</v>
      </c>
      <c r="U3" s="47" t="s">
        <v>354</v>
      </c>
    </row>
    <row r="4" customFormat="false" ht="15" hidden="false" customHeight="false" outlineLevel="0" collapsed="false">
      <c r="A4" s="47" t="s">
        <v>670</v>
      </c>
      <c r="E4" s="47" t="s">
        <v>854</v>
      </c>
      <c r="I4" s="47" t="s">
        <v>247</v>
      </c>
      <c r="K4" s="47" t="n">
        <v>30</v>
      </c>
      <c r="M4" s="47" t="s">
        <v>855</v>
      </c>
      <c r="O4" s="47" t="s">
        <v>306</v>
      </c>
      <c r="Q4" s="47" t="s">
        <v>321</v>
      </c>
      <c r="S4" s="47" t="s">
        <v>358</v>
      </c>
      <c r="U4" s="47" t="s">
        <v>335</v>
      </c>
    </row>
    <row r="5" customFormat="false" ht="15" hidden="false" customHeight="false" outlineLevel="0" collapsed="false">
      <c r="A5" s="47" t="s">
        <v>856</v>
      </c>
      <c r="E5" s="47" t="s">
        <v>857</v>
      </c>
      <c r="K5" s="47" t="n">
        <v>91</v>
      </c>
      <c r="O5" s="47" t="s">
        <v>315</v>
      </c>
      <c r="S5" s="47" t="s">
        <v>858</v>
      </c>
      <c r="U5" s="47" t="s">
        <v>358</v>
      </c>
    </row>
    <row r="6" customFormat="false" ht="15" hidden="false" customHeight="false" outlineLevel="0" collapsed="false">
      <c r="E6" s="47" t="s">
        <v>678</v>
      </c>
      <c r="U6" s="47" t="s">
        <v>859</v>
      </c>
    </row>
    <row r="7" customFormat="false" ht="15" hidden="false" customHeight="false" outlineLevel="0" collapsed="false">
      <c r="E7" s="47" t="s">
        <v>860</v>
      </c>
    </row>
    <row r="8" customFormat="false" ht="15" hidden="false" customHeight="false" outlineLevel="0" collapsed="false">
      <c r="E8" s="47" t="s">
        <v>861</v>
      </c>
    </row>
    <row r="9" customFormat="false" ht="15" hidden="false" customHeight="false" outlineLevel="0" collapsed="false">
      <c r="E9" s="47" t="s">
        <v>862</v>
      </c>
    </row>
    <row r="11" customFormat="false" ht="15" hidden="false" customHeight="false" outlineLevel="0" collapsed="false">
      <c r="A11" s="8" t="s">
        <v>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2026-10-27T02:40:08Z</dcterms:created>
  <dc:creator>openpyxl</dc:creator>
  <dc:description/>
  <dc:language>en-US</dc:language>
  <cp:lastModifiedBy/>
  <dcterms:modified xsi:type="dcterms:W3CDTF">2026-10-27T02:40:09Z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